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readedComments/threadedComment6.xml" ContentType="application/vnd.ms-excel.threadedcomments+xml"/>
  <Override PartName="/xl/drawings/drawing5.xml" ContentType="application/vnd.openxmlformats-officedocument.drawing+xml"/>
  <Override PartName="/xl/comments9.xml" ContentType="application/vnd.openxmlformats-officedocument.spreadsheetml.comments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https://aghedupl.sharepoint.com/sites/TIMES-PL-PSE/Shared Documents/General/MODELE/2026/AGR_wyizolowany/"/>
    </mc:Choice>
  </mc:AlternateContent>
  <xr:revisionPtr revIDLastSave="4996" documentId="8_{C54E4173-2959-426F-A3E8-AE3759804B8F}" xr6:coauthVersionLast="47" xr6:coauthVersionMax="47" xr10:uidLastSave="{5D313747-56BB-4912-80C8-1AFD5BC48BA9}"/>
  <bookViews>
    <workbookView xWindow="-105" yWindow="0" windowWidth="19410" windowHeight="20985" tabRatio="908" firstSheet="1" activeTab="6" xr2:uid="{00000000-000D-0000-FFFF-FFFF00000000}"/>
  </bookViews>
  <sheets>
    <sheet name="Cover" sheetId="158" r:id="rId1"/>
    <sheet name="Metadane" sheetId="159" r:id="rId2"/>
    <sheet name="AGR_Comm" sheetId="112" r:id="rId3"/>
    <sheet name="AGR_Proc" sheetId="140" r:id="rId4"/>
    <sheet name="SECTF" sheetId="145" r:id="rId5"/>
    <sheet name="AGR_LAND" sheetId="161" r:id="rId6"/>
    <sheet name="AGR_LIV" sheetId="160" r:id="rId7"/>
    <sheet name="AGR_SVC" sheetId="157" r:id="rId8"/>
    <sheet name="AGR_BIOG" sheetId="162" r:id="rId9"/>
    <sheet name="AGR_CHP" sheetId="149" r:id="rId10"/>
    <sheet name="DIV" sheetId="150" r:id="rId11"/>
    <sheet name="AGR_FEC" sheetId="139" r:id="rId12"/>
    <sheet name="EMI" sheetId="146" r:id="rId13"/>
    <sheet name="ESTAT_2020" sheetId="148" r:id="rId14"/>
    <sheet name="GUS_2020_HT_ELC" sheetId="144" r:id="rId15"/>
    <sheet name="OLD_AGR_Comm" sheetId="163" r:id="rId16"/>
    <sheet name="OLD_AGR_LIV" sheetId="154" r:id="rId17"/>
    <sheet name="OLD_AGR_LAND" sheetId="155" r:id="rId18"/>
    <sheet name="Arkusz1" sheetId="164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9" i="160" l="1"/>
  <c r="AD41" i="160"/>
  <c r="AD23" i="160"/>
  <c r="AD12" i="160"/>
  <c r="AB64" i="160"/>
  <c r="D23" i="164"/>
  <c r="D40" i="164" s="1"/>
  <c r="E23" i="164"/>
  <c r="E40" i="164" s="1"/>
  <c r="F23" i="164"/>
  <c r="F40" i="164" s="1"/>
  <c r="G23" i="164"/>
  <c r="G40" i="164" s="1"/>
  <c r="H23" i="164"/>
  <c r="H40" i="164" s="1"/>
  <c r="I23" i="164"/>
  <c r="I40" i="164" s="1"/>
  <c r="D24" i="164"/>
  <c r="D41" i="164" s="1"/>
  <c r="E24" i="164"/>
  <c r="E41" i="164" s="1"/>
  <c r="F24" i="164"/>
  <c r="F41" i="164" s="1"/>
  <c r="G24" i="164"/>
  <c r="G41" i="164" s="1"/>
  <c r="H24" i="164"/>
  <c r="H41" i="164" s="1"/>
  <c r="I24" i="164"/>
  <c r="I41" i="164" s="1"/>
  <c r="D25" i="164"/>
  <c r="D42" i="164" s="1"/>
  <c r="E25" i="164"/>
  <c r="E42" i="164" s="1"/>
  <c r="F25" i="164"/>
  <c r="F42" i="164" s="1"/>
  <c r="G25" i="164"/>
  <c r="G42" i="164" s="1"/>
  <c r="H25" i="164"/>
  <c r="H42" i="164" s="1"/>
  <c r="I25" i="164"/>
  <c r="I42" i="164" s="1"/>
  <c r="D26" i="164"/>
  <c r="D43" i="164" s="1"/>
  <c r="E26" i="164"/>
  <c r="E43" i="164" s="1"/>
  <c r="F26" i="164"/>
  <c r="F43" i="164" s="1"/>
  <c r="G26" i="164"/>
  <c r="G43" i="164" s="1"/>
  <c r="H26" i="164"/>
  <c r="H43" i="164" s="1"/>
  <c r="I26" i="164"/>
  <c r="I43" i="164" s="1"/>
  <c r="D27" i="164"/>
  <c r="D44" i="164" s="1"/>
  <c r="E27" i="164"/>
  <c r="E44" i="164" s="1"/>
  <c r="F27" i="164"/>
  <c r="F44" i="164" s="1"/>
  <c r="G27" i="164"/>
  <c r="G44" i="164" s="1"/>
  <c r="H27" i="164"/>
  <c r="I27" i="164"/>
  <c r="I44" i="164" s="1"/>
  <c r="D28" i="164"/>
  <c r="E28" i="164"/>
  <c r="E45" i="164" s="1"/>
  <c r="F28" i="164"/>
  <c r="F45" i="164" s="1"/>
  <c r="G28" i="164"/>
  <c r="G45" i="164" s="1"/>
  <c r="H28" i="164"/>
  <c r="H45" i="164" s="1"/>
  <c r="I28" i="164"/>
  <c r="I45" i="164" s="1"/>
  <c r="D29" i="164"/>
  <c r="D46" i="164" s="1"/>
  <c r="E29" i="164"/>
  <c r="E46" i="164" s="1"/>
  <c r="F29" i="164"/>
  <c r="F46" i="164" s="1"/>
  <c r="G29" i="164"/>
  <c r="G46" i="164" s="1"/>
  <c r="H29" i="164"/>
  <c r="H46" i="164" s="1"/>
  <c r="I29" i="164"/>
  <c r="I46" i="164" s="1"/>
  <c r="D30" i="164"/>
  <c r="D47" i="164" s="1"/>
  <c r="E30" i="164"/>
  <c r="E47" i="164" s="1"/>
  <c r="F30" i="164"/>
  <c r="F47" i="164" s="1"/>
  <c r="G30" i="164"/>
  <c r="G47" i="164" s="1"/>
  <c r="H30" i="164"/>
  <c r="H47" i="164" s="1"/>
  <c r="I30" i="164"/>
  <c r="I47" i="164" s="1"/>
  <c r="C30" i="164"/>
  <c r="C47" i="164" s="1"/>
  <c r="C29" i="164"/>
  <c r="C46" i="164" s="1"/>
  <c r="C28" i="164"/>
  <c r="C45" i="164" s="1"/>
  <c r="C27" i="164"/>
  <c r="C44" i="164" s="1"/>
  <c r="C26" i="164"/>
  <c r="C43" i="164" s="1"/>
  <c r="C25" i="164"/>
  <c r="C42" i="164" s="1"/>
  <c r="C24" i="164"/>
  <c r="C41" i="164" s="1"/>
  <c r="C23" i="164"/>
  <c r="C40" i="164" s="1"/>
  <c r="D22" i="164"/>
  <c r="D39" i="164" s="1"/>
  <c r="E22" i="164"/>
  <c r="E39" i="164" s="1"/>
  <c r="F22" i="164"/>
  <c r="F39" i="164" s="1"/>
  <c r="G22" i="164"/>
  <c r="G39" i="164" s="1"/>
  <c r="H22" i="164"/>
  <c r="H39" i="164" s="1"/>
  <c r="I22" i="164"/>
  <c r="I39" i="164" s="1"/>
  <c r="C22" i="164"/>
  <c r="D19" i="164"/>
  <c r="D36" i="164" s="1"/>
  <c r="E19" i="164"/>
  <c r="F19" i="164"/>
  <c r="G19" i="164"/>
  <c r="H19" i="164"/>
  <c r="H36" i="164" s="1"/>
  <c r="I19" i="164"/>
  <c r="D20" i="164"/>
  <c r="D37" i="164" s="1"/>
  <c r="E20" i="164"/>
  <c r="E37" i="164" s="1"/>
  <c r="F20" i="164"/>
  <c r="F37" i="164" s="1"/>
  <c r="G20" i="164"/>
  <c r="G37" i="164" s="1"/>
  <c r="H20" i="164"/>
  <c r="H37" i="164" s="1"/>
  <c r="I20" i="164"/>
  <c r="I37" i="164" s="1"/>
  <c r="D21" i="164"/>
  <c r="D38" i="164" s="1"/>
  <c r="E21" i="164"/>
  <c r="E38" i="164" s="1"/>
  <c r="F21" i="164"/>
  <c r="F38" i="164" s="1"/>
  <c r="G21" i="164"/>
  <c r="G38" i="164" s="1"/>
  <c r="H21" i="164"/>
  <c r="H38" i="164" s="1"/>
  <c r="I21" i="164"/>
  <c r="I38" i="164" s="1"/>
  <c r="C21" i="164"/>
  <c r="C38" i="164" s="1"/>
  <c r="C20" i="164"/>
  <c r="C37" i="164" s="1"/>
  <c r="C19" i="164"/>
  <c r="C36" i="164" s="1"/>
  <c r="U90" i="161"/>
  <c r="U82" i="161"/>
  <c r="U74" i="161"/>
  <c r="U66" i="161"/>
  <c r="U58" i="161"/>
  <c r="U50" i="161"/>
  <c r="U42" i="161"/>
  <c r="U34" i="161"/>
  <c r="AO74" i="161"/>
  <c r="V74" i="161" s="1"/>
  <c r="AP74" i="161"/>
  <c r="W74" i="161" s="1"/>
  <c r="AQ74" i="161"/>
  <c r="X74" i="161" s="1"/>
  <c r="AR74" i="161"/>
  <c r="Y74" i="161" s="1"/>
  <c r="AS74" i="161"/>
  <c r="Z74" i="161" s="1"/>
  <c r="AT74" i="161"/>
  <c r="AA74" i="161" s="1"/>
  <c r="AO66" i="161"/>
  <c r="V66" i="161" s="1"/>
  <c r="AP66" i="161"/>
  <c r="W66" i="161" s="1"/>
  <c r="AQ66" i="161"/>
  <c r="X66" i="161" s="1"/>
  <c r="AR66" i="161"/>
  <c r="Y66" i="161" s="1"/>
  <c r="AS66" i="161"/>
  <c r="Z66" i="161" s="1"/>
  <c r="AT66" i="161"/>
  <c r="AA66" i="161" s="1"/>
  <c r="AO58" i="161"/>
  <c r="V58" i="161" s="1"/>
  <c r="AP58" i="161"/>
  <c r="W58" i="161" s="1"/>
  <c r="AQ58" i="161"/>
  <c r="X58" i="161" s="1"/>
  <c r="AR58" i="161"/>
  <c r="Y58" i="161" s="1"/>
  <c r="AS58" i="161"/>
  <c r="Z58" i="161" s="1"/>
  <c r="AT58" i="161"/>
  <c r="AA58" i="161" s="1"/>
  <c r="AN50" i="161"/>
  <c r="AS34" i="161"/>
  <c r="Z34" i="161" s="1"/>
  <c r="AR34" i="161"/>
  <c r="Y34" i="161" s="1"/>
  <c r="AQ34" i="161"/>
  <c r="X34" i="161" s="1"/>
  <c r="AP34" i="161"/>
  <c r="W34" i="161" s="1"/>
  <c r="AO34" i="161"/>
  <c r="V34" i="161" s="1"/>
  <c r="AG143" i="161"/>
  <c r="AO50" i="161" s="1"/>
  <c r="V50" i="161" s="1"/>
  <c r="AH143" i="161"/>
  <c r="AP50" i="161" s="1"/>
  <c r="W50" i="161" s="1"/>
  <c r="AI143" i="161"/>
  <c r="AQ50" i="161" s="1"/>
  <c r="X50" i="161" s="1"/>
  <c r="AJ143" i="161"/>
  <c r="AR50" i="161" s="1"/>
  <c r="Y50" i="161" s="1"/>
  <c r="AK143" i="161"/>
  <c r="AS50" i="161" s="1"/>
  <c r="Z50" i="161" s="1"/>
  <c r="AL143" i="161"/>
  <c r="AT50" i="161" s="1"/>
  <c r="AA50" i="161" s="1"/>
  <c r="AG145" i="161"/>
  <c r="AH145" i="161"/>
  <c r="AI145" i="161"/>
  <c r="AJ145" i="161"/>
  <c r="AK145" i="161"/>
  <c r="AL145" i="161"/>
  <c r="AG147" i="161"/>
  <c r="AH147" i="161"/>
  <c r="AI147" i="161"/>
  <c r="AJ147" i="161"/>
  <c r="AK147" i="161"/>
  <c r="AL147" i="161"/>
  <c r="AG149" i="161"/>
  <c r="AH149" i="161"/>
  <c r="AI149" i="161"/>
  <c r="AJ149" i="161"/>
  <c r="AK149" i="161"/>
  <c r="AL149" i="161"/>
  <c r="AG151" i="161"/>
  <c r="AO82" i="161" s="1"/>
  <c r="V82" i="161" s="1"/>
  <c r="AH151" i="161"/>
  <c r="AP82" i="161" s="1"/>
  <c r="W82" i="161" s="1"/>
  <c r="AI151" i="161"/>
  <c r="AQ82" i="161" s="1"/>
  <c r="X82" i="161" s="1"/>
  <c r="AJ151" i="161"/>
  <c r="AR82" i="161" s="1"/>
  <c r="Y82" i="161" s="1"/>
  <c r="AK151" i="161"/>
  <c r="AS82" i="161" s="1"/>
  <c r="Z82" i="161" s="1"/>
  <c r="AL151" i="161"/>
  <c r="AT82" i="161" s="1"/>
  <c r="AA82" i="161" s="1"/>
  <c r="AG153" i="161"/>
  <c r="AO90" i="161" s="1"/>
  <c r="V90" i="161" s="1"/>
  <c r="AH153" i="161"/>
  <c r="AP90" i="161" s="1"/>
  <c r="W90" i="161" s="1"/>
  <c r="AI153" i="161"/>
  <c r="AQ90" i="161" s="1"/>
  <c r="X90" i="161" s="1"/>
  <c r="AJ153" i="161"/>
  <c r="AR90" i="161" s="1"/>
  <c r="Y90" i="161" s="1"/>
  <c r="AK153" i="161"/>
  <c r="AS90" i="161" s="1"/>
  <c r="Z90" i="161" s="1"/>
  <c r="AL153" i="161"/>
  <c r="AT90" i="161" s="1"/>
  <c r="AA90" i="161" s="1"/>
  <c r="AF143" i="161"/>
  <c r="AD153" i="161"/>
  <c r="AD149" i="161"/>
  <c r="AD151" i="161"/>
  <c r="AD145" i="161"/>
  <c r="AD147" i="161"/>
  <c r="AD141" i="161"/>
  <c r="AD143" i="161"/>
  <c r="AD139" i="161"/>
  <c r="AG141" i="161"/>
  <c r="AO42" i="161" s="1"/>
  <c r="V42" i="161" s="1"/>
  <c r="AH141" i="161"/>
  <c r="AP42" i="161" s="1"/>
  <c r="W42" i="161" s="1"/>
  <c r="AI141" i="161"/>
  <c r="AQ42" i="161" s="1"/>
  <c r="X42" i="161" s="1"/>
  <c r="AJ141" i="161"/>
  <c r="AR42" i="161" s="1"/>
  <c r="Y42" i="161" s="1"/>
  <c r="AK141" i="161"/>
  <c r="AS42" i="161" s="1"/>
  <c r="Z42" i="161" s="1"/>
  <c r="AL141" i="161"/>
  <c r="AT42" i="161" s="1"/>
  <c r="AA42" i="161" s="1"/>
  <c r="AK139" i="161"/>
  <c r="AL139" i="161"/>
  <c r="AT34" i="161" s="1"/>
  <c r="AA34" i="161" s="1"/>
  <c r="AG139" i="161"/>
  <c r="AH139" i="161"/>
  <c r="AI139" i="161"/>
  <c r="AJ139" i="161"/>
  <c r="D7" i="160"/>
  <c r="F7" i="157"/>
  <c r="CR133" i="157"/>
  <c r="CU159" i="157" s="1"/>
  <c r="CR136" i="157"/>
  <c r="CR135" i="157"/>
  <c r="CR134" i="157"/>
  <c r="CR118" i="157"/>
  <c r="CV155" i="157" s="1"/>
  <c r="CR117" i="157"/>
  <c r="CR116" i="157"/>
  <c r="CR115" i="157"/>
  <c r="CR114" i="157"/>
  <c r="CR113" i="157"/>
  <c r="CR112" i="157"/>
  <c r="CR111" i="157"/>
  <c r="CD111" i="157"/>
  <c r="CH148" i="157" s="1"/>
  <c r="CU142" i="157"/>
  <c r="CU141" i="157"/>
  <c r="CU140" i="157"/>
  <c r="CW128" i="157"/>
  <c r="CW127" i="157"/>
  <c r="CV127" i="157"/>
  <c r="CW126" i="157"/>
  <c r="CV126" i="157"/>
  <c r="CW125" i="157"/>
  <c r="CV125" i="157"/>
  <c r="CW124" i="157"/>
  <c r="CV124" i="157"/>
  <c r="CW123" i="157"/>
  <c r="CV123" i="157"/>
  <c r="CW122" i="157"/>
  <c r="CV122" i="157"/>
  <c r="CW121" i="157"/>
  <c r="CD133" i="157"/>
  <c r="CD136" i="157"/>
  <c r="CD135" i="157"/>
  <c r="CD134" i="157"/>
  <c r="CD118" i="157"/>
  <c r="CH155" i="157" s="1"/>
  <c r="CD117" i="157"/>
  <c r="CD116" i="157"/>
  <c r="CD115" i="157"/>
  <c r="CD114" i="157"/>
  <c r="CD113" i="157"/>
  <c r="CD112" i="157"/>
  <c r="CG142" i="157"/>
  <c r="CG141" i="157"/>
  <c r="CG140" i="157"/>
  <c r="CI125" i="157"/>
  <c r="CI124" i="157"/>
  <c r="CH124" i="157"/>
  <c r="CI123" i="157"/>
  <c r="CH123" i="157"/>
  <c r="CI122" i="157"/>
  <c r="CH122" i="157"/>
  <c r="CI121" i="157"/>
  <c r="BP136" i="157"/>
  <c r="BP135" i="157"/>
  <c r="BP134" i="157"/>
  <c r="BP133" i="157"/>
  <c r="BP118" i="157"/>
  <c r="BT155" i="157" s="1"/>
  <c r="BP117" i="157"/>
  <c r="BP116" i="157"/>
  <c r="BP115" i="157"/>
  <c r="BP114" i="157"/>
  <c r="BP113" i="157"/>
  <c r="BP112" i="157"/>
  <c r="BP111" i="157"/>
  <c r="BT148" i="157" s="1"/>
  <c r="BS142" i="157"/>
  <c r="BS141" i="157"/>
  <c r="BS140" i="157"/>
  <c r="BU128" i="157"/>
  <c r="BU127" i="157"/>
  <c r="BT127" i="157"/>
  <c r="BU126" i="157"/>
  <c r="BT126" i="157"/>
  <c r="BU125" i="157"/>
  <c r="BT125" i="157"/>
  <c r="BU124" i="157"/>
  <c r="BT124" i="157"/>
  <c r="BU123" i="157"/>
  <c r="BT123" i="157"/>
  <c r="BU122" i="157"/>
  <c r="BT122" i="157"/>
  <c r="BU121" i="157"/>
  <c r="BB136" i="157"/>
  <c r="BB135" i="157"/>
  <c r="BB134" i="157"/>
  <c r="BB133" i="157"/>
  <c r="BB118" i="157"/>
  <c r="BB117" i="157"/>
  <c r="BB116" i="157"/>
  <c r="BB115" i="157"/>
  <c r="BB114" i="157"/>
  <c r="BG151" i="157" s="1"/>
  <c r="BB113" i="157"/>
  <c r="BB112" i="157"/>
  <c r="BB111" i="157"/>
  <c r="BF148" i="157" s="1"/>
  <c r="BE142" i="157"/>
  <c r="BE141" i="157"/>
  <c r="BE140" i="157"/>
  <c r="BG128" i="157"/>
  <c r="BG127" i="157"/>
  <c r="BF127" i="157"/>
  <c r="BG126" i="157"/>
  <c r="BF126" i="157"/>
  <c r="BG125" i="157"/>
  <c r="BF125" i="157"/>
  <c r="BG124" i="157"/>
  <c r="BF124" i="157"/>
  <c r="BG123" i="157"/>
  <c r="BF123" i="157"/>
  <c r="BG122" i="157"/>
  <c r="BF122" i="157"/>
  <c r="BG121" i="157"/>
  <c r="AN135" i="157"/>
  <c r="AN136" i="157"/>
  <c r="AN134" i="157"/>
  <c r="AN133" i="157"/>
  <c r="AN118" i="157"/>
  <c r="AN116" i="157"/>
  <c r="AN117" i="157"/>
  <c r="AN115" i="157"/>
  <c r="AN114" i="157"/>
  <c r="AN113" i="157"/>
  <c r="AN112" i="157"/>
  <c r="AN111" i="157"/>
  <c r="AR148" i="157" s="1"/>
  <c r="AQ142" i="157"/>
  <c r="AQ141" i="157"/>
  <c r="AQ140" i="157"/>
  <c r="AS128" i="157"/>
  <c r="AS127" i="157"/>
  <c r="AR127" i="157"/>
  <c r="AS126" i="157"/>
  <c r="AR126" i="157"/>
  <c r="AS125" i="157"/>
  <c r="AR125" i="157"/>
  <c r="AS124" i="157"/>
  <c r="AR124" i="157"/>
  <c r="AS123" i="157"/>
  <c r="AR123" i="157"/>
  <c r="AS122" i="157"/>
  <c r="AR122" i="157"/>
  <c r="AS121" i="157"/>
  <c r="AM8" i="157"/>
  <c r="AM9" i="157"/>
  <c r="AM10" i="157"/>
  <c r="AM11" i="157"/>
  <c r="AM12" i="157"/>
  <c r="AM13" i="157"/>
  <c r="AM14" i="157"/>
  <c r="AM15" i="157"/>
  <c r="AM16" i="157"/>
  <c r="AM17" i="157"/>
  <c r="AM18" i="157"/>
  <c r="AM19" i="157"/>
  <c r="AM7" i="157"/>
  <c r="Z136" i="157"/>
  <c r="Z135" i="157"/>
  <c r="Z134" i="157"/>
  <c r="Z133" i="157"/>
  <c r="Z118" i="157"/>
  <c r="Z117" i="157"/>
  <c r="Z116" i="157"/>
  <c r="Z115" i="157"/>
  <c r="Z114" i="157"/>
  <c r="Z113" i="157"/>
  <c r="Z112" i="157"/>
  <c r="Z111" i="157"/>
  <c r="G84" i="161"/>
  <c r="AF153" i="161" s="1"/>
  <c r="AN90" i="161" s="1"/>
  <c r="G44" i="161"/>
  <c r="U74" i="157"/>
  <c r="U22" i="157"/>
  <c r="U23" i="157"/>
  <c r="U24" i="157"/>
  <c r="U25" i="157"/>
  <c r="U26" i="157"/>
  <c r="U27" i="157"/>
  <c r="U28" i="157"/>
  <c r="U29" i="157"/>
  <c r="U30" i="157"/>
  <c r="U31" i="157"/>
  <c r="U7" i="157"/>
  <c r="U8" i="157"/>
  <c r="U9" i="157"/>
  <c r="U11" i="157"/>
  <c r="U12" i="157"/>
  <c r="U13" i="157"/>
  <c r="U14" i="157"/>
  <c r="U15" i="157"/>
  <c r="U16" i="157"/>
  <c r="U17" i="157"/>
  <c r="U18" i="157"/>
  <c r="U19" i="157"/>
  <c r="U20" i="157"/>
  <c r="U33" i="157"/>
  <c r="U34" i="157"/>
  <c r="U36" i="157"/>
  <c r="U37" i="157"/>
  <c r="U38" i="157"/>
  <c r="U39" i="157"/>
  <c r="U40" i="157"/>
  <c r="U41" i="157"/>
  <c r="U42" i="157"/>
  <c r="U43" i="157"/>
  <c r="U44" i="157"/>
  <c r="U45" i="157"/>
  <c r="U46" i="157"/>
  <c r="U47" i="157"/>
  <c r="AF58" i="157"/>
  <c r="AF59" i="157"/>
  <c r="AF60" i="157"/>
  <c r="AF61" i="157"/>
  <c r="AF62" i="157"/>
  <c r="AF63" i="157"/>
  <c r="AF64" i="157"/>
  <c r="AF65" i="157"/>
  <c r="AF66" i="157"/>
  <c r="AF67" i="157"/>
  <c r="AF68" i="157"/>
  <c r="AF69" i="157"/>
  <c r="AE58" i="157"/>
  <c r="AE59" i="157"/>
  <c r="AE60" i="157"/>
  <c r="AE61" i="157"/>
  <c r="AE62" i="157"/>
  <c r="AE63" i="157"/>
  <c r="AE64" i="157"/>
  <c r="AE65" i="157"/>
  <c r="AE66" i="157"/>
  <c r="AE67" i="157"/>
  <c r="AE68" i="157"/>
  <c r="AE69" i="157"/>
  <c r="AF57" i="157"/>
  <c r="AE57" i="157"/>
  <c r="AD58" i="157"/>
  <c r="AD59" i="157"/>
  <c r="AD60" i="157"/>
  <c r="AD61" i="157"/>
  <c r="AD62" i="157"/>
  <c r="AD63" i="157"/>
  <c r="AD64" i="157"/>
  <c r="AD65" i="157"/>
  <c r="AD66" i="157"/>
  <c r="AD67" i="157"/>
  <c r="AD68" i="157"/>
  <c r="AD101" i="157" s="1"/>
  <c r="AD69" i="157"/>
  <c r="AD57" i="157"/>
  <c r="AC58" i="157"/>
  <c r="AC59" i="157"/>
  <c r="AC60" i="157"/>
  <c r="AC61" i="157"/>
  <c r="AC62" i="157"/>
  <c r="AC63" i="157"/>
  <c r="AC64" i="157"/>
  <c r="AC65" i="157"/>
  <c r="AC66" i="157"/>
  <c r="AC99" i="157" s="1"/>
  <c r="AC67" i="157"/>
  <c r="AC100" i="157" s="1"/>
  <c r="AC68" i="157"/>
  <c r="AC101" i="157" s="1"/>
  <c r="AC69" i="157"/>
  <c r="AC102" i="157" s="1"/>
  <c r="AC57" i="157"/>
  <c r="AC90" i="157" s="1"/>
  <c r="AB58" i="157"/>
  <c r="AB59" i="157"/>
  <c r="AB60" i="157"/>
  <c r="AB61" i="157"/>
  <c r="AB62" i="157"/>
  <c r="AB63" i="157"/>
  <c r="AB64" i="157"/>
  <c r="AB65" i="157"/>
  <c r="AB98" i="157" s="1"/>
  <c r="AB66" i="157"/>
  <c r="AB99" i="157" s="1"/>
  <c r="AB67" i="157"/>
  <c r="AB100" i="157" s="1"/>
  <c r="AB68" i="157"/>
  <c r="AB101" i="157" s="1"/>
  <c r="AB69" i="157"/>
  <c r="AB57" i="157"/>
  <c r="AC142" i="157"/>
  <c r="AC141" i="157"/>
  <c r="AC140" i="157"/>
  <c r="AC139" i="157"/>
  <c r="AE128" i="157"/>
  <c r="AE127" i="157"/>
  <c r="AD127" i="157"/>
  <c r="AE126" i="157"/>
  <c r="AD126" i="157"/>
  <c r="AE125" i="157"/>
  <c r="AD125" i="157"/>
  <c r="AE124" i="157"/>
  <c r="AD124" i="157"/>
  <c r="AE123" i="157"/>
  <c r="AD123" i="157"/>
  <c r="AE122" i="157"/>
  <c r="AD122" i="157"/>
  <c r="AE121" i="157"/>
  <c r="E48" i="157"/>
  <c r="E35" i="157"/>
  <c r="E32" i="157"/>
  <c r="B36" i="157"/>
  <c r="B33" i="157"/>
  <c r="B22" i="157"/>
  <c r="E21" i="157"/>
  <c r="G57" i="157"/>
  <c r="G63" i="157"/>
  <c r="AG13" i="157" s="1"/>
  <c r="B11" i="157"/>
  <c r="D57" i="160"/>
  <c r="D56" i="160"/>
  <c r="D55" i="160"/>
  <c r="D54" i="160"/>
  <c r="D39" i="160"/>
  <c r="D38" i="160"/>
  <c r="D37" i="160"/>
  <c r="D36" i="160"/>
  <c r="D21" i="160"/>
  <c r="D20" i="160"/>
  <c r="D19" i="160"/>
  <c r="D18" i="160"/>
  <c r="D10" i="160"/>
  <c r="D9" i="160"/>
  <c r="D8" i="160"/>
  <c r="D88" i="161"/>
  <c r="D87" i="161"/>
  <c r="D86" i="161"/>
  <c r="D85" i="161"/>
  <c r="D80" i="161"/>
  <c r="D79" i="161"/>
  <c r="D78" i="161"/>
  <c r="D77" i="161"/>
  <c r="D72" i="161"/>
  <c r="D71" i="161"/>
  <c r="D70" i="161"/>
  <c r="D69" i="161"/>
  <c r="D64" i="161"/>
  <c r="D63" i="161"/>
  <c r="D62" i="161"/>
  <c r="D61" i="161"/>
  <c r="D56" i="161"/>
  <c r="D55" i="161"/>
  <c r="D54" i="161"/>
  <c r="D53" i="161"/>
  <c r="D48" i="161"/>
  <c r="D47" i="161"/>
  <c r="D46" i="161"/>
  <c r="D45" i="161"/>
  <c r="D37" i="161"/>
  <c r="D40" i="161"/>
  <c r="D29" i="161"/>
  <c r="D32" i="161"/>
  <c r="O140" i="157"/>
  <c r="O141" i="157"/>
  <c r="O142" i="157"/>
  <c r="O139" i="157"/>
  <c r="P122" i="157"/>
  <c r="P123" i="157"/>
  <c r="P124" i="157"/>
  <c r="P125" i="157"/>
  <c r="P126" i="157"/>
  <c r="P127" i="157"/>
  <c r="J136" i="157"/>
  <c r="AL136" i="157" s="1"/>
  <c r="J135" i="157"/>
  <c r="AL135" i="157" s="1"/>
  <c r="J134" i="157"/>
  <c r="AL134" i="157" s="1"/>
  <c r="J133" i="157"/>
  <c r="AL133" i="157" s="1"/>
  <c r="J118" i="157"/>
  <c r="AL118" i="157" s="1"/>
  <c r="J117" i="157"/>
  <c r="AL117" i="157" s="1"/>
  <c r="J116" i="157"/>
  <c r="AL116" i="157" s="1"/>
  <c r="J115" i="157"/>
  <c r="AL115" i="157" s="1"/>
  <c r="J114" i="157"/>
  <c r="AL114" i="157" s="1"/>
  <c r="J113" i="157"/>
  <c r="AL113" i="157" s="1"/>
  <c r="J112" i="157"/>
  <c r="AL112" i="157" s="1"/>
  <c r="J111" i="157"/>
  <c r="AL111" i="157" s="1"/>
  <c r="G69" i="157"/>
  <c r="AG19" i="157" s="1"/>
  <c r="G68" i="157"/>
  <c r="AG18" i="157" s="1"/>
  <c r="G67" i="157"/>
  <c r="AG17" i="157" s="1"/>
  <c r="G66" i="157"/>
  <c r="AG16" i="157" s="1"/>
  <c r="G65" i="157"/>
  <c r="AG15" i="157" s="1"/>
  <c r="G64" i="157"/>
  <c r="AG14" i="157" s="1"/>
  <c r="G62" i="157"/>
  <c r="AG12" i="157" s="1"/>
  <c r="G61" i="157"/>
  <c r="AG11" i="157" s="1"/>
  <c r="G60" i="157"/>
  <c r="AG10" i="157" s="1"/>
  <c r="G59" i="157"/>
  <c r="AG9" i="157" s="1"/>
  <c r="G58" i="157"/>
  <c r="AG8" i="157" s="1"/>
  <c r="M12" i="149"/>
  <c r="D39" i="161"/>
  <c r="D38" i="161"/>
  <c r="E10" i="157"/>
  <c r="B7" i="157"/>
  <c r="D31" i="161"/>
  <c r="D30" i="161"/>
  <c r="B17" i="162"/>
  <c r="B29" i="150"/>
  <c r="E29" i="150"/>
  <c r="D29" i="150"/>
  <c r="E9" i="149"/>
  <c r="B21" i="145"/>
  <c r="D14" i="139"/>
  <c r="E22" i="145"/>
  <c r="D40" i="157" s="1"/>
  <c r="C39" i="164" l="1"/>
  <c r="C31" i="164"/>
  <c r="C48" i="164" s="1"/>
  <c r="E36" i="164"/>
  <c r="E31" i="164"/>
  <c r="E48" i="164" s="1"/>
  <c r="F36" i="164"/>
  <c r="F31" i="164"/>
  <c r="F48" i="164" s="1"/>
  <c r="G36" i="164"/>
  <c r="G31" i="164"/>
  <c r="G48" i="164" s="1"/>
  <c r="I31" i="164"/>
  <c r="I48" i="164" s="1"/>
  <c r="I36" i="164"/>
  <c r="H31" i="164"/>
  <c r="H48" i="164" s="1"/>
  <c r="H44" i="164"/>
  <c r="D31" i="164"/>
  <c r="D48" i="164" s="1"/>
  <c r="D45" i="164"/>
  <c r="CU162" i="157"/>
  <c r="CU161" i="157"/>
  <c r="CU160" i="157"/>
  <c r="CU163" i="157"/>
  <c r="BU155" i="157"/>
  <c r="BF151" i="157"/>
  <c r="BG150" i="157"/>
  <c r="BF150" i="157"/>
  <c r="BT154" i="157"/>
  <c r="BT152" i="157"/>
  <c r="BT151" i="157"/>
  <c r="BT150" i="157"/>
  <c r="CV152" i="157"/>
  <c r="CV151" i="157"/>
  <c r="CV150" i="157"/>
  <c r="CW149" i="157"/>
  <c r="CV149" i="157"/>
  <c r="CW151" i="157"/>
  <c r="CW150" i="157"/>
  <c r="AQ161" i="157"/>
  <c r="AO13" i="157"/>
  <c r="AH13" i="157" s="1"/>
  <c r="AO18" i="157"/>
  <c r="AH18" i="157" s="1"/>
  <c r="AO16" i="157"/>
  <c r="AH16" i="157" s="1"/>
  <c r="AQ162" i="157"/>
  <c r="AO19" i="157"/>
  <c r="AH19" i="157" s="1"/>
  <c r="AO10" i="157"/>
  <c r="AH10" i="157" s="1"/>
  <c r="AQ160" i="157"/>
  <c r="CW155" i="157"/>
  <c r="CW152" i="157"/>
  <c r="AO8" i="157"/>
  <c r="AH8" i="157" s="1"/>
  <c r="AO11" i="157"/>
  <c r="AH11" i="157" s="1"/>
  <c r="AO14" i="157"/>
  <c r="AH14" i="157" s="1"/>
  <c r="AO17" i="157"/>
  <c r="AH17" i="157" s="1"/>
  <c r="AO9" i="157"/>
  <c r="AH9" i="157" s="1"/>
  <c r="AO12" i="157"/>
  <c r="AH12" i="157" s="1"/>
  <c r="AO15" i="157"/>
  <c r="AH15" i="157" s="1"/>
  <c r="CU137" i="157"/>
  <c r="CV137" i="157"/>
  <c r="CW137" i="157"/>
  <c r="CX137" i="157"/>
  <c r="CT137" i="157"/>
  <c r="CU119" i="157"/>
  <c r="CV119" i="157"/>
  <c r="CW119" i="157"/>
  <c r="CX119" i="157"/>
  <c r="CT119" i="157"/>
  <c r="CG137" i="157"/>
  <c r="CH137" i="157"/>
  <c r="CI137" i="157"/>
  <c r="CJ137" i="157"/>
  <c r="BR137" i="157"/>
  <c r="BV137" i="157"/>
  <c r="BU137" i="157"/>
  <c r="BT137" i="157"/>
  <c r="BS137" i="157"/>
  <c r="BS119" i="157"/>
  <c r="BR119" i="157"/>
  <c r="BU119" i="157"/>
  <c r="BV119" i="157"/>
  <c r="BT119" i="157"/>
  <c r="BH137" i="157"/>
  <c r="BG137" i="157"/>
  <c r="BE137" i="157"/>
  <c r="BF137" i="157"/>
  <c r="BD137" i="157"/>
  <c r="BD119" i="157"/>
  <c r="BF119" i="157"/>
  <c r="BG119" i="157"/>
  <c r="BE119" i="157"/>
  <c r="BH119" i="157"/>
  <c r="AQ137" i="157"/>
  <c r="AP137" i="157"/>
  <c r="AR137" i="157"/>
  <c r="AT137" i="157"/>
  <c r="AS137" i="157"/>
  <c r="AQ159" i="157"/>
  <c r="AQ163" i="157" s="1"/>
  <c r="AR119" i="157"/>
  <c r="AP119" i="157"/>
  <c r="AQ119" i="157"/>
  <c r="AT119" i="157"/>
  <c r="AS119" i="157"/>
  <c r="AG7" i="157"/>
  <c r="N57" i="157"/>
  <c r="N90" i="157" s="1"/>
  <c r="AZ136" i="157"/>
  <c r="AL142" i="157"/>
  <c r="AZ135" i="157"/>
  <c r="AL141" i="157"/>
  <c r="AZ134" i="157"/>
  <c r="AL140" i="157"/>
  <c r="AZ133" i="157"/>
  <c r="AL139" i="157"/>
  <c r="AZ118" i="157"/>
  <c r="AL128" i="157"/>
  <c r="AZ117" i="157"/>
  <c r="AL127" i="157"/>
  <c r="AZ116" i="157"/>
  <c r="AL126" i="157"/>
  <c r="AZ115" i="157"/>
  <c r="AL125" i="157"/>
  <c r="AZ114" i="157"/>
  <c r="AL124" i="157"/>
  <c r="AZ113" i="157"/>
  <c r="AL123" i="157"/>
  <c r="AZ112" i="157"/>
  <c r="AL122" i="157"/>
  <c r="AZ111" i="157"/>
  <c r="AL121" i="157"/>
  <c r="CW154" i="157"/>
  <c r="CV154" i="157"/>
  <c r="CV153" i="157"/>
  <c r="CW153" i="157"/>
  <c r="CG119" i="157"/>
  <c r="CH119" i="157"/>
  <c r="CI119" i="157"/>
  <c r="CJ119" i="157"/>
  <c r="CF119" i="157"/>
  <c r="CW148" i="157"/>
  <c r="CV148" i="157"/>
  <c r="CF137" i="157"/>
  <c r="CH125" i="157"/>
  <c r="CH152" i="157" s="1"/>
  <c r="CH127" i="157"/>
  <c r="CH154" i="157" s="1"/>
  <c r="CH126" i="157"/>
  <c r="CH153" i="157" s="1"/>
  <c r="CI128" i="157"/>
  <c r="CI155" i="157" s="1"/>
  <c r="CI127" i="157"/>
  <c r="CI154" i="157" s="1"/>
  <c r="CI126" i="157"/>
  <c r="CI153" i="157"/>
  <c r="CI152" i="157"/>
  <c r="CI148" i="157"/>
  <c r="CG162" i="157"/>
  <c r="CG161" i="157"/>
  <c r="CG160" i="157"/>
  <c r="CG159" i="157"/>
  <c r="CG163" i="157" s="1"/>
  <c r="CI151" i="157"/>
  <c r="CH151" i="157"/>
  <c r="CI150" i="157"/>
  <c r="CH150" i="157"/>
  <c r="CI149" i="157"/>
  <c r="CH149" i="157"/>
  <c r="BU154" i="157"/>
  <c r="BU152" i="157"/>
  <c r="BU151" i="157"/>
  <c r="BU150" i="157"/>
  <c r="BU149" i="157"/>
  <c r="BT149" i="157"/>
  <c r="BU148" i="157"/>
  <c r="BS162" i="157"/>
  <c r="BS161" i="157"/>
  <c r="BS160" i="157"/>
  <c r="BS159" i="157"/>
  <c r="BU153" i="157"/>
  <c r="BT153" i="157"/>
  <c r="BF149" i="157"/>
  <c r="BG149" i="157"/>
  <c r="BG148" i="157"/>
  <c r="BE162" i="157"/>
  <c r="BE161" i="157"/>
  <c r="BE160" i="157"/>
  <c r="BE159" i="157"/>
  <c r="BE163" i="157" s="1"/>
  <c r="BF155" i="157"/>
  <c r="BG155" i="157"/>
  <c r="BG154" i="157"/>
  <c r="BF154" i="157"/>
  <c r="BG153" i="157"/>
  <c r="BF153" i="157"/>
  <c r="BG152" i="157"/>
  <c r="BF152" i="157"/>
  <c r="AM20" i="157"/>
  <c r="AS151" i="157"/>
  <c r="AR151" i="157"/>
  <c r="AS150" i="157"/>
  <c r="AR150" i="157"/>
  <c r="AS149" i="157"/>
  <c r="AR149" i="157"/>
  <c r="AS148" i="157"/>
  <c r="AS152" i="157"/>
  <c r="AR152" i="157"/>
  <c r="AR155" i="157"/>
  <c r="AS155" i="157"/>
  <c r="AR154" i="157"/>
  <c r="AS154" i="157"/>
  <c r="AR153" i="157"/>
  <c r="AS153" i="157"/>
  <c r="AD70" i="157"/>
  <c r="L29" i="157" s="1"/>
  <c r="D26" i="157"/>
  <c r="D15" i="157"/>
  <c r="J142" i="157"/>
  <c r="X136" i="157"/>
  <c r="X142" i="157" s="1"/>
  <c r="J141" i="157"/>
  <c r="X135" i="157"/>
  <c r="X141" i="157" s="1"/>
  <c r="J140" i="157"/>
  <c r="X134" i="157"/>
  <c r="X140" i="157" s="1"/>
  <c r="J139" i="157"/>
  <c r="X133" i="157"/>
  <c r="X139" i="157" s="1"/>
  <c r="J128" i="157"/>
  <c r="X118" i="157"/>
  <c r="X128" i="157" s="1"/>
  <c r="J127" i="157"/>
  <c r="X117" i="157"/>
  <c r="X127" i="157" s="1"/>
  <c r="J126" i="157"/>
  <c r="X116" i="157"/>
  <c r="X126" i="157" s="1"/>
  <c r="J125" i="157"/>
  <c r="X115" i="157"/>
  <c r="X125" i="157" s="1"/>
  <c r="J124" i="157"/>
  <c r="X114" i="157"/>
  <c r="X124" i="157" s="1"/>
  <c r="J123" i="157"/>
  <c r="X113" i="157"/>
  <c r="X123" i="157" s="1"/>
  <c r="J122" i="157"/>
  <c r="X112" i="157"/>
  <c r="X122" i="157" s="1"/>
  <c r="J121" i="157"/>
  <c r="X111" i="157"/>
  <c r="X121" i="157" s="1"/>
  <c r="AB96" i="157"/>
  <c r="AF96" i="157"/>
  <c r="AC96" i="157"/>
  <c r="AD96" i="157"/>
  <c r="AE96" i="157"/>
  <c r="AE102" i="157"/>
  <c r="AD102" i="157"/>
  <c r="AB102" i="157"/>
  <c r="AF102" i="157"/>
  <c r="AF101" i="157"/>
  <c r="AE101" i="157"/>
  <c r="AD100" i="157"/>
  <c r="AE100" i="157"/>
  <c r="AF100" i="157"/>
  <c r="AD99" i="157"/>
  <c r="AE99" i="157"/>
  <c r="AF99" i="157"/>
  <c r="AE98" i="157"/>
  <c r="AD98" i="157"/>
  <c r="AC98" i="157"/>
  <c r="AF98" i="157"/>
  <c r="AC97" i="157"/>
  <c r="AB97" i="157"/>
  <c r="AD97" i="157"/>
  <c r="AF97" i="157"/>
  <c r="AE97" i="157"/>
  <c r="AF95" i="157"/>
  <c r="AE95" i="157"/>
  <c r="AD95" i="157"/>
  <c r="AC95" i="157"/>
  <c r="AB95" i="157"/>
  <c r="AF94" i="157"/>
  <c r="AE94" i="157"/>
  <c r="AD94" i="157"/>
  <c r="AC94" i="157"/>
  <c r="AB94" i="157"/>
  <c r="AF93" i="157"/>
  <c r="AE93" i="157"/>
  <c r="AD93" i="157"/>
  <c r="AB93" i="157"/>
  <c r="AC93" i="157"/>
  <c r="AF92" i="157"/>
  <c r="AE92" i="157"/>
  <c r="AD92" i="157"/>
  <c r="AB92" i="157"/>
  <c r="AC92" i="157"/>
  <c r="AC91" i="157"/>
  <c r="AF91" i="157"/>
  <c r="AE91" i="157"/>
  <c r="AD91" i="157"/>
  <c r="AB91" i="157"/>
  <c r="AF90" i="157"/>
  <c r="AF70" i="157"/>
  <c r="AE90" i="157"/>
  <c r="AE70" i="157"/>
  <c r="AD90" i="157"/>
  <c r="AC70" i="157"/>
  <c r="AB90" i="157"/>
  <c r="AB70" i="157"/>
  <c r="Q69" i="157"/>
  <c r="Q102" i="157" s="1"/>
  <c r="P69" i="157"/>
  <c r="N69" i="157"/>
  <c r="N102" i="157" s="1"/>
  <c r="O69" i="157"/>
  <c r="O102" i="157" s="1"/>
  <c r="R69" i="157"/>
  <c r="R68" i="157"/>
  <c r="O68" i="157"/>
  <c r="N68" i="157"/>
  <c r="P68" i="157"/>
  <c r="Q68" i="157"/>
  <c r="Q67" i="157"/>
  <c r="Q100" i="157" s="1"/>
  <c r="P67" i="157"/>
  <c r="R67" i="157"/>
  <c r="N67" i="157"/>
  <c r="N100" i="157" s="1"/>
  <c r="O67" i="157"/>
  <c r="R66" i="157"/>
  <c r="P66" i="157"/>
  <c r="P99" i="157" s="1"/>
  <c r="N66" i="157"/>
  <c r="O66" i="157"/>
  <c r="Q66" i="157"/>
  <c r="R65" i="157"/>
  <c r="P65" i="157"/>
  <c r="P98" i="157" s="1"/>
  <c r="O65" i="157"/>
  <c r="O98" i="157" s="1"/>
  <c r="Q65" i="157"/>
  <c r="Q98" i="157" s="1"/>
  <c r="N65" i="157"/>
  <c r="R64" i="157"/>
  <c r="P64" i="157"/>
  <c r="N64" i="157"/>
  <c r="N97" i="157" s="1"/>
  <c r="O64" i="157"/>
  <c r="Q64" i="157"/>
  <c r="Q97" i="157" s="1"/>
  <c r="Q63" i="157"/>
  <c r="Q96" i="157" s="1"/>
  <c r="O63" i="157"/>
  <c r="O96" i="157" s="1"/>
  <c r="N63" i="157"/>
  <c r="N96" i="157" s="1"/>
  <c r="P63" i="157"/>
  <c r="P96" i="157" s="1"/>
  <c r="R63" i="157"/>
  <c r="P62" i="157"/>
  <c r="O62" i="157"/>
  <c r="R62" i="157"/>
  <c r="N62" i="157"/>
  <c r="N95" i="157" s="1"/>
  <c r="Q62" i="157"/>
  <c r="Q95" i="157" s="1"/>
  <c r="O61" i="157"/>
  <c r="Q61" i="157"/>
  <c r="Q94" i="157" s="1"/>
  <c r="R61" i="157"/>
  <c r="N61" i="157"/>
  <c r="N94" i="157" s="1"/>
  <c r="P61" i="157"/>
  <c r="N60" i="157"/>
  <c r="N93" i="157" s="1"/>
  <c r="O60" i="157"/>
  <c r="Q60" i="157"/>
  <c r="Q93" i="157" s="1"/>
  <c r="R60" i="157"/>
  <c r="P60" i="157"/>
  <c r="N59" i="157"/>
  <c r="N92" i="157" s="1"/>
  <c r="O59" i="157"/>
  <c r="Q59" i="157"/>
  <c r="Q92" i="157" s="1"/>
  <c r="R59" i="157"/>
  <c r="P59" i="157"/>
  <c r="N58" i="157"/>
  <c r="N91" i="157" s="1"/>
  <c r="R58" i="157"/>
  <c r="Q58" i="157"/>
  <c r="Q91" i="157" s="1"/>
  <c r="P58" i="157"/>
  <c r="O58" i="157"/>
  <c r="R57" i="157"/>
  <c r="Q57" i="157"/>
  <c r="Q90" i="157" s="1"/>
  <c r="P57" i="157"/>
  <c r="O57" i="157"/>
  <c r="G70" i="157"/>
  <c r="T16" i="162"/>
  <c r="CV156" i="157" l="1"/>
  <c r="BS163" i="157"/>
  <c r="BU156" i="157"/>
  <c r="CH156" i="157"/>
  <c r="AG20" i="157"/>
  <c r="AO7" i="157"/>
  <c r="AH7" i="157" s="1"/>
  <c r="AI7" i="157" s="1"/>
  <c r="AI13" i="157"/>
  <c r="AI63" i="157"/>
  <c r="AI18" i="157"/>
  <c r="AI68" i="157"/>
  <c r="BT156" i="157"/>
  <c r="AI16" i="157"/>
  <c r="AI66" i="157"/>
  <c r="AI19" i="157"/>
  <c r="AI69" i="157"/>
  <c r="AI10" i="157"/>
  <c r="AI60" i="157"/>
  <c r="CW156" i="157"/>
  <c r="AR156" i="157"/>
  <c r="AS156" i="157"/>
  <c r="BN136" i="157"/>
  <c r="AZ142" i="157"/>
  <c r="BN135" i="157"/>
  <c r="AZ141" i="157"/>
  <c r="BN134" i="157"/>
  <c r="AZ140" i="157"/>
  <c r="BN133" i="157"/>
  <c r="AZ139" i="157"/>
  <c r="BN118" i="157"/>
  <c r="AZ128" i="157"/>
  <c r="BN117" i="157"/>
  <c r="AZ127" i="157"/>
  <c r="BN116" i="157"/>
  <c r="AZ126" i="157"/>
  <c r="BN115" i="157"/>
  <c r="AZ125" i="157"/>
  <c r="BN114" i="157"/>
  <c r="AZ124" i="157"/>
  <c r="BN113" i="157"/>
  <c r="AZ123" i="157"/>
  <c r="BN112" i="157"/>
  <c r="AZ122" i="157"/>
  <c r="BN111" i="157"/>
  <c r="AZ121" i="157"/>
  <c r="BG156" i="157"/>
  <c r="AI8" i="157"/>
  <c r="AI58" i="157"/>
  <c r="AI11" i="157"/>
  <c r="AI61" i="157"/>
  <c r="AI14" i="157"/>
  <c r="AI64" i="157"/>
  <c r="AI17" i="157"/>
  <c r="AI67" i="157"/>
  <c r="AI9" i="157"/>
  <c r="AI59" i="157"/>
  <c r="AI12" i="157"/>
  <c r="AI62" i="157"/>
  <c r="AI15" i="157"/>
  <c r="AJ15" i="157" s="1"/>
  <c r="AK15" i="157" s="1"/>
  <c r="AL15" i="157" s="1"/>
  <c r="CM65" i="157" s="1"/>
  <c r="AI65" i="157"/>
  <c r="CI156" i="157"/>
  <c r="AW65" i="157"/>
  <c r="BF156" i="157"/>
  <c r="AP65" i="157"/>
  <c r="AT65" i="157"/>
  <c r="AI57" i="157"/>
  <c r="AH20" i="157"/>
  <c r="L27" i="157"/>
  <c r="L28" i="157"/>
  <c r="L26" i="157"/>
  <c r="L24" i="157"/>
  <c r="L25" i="157"/>
  <c r="L23" i="157"/>
  <c r="L31" i="157"/>
  <c r="L22" i="157"/>
  <c r="L30" i="157"/>
  <c r="AC103" i="157"/>
  <c r="AC104" i="157" s="1"/>
  <c r="S11" i="157" s="1"/>
  <c r="AF103" i="157"/>
  <c r="AF104" i="157" s="1"/>
  <c r="S36" i="157" s="1"/>
  <c r="AE103" i="157"/>
  <c r="AE104" i="157" s="1"/>
  <c r="S33" i="157" s="1"/>
  <c r="AD103" i="157"/>
  <c r="AD104" i="157" s="1"/>
  <c r="S22" i="157" s="1"/>
  <c r="L47" i="157"/>
  <c r="L46" i="157"/>
  <c r="L45" i="157"/>
  <c r="L44" i="157"/>
  <c r="L43" i="157"/>
  <c r="L42" i="157"/>
  <c r="L36" i="157"/>
  <c r="L37" i="157"/>
  <c r="L40" i="157"/>
  <c r="L38" i="157"/>
  <c r="L39" i="157"/>
  <c r="L41" i="157"/>
  <c r="L34" i="157"/>
  <c r="L33" i="157"/>
  <c r="L20" i="157"/>
  <c r="L19" i="157"/>
  <c r="L18" i="157"/>
  <c r="L17" i="157"/>
  <c r="L16" i="157"/>
  <c r="L15" i="157"/>
  <c r="L14" i="157"/>
  <c r="L12" i="157"/>
  <c r="L11" i="157"/>
  <c r="L13" i="157"/>
  <c r="L7" i="157"/>
  <c r="L9" i="157"/>
  <c r="L8" i="157"/>
  <c r="N101" i="157"/>
  <c r="N99" i="157"/>
  <c r="N98" i="157"/>
  <c r="N103" i="157" s="1"/>
  <c r="N104" i="157" s="1"/>
  <c r="M7" i="157" s="1"/>
  <c r="AB103" i="157"/>
  <c r="AB104" i="157" s="1"/>
  <c r="S7" i="157" s="1"/>
  <c r="R102" i="157"/>
  <c r="R101" i="157"/>
  <c r="R100" i="157"/>
  <c r="R99" i="157"/>
  <c r="R98" i="157"/>
  <c r="R97" i="157"/>
  <c r="R96" i="157"/>
  <c r="R95" i="157"/>
  <c r="R94" i="157"/>
  <c r="R93" i="157"/>
  <c r="R92" i="157"/>
  <c r="R91" i="157"/>
  <c r="R90" i="157"/>
  <c r="H57" i="157"/>
  <c r="AF71" i="157"/>
  <c r="AF72" i="157"/>
  <c r="AE71" i="157"/>
  <c r="AE72" i="157"/>
  <c r="AD71" i="157"/>
  <c r="AD72" i="157"/>
  <c r="AC71" i="157"/>
  <c r="AC72" i="157"/>
  <c r="AB71" i="157"/>
  <c r="AB72" i="157"/>
  <c r="P102" i="157"/>
  <c r="P101" i="157"/>
  <c r="Q101" i="157"/>
  <c r="P100" i="157"/>
  <c r="Q99" i="157"/>
  <c r="P97" i="157"/>
  <c r="P95" i="157"/>
  <c r="P94" i="157"/>
  <c r="P93" i="157"/>
  <c r="P92" i="157"/>
  <c r="P91" i="157"/>
  <c r="P90" i="157"/>
  <c r="O101" i="157"/>
  <c r="O100" i="157"/>
  <c r="O99" i="157"/>
  <c r="O97" i="157"/>
  <c r="O95" i="157"/>
  <c r="O94" i="157"/>
  <c r="O93" i="157"/>
  <c r="O92" i="157"/>
  <c r="O91" i="157"/>
  <c r="O90" i="157"/>
  <c r="Q125" i="157"/>
  <c r="Q128" i="157"/>
  <c r="Q127" i="157"/>
  <c r="Q123" i="157"/>
  <c r="Q122" i="157"/>
  <c r="Q124" i="157"/>
  <c r="Q121" i="157"/>
  <c r="Q126" i="157"/>
  <c r="Q70" i="157"/>
  <c r="O70" i="157"/>
  <c r="N70" i="157"/>
  <c r="R70" i="157"/>
  <c r="P70" i="157"/>
  <c r="H70" i="157"/>
  <c r="H69" i="157"/>
  <c r="H68" i="157"/>
  <c r="H67" i="157"/>
  <c r="H66" i="157"/>
  <c r="H58" i="157"/>
  <c r="H65" i="157"/>
  <c r="H64" i="157"/>
  <c r="H63" i="157"/>
  <c r="H62" i="157"/>
  <c r="H61" i="157"/>
  <c r="H60" i="157"/>
  <c r="H59" i="157"/>
  <c r="C5" i="162"/>
  <c r="B5" i="162"/>
  <c r="T17" i="162"/>
  <c r="T15" i="162"/>
  <c r="T14" i="162"/>
  <c r="T13" i="162"/>
  <c r="T12" i="162"/>
  <c r="T11" i="162"/>
  <c r="T10" i="162"/>
  <c r="T9" i="162"/>
  <c r="T8" i="162"/>
  <c r="T7" i="162"/>
  <c r="T6" i="162"/>
  <c r="AR65" i="157" l="1"/>
  <c r="AR98" i="157" s="1"/>
  <c r="AS65" i="157"/>
  <c r="AS98" i="157" s="1"/>
  <c r="AP98" i="157"/>
  <c r="AT98" i="157"/>
  <c r="AJ12" i="157"/>
  <c r="AK12" i="157" s="1"/>
  <c r="AL12" i="157" s="1"/>
  <c r="CM62" i="157" s="1"/>
  <c r="AW62" i="157"/>
  <c r="AJ7" i="157"/>
  <c r="AK7" i="157" s="1"/>
  <c r="AL7" i="157" s="1"/>
  <c r="CM57" i="157" s="1"/>
  <c r="AW57" i="157"/>
  <c r="AJ13" i="157"/>
  <c r="AK13" i="157" s="1"/>
  <c r="AL13" i="157" s="1"/>
  <c r="CM63" i="157" s="1"/>
  <c r="AW63" i="157"/>
  <c r="AJ18" i="157"/>
  <c r="AK18" i="157" s="1"/>
  <c r="AL18" i="157" s="1"/>
  <c r="CM68" i="157" s="1"/>
  <c r="AW68" i="157"/>
  <c r="AJ16" i="157"/>
  <c r="AK16" i="157" s="1"/>
  <c r="AL16" i="157" s="1"/>
  <c r="CM66" i="157" s="1"/>
  <c r="AW66" i="157"/>
  <c r="AJ17" i="157"/>
  <c r="AK17" i="157" s="1"/>
  <c r="AL17" i="157" s="1"/>
  <c r="CM67" i="157" s="1"/>
  <c r="AW67" i="157"/>
  <c r="BH67" i="157" s="1"/>
  <c r="AJ9" i="157"/>
  <c r="AW59" i="157"/>
  <c r="AT63" i="157"/>
  <c r="AT96" i="157" s="1"/>
  <c r="AS63" i="157"/>
  <c r="AS96" i="157" s="1"/>
  <c r="AJ63" i="157"/>
  <c r="AP63" i="157"/>
  <c r="AP96" i="157" s="1"/>
  <c r="AR63" i="157"/>
  <c r="AR96" i="157" s="1"/>
  <c r="AQ63" i="157"/>
  <c r="AQ96" i="157" s="1"/>
  <c r="AP68" i="157"/>
  <c r="AS68" i="157"/>
  <c r="AJ68" i="157"/>
  <c r="AT68" i="157"/>
  <c r="AR68" i="157"/>
  <c r="AQ68" i="157"/>
  <c r="AJ19" i="157"/>
  <c r="AW69" i="157"/>
  <c r="AJ10" i="157"/>
  <c r="AW60" i="157"/>
  <c r="AJ8" i="157"/>
  <c r="AW58" i="157"/>
  <c r="AJ11" i="157"/>
  <c r="AW61" i="157"/>
  <c r="AJ14" i="157"/>
  <c r="AW64" i="157"/>
  <c r="AQ65" i="157"/>
  <c r="AQ98" i="157" s="1"/>
  <c r="AJ65" i="157"/>
  <c r="AT66" i="157"/>
  <c r="AS66" i="157"/>
  <c r="AR66" i="157"/>
  <c r="AR99" i="157" s="1"/>
  <c r="AQ66" i="157"/>
  <c r="AP66" i="157"/>
  <c r="AJ66" i="157"/>
  <c r="AP69" i="157"/>
  <c r="AP102" i="157" s="1"/>
  <c r="AT69" i="157"/>
  <c r="AS69" i="157"/>
  <c r="AS102" i="157" s="1"/>
  <c r="AR69" i="157"/>
  <c r="AQ69" i="157"/>
  <c r="AQ102" i="157" s="1"/>
  <c r="AJ69" i="157"/>
  <c r="AP60" i="157"/>
  <c r="AP93" i="157" s="1"/>
  <c r="AT60" i="157"/>
  <c r="AS60" i="157"/>
  <c r="AS93" i="157" s="1"/>
  <c r="AR60" i="157"/>
  <c r="AQ60" i="157"/>
  <c r="AJ60" i="157"/>
  <c r="CB136" i="157"/>
  <c r="BN142" i="157"/>
  <c r="CB135" i="157"/>
  <c r="BN141" i="157"/>
  <c r="CB134" i="157"/>
  <c r="BN140" i="157"/>
  <c r="CB133" i="157"/>
  <c r="BN139" i="157"/>
  <c r="CB118" i="157"/>
  <c r="BN128" i="157"/>
  <c r="CB117" i="157"/>
  <c r="BN127" i="157"/>
  <c r="CB116" i="157"/>
  <c r="BN126" i="157"/>
  <c r="CB115" i="157"/>
  <c r="BN125" i="157"/>
  <c r="CB114" i="157"/>
  <c r="BN124" i="157"/>
  <c r="CB113" i="157"/>
  <c r="BN123" i="157"/>
  <c r="CB112" i="157"/>
  <c r="BN122" i="157"/>
  <c r="CB111" i="157"/>
  <c r="BN121" i="157"/>
  <c r="CN65" i="157"/>
  <c r="CU65" i="157"/>
  <c r="CU98" i="157" s="1"/>
  <c r="CX65" i="157"/>
  <c r="CW65" i="157"/>
  <c r="CW98" i="157" s="1"/>
  <c r="CV65" i="157"/>
  <c r="CV98" i="157" s="1"/>
  <c r="CT65" i="157"/>
  <c r="AP58" i="157"/>
  <c r="AP91" i="157" s="1"/>
  <c r="AT58" i="157"/>
  <c r="AS58" i="157"/>
  <c r="AS91" i="157" s="1"/>
  <c r="AR58" i="157"/>
  <c r="AQ58" i="157"/>
  <c r="AJ58" i="157"/>
  <c r="AP61" i="157"/>
  <c r="AP94" i="157" s="1"/>
  <c r="AT61" i="157"/>
  <c r="AS61" i="157"/>
  <c r="AS94" i="157" s="1"/>
  <c r="AR61" i="157"/>
  <c r="AQ61" i="157"/>
  <c r="AJ61" i="157"/>
  <c r="AJ64" i="157"/>
  <c r="AP64" i="157"/>
  <c r="AP97" i="157" s="1"/>
  <c r="AQ64" i="157"/>
  <c r="AR64" i="157"/>
  <c r="AS64" i="157"/>
  <c r="AS97" i="157" s="1"/>
  <c r="AT64" i="157"/>
  <c r="AJ67" i="157"/>
  <c r="AP67" i="157"/>
  <c r="AP100" i="157" s="1"/>
  <c r="AT67" i="157"/>
  <c r="AS67" i="157"/>
  <c r="AS100" i="157" s="1"/>
  <c r="AR67" i="157"/>
  <c r="AQ67" i="157"/>
  <c r="AJ59" i="157"/>
  <c r="AQ59" i="157"/>
  <c r="AR59" i="157"/>
  <c r="AS59" i="157"/>
  <c r="AS92" i="157" s="1"/>
  <c r="AT59" i="157"/>
  <c r="AP59" i="157"/>
  <c r="AP92" i="157" s="1"/>
  <c r="AS62" i="157"/>
  <c r="AS95" i="157" s="1"/>
  <c r="AR62" i="157"/>
  <c r="AQ62" i="157"/>
  <c r="AP62" i="157"/>
  <c r="AP95" i="157" s="1"/>
  <c r="AJ62" i="157"/>
  <c r="AT62" i="157"/>
  <c r="BK62" i="157"/>
  <c r="BK63" i="157"/>
  <c r="BK65" i="157"/>
  <c r="BK66" i="157"/>
  <c r="BK67" i="157"/>
  <c r="BK68" i="157"/>
  <c r="BH65" i="157"/>
  <c r="BG65" i="157"/>
  <c r="BG98" i="157" s="1"/>
  <c r="BF65" i="157"/>
  <c r="BF98" i="157" s="1"/>
  <c r="BE65" i="157"/>
  <c r="BE98" i="157" s="1"/>
  <c r="BD65" i="157"/>
  <c r="AX65" i="157"/>
  <c r="AQ57" i="157"/>
  <c r="AR57" i="157"/>
  <c r="AS57" i="157"/>
  <c r="AT57" i="157"/>
  <c r="AP57" i="157"/>
  <c r="AI70" i="157"/>
  <c r="AJ70" i="157" s="1"/>
  <c r="AJ57" i="157"/>
  <c r="AI20" i="157"/>
  <c r="BY57" i="157"/>
  <c r="AC7" i="157"/>
  <c r="AD7" i="157" s="1"/>
  <c r="AC29" i="157"/>
  <c r="AD29" i="157" s="1"/>
  <c r="P103" i="157"/>
  <c r="P104" i="157" s="1"/>
  <c r="M22" i="157" s="1"/>
  <c r="AC31" i="157"/>
  <c r="AD31" i="157" s="1"/>
  <c r="Q103" i="157"/>
  <c r="Q104" i="157" s="1"/>
  <c r="M33" i="157" s="1"/>
  <c r="R103" i="157"/>
  <c r="R104" i="157" s="1"/>
  <c r="M36" i="157" s="1"/>
  <c r="F9" i="157"/>
  <c r="F8" i="157"/>
  <c r="AC18" i="157"/>
  <c r="AD18" i="157" s="1"/>
  <c r="AC45" i="157"/>
  <c r="AD45" i="157" s="1"/>
  <c r="F20" i="157"/>
  <c r="F19" i="157"/>
  <c r="F18" i="157"/>
  <c r="F17" i="157"/>
  <c r="F16" i="157"/>
  <c r="F15" i="157"/>
  <c r="F13" i="157"/>
  <c r="F11" i="157"/>
  <c r="F47" i="157"/>
  <c r="F46" i="157"/>
  <c r="F45" i="157"/>
  <c r="F44" i="157"/>
  <c r="F43" i="157"/>
  <c r="F42" i="157"/>
  <c r="F41" i="157"/>
  <c r="F39" i="157"/>
  <c r="F38" i="157"/>
  <c r="F37" i="157"/>
  <c r="F36" i="157"/>
  <c r="F40" i="157"/>
  <c r="F23" i="157"/>
  <c r="F22" i="157"/>
  <c r="F34" i="157"/>
  <c r="F33" i="157"/>
  <c r="F14" i="157"/>
  <c r="F12" i="157"/>
  <c r="F29" i="157"/>
  <c r="F28" i="157"/>
  <c r="F27" i="157"/>
  <c r="F26" i="157"/>
  <c r="F25" i="157"/>
  <c r="F24" i="157"/>
  <c r="F31" i="157"/>
  <c r="F30" i="157"/>
  <c r="O103" i="157"/>
  <c r="O104" i="157" s="1"/>
  <c r="M11" i="157" s="1"/>
  <c r="P72" i="157"/>
  <c r="P71" i="157"/>
  <c r="Q72" i="157"/>
  <c r="Q71" i="157"/>
  <c r="O72" i="157"/>
  <c r="O71" i="157"/>
  <c r="N72" i="157"/>
  <c r="N71" i="157"/>
  <c r="R72" i="157"/>
  <c r="R71" i="157"/>
  <c r="E18" i="162"/>
  <c r="N18" i="162"/>
  <c r="AF24" i="162"/>
  <c r="AG24" i="162" s="1"/>
  <c r="AG23" i="162"/>
  <c r="AF22" i="162"/>
  <c r="AG22" i="162" s="1"/>
  <c r="AG21" i="162"/>
  <c r="AG20" i="162"/>
  <c r="AG19" i="162"/>
  <c r="AG18" i="162"/>
  <c r="AG17" i="162"/>
  <c r="AG16" i="162"/>
  <c r="AG15" i="162"/>
  <c r="AG14" i="162"/>
  <c r="AG13" i="162"/>
  <c r="AG12" i="162"/>
  <c r="AG11" i="162"/>
  <c r="AG10" i="162"/>
  <c r="AG9" i="162"/>
  <c r="AG8" i="162"/>
  <c r="AG7" i="162"/>
  <c r="AG6" i="162"/>
  <c r="AG5" i="162"/>
  <c r="U60" i="160"/>
  <c r="U59" i="160"/>
  <c r="G52" i="160"/>
  <c r="L136" i="157" s="1"/>
  <c r="U48" i="160"/>
  <c r="G45" i="160"/>
  <c r="U41" i="160"/>
  <c r="G34" i="160"/>
  <c r="U30" i="160"/>
  <c r="G27" i="160"/>
  <c r="U23" i="160"/>
  <c r="G16" i="160"/>
  <c r="U15" i="160"/>
  <c r="U14" i="160"/>
  <c r="U12" i="160"/>
  <c r="G5" i="160"/>
  <c r="D132" i="161"/>
  <c r="C132" i="161"/>
  <c r="B132" i="161"/>
  <c r="U120" i="161"/>
  <c r="AA19" i="162" s="1"/>
  <c r="U115" i="161"/>
  <c r="AW115" i="161" s="1"/>
  <c r="U110" i="161"/>
  <c r="AC109" i="161"/>
  <c r="G107" i="161"/>
  <c r="U105" i="161"/>
  <c r="AC104" i="161"/>
  <c r="G102" i="161"/>
  <c r="U100" i="161"/>
  <c r="AC99" i="161"/>
  <c r="G97" i="161"/>
  <c r="U95" i="161"/>
  <c r="AC94" i="161"/>
  <c r="G92" i="161"/>
  <c r="AC89" i="161"/>
  <c r="L118" i="157"/>
  <c r="AC81" i="161"/>
  <c r="G76" i="161"/>
  <c r="AF151" i="161" s="1"/>
  <c r="AN82" i="161" s="1"/>
  <c r="AC73" i="161"/>
  <c r="G68" i="161"/>
  <c r="AC65" i="161"/>
  <c r="G60" i="161"/>
  <c r="AC57" i="161"/>
  <c r="G52" i="161"/>
  <c r="AC49" i="161"/>
  <c r="L113" i="157"/>
  <c r="AC41" i="161"/>
  <c r="G36" i="161"/>
  <c r="AC33" i="161"/>
  <c r="G28" i="161"/>
  <c r="D70" i="160"/>
  <c r="C70" i="160"/>
  <c r="B70" i="160"/>
  <c r="L116" i="157" l="1"/>
  <c r="AF149" i="161"/>
  <c r="AN74" i="161" s="1"/>
  <c r="L115" i="157"/>
  <c r="AF147" i="161"/>
  <c r="AN66" i="161" s="1"/>
  <c r="L114" i="157"/>
  <c r="AF145" i="161"/>
  <c r="AN58" i="161" s="1"/>
  <c r="L112" i="157"/>
  <c r="AF141" i="161"/>
  <c r="AN42" i="161" s="1"/>
  <c r="L111" i="157"/>
  <c r="AF139" i="161"/>
  <c r="AN34" i="161" s="1"/>
  <c r="CU66" i="157"/>
  <c r="CU99" i="157" s="1"/>
  <c r="CT66" i="157"/>
  <c r="CT99" i="157" s="1"/>
  <c r="CU62" i="157"/>
  <c r="CU95" i="157" s="1"/>
  <c r="CT62" i="157"/>
  <c r="CT95" i="157" s="1"/>
  <c r="CV62" i="157"/>
  <c r="CV95" i="157" s="1"/>
  <c r="CX62" i="157"/>
  <c r="CX95" i="157" s="1"/>
  <c r="CW62" i="157"/>
  <c r="CW95" i="157" s="1"/>
  <c r="CN62" i="157"/>
  <c r="BH62" i="157"/>
  <c r="BH95" i="157" s="1"/>
  <c r="BG62" i="157"/>
  <c r="BG95" i="157" s="1"/>
  <c r="BF62" i="157"/>
  <c r="BF95" i="157" s="1"/>
  <c r="BE62" i="157"/>
  <c r="BE95" i="157" s="1"/>
  <c r="BD62" i="157"/>
  <c r="BD95" i="157" s="1"/>
  <c r="AX62" i="157"/>
  <c r="BH63" i="157"/>
  <c r="BH96" i="157" s="1"/>
  <c r="BG63" i="157"/>
  <c r="BG96" i="157" s="1"/>
  <c r="BF63" i="157"/>
  <c r="BF96" i="157" s="1"/>
  <c r="BE63" i="157"/>
  <c r="BE96" i="157" s="1"/>
  <c r="BD63" i="157"/>
  <c r="BD96" i="157" s="1"/>
  <c r="AX63" i="157"/>
  <c r="CV66" i="157"/>
  <c r="CV99" i="157" s="1"/>
  <c r="CX66" i="157"/>
  <c r="CX99" i="157" s="1"/>
  <c r="BH66" i="157"/>
  <c r="BH99" i="157" s="1"/>
  <c r="BG66" i="157"/>
  <c r="BG99" i="157" s="1"/>
  <c r="BF66" i="157"/>
  <c r="BF99" i="157" s="1"/>
  <c r="BE66" i="157"/>
  <c r="BE99" i="157" s="1"/>
  <c r="BD66" i="157"/>
  <c r="BD99" i="157" s="1"/>
  <c r="AX66" i="157"/>
  <c r="CN66" i="157"/>
  <c r="CW66" i="157"/>
  <c r="CW99" i="157" s="1"/>
  <c r="BD57" i="157"/>
  <c r="BD90" i="157" s="1"/>
  <c r="AX57" i="157"/>
  <c r="BH57" i="157"/>
  <c r="BH90" i="157" s="1"/>
  <c r="BG57" i="157"/>
  <c r="BG90" i="157" s="1"/>
  <c r="BF57" i="157"/>
  <c r="BF90" i="157" s="1"/>
  <c r="BE57" i="157"/>
  <c r="BE90" i="157" s="1"/>
  <c r="BH68" i="157"/>
  <c r="BG68" i="157"/>
  <c r="BF68" i="157"/>
  <c r="BE68" i="157"/>
  <c r="BD68" i="157"/>
  <c r="AX68" i="157"/>
  <c r="BF67" i="157"/>
  <c r="BE67" i="157"/>
  <c r="BD67" i="157"/>
  <c r="BD100" i="157" s="1"/>
  <c r="AX67" i="157"/>
  <c r="BG67" i="157"/>
  <c r="BG100" i="157" s="1"/>
  <c r="AP101" i="157"/>
  <c r="AS101" i="157"/>
  <c r="AT101" i="157"/>
  <c r="AR101" i="157"/>
  <c r="AQ101" i="157"/>
  <c r="AT99" i="157"/>
  <c r="AS99" i="157"/>
  <c r="AQ99" i="157"/>
  <c r="AP99" i="157"/>
  <c r="AT102" i="157"/>
  <c r="AR102" i="157"/>
  <c r="AT93" i="157"/>
  <c r="AR93" i="157"/>
  <c r="AQ93" i="157"/>
  <c r="CX98" i="157"/>
  <c r="CT98" i="157"/>
  <c r="AT91" i="157"/>
  <c r="AR91" i="157"/>
  <c r="AQ91" i="157"/>
  <c r="AT94" i="157"/>
  <c r="AR94" i="157"/>
  <c r="AQ94" i="157"/>
  <c r="AQ97" i="157"/>
  <c r="AR97" i="157"/>
  <c r="AT97" i="157"/>
  <c r="AT100" i="157"/>
  <c r="AR100" i="157"/>
  <c r="AQ100" i="157"/>
  <c r="AQ92" i="157"/>
  <c r="AR92" i="157"/>
  <c r="AT92" i="157"/>
  <c r="AR95" i="157"/>
  <c r="G27" i="157"/>
  <c r="AQ95" i="157"/>
  <c r="AT95" i="157"/>
  <c r="BH98" i="157"/>
  <c r="BD98" i="157"/>
  <c r="BH100" i="157"/>
  <c r="CV67" i="157"/>
  <c r="CX67" i="157"/>
  <c r="CN67" i="157"/>
  <c r="CU67" i="157"/>
  <c r="CW67" i="157"/>
  <c r="CW100" i="157" s="1"/>
  <c r="CT67" i="157"/>
  <c r="CT100" i="157" s="1"/>
  <c r="AK9" i="157"/>
  <c r="AL9" i="157" s="1"/>
  <c r="CM59" i="157" s="1"/>
  <c r="BK59" i="157"/>
  <c r="BG59" i="157"/>
  <c r="BG92" i="157" s="1"/>
  <c r="BE59" i="157"/>
  <c r="AX59" i="157"/>
  <c r="BH59" i="157"/>
  <c r="BF59" i="157"/>
  <c r="BD59" i="157"/>
  <c r="BD92" i="157" s="1"/>
  <c r="CN57" i="157"/>
  <c r="CU57" i="157"/>
  <c r="CX57" i="157"/>
  <c r="CV57" i="157"/>
  <c r="CT57" i="157"/>
  <c r="CT90" i="157" s="1"/>
  <c r="CW57" i="157"/>
  <c r="CW90" i="157" s="1"/>
  <c r="CW63" i="157"/>
  <c r="CW96" i="157" s="1"/>
  <c r="CN63" i="157"/>
  <c r="CT63" i="157"/>
  <c r="CT96" i="157" s="1"/>
  <c r="CV63" i="157"/>
  <c r="CX63" i="157"/>
  <c r="CU63" i="157"/>
  <c r="CN68" i="157"/>
  <c r="CT68" i="157"/>
  <c r="CU68" i="157"/>
  <c r="CV68" i="157"/>
  <c r="CW68" i="157"/>
  <c r="CX68" i="157"/>
  <c r="AK19" i="157"/>
  <c r="BK69" i="157"/>
  <c r="AK10" i="157"/>
  <c r="BK60" i="157"/>
  <c r="AW70" i="157"/>
  <c r="AX70" i="157" s="1"/>
  <c r="AX69" i="157"/>
  <c r="BH69" i="157"/>
  <c r="BG69" i="157"/>
  <c r="BG102" i="157" s="1"/>
  <c r="BF69" i="157"/>
  <c r="BE69" i="157"/>
  <c r="BE102" i="157" s="1"/>
  <c r="BD69" i="157"/>
  <c r="BD102" i="157" s="1"/>
  <c r="AX60" i="157"/>
  <c r="BE60" i="157"/>
  <c r="BF60" i="157"/>
  <c r="BG60" i="157"/>
  <c r="BG93" i="157" s="1"/>
  <c r="BH60" i="157"/>
  <c r="BD60" i="157"/>
  <c r="BD93" i="157" s="1"/>
  <c r="AK8" i="157"/>
  <c r="BK58" i="157"/>
  <c r="BD58" i="157"/>
  <c r="AX58" i="157"/>
  <c r="BH58" i="157"/>
  <c r="BG58" i="157"/>
  <c r="BF58" i="157"/>
  <c r="BE58" i="157"/>
  <c r="AK11" i="157"/>
  <c r="BK61" i="157"/>
  <c r="BH61" i="157"/>
  <c r="BG61" i="157"/>
  <c r="BG94" i="157" s="1"/>
  <c r="BF61" i="157"/>
  <c r="BE61" i="157"/>
  <c r="AX61" i="157"/>
  <c r="BD61" i="157"/>
  <c r="BD94" i="157" s="1"/>
  <c r="AK14" i="157"/>
  <c r="BK64" i="157"/>
  <c r="AX64" i="157"/>
  <c r="BH64" i="157"/>
  <c r="BG64" i="157"/>
  <c r="BG97" i="157" s="1"/>
  <c r="BF64" i="157"/>
  <c r="BE64" i="157"/>
  <c r="BD64" i="157"/>
  <c r="BD97" i="157" s="1"/>
  <c r="CP136" i="157"/>
  <c r="CP142" i="157" s="1"/>
  <c r="CB142" i="157"/>
  <c r="CP135" i="157"/>
  <c r="CP141" i="157" s="1"/>
  <c r="CB141" i="157"/>
  <c r="CP134" i="157"/>
  <c r="CP140" i="157" s="1"/>
  <c r="CB140" i="157"/>
  <c r="CP133" i="157"/>
  <c r="CP139" i="157" s="1"/>
  <c r="CB139" i="157"/>
  <c r="CB128" i="157"/>
  <c r="CP118" i="157"/>
  <c r="CP128" i="157" s="1"/>
  <c r="CB127" i="157"/>
  <c r="CP117" i="157"/>
  <c r="CP127" i="157" s="1"/>
  <c r="CB126" i="157"/>
  <c r="CP116" i="157"/>
  <c r="CP126" i="157" s="1"/>
  <c r="CB125" i="157"/>
  <c r="CP115" i="157"/>
  <c r="CP125" i="157" s="1"/>
  <c r="CP114" i="157"/>
  <c r="CP124" i="157" s="1"/>
  <c r="CB124" i="157"/>
  <c r="CP113" i="157"/>
  <c r="CP123" i="157" s="1"/>
  <c r="CB123" i="157"/>
  <c r="CP112" i="157"/>
  <c r="CP122" i="157" s="1"/>
  <c r="CB122" i="157"/>
  <c r="CP111" i="157"/>
  <c r="CP121" i="157" s="1"/>
  <c r="CB121" i="157"/>
  <c r="BY59" i="157"/>
  <c r="BY62" i="157"/>
  <c r="BY63" i="157"/>
  <c r="BY65" i="157"/>
  <c r="BY66" i="157"/>
  <c r="BY67" i="157"/>
  <c r="BY68" i="157"/>
  <c r="BZ57" i="157"/>
  <c r="CH57" i="157"/>
  <c r="CI57" i="157"/>
  <c r="CF57" i="157"/>
  <c r="CG57" i="157"/>
  <c r="CJ57" i="157"/>
  <c r="BS62" i="157"/>
  <c r="BT62" i="157"/>
  <c r="BR62" i="157"/>
  <c r="BR95" i="157" s="1"/>
  <c r="BL62" i="157"/>
  <c r="BU62" i="157"/>
  <c r="BU95" i="157" s="1"/>
  <c r="BV62" i="157"/>
  <c r="BS63" i="157"/>
  <c r="BS96" i="157" s="1"/>
  <c r="BT63" i="157"/>
  <c r="BT96" i="157" s="1"/>
  <c r="BR63" i="157"/>
  <c r="BR96" i="157" s="1"/>
  <c r="BV63" i="157"/>
  <c r="BV96" i="157" s="1"/>
  <c r="BU63" i="157"/>
  <c r="BU96" i="157" s="1"/>
  <c r="BL63" i="157"/>
  <c r="BU65" i="157"/>
  <c r="BU98" i="157" s="1"/>
  <c r="BS65" i="157"/>
  <c r="BS98" i="157" s="1"/>
  <c r="BV65" i="157"/>
  <c r="BL65" i="157"/>
  <c r="BR65" i="157"/>
  <c r="BT65" i="157"/>
  <c r="BT98" i="157" s="1"/>
  <c r="BT66" i="157"/>
  <c r="BT99" i="157" s="1"/>
  <c r="BS66" i="157"/>
  <c r="BL66" i="157"/>
  <c r="BU66" i="157"/>
  <c r="BR66" i="157"/>
  <c r="BV66" i="157"/>
  <c r="BV67" i="157"/>
  <c r="BU67" i="157"/>
  <c r="BU100" i="157" s="1"/>
  <c r="BT67" i="157"/>
  <c r="BL67" i="157"/>
  <c r="BR67" i="157"/>
  <c r="BR100" i="157" s="1"/>
  <c r="BS67" i="157"/>
  <c r="BR68" i="157"/>
  <c r="BT68" i="157"/>
  <c r="BU68" i="157"/>
  <c r="BV68" i="157"/>
  <c r="BL68" i="157"/>
  <c r="BS68" i="157"/>
  <c r="AJ20" i="157"/>
  <c r="BK57" i="157"/>
  <c r="AQ90" i="157"/>
  <c r="AQ70" i="157"/>
  <c r="AR70" i="157"/>
  <c r="AR90" i="157"/>
  <c r="AS70" i="157"/>
  <c r="AS90" i="157"/>
  <c r="AT90" i="157"/>
  <c r="AT70" i="157"/>
  <c r="AP70" i="157"/>
  <c r="AP90" i="157"/>
  <c r="AA7" i="157"/>
  <c r="AB7" i="157" s="1"/>
  <c r="AA18" i="157"/>
  <c r="AB18" i="157" s="1"/>
  <c r="AA31" i="157"/>
  <c r="AB31" i="157" s="1"/>
  <c r="F48" i="162"/>
  <c r="Q5" i="162" s="1"/>
  <c r="L32" i="162"/>
  <c r="L31" i="162" s="1"/>
  <c r="AB48" i="160"/>
  <c r="AW110" i="161"/>
  <c r="AA45" i="157"/>
  <c r="AB45" i="157" s="1"/>
  <c r="AA29" i="157"/>
  <c r="AB29" i="157" s="1"/>
  <c r="AD155" i="157"/>
  <c r="AE155" i="157"/>
  <c r="AE153" i="157"/>
  <c r="AD153" i="157"/>
  <c r="AD152" i="157"/>
  <c r="AE152" i="157"/>
  <c r="AE151" i="157"/>
  <c r="AD151" i="157"/>
  <c r="AE150" i="157"/>
  <c r="AD150" i="157"/>
  <c r="AE149" i="157"/>
  <c r="AD149" i="157"/>
  <c r="U70" i="157"/>
  <c r="AC162" i="157"/>
  <c r="O162" i="157"/>
  <c r="D46" i="160"/>
  <c r="D53" i="160"/>
  <c r="D28" i="160"/>
  <c r="D35" i="160"/>
  <c r="AA20" i="162"/>
  <c r="D17" i="160"/>
  <c r="D6" i="160"/>
  <c r="AA21" i="162"/>
  <c r="AB41" i="160"/>
  <c r="L135" i="157"/>
  <c r="AB23" i="160"/>
  <c r="L134" i="157"/>
  <c r="AB12" i="160"/>
  <c r="L133" i="157"/>
  <c r="Q155" i="157"/>
  <c r="P155" i="157"/>
  <c r="AW82" i="161"/>
  <c r="L117" i="157"/>
  <c r="Q153" i="157"/>
  <c r="P153" i="157"/>
  <c r="Q152" i="157"/>
  <c r="P152" i="157"/>
  <c r="Q151" i="157"/>
  <c r="P151" i="157"/>
  <c r="Q150" i="157"/>
  <c r="P150" i="157"/>
  <c r="Q149" i="157"/>
  <c r="P149" i="157"/>
  <c r="AB30" i="160"/>
  <c r="AB59" i="160"/>
  <c r="AA25" i="162"/>
  <c r="AA24" i="162"/>
  <c r="AA22" i="162"/>
  <c r="AA23" i="162"/>
  <c r="AW66" i="161"/>
  <c r="AW100" i="161"/>
  <c r="AW74" i="161"/>
  <c r="AW34" i="161"/>
  <c r="AW58" i="161"/>
  <c r="AA17" i="162"/>
  <c r="AW120" i="161"/>
  <c r="AW50" i="161"/>
  <c r="AW90" i="161"/>
  <c r="AA16" i="162"/>
  <c r="AW105" i="161"/>
  <c r="AA15" i="162"/>
  <c r="AW95" i="161"/>
  <c r="AW42" i="161"/>
  <c r="AA18" i="162"/>
  <c r="AA11" i="162"/>
  <c r="AA12" i="162"/>
  <c r="AA14" i="162"/>
  <c r="AA10" i="162"/>
  <c r="AA13" i="162"/>
  <c r="AA6" i="162"/>
  <c r="AA7" i="162"/>
  <c r="AA8" i="162"/>
  <c r="AA9" i="162"/>
  <c r="G11" i="157" l="1"/>
  <c r="G18" i="157"/>
  <c r="G14" i="157"/>
  <c r="G12" i="157"/>
  <c r="G20" i="157"/>
  <c r="G15" i="157"/>
  <c r="G17" i="157"/>
  <c r="G19" i="157"/>
  <c r="G13" i="157"/>
  <c r="G16" i="157"/>
  <c r="G22" i="157"/>
  <c r="G31" i="157"/>
  <c r="G30" i="157"/>
  <c r="G25" i="157"/>
  <c r="G23" i="157"/>
  <c r="G26" i="157"/>
  <c r="G28" i="157"/>
  <c r="G29" i="157"/>
  <c r="G24" i="157"/>
  <c r="G34" i="157"/>
  <c r="G33" i="157"/>
  <c r="G46" i="157"/>
  <c r="G37" i="157"/>
  <c r="G47" i="157"/>
  <c r="G39" i="157"/>
  <c r="G40" i="157"/>
  <c r="G42" i="157"/>
  <c r="G45" i="157"/>
  <c r="G38" i="157"/>
  <c r="G41" i="157"/>
  <c r="G7" i="157"/>
  <c r="G9" i="157"/>
  <c r="G8" i="157"/>
  <c r="AQ103" i="157"/>
  <c r="AQ104" i="157" s="1"/>
  <c r="AR103" i="157"/>
  <c r="AR104" i="157" s="1"/>
  <c r="AS103" i="157"/>
  <c r="AS104" i="157" s="1"/>
  <c r="AT103" i="157"/>
  <c r="AT104" i="157" s="1"/>
  <c r="AP103" i="157"/>
  <c r="AP104" i="157" s="1"/>
  <c r="BH101" i="157"/>
  <c r="BG101" i="157"/>
  <c r="BF101" i="157"/>
  <c r="BE101" i="157"/>
  <c r="BD101" i="157"/>
  <c r="BF100" i="157"/>
  <c r="BE100" i="157"/>
  <c r="CV100" i="157"/>
  <c r="CX100" i="157"/>
  <c r="CU100" i="157"/>
  <c r="BL59" i="157"/>
  <c r="BV59" i="157"/>
  <c r="BS59" i="157"/>
  <c r="BR59" i="157"/>
  <c r="BR92" i="157" s="1"/>
  <c r="BU59" i="157"/>
  <c r="BU92" i="157" s="1"/>
  <c r="BT59" i="157"/>
  <c r="BE92" i="157"/>
  <c r="BH92" i="157"/>
  <c r="BF92" i="157"/>
  <c r="CU90" i="157"/>
  <c r="CX90" i="157"/>
  <c r="CV90" i="157"/>
  <c r="CV96" i="157"/>
  <c r="CX96" i="157"/>
  <c r="CU96" i="157"/>
  <c r="CT101" i="157"/>
  <c r="CU101" i="157"/>
  <c r="CV101" i="157"/>
  <c r="CW101" i="157"/>
  <c r="CX101" i="157"/>
  <c r="BH102" i="157"/>
  <c r="BF102" i="157"/>
  <c r="BE93" i="157"/>
  <c r="BF93" i="157"/>
  <c r="BH93" i="157"/>
  <c r="BH94" i="157"/>
  <c r="BF94" i="157"/>
  <c r="BE94" i="157"/>
  <c r="BH97" i="157"/>
  <c r="BF97" i="157"/>
  <c r="BE97" i="157"/>
  <c r="BS95" i="157"/>
  <c r="BT95" i="157"/>
  <c r="BV95" i="157"/>
  <c r="BV98" i="157"/>
  <c r="BR98" i="157"/>
  <c r="BS99" i="157"/>
  <c r="BU99" i="157"/>
  <c r="BR99" i="157"/>
  <c r="BV99" i="157"/>
  <c r="BV100" i="157"/>
  <c r="BT100" i="157"/>
  <c r="BS100" i="157"/>
  <c r="BR101" i="157"/>
  <c r="BT101" i="157"/>
  <c r="BU101" i="157"/>
  <c r="BV101" i="157"/>
  <c r="BS101" i="157"/>
  <c r="G44" i="157"/>
  <c r="G43" i="157"/>
  <c r="G36" i="157"/>
  <c r="CT59" i="157"/>
  <c r="CT92" i="157" s="1"/>
  <c r="CV59" i="157"/>
  <c r="CX59" i="157"/>
  <c r="CW59" i="157"/>
  <c r="CW92" i="157" s="1"/>
  <c r="CU59" i="157"/>
  <c r="CN59" i="157"/>
  <c r="AL19" i="157"/>
  <c r="CM69" i="157" s="1"/>
  <c r="BY69" i="157"/>
  <c r="BV69" i="157"/>
  <c r="BT69" i="157"/>
  <c r="BS69" i="157"/>
  <c r="BS102" i="157" s="1"/>
  <c r="BR69" i="157"/>
  <c r="BR102" i="157" s="1"/>
  <c r="BU69" i="157"/>
  <c r="BU102" i="157" s="1"/>
  <c r="BL69" i="157"/>
  <c r="AL10" i="157"/>
  <c r="CM60" i="157" s="1"/>
  <c r="BY60" i="157"/>
  <c r="BU60" i="157"/>
  <c r="BU93" i="157" s="1"/>
  <c r="BT60" i="157"/>
  <c r="BS60" i="157"/>
  <c r="BV60" i="157"/>
  <c r="BL60" i="157"/>
  <c r="BR60" i="157"/>
  <c r="BR93" i="157" s="1"/>
  <c r="AL8" i="157"/>
  <c r="CM58" i="157" s="1"/>
  <c r="BY58" i="157"/>
  <c r="AK20" i="157"/>
  <c r="AL11" i="157"/>
  <c r="CM61" i="157" s="1"/>
  <c r="BY61" i="157"/>
  <c r="AL14" i="157"/>
  <c r="CM64" i="157" s="1"/>
  <c r="BY64" i="157"/>
  <c r="BV58" i="157"/>
  <c r="BL58" i="157"/>
  <c r="BU58" i="157"/>
  <c r="BU91" i="157" s="1"/>
  <c r="BR58" i="157"/>
  <c r="BR91" i="157" s="1"/>
  <c r="BS58" i="157"/>
  <c r="BT58" i="157"/>
  <c r="BD91" i="157"/>
  <c r="BD70" i="157"/>
  <c r="H9" i="157" s="1"/>
  <c r="BH91" i="157"/>
  <c r="BH70" i="157"/>
  <c r="BG91" i="157"/>
  <c r="BG70" i="157"/>
  <c r="BF91" i="157"/>
  <c r="BF70" i="157"/>
  <c r="BE91" i="157"/>
  <c r="BE70" i="157"/>
  <c r="BU61" i="157"/>
  <c r="BU94" i="157" s="1"/>
  <c r="BV61" i="157"/>
  <c r="BR61" i="157"/>
  <c r="BR94" i="157" s="1"/>
  <c r="BL61" i="157"/>
  <c r="BT61" i="157"/>
  <c r="BS61" i="157"/>
  <c r="BL64" i="157"/>
  <c r="BU64" i="157"/>
  <c r="BU97" i="157" s="1"/>
  <c r="BS64" i="157"/>
  <c r="BV64" i="157"/>
  <c r="BT64" i="157"/>
  <c r="BR64" i="157"/>
  <c r="BR97" i="157" s="1"/>
  <c r="AL20" i="157"/>
  <c r="BZ59" i="157"/>
  <c r="CF59" i="157"/>
  <c r="CG59" i="157"/>
  <c r="CI59" i="157"/>
  <c r="CI92" i="157" s="1"/>
  <c r="CH59" i="157"/>
  <c r="CJ59" i="157"/>
  <c r="BZ62" i="157"/>
  <c r="CF62" i="157"/>
  <c r="CF95" i="157" s="1"/>
  <c r="CG62" i="157"/>
  <c r="CI62" i="157"/>
  <c r="CI95" i="157" s="1"/>
  <c r="CJ62" i="157"/>
  <c r="CH62" i="157"/>
  <c r="BZ63" i="157"/>
  <c r="CF63" i="157"/>
  <c r="CF96" i="157" s="1"/>
  <c r="CG63" i="157"/>
  <c r="CG96" i="157" s="1"/>
  <c r="CH63" i="157"/>
  <c r="CI63" i="157"/>
  <c r="CI96" i="157" s="1"/>
  <c r="CJ63" i="157"/>
  <c r="CJ96" i="157" s="1"/>
  <c r="BZ65" i="157"/>
  <c r="CF65" i="157"/>
  <c r="CG65" i="157"/>
  <c r="CG98" i="157" s="1"/>
  <c r="CH65" i="157"/>
  <c r="CH98" i="157" s="1"/>
  <c r="CI65" i="157"/>
  <c r="CI98" i="157" s="1"/>
  <c r="CJ65" i="157"/>
  <c r="BZ66" i="157"/>
  <c r="CF66" i="157"/>
  <c r="CG66" i="157"/>
  <c r="CH66" i="157"/>
  <c r="CH99" i="157" s="1"/>
  <c r="CI66" i="157"/>
  <c r="CJ66" i="157"/>
  <c r="BZ67" i="157"/>
  <c r="CF67" i="157"/>
  <c r="CF100" i="157" s="1"/>
  <c r="CG67" i="157"/>
  <c r="CJ67" i="157"/>
  <c r="CH67" i="157"/>
  <c r="CI67" i="157"/>
  <c r="CI100" i="157" s="1"/>
  <c r="BZ68" i="157"/>
  <c r="CF68" i="157"/>
  <c r="CG68" i="157"/>
  <c r="CI68" i="157"/>
  <c r="CJ68" i="157"/>
  <c r="CH68" i="157"/>
  <c r="CH90" i="157"/>
  <c r="CI90" i="157"/>
  <c r="CF90" i="157"/>
  <c r="CG90" i="157"/>
  <c r="CJ90" i="157"/>
  <c r="BK70" i="157"/>
  <c r="BL70" i="157" s="1"/>
  <c r="BU57" i="157"/>
  <c r="BL57" i="157"/>
  <c r="BV57" i="157"/>
  <c r="BR57" i="157"/>
  <c r="BS57" i="157"/>
  <c r="BT57" i="157"/>
  <c r="AQ72" i="157"/>
  <c r="AQ71" i="157"/>
  <c r="AR72" i="157"/>
  <c r="AR71" i="157"/>
  <c r="AS72" i="157"/>
  <c r="AS71" i="157"/>
  <c r="AT72" i="157"/>
  <c r="AT71" i="157"/>
  <c r="AP72" i="157"/>
  <c r="AP71" i="157"/>
  <c r="V70" i="157"/>
  <c r="V58" i="157"/>
  <c r="V59" i="157"/>
  <c r="V60" i="157"/>
  <c r="V61" i="157"/>
  <c r="V62" i="157"/>
  <c r="V63" i="157"/>
  <c r="V64" i="157"/>
  <c r="V65" i="157"/>
  <c r="V66" i="157"/>
  <c r="V67" i="157"/>
  <c r="V69" i="157"/>
  <c r="V57" i="157"/>
  <c r="V68" i="157"/>
  <c r="AB137" i="157"/>
  <c r="AB143" i="157" s="1"/>
  <c r="AF137" i="157"/>
  <c r="AF143" i="157" s="1"/>
  <c r="AD137" i="157"/>
  <c r="AD143" i="157" s="1"/>
  <c r="AE137" i="157"/>
  <c r="AE143" i="157" s="1"/>
  <c r="AC137" i="157"/>
  <c r="AE154" i="157"/>
  <c r="AD154" i="157"/>
  <c r="AE148" i="157"/>
  <c r="AF119" i="157"/>
  <c r="AF129" i="157" s="1"/>
  <c r="AD119" i="157"/>
  <c r="AE119" i="157"/>
  <c r="AB119" i="157"/>
  <c r="AB129" i="157" s="1"/>
  <c r="AC119" i="157"/>
  <c r="AC129" i="157" s="1"/>
  <c r="AD148" i="157"/>
  <c r="AC161" i="157"/>
  <c r="AC160" i="157"/>
  <c r="AC159" i="157"/>
  <c r="O161" i="157"/>
  <c r="O160" i="157"/>
  <c r="O159" i="157"/>
  <c r="R137" i="157"/>
  <c r="R143" i="157" s="1"/>
  <c r="P137" i="157"/>
  <c r="P143" i="157" s="1"/>
  <c r="N137" i="157"/>
  <c r="N143" i="157" s="1"/>
  <c r="Q137" i="157"/>
  <c r="Q143" i="157" s="1"/>
  <c r="O137" i="157"/>
  <c r="Q154" i="157"/>
  <c r="P154" i="157"/>
  <c r="Q148" i="157"/>
  <c r="O119" i="157"/>
  <c r="O129" i="157" s="1"/>
  <c r="P119" i="157"/>
  <c r="N119" i="157"/>
  <c r="N129" i="157" s="1"/>
  <c r="Q119" i="157"/>
  <c r="R119" i="157"/>
  <c r="R129" i="157" s="1"/>
  <c r="P148" i="157"/>
  <c r="AC25" i="162"/>
  <c r="AA28" i="162"/>
  <c r="AC19" i="162"/>
  <c r="D69" i="154"/>
  <c r="D58" i="154"/>
  <c r="D53" i="154"/>
  <c r="D48" i="154"/>
  <c r="D43" i="154"/>
  <c r="D37" i="154"/>
  <c r="D31" i="154"/>
  <c r="D25" i="154"/>
  <c r="D19" i="154"/>
  <c r="D13" i="154"/>
  <c r="D7" i="154"/>
  <c r="D68" i="154"/>
  <c r="C68" i="154"/>
  <c r="C69" i="154"/>
  <c r="B69" i="154"/>
  <c r="B68" i="154"/>
  <c r="H46" i="157" l="1"/>
  <c r="H38" i="157"/>
  <c r="H47" i="157"/>
  <c r="H33" i="157"/>
  <c r="H34" i="157"/>
  <c r="H29" i="157"/>
  <c r="H31" i="157"/>
  <c r="H24" i="157"/>
  <c r="H19" i="157"/>
  <c r="H14" i="157"/>
  <c r="H13" i="157"/>
  <c r="N11" i="157"/>
  <c r="AQ129" i="157"/>
  <c r="AQ164" i="157"/>
  <c r="N22" i="157"/>
  <c r="AR157" i="157"/>
  <c r="AR143" i="157"/>
  <c r="N33" i="157"/>
  <c r="AS157" i="157"/>
  <c r="AS143" i="157"/>
  <c r="N36" i="157"/>
  <c r="AT129" i="157"/>
  <c r="AT143" i="157"/>
  <c r="AT140" i="157" s="1"/>
  <c r="N7" i="157"/>
  <c r="AP129" i="157"/>
  <c r="AP143" i="157"/>
  <c r="H39" i="157"/>
  <c r="H40" i="157"/>
  <c r="H42" i="157"/>
  <c r="H30" i="157"/>
  <c r="H25" i="157"/>
  <c r="H26" i="157"/>
  <c r="H28" i="157"/>
  <c r="H20" i="157"/>
  <c r="H15" i="157"/>
  <c r="H17" i="157"/>
  <c r="CM70" i="157"/>
  <c r="CN70" i="157" s="1"/>
  <c r="CU69" i="157"/>
  <c r="CU102" i="157" s="1"/>
  <c r="CT69" i="157"/>
  <c r="CT102" i="157" s="1"/>
  <c r="CN69" i="157"/>
  <c r="CW60" i="157"/>
  <c r="CW93" i="157" s="1"/>
  <c r="CU60" i="157"/>
  <c r="CU93" i="157" s="1"/>
  <c r="CX60" i="157"/>
  <c r="CX93" i="157" s="1"/>
  <c r="CV60" i="157"/>
  <c r="CV93" i="157" s="1"/>
  <c r="CT60" i="157"/>
  <c r="CT93" i="157" s="1"/>
  <c r="CN60" i="157"/>
  <c r="CT58" i="157"/>
  <c r="CN58" i="157"/>
  <c r="CU58" i="157"/>
  <c r="CX58" i="157"/>
  <c r="CW58" i="157"/>
  <c r="CV58" i="157"/>
  <c r="CT61" i="157"/>
  <c r="CT94" i="157" s="1"/>
  <c r="CV61" i="157"/>
  <c r="CV94" i="157" s="1"/>
  <c r="CN61" i="157"/>
  <c r="CX61" i="157"/>
  <c r="CX94" i="157" s="1"/>
  <c r="CU61" i="157"/>
  <c r="CU94" i="157" s="1"/>
  <c r="CW61" i="157"/>
  <c r="CW94" i="157" s="1"/>
  <c r="BV92" i="157"/>
  <c r="BS92" i="157"/>
  <c r="BT92" i="157"/>
  <c r="BD103" i="157"/>
  <c r="BD104" i="157" s="1"/>
  <c r="BH103" i="157"/>
  <c r="BH104" i="157" s="1"/>
  <c r="BG103" i="157"/>
  <c r="BG104" i="157" s="1"/>
  <c r="O33" i="157" s="1"/>
  <c r="BF103" i="157"/>
  <c r="BF104" i="157" s="1"/>
  <c r="BE103" i="157"/>
  <c r="BE104" i="157" s="1"/>
  <c r="BE164" i="157" s="1"/>
  <c r="CV92" i="157"/>
  <c r="CX92" i="157"/>
  <c r="CU92" i="157"/>
  <c r="BV102" i="157"/>
  <c r="BT102" i="157"/>
  <c r="BT93" i="157"/>
  <c r="BS93" i="157"/>
  <c r="BV93" i="157"/>
  <c r="CF58" i="157"/>
  <c r="CF91" i="157" s="1"/>
  <c r="BY70" i="157"/>
  <c r="BZ70" i="157" s="1"/>
  <c r="BZ58" i="157"/>
  <c r="CI58" i="157"/>
  <c r="CJ58" i="157"/>
  <c r="CH58" i="157"/>
  <c r="CG58" i="157"/>
  <c r="CU64" i="157"/>
  <c r="CW64" i="157"/>
  <c r="CW97" i="157" s="1"/>
  <c r="CX64" i="157"/>
  <c r="CT64" i="157"/>
  <c r="CT97" i="157" s="1"/>
  <c r="CN64" i="157"/>
  <c r="CV64" i="157"/>
  <c r="BV91" i="157"/>
  <c r="BS91" i="157"/>
  <c r="BT91" i="157"/>
  <c r="H7" i="157"/>
  <c r="H8" i="157"/>
  <c r="H43" i="157"/>
  <c r="H41" i="157"/>
  <c r="H36" i="157"/>
  <c r="H44" i="157"/>
  <c r="H45" i="157"/>
  <c r="H37" i="157"/>
  <c r="H27" i="157"/>
  <c r="H22" i="157"/>
  <c r="H23" i="157"/>
  <c r="H11" i="157"/>
  <c r="H18" i="157"/>
  <c r="H12" i="157"/>
  <c r="H16" i="157"/>
  <c r="BV94" i="157"/>
  <c r="BT94" i="157"/>
  <c r="BS94" i="157"/>
  <c r="BS97" i="157"/>
  <c r="BV97" i="157"/>
  <c r="BT97" i="157"/>
  <c r="CG92" i="157"/>
  <c r="CH92" i="157"/>
  <c r="CJ92" i="157"/>
  <c r="CG95" i="157"/>
  <c r="CJ95" i="157"/>
  <c r="CH95" i="157"/>
  <c r="CF98" i="157"/>
  <c r="CJ98" i="157"/>
  <c r="CF99" i="157"/>
  <c r="CG99" i="157"/>
  <c r="CI99" i="157"/>
  <c r="CJ99" i="157"/>
  <c r="CG100" i="157"/>
  <c r="CJ100" i="157"/>
  <c r="CH100" i="157"/>
  <c r="CF101" i="157"/>
  <c r="CG101" i="157"/>
  <c r="CI101" i="157"/>
  <c r="CJ101" i="157"/>
  <c r="CH101" i="157"/>
  <c r="CX69" i="157"/>
  <c r="CV69" i="157"/>
  <c r="CW69" i="157"/>
  <c r="CW102" i="157" s="1"/>
  <c r="BZ69" i="157"/>
  <c r="CG69" i="157"/>
  <c r="CG102" i="157" s="1"/>
  <c r="CH69" i="157"/>
  <c r="CI69" i="157"/>
  <c r="CI102" i="157" s="1"/>
  <c r="CJ69" i="157"/>
  <c r="CF69" i="157"/>
  <c r="CF102" i="157" s="1"/>
  <c r="BZ60" i="157"/>
  <c r="CF60" i="157"/>
  <c r="CJ60" i="157"/>
  <c r="CG60" i="157"/>
  <c r="CH60" i="157"/>
  <c r="CI60" i="157"/>
  <c r="CI93" i="157" s="1"/>
  <c r="BZ61" i="157"/>
  <c r="CF61" i="157"/>
  <c r="CF94" i="157" s="1"/>
  <c r="CG61" i="157"/>
  <c r="CH61" i="157"/>
  <c r="CI61" i="157"/>
  <c r="CI94" i="157" s="1"/>
  <c r="CJ61" i="157"/>
  <c r="CJ94" i="157" s="1"/>
  <c r="BZ64" i="157"/>
  <c r="CF64" i="157"/>
  <c r="CF97" i="157" s="1"/>
  <c r="CG64" i="157"/>
  <c r="CI64" i="157"/>
  <c r="CI97" i="157" s="1"/>
  <c r="CJ64" i="157"/>
  <c r="CH64" i="157"/>
  <c r="BD71" i="157"/>
  <c r="BD72" i="157"/>
  <c r="BH71" i="157"/>
  <c r="BH72" i="157"/>
  <c r="BG71" i="157"/>
  <c r="BG72" i="157"/>
  <c r="BF71" i="157"/>
  <c r="BF72" i="157"/>
  <c r="BE71" i="157"/>
  <c r="BE72" i="157"/>
  <c r="CF92" i="157"/>
  <c r="CH96" i="157"/>
  <c r="BU90" i="157"/>
  <c r="BU103" i="157" s="1"/>
  <c r="BU104" i="157" s="1"/>
  <c r="P33" i="157" s="1"/>
  <c r="BU70" i="157"/>
  <c r="BV90" i="157"/>
  <c r="BV70" i="157"/>
  <c r="BR90" i="157"/>
  <c r="BR103" i="157" s="1"/>
  <c r="BR104" i="157" s="1"/>
  <c r="P7" i="157" s="1"/>
  <c r="BR70" i="157"/>
  <c r="BS90" i="157"/>
  <c r="BS70" i="157"/>
  <c r="BT90" i="157"/>
  <c r="BT70" i="157"/>
  <c r="AC163" i="157"/>
  <c r="AC164" i="157" s="1"/>
  <c r="Q157" i="157"/>
  <c r="AD157" i="157"/>
  <c r="AE157" i="157"/>
  <c r="AE156" i="157"/>
  <c r="AD156" i="157"/>
  <c r="AE142" i="157"/>
  <c r="T56" i="160" s="1"/>
  <c r="AE141" i="157"/>
  <c r="T38" i="160" s="1"/>
  <c r="AE140" i="157"/>
  <c r="T20" i="160" s="1"/>
  <c r="AE139" i="157"/>
  <c r="T9" i="160" s="1"/>
  <c r="AD142" i="157"/>
  <c r="AD140" i="157"/>
  <c r="AD141" i="157"/>
  <c r="AD139" i="157"/>
  <c r="T8" i="160" s="1"/>
  <c r="AB141" i="157"/>
  <c r="T36" i="160" s="1"/>
  <c r="AB140" i="157"/>
  <c r="T18" i="160" s="1"/>
  <c r="AB139" i="157"/>
  <c r="AB142" i="157"/>
  <c r="T54" i="160" s="1"/>
  <c r="AF140" i="157"/>
  <c r="AF142" i="157"/>
  <c r="AF139" i="157"/>
  <c r="AF141" i="157"/>
  <c r="AF125" i="157"/>
  <c r="T64" i="161" s="1"/>
  <c r="AF123" i="157"/>
  <c r="T48" i="161" s="1"/>
  <c r="AF124" i="157"/>
  <c r="T56" i="161" s="1"/>
  <c r="AF121" i="157"/>
  <c r="T32" i="161" s="1"/>
  <c r="AF122" i="157"/>
  <c r="T40" i="161" s="1"/>
  <c r="AF128" i="157"/>
  <c r="T88" i="161" s="1"/>
  <c r="AF127" i="157"/>
  <c r="T80" i="161" s="1"/>
  <c r="AF126" i="157"/>
  <c r="T72" i="161" s="1"/>
  <c r="AC128" i="157"/>
  <c r="T87" i="161" s="1"/>
  <c r="AC127" i="157"/>
  <c r="T79" i="161" s="1"/>
  <c r="AC126" i="157"/>
  <c r="T71" i="161" s="1"/>
  <c r="AC123" i="157"/>
  <c r="T47" i="161" s="1"/>
  <c r="AC121" i="157"/>
  <c r="T31" i="161" s="1"/>
  <c r="AC124" i="157"/>
  <c r="T55" i="161" s="1"/>
  <c r="AC122" i="157"/>
  <c r="T39" i="161" s="1"/>
  <c r="AC125" i="157"/>
  <c r="T63" i="161" s="1"/>
  <c r="AB128" i="157"/>
  <c r="T86" i="161" s="1"/>
  <c r="AB123" i="157"/>
  <c r="T46" i="161" s="1"/>
  <c r="AB121" i="157"/>
  <c r="T30" i="161" s="1"/>
  <c r="AB125" i="157"/>
  <c r="T62" i="161" s="1"/>
  <c r="AB126" i="157"/>
  <c r="T70" i="161" s="1"/>
  <c r="AB124" i="157"/>
  <c r="T54" i="161" s="1"/>
  <c r="AB127" i="157"/>
  <c r="T78" i="161" s="1"/>
  <c r="AB122" i="157"/>
  <c r="T38" i="161" s="1"/>
  <c r="O163" i="157"/>
  <c r="O164" i="157" s="1"/>
  <c r="P157" i="157"/>
  <c r="R142" i="157"/>
  <c r="N57" i="160" s="1"/>
  <c r="R139" i="157"/>
  <c r="R141" i="157"/>
  <c r="R140" i="157"/>
  <c r="P141" i="157"/>
  <c r="P139" i="157"/>
  <c r="P140" i="157"/>
  <c r="P142" i="157"/>
  <c r="N141" i="157"/>
  <c r="N140" i="157"/>
  <c r="N142" i="157"/>
  <c r="N139" i="157"/>
  <c r="Q140" i="157"/>
  <c r="Q141" i="157"/>
  <c r="Q142" i="157"/>
  <c r="Q139" i="157"/>
  <c r="Q156" i="157"/>
  <c r="O125" i="157"/>
  <c r="O128" i="157"/>
  <c r="O121" i="157"/>
  <c r="O126" i="157"/>
  <c r="O123" i="157"/>
  <c r="O127" i="157"/>
  <c r="O124" i="157"/>
  <c r="O122" i="157"/>
  <c r="N121" i="157"/>
  <c r="N148" i="157" s="1"/>
  <c r="N124" i="157"/>
  <c r="N128" i="157"/>
  <c r="N123" i="157"/>
  <c r="N125" i="157"/>
  <c r="N122" i="157"/>
  <c r="N38" i="161" s="1"/>
  <c r="N126" i="157"/>
  <c r="N127" i="157"/>
  <c r="R128" i="157"/>
  <c r="R125" i="157"/>
  <c r="R126" i="157"/>
  <c r="R123" i="157"/>
  <c r="R127" i="157"/>
  <c r="R124" i="157"/>
  <c r="R122" i="157"/>
  <c r="R121" i="157"/>
  <c r="P156" i="157"/>
  <c r="E32" i="155"/>
  <c r="E34" i="155"/>
  <c r="E36" i="155"/>
  <c r="E38" i="155"/>
  <c r="E40" i="155"/>
  <c r="E42" i="155"/>
  <c r="E44" i="155"/>
  <c r="E46" i="155"/>
  <c r="E48" i="155"/>
  <c r="E50" i="155"/>
  <c r="E52" i="155"/>
  <c r="E54" i="155"/>
  <c r="E56" i="155"/>
  <c r="E58" i="155"/>
  <c r="E30" i="155"/>
  <c r="D64" i="155"/>
  <c r="C64" i="155"/>
  <c r="B64" i="155"/>
  <c r="E57" i="155"/>
  <c r="D57" i="155"/>
  <c r="E55" i="155"/>
  <c r="D55" i="155"/>
  <c r="E53" i="155"/>
  <c r="D53" i="155"/>
  <c r="E51" i="155"/>
  <c r="D51" i="155"/>
  <c r="E49" i="155"/>
  <c r="D49" i="155"/>
  <c r="E47" i="155"/>
  <c r="D47" i="155"/>
  <c r="E45" i="155"/>
  <c r="D45" i="155"/>
  <c r="E43" i="155"/>
  <c r="D43" i="155"/>
  <c r="E41" i="155"/>
  <c r="D41" i="155"/>
  <c r="E39" i="155"/>
  <c r="D39" i="155"/>
  <c r="E37" i="155"/>
  <c r="D37" i="155"/>
  <c r="E35" i="155"/>
  <c r="D35" i="155"/>
  <c r="E33" i="155"/>
  <c r="D33" i="155"/>
  <c r="E31" i="155"/>
  <c r="D31" i="155"/>
  <c r="E29" i="155"/>
  <c r="D29" i="155"/>
  <c r="E23" i="155"/>
  <c r="D23" i="155"/>
  <c r="E22" i="155"/>
  <c r="D22" i="155"/>
  <c r="E21" i="155"/>
  <c r="D21" i="155"/>
  <c r="E20" i="155"/>
  <c r="D20" i="155"/>
  <c r="C29" i="155"/>
  <c r="C31" i="155"/>
  <c r="C33" i="155"/>
  <c r="C35" i="155"/>
  <c r="C37" i="155"/>
  <c r="C39" i="155"/>
  <c r="C41" i="155"/>
  <c r="C43" i="155"/>
  <c r="C45" i="155"/>
  <c r="C47" i="155"/>
  <c r="C49" i="155"/>
  <c r="C51" i="155"/>
  <c r="C53" i="155"/>
  <c r="C55" i="155"/>
  <c r="C57" i="155"/>
  <c r="B31" i="155"/>
  <c r="B33" i="155"/>
  <c r="B35" i="155"/>
  <c r="B37" i="155"/>
  <c r="B39" i="155"/>
  <c r="B41" i="155"/>
  <c r="B43" i="155"/>
  <c r="B45" i="155"/>
  <c r="B47" i="155"/>
  <c r="B49" i="155"/>
  <c r="B51" i="155"/>
  <c r="B53" i="155"/>
  <c r="B55" i="155"/>
  <c r="B57" i="155"/>
  <c r="B29" i="155"/>
  <c r="F31" i="155"/>
  <c r="F33" i="155"/>
  <c r="F35" i="155"/>
  <c r="F37" i="155"/>
  <c r="F39" i="155"/>
  <c r="F41" i="155"/>
  <c r="F43" i="155"/>
  <c r="F45" i="155"/>
  <c r="F47" i="155"/>
  <c r="F49" i="155"/>
  <c r="F51" i="155"/>
  <c r="F53" i="155"/>
  <c r="F55" i="155"/>
  <c r="F57" i="155"/>
  <c r="F29" i="155"/>
  <c r="F21" i="155"/>
  <c r="F22" i="155"/>
  <c r="F23" i="155"/>
  <c r="F20" i="155"/>
  <c r="C20" i="155"/>
  <c r="C21" i="155"/>
  <c r="C22" i="155"/>
  <c r="C23" i="155"/>
  <c r="B21" i="155"/>
  <c r="B22" i="155"/>
  <c r="B23" i="155"/>
  <c r="B20" i="155"/>
  <c r="D8" i="155"/>
  <c r="E8" i="155"/>
  <c r="F8" i="155"/>
  <c r="D9" i="155"/>
  <c r="E9" i="155"/>
  <c r="F9" i="155"/>
  <c r="D10" i="155"/>
  <c r="E10" i="155"/>
  <c r="F10" i="155"/>
  <c r="D11" i="155"/>
  <c r="E11" i="155"/>
  <c r="F11" i="155"/>
  <c r="D12" i="155"/>
  <c r="E12" i="155"/>
  <c r="F12" i="155"/>
  <c r="D13" i="155"/>
  <c r="E13" i="155"/>
  <c r="F13" i="155"/>
  <c r="D14" i="155"/>
  <c r="E14" i="155"/>
  <c r="F14" i="155"/>
  <c r="D15" i="155"/>
  <c r="E15" i="155"/>
  <c r="F15" i="155"/>
  <c r="F7" i="155"/>
  <c r="E7" i="155"/>
  <c r="D7" i="155"/>
  <c r="C7" i="155"/>
  <c r="C8" i="155"/>
  <c r="C9" i="155"/>
  <c r="C10" i="155"/>
  <c r="C11" i="155"/>
  <c r="C12" i="155"/>
  <c r="C13" i="155"/>
  <c r="C14" i="155"/>
  <c r="C15" i="155"/>
  <c r="B8" i="155"/>
  <c r="B9" i="155"/>
  <c r="B10" i="155"/>
  <c r="B11" i="155"/>
  <c r="B12" i="155"/>
  <c r="B13" i="155"/>
  <c r="B14" i="155"/>
  <c r="B15" i="155"/>
  <c r="B7" i="155"/>
  <c r="N39" i="161" l="1"/>
  <c r="AS141" i="157"/>
  <c r="AS140" i="157"/>
  <c r="AS160" i="157" s="1"/>
  <c r="AT121" i="157"/>
  <c r="AT126" i="157"/>
  <c r="AT125" i="157"/>
  <c r="AT123" i="157"/>
  <c r="AT122" i="157"/>
  <c r="AT128" i="157"/>
  <c r="AT139" i="157"/>
  <c r="AT142" i="157"/>
  <c r="AT162" i="157" s="1"/>
  <c r="AT141" i="157"/>
  <c r="AT148" i="157"/>
  <c r="O32" i="161"/>
  <c r="AT153" i="157"/>
  <c r="O72" i="161"/>
  <c r="AT152" i="157"/>
  <c r="O64" i="161"/>
  <c r="AT150" i="157"/>
  <c r="O48" i="161"/>
  <c r="AT149" i="157"/>
  <c r="O40" i="161"/>
  <c r="AQ122" i="157"/>
  <c r="AQ126" i="157"/>
  <c r="AQ124" i="157"/>
  <c r="AQ121" i="157"/>
  <c r="AQ127" i="157"/>
  <c r="AQ128" i="157"/>
  <c r="AQ125" i="157"/>
  <c r="AQ123" i="157"/>
  <c r="AR139" i="157"/>
  <c r="AR142" i="157"/>
  <c r="AR141" i="157"/>
  <c r="AR140" i="157"/>
  <c r="AS139" i="157"/>
  <c r="AS142" i="157"/>
  <c r="AT127" i="157"/>
  <c r="AT124" i="157"/>
  <c r="AP126" i="157"/>
  <c r="AP122" i="157"/>
  <c r="AP128" i="157"/>
  <c r="BF157" i="157"/>
  <c r="BF143" i="157"/>
  <c r="O22" i="157"/>
  <c r="CJ70" i="157"/>
  <c r="CH70" i="157"/>
  <c r="AP123" i="157"/>
  <c r="AP124" i="157"/>
  <c r="AP121" i="157"/>
  <c r="AP127" i="157"/>
  <c r="AP125" i="157"/>
  <c r="AP139" i="157"/>
  <c r="AP142" i="157"/>
  <c r="AP141" i="157"/>
  <c r="AP140" i="157"/>
  <c r="CT91" i="157"/>
  <c r="CT103" i="157" s="1"/>
  <c r="CT104" i="157" s="1"/>
  <c r="CT129" i="157" s="1"/>
  <c r="CT70" i="157"/>
  <c r="CU91" i="157"/>
  <c r="CU70" i="157"/>
  <c r="CX91" i="157"/>
  <c r="CX70" i="157"/>
  <c r="CW91" i="157"/>
  <c r="CW103" i="157" s="1"/>
  <c r="CW104" i="157" s="1"/>
  <c r="CW70" i="157"/>
  <c r="CV91" i="157"/>
  <c r="CV70" i="157"/>
  <c r="BE129" i="157"/>
  <c r="O11" i="157"/>
  <c r="CF93" i="157"/>
  <c r="CF103" i="157" s="1"/>
  <c r="CF104" i="157" s="1"/>
  <c r="CF70" i="157"/>
  <c r="CG93" i="157"/>
  <c r="CG70" i="157"/>
  <c r="O20" i="160"/>
  <c r="O57" i="160"/>
  <c r="AT160" i="157"/>
  <c r="O21" i="160"/>
  <c r="BV103" i="157"/>
  <c r="BV104" i="157" s="1"/>
  <c r="BS103" i="157"/>
  <c r="BS104" i="157" s="1"/>
  <c r="BT103" i="157"/>
  <c r="BT104" i="157" s="1"/>
  <c r="CI91" i="157"/>
  <c r="CI103" i="157" s="1"/>
  <c r="CI104" i="157" s="1"/>
  <c r="CI70" i="157"/>
  <c r="CJ91" i="157"/>
  <c r="CH91" i="157"/>
  <c r="CG91" i="157"/>
  <c r="CU97" i="157"/>
  <c r="CX97" i="157"/>
  <c r="CV97" i="157"/>
  <c r="O7" i="157"/>
  <c r="BD129" i="157"/>
  <c r="BD143" i="157"/>
  <c r="O36" i="157"/>
  <c r="BH129" i="157"/>
  <c r="BH143" i="157"/>
  <c r="BG157" i="157"/>
  <c r="BG143" i="157"/>
  <c r="CX102" i="157"/>
  <c r="CV102" i="157"/>
  <c r="CH102" i="157"/>
  <c r="CJ102" i="157"/>
  <c r="CJ93" i="157"/>
  <c r="CH93" i="157"/>
  <c r="CG94" i="157"/>
  <c r="CH94" i="157"/>
  <c r="CG97" i="157"/>
  <c r="CJ97" i="157"/>
  <c r="CH97" i="157"/>
  <c r="I33" i="157"/>
  <c r="I34" i="157"/>
  <c r="I44" i="157"/>
  <c r="I38" i="157"/>
  <c r="I39" i="157"/>
  <c r="I45" i="157"/>
  <c r="I41" i="157"/>
  <c r="I43" i="157"/>
  <c r="I46" i="157"/>
  <c r="I42" i="157"/>
  <c r="I40" i="157"/>
  <c r="I37" i="157"/>
  <c r="I47" i="157"/>
  <c r="I36" i="157"/>
  <c r="I8" i="157"/>
  <c r="I9" i="157"/>
  <c r="I7" i="157"/>
  <c r="I14" i="157"/>
  <c r="I19" i="157"/>
  <c r="I17" i="157"/>
  <c r="I15" i="157"/>
  <c r="I13" i="157"/>
  <c r="I12" i="157"/>
  <c r="I16" i="157"/>
  <c r="I11" i="157"/>
  <c r="I18" i="157"/>
  <c r="I20" i="157"/>
  <c r="I23" i="157"/>
  <c r="I29" i="157"/>
  <c r="I28" i="157"/>
  <c r="I27" i="157"/>
  <c r="I25" i="157"/>
  <c r="I24" i="157"/>
  <c r="I31" i="157"/>
  <c r="I26" i="157"/>
  <c r="I30" i="157"/>
  <c r="I22" i="157"/>
  <c r="BU143" i="157"/>
  <c r="BU157" i="157"/>
  <c r="BU72" i="157"/>
  <c r="BU71" i="157"/>
  <c r="BV72" i="157"/>
  <c r="BV71" i="157"/>
  <c r="BR129" i="157"/>
  <c r="BR143" i="157"/>
  <c r="BR72" i="157"/>
  <c r="BR71" i="157"/>
  <c r="BS72" i="157"/>
  <c r="BS71" i="157"/>
  <c r="BT72" i="157"/>
  <c r="BT71" i="157"/>
  <c r="T19" i="160"/>
  <c r="AD160" i="157"/>
  <c r="AD159" i="157"/>
  <c r="AE161" i="157"/>
  <c r="AE160" i="157"/>
  <c r="AE162" i="157"/>
  <c r="AB160" i="157"/>
  <c r="AB161" i="157"/>
  <c r="AE159" i="157"/>
  <c r="AB148" i="157"/>
  <c r="AC153" i="157"/>
  <c r="AF151" i="157"/>
  <c r="AB159" i="157"/>
  <c r="T7" i="160"/>
  <c r="AB150" i="157"/>
  <c r="AC154" i="157"/>
  <c r="AF150" i="157"/>
  <c r="AB155" i="157"/>
  <c r="AC155" i="157"/>
  <c r="AF152" i="157"/>
  <c r="AB149" i="157"/>
  <c r="AC152" i="157"/>
  <c r="AF153" i="157"/>
  <c r="AF161" i="157"/>
  <c r="T39" i="160"/>
  <c r="AB152" i="157"/>
  <c r="AB154" i="157"/>
  <c r="AC149" i="157"/>
  <c r="AF154" i="157"/>
  <c r="AF159" i="157"/>
  <c r="T10" i="160"/>
  <c r="AD161" i="157"/>
  <c r="T37" i="160"/>
  <c r="AC150" i="157"/>
  <c r="AF155" i="157"/>
  <c r="AF148" i="157"/>
  <c r="AB151" i="157"/>
  <c r="AC151" i="157"/>
  <c r="AF162" i="157"/>
  <c r="T57" i="160"/>
  <c r="AB162" i="157"/>
  <c r="AB153" i="157"/>
  <c r="AC148" i="157"/>
  <c r="AF149" i="157"/>
  <c r="AF160" i="157"/>
  <c r="T21" i="160"/>
  <c r="AD162" i="157"/>
  <c r="T55" i="160"/>
  <c r="R162" i="157"/>
  <c r="N10" i="160"/>
  <c r="R159" i="157"/>
  <c r="N39" i="160"/>
  <c r="R161" i="157"/>
  <c r="N21" i="160"/>
  <c r="R160" i="157"/>
  <c r="N37" i="160"/>
  <c r="P161" i="157"/>
  <c r="N8" i="160"/>
  <c r="P159" i="157"/>
  <c r="N19" i="160"/>
  <c r="P160" i="157"/>
  <c r="N55" i="160"/>
  <c r="P162" i="157"/>
  <c r="N36" i="160"/>
  <c r="N161" i="157"/>
  <c r="N18" i="160"/>
  <c r="N160" i="157"/>
  <c r="N54" i="160"/>
  <c r="N162" i="157"/>
  <c r="N7" i="160"/>
  <c r="N159" i="157"/>
  <c r="N20" i="160"/>
  <c r="Q160" i="157"/>
  <c r="N38" i="160"/>
  <c r="Q161" i="157"/>
  <c r="N56" i="160"/>
  <c r="Q162" i="157"/>
  <c r="N9" i="160"/>
  <c r="Q159" i="157"/>
  <c r="O152" i="157"/>
  <c r="N63" i="161"/>
  <c r="O155" i="157"/>
  <c r="N87" i="161"/>
  <c r="O148" i="157"/>
  <c r="N31" i="161"/>
  <c r="O153" i="157"/>
  <c r="N71" i="161"/>
  <c r="O150" i="157"/>
  <c r="N47" i="161"/>
  <c r="O154" i="157"/>
  <c r="N79" i="161"/>
  <c r="O151" i="157"/>
  <c r="N55" i="161"/>
  <c r="O149" i="157"/>
  <c r="N30" i="161"/>
  <c r="N151" i="157"/>
  <c r="N54" i="161"/>
  <c r="N155" i="157"/>
  <c r="N86" i="161"/>
  <c r="N150" i="157"/>
  <c r="N46" i="161"/>
  <c r="N152" i="157"/>
  <c r="N62" i="161"/>
  <c r="N149" i="157"/>
  <c r="N153" i="157"/>
  <c r="N70" i="161"/>
  <c r="N154" i="157"/>
  <c r="N78" i="161"/>
  <c r="R155" i="157"/>
  <c r="N88" i="161"/>
  <c r="R152" i="157"/>
  <c r="N64" i="161"/>
  <c r="R153" i="157"/>
  <c r="N72" i="161"/>
  <c r="R150" i="157"/>
  <c r="N48" i="161"/>
  <c r="R154" i="157"/>
  <c r="N80" i="161"/>
  <c r="R151" i="157"/>
  <c r="N56" i="161"/>
  <c r="R149" i="157"/>
  <c r="N40" i="161"/>
  <c r="R148" i="157"/>
  <c r="N32" i="161"/>
  <c r="R32" i="145"/>
  <c r="S32" i="145" s="1"/>
  <c r="T32" i="145" s="1"/>
  <c r="U32" i="145" s="1"/>
  <c r="V32" i="145" s="1"/>
  <c r="K19" i="145"/>
  <c r="L19" i="145" s="1"/>
  <c r="M19" i="145" s="1"/>
  <c r="N19" i="145" s="1"/>
  <c r="O19" i="145" s="1"/>
  <c r="K29" i="145"/>
  <c r="L29" i="145" s="1"/>
  <c r="M29" i="145" s="1"/>
  <c r="N29" i="145" s="1"/>
  <c r="O29" i="145" s="1"/>
  <c r="R29" i="145"/>
  <c r="S29" i="145" s="1"/>
  <c r="T29" i="145" s="1"/>
  <c r="U29" i="145" s="1"/>
  <c r="V29" i="145" s="1"/>
  <c r="R20" i="145"/>
  <c r="S20" i="145" s="1"/>
  <c r="T20" i="145" s="1"/>
  <c r="U20" i="145" s="1"/>
  <c r="V20" i="145" s="1"/>
  <c r="F7" i="139"/>
  <c r="F8" i="139"/>
  <c r="F9" i="139"/>
  <c r="F10" i="139"/>
  <c r="F11" i="139"/>
  <c r="F12" i="139"/>
  <c r="F13" i="139"/>
  <c r="F14" i="139"/>
  <c r="F15" i="139"/>
  <c r="F16" i="139"/>
  <c r="F17" i="139"/>
  <c r="F18" i="139"/>
  <c r="F19" i="139"/>
  <c r="B10" i="146"/>
  <c r="C10" i="146"/>
  <c r="C8" i="146"/>
  <c r="C9" i="146"/>
  <c r="C11" i="146"/>
  <c r="C12" i="146"/>
  <c r="C14" i="146"/>
  <c r="B8" i="146"/>
  <c r="B9" i="146"/>
  <c r="B11" i="146"/>
  <c r="B12" i="146"/>
  <c r="B14" i="146"/>
  <c r="AT155" i="157" l="1"/>
  <c r="O88" i="161"/>
  <c r="AS161" i="157"/>
  <c r="O38" i="160"/>
  <c r="AT159" i="157"/>
  <c r="O10" i="160"/>
  <c r="AT161" i="157"/>
  <c r="AT163" i="157" s="1"/>
  <c r="AT164" i="157" s="1"/>
  <c r="O39" i="160"/>
  <c r="AQ149" i="157"/>
  <c r="O39" i="161"/>
  <c r="AQ153" i="157"/>
  <c r="O71" i="161"/>
  <c r="AQ151" i="157"/>
  <c r="O55" i="161"/>
  <c r="AQ148" i="157"/>
  <c r="O31" i="161"/>
  <c r="AQ154" i="157"/>
  <c r="O79" i="161"/>
  <c r="AQ155" i="157"/>
  <c r="O87" i="161"/>
  <c r="AQ152" i="157"/>
  <c r="O63" i="161"/>
  <c r="AQ150" i="157"/>
  <c r="O47" i="161"/>
  <c r="AT154" i="157"/>
  <c r="O80" i="161"/>
  <c r="AT151" i="157"/>
  <c r="O56" i="161"/>
  <c r="AP153" i="157"/>
  <c r="O70" i="161"/>
  <c r="AP149" i="157"/>
  <c r="O38" i="161"/>
  <c r="AP155" i="157"/>
  <c r="O86" i="161"/>
  <c r="BF141" i="157"/>
  <c r="BF140" i="157"/>
  <c r="J47" i="157"/>
  <c r="J39" i="157"/>
  <c r="CH72" i="157"/>
  <c r="J23" i="157"/>
  <c r="J31" i="157"/>
  <c r="J25" i="157"/>
  <c r="AP150" i="157"/>
  <c r="O46" i="161"/>
  <c r="AP151" i="157"/>
  <c r="O54" i="161"/>
  <c r="AP148" i="157"/>
  <c r="O30" i="161"/>
  <c r="AP154" i="157"/>
  <c r="O78" i="161"/>
  <c r="AP152" i="157"/>
  <c r="O62" i="161"/>
  <c r="O7" i="160"/>
  <c r="AP159" i="157"/>
  <c r="O54" i="160"/>
  <c r="AP162" i="157"/>
  <c r="O36" i="160"/>
  <c r="AP161" i="157"/>
  <c r="O18" i="160"/>
  <c r="AP160" i="157"/>
  <c r="CT71" i="157"/>
  <c r="CT72" i="157"/>
  <c r="CU71" i="157"/>
  <c r="CU72" i="157"/>
  <c r="BF139" i="157"/>
  <c r="BF142" i="157"/>
  <c r="J40" i="157"/>
  <c r="J42" i="157"/>
  <c r="CJ72" i="157"/>
  <c r="J46" i="157"/>
  <c r="J45" i="157"/>
  <c r="J44" i="157"/>
  <c r="J43" i="157"/>
  <c r="J36" i="157"/>
  <c r="J41" i="157"/>
  <c r="J38" i="157"/>
  <c r="CH71" i="157"/>
  <c r="J26" i="157"/>
  <c r="J28" i="157"/>
  <c r="J29" i="157"/>
  <c r="J30" i="157"/>
  <c r="J22" i="157"/>
  <c r="J27" i="157"/>
  <c r="J24" i="157"/>
  <c r="AR159" i="157"/>
  <c r="O8" i="160"/>
  <c r="AR162" i="157"/>
  <c r="O55" i="160"/>
  <c r="AR161" i="157"/>
  <c r="O37" i="160"/>
  <c r="AR160" i="157"/>
  <c r="O19" i="160"/>
  <c r="AS159" i="157"/>
  <c r="O9" i="160"/>
  <c r="AS162" i="157"/>
  <c r="O56" i="160"/>
  <c r="CJ71" i="157"/>
  <c r="J37" i="157"/>
  <c r="R7" i="157"/>
  <c r="CT143" i="157"/>
  <c r="J33" i="157"/>
  <c r="J34" i="157"/>
  <c r="CU103" i="157"/>
  <c r="CU104" i="157" s="1"/>
  <c r="K7" i="157"/>
  <c r="K9" i="157"/>
  <c r="K8" i="157"/>
  <c r="K16" i="157"/>
  <c r="K20" i="157"/>
  <c r="K15" i="157"/>
  <c r="K17" i="157"/>
  <c r="K12" i="157"/>
  <c r="K19" i="157"/>
  <c r="K13" i="157"/>
  <c r="K14" i="157"/>
  <c r="K11" i="157"/>
  <c r="K18" i="157"/>
  <c r="K40" i="157"/>
  <c r="K38" i="157"/>
  <c r="K46" i="157"/>
  <c r="K41" i="157"/>
  <c r="CX72" i="157"/>
  <c r="K45" i="157"/>
  <c r="K42" i="157"/>
  <c r="K37" i="157"/>
  <c r="K36" i="157"/>
  <c r="K39" i="157"/>
  <c r="K44" i="157"/>
  <c r="K47" i="157"/>
  <c r="K43" i="157"/>
  <c r="CX71" i="157"/>
  <c r="R33" i="157"/>
  <c r="CW143" i="157"/>
  <c r="CW157" i="157"/>
  <c r="K33" i="157"/>
  <c r="K34" i="157"/>
  <c r="CW72" i="157"/>
  <c r="CW71" i="157"/>
  <c r="K23" i="157"/>
  <c r="K24" i="157"/>
  <c r="K25" i="157"/>
  <c r="K22" i="157"/>
  <c r="K30" i="157"/>
  <c r="K29" i="157"/>
  <c r="K27" i="157"/>
  <c r="K31" i="157"/>
  <c r="K28" i="157"/>
  <c r="K26" i="157"/>
  <c r="CV71" i="157"/>
  <c r="CV72" i="157"/>
  <c r="BE121" i="157"/>
  <c r="BE125" i="157"/>
  <c r="BE128" i="157"/>
  <c r="BE127" i="157"/>
  <c r="BE126" i="157"/>
  <c r="BE124" i="157"/>
  <c r="BE123" i="157"/>
  <c r="BE122" i="157"/>
  <c r="Q7" i="157"/>
  <c r="CF129" i="157"/>
  <c r="CF143" i="157"/>
  <c r="CF139" i="157" s="1"/>
  <c r="J7" i="157"/>
  <c r="J9" i="157"/>
  <c r="J8" i="157"/>
  <c r="CF72" i="157"/>
  <c r="CF71" i="157"/>
  <c r="J11" i="157"/>
  <c r="J16" i="157"/>
  <c r="J18" i="157"/>
  <c r="J20" i="157"/>
  <c r="J14" i="157"/>
  <c r="J12" i="157"/>
  <c r="J13" i="157"/>
  <c r="J17" i="157"/>
  <c r="J15" i="157"/>
  <c r="J19" i="157"/>
  <c r="CG72" i="157"/>
  <c r="CG71" i="157"/>
  <c r="CI143" i="157"/>
  <c r="CI157" i="157"/>
  <c r="Q33" i="157"/>
  <c r="CI71" i="157"/>
  <c r="CI72" i="157"/>
  <c r="CJ103" i="157"/>
  <c r="CJ104" i="157" s="1"/>
  <c r="CH103" i="157"/>
  <c r="CH104" i="157" s="1"/>
  <c r="CG103" i="157"/>
  <c r="CG104" i="157" s="1"/>
  <c r="CX103" i="157"/>
  <c r="CX104" i="157" s="1"/>
  <c r="CV103" i="157"/>
  <c r="CV104" i="157" s="1"/>
  <c r="P36" i="157"/>
  <c r="BV143" i="157"/>
  <c r="BV129" i="157"/>
  <c r="P11" i="157"/>
  <c r="BS164" i="157"/>
  <c r="BS129" i="157"/>
  <c r="P22" i="157"/>
  <c r="BT143" i="157"/>
  <c r="BT140" i="157" s="1"/>
  <c r="BT157" i="157"/>
  <c r="BD123" i="157"/>
  <c r="BD124" i="157"/>
  <c r="BD121" i="157"/>
  <c r="BD127" i="157"/>
  <c r="BD125" i="157"/>
  <c r="BD126" i="157"/>
  <c r="BD122" i="157"/>
  <c r="BD128" i="157"/>
  <c r="BD140" i="157"/>
  <c r="BD142" i="157"/>
  <c r="BD141" i="157"/>
  <c r="BD139" i="157"/>
  <c r="BH125" i="157"/>
  <c r="BH124" i="157"/>
  <c r="BH128" i="157"/>
  <c r="BH126" i="157"/>
  <c r="BH122" i="157"/>
  <c r="BH123" i="157"/>
  <c r="BH121" i="157"/>
  <c r="BH127" i="157"/>
  <c r="BH142" i="157"/>
  <c r="BH141" i="157"/>
  <c r="BH139" i="157"/>
  <c r="BH140" i="157"/>
  <c r="BG140" i="157"/>
  <c r="BG139" i="157"/>
  <c r="BG141" i="157"/>
  <c r="BG142" i="157"/>
  <c r="CT125" i="157"/>
  <c r="CT127" i="157"/>
  <c r="CT128" i="157"/>
  <c r="CT123" i="157"/>
  <c r="CT126" i="157"/>
  <c r="CT121" i="157"/>
  <c r="CT122" i="157"/>
  <c r="CT124" i="157"/>
  <c r="BU139" i="157"/>
  <c r="BU142" i="157"/>
  <c r="BU141" i="157"/>
  <c r="BU140" i="157"/>
  <c r="BR125" i="157"/>
  <c r="BR121" i="157"/>
  <c r="BR126" i="157"/>
  <c r="BR122" i="157"/>
  <c r="BR128" i="157"/>
  <c r="BR124" i="157"/>
  <c r="BR127" i="157"/>
  <c r="BR123" i="157"/>
  <c r="BR139" i="157"/>
  <c r="BR142" i="157"/>
  <c r="BR141" i="157"/>
  <c r="BR140" i="157"/>
  <c r="AB163" i="157"/>
  <c r="AB164" i="157" s="1"/>
  <c r="AE163" i="157"/>
  <c r="AE164" i="157" s="1"/>
  <c r="AF157" i="157"/>
  <c r="AF163" i="157"/>
  <c r="AF164" i="157" s="1"/>
  <c r="AB156" i="157"/>
  <c r="AF156" i="157"/>
  <c r="AC157" i="157"/>
  <c r="AB157" i="157"/>
  <c r="AD163" i="157"/>
  <c r="AD164" i="157" s="1"/>
  <c r="AC156" i="157"/>
  <c r="R157" i="157"/>
  <c r="Q163" i="157"/>
  <c r="Q164" i="157" s="1"/>
  <c r="O157" i="157"/>
  <c r="N157" i="157"/>
  <c r="N163" i="157"/>
  <c r="N164" i="157" s="1"/>
  <c r="O156" i="157"/>
  <c r="P163" i="157"/>
  <c r="P164" i="157" s="1"/>
  <c r="R163" i="157"/>
  <c r="R164" i="157" s="1"/>
  <c r="N156" i="157"/>
  <c r="R156" i="157"/>
  <c r="C7" i="146"/>
  <c r="B7" i="146"/>
  <c r="E20" i="150"/>
  <c r="CT152" i="157" l="1"/>
  <c r="S62" i="161"/>
  <c r="CT154" i="157"/>
  <c r="S78" i="161"/>
  <c r="CT155" i="157"/>
  <c r="S86" i="161"/>
  <c r="CT150" i="157"/>
  <c r="S46" i="161"/>
  <c r="CT153" i="157"/>
  <c r="S70" i="161"/>
  <c r="CT148" i="157"/>
  <c r="S30" i="161"/>
  <c r="CT149" i="157"/>
  <c r="S38" i="161"/>
  <c r="CT151" i="157"/>
  <c r="S54" i="161"/>
  <c r="Q86" i="161"/>
  <c r="Q78" i="161"/>
  <c r="BR155" i="157"/>
  <c r="BR154" i="157"/>
  <c r="BF160" i="157"/>
  <c r="P19" i="160"/>
  <c r="BF161" i="157"/>
  <c r="P37" i="160"/>
  <c r="BR152" i="157"/>
  <c r="Q62" i="161"/>
  <c r="BR148" i="157"/>
  <c r="Q30" i="161"/>
  <c r="BR153" i="157"/>
  <c r="Q70" i="161"/>
  <c r="BR149" i="157"/>
  <c r="Q38" i="161"/>
  <c r="BR151" i="157"/>
  <c r="Q54" i="161"/>
  <c r="BR150" i="157"/>
  <c r="Q46" i="161"/>
  <c r="AP163" i="157"/>
  <c r="AP164" i="157" s="1"/>
  <c r="BE148" i="157"/>
  <c r="P31" i="161"/>
  <c r="BE152" i="157"/>
  <c r="P63" i="161"/>
  <c r="BE155" i="157"/>
  <c r="P87" i="161"/>
  <c r="BE154" i="157"/>
  <c r="P79" i="161"/>
  <c r="BE153" i="157"/>
  <c r="P71" i="161"/>
  <c r="BE151" i="157"/>
  <c r="P55" i="161"/>
  <c r="BE150" i="157"/>
  <c r="P47" i="161"/>
  <c r="BE149" i="157"/>
  <c r="P39" i="161"/>
  <c r="BD150" i="157"/>
  <c r="P46" i="161"/>
  <c r="BD151" i="157"/>
  <c r="P54" i="161"/>
  <c r="BD148" i="157"/>
  <c r="P30" i="161"/>
  <c r="BD154" i="157"/>
  <c r="P78" i="161"/>
  <c r="BD152" i="157"/>
  <c r="P62" i="161"/>
  <c r="BD153" i="157"/>
  <c r="P70" i="161"/>
  <c r="BD149" i="157"/>
  <c r="P38" i="161"/>
  <c r="BD155" i="157"/>
  <c r="P86" i="161"/>
  <c r="BH152" i="157"/>
  <c r="P64" i="161"/>
  <c r="BH151" i="157"/>
  <c r="P56" i="161"/>
  <c r="BH155" i="157"/>
  <c r="P88" i="161"/>
  <c r="BH153" i="157"/>
  <c r="P72" i="161"/>
  <c r="BH149" i="157"/>
  <c r="P40" i="161"/>
  <c r="BH150" i="157"/>
  <c r="P48" i="161"/>
  <c r="BH148" i="157"/>
  <c r="P32" i="161"/>
  <c r="BH154" i="157"/>
  <c r="P80" i="161"/>
  <c r="AQ157" i="157"/>
  <c r="AQ156" i="157"/>
  <c r="AT156" i="157"/>
  <c r="AT157" i="157"/>
  <c r="AP156" i="157"/>
  <c r="AP157" i="157"/>
  <c r="CF124" i="157"/>
  <c r="CF127" i="157"/>
  <c r="CF125" i="157"/>
  <c r="CF123" i="157"/>
  <c r="BF159" i="157"/>
  <c r="P8" i="160"/>
  <c r="BF162" i="157"/>
  <c r="P55" i="160"/>
  <c r="AR163" i="157"/>
  <c r="AR164" i="157" s="1"/>
  <c r="AS163" i="157"/>
  <c r="AS164" i="157" s="1"/>
  <c r="CT141" i="157"/>
  <c r="CT139" i="157"/>
  <c r="CT142" i="157"/>
  <c r="CT140" i="157"/>
  <c r="CW141" i="157"/>
  <c r="CW140" i="157"/>
  <c r="CW142" i="157"/>
  <c r="CW139" i="157"/>
  <c r="CF122" i="157"/>
  <c r="CF128" i="157"/>
  <c r="CF126" i="157"/>
  <c r="CF121" i="157"/>
  <c r="CI140" i="157"/>
  <c r="CI141" i="157"/>
  <c r="CI139" i="157"/>
  <c r="CI142" i="157"/>
  <c r="CU164" i="157"/>
  <c r="CU129" i="157"/>
  <c r="R11" i="157"/>
  <c r="CF140" i="157"/>
  <c r="CF141" i="157"/>
  <c r="CF142" i="157"/>
  <c r="BV139" i="157"/>
  <c r="BV142" i="157"/>
  <c r="BV141" i="157"/>
  <c r="BV140" i="157"/>
  <c r="BV122" i="157"/>
  <c r="BV121" i="157"/>
  <c r="BV128" i="157"/>
  <c r="Q19" i="160"/>
  <c r="BT160" i="157"/>
  <c r="BD160" i="157"/>
  <c r="P18" i="160"/>
  <c r="BD162" i="157"/>
  <c r="P54" i="160"/>
  <c r="BD161" i="157"/>
  <c r="P36" i="160"/>
  <c r="BD159" i="157"/>
  <c r="P7" i="160"/>
  <c r="BH162" i="157"/>
  <c r="P57" i="160"/>
  <c r="BH161" i="157"/>
  <c r="P39" i="160"/>
  <c r="BH159" i="157"/>
  <c r="P10" i="160"/>
  <c r="BH160" i="157"/>
  <c r="P21" i="160"/>
  <c r="BG160" i="157"/>
  <c r="P20" i="160"/>
  <c r="BG159" i="157"/>
  <c r="P9" i="160"/>
  <c r="BG161" i="157"/>
  <c r="P38" i="160"/>
  <c r="BG162" i="157"/>
  <c r="P56" i="160"/>
  <c r="CF159" i="157"/>
  <c r="R7" i="160"/>
  <c r="BU159" i="157"/>
  <c r="Q9" i="160"/>
  <c r="BU162" i="157"/>
  <c r="Q56" i="160"/>
  <c r="BU161" i="157"/>
  <c r="Q38" i="160"/>
  <c r="BU160" i="157"/>
  <c r="Q20" i="160"/>
  <c r="BR159" i="157"/>
  <c r="Q7" i="160"/>
  <c r="BR162" i="157"/>
  <c r="Q54" i="160"/>
  <c r="BR161" i="157"/>
  <c r="Q36" i="160"/>
  <c r="BR160" i="157"/>
  <c r="Q18" i="160"/>
  <c r="CJ143" i="157"/>
  <c r="CJ129" i="157"/>
  <c r="Q36" i="157"/>
  <c r="CH157" i="157"/>
  <c r="CH143" i="157"/>
  <c r="Q22" i="157"/>
  <c r="CG129" i="157"/>
  <c r="CG164" i="157"/>
  <c r="Q11" i="157"/>
  <c r="CX143" i="157"/>
  <c r="CX129" i="157"/>
  <c r="R36" i="157"/>
  <c r="CV157" i="157"/>
  <c r="CV143" i="157"/>
  <c r="R22" i="157"/>
  <c r="BV127" i="157"/>
  <c r="BV126" i="157"/>
  <c r="BV125" i="157"/>
  <c r="BV123" i="157"/>
  <c r="BV124" i="157"/>
  <c r="BS124" i="157"/>
  <c r="BS125" i="157"/>
  <c r="BS122" i="157"/>
  <c r="BS127" i="157"/>
  <c r="BS123" i="157"/>
  <c r="BS121" i="157"/>
  <c r="BS128" i="157"/>
  <c r="BS126" i="157"/>
  <c r="BT139" i="157"/>
  <c r="BT141" i="157"/>
  <c r="BT142" i="157"/>
  <c r="D19" i="150"/>
  <c r="D8" i="150"/>
  <c r="C19" i="150"/>
  <c r="C8" i="150"/>
  <c r="B19" i="150"/>
  <c r="B8" i="150"/>
  <c r="E8" i="149"/>
  <c r="C7" i="149"/>
  <c r="B7" i="149"/>
  <c r="CT156" i="157" l="1"/>
  <c r="CT157" i="157"/>
  <c r="CF151" i="157"/>
  <c r="R54" i="161"/>
  <c r="CF154" i="157"/>
  <c r="R78" i="161"/>
  <c r="CF152" i="157"/>
  <c r="R62" i="161"/>
  <c r="CF150" i="157"/>
  <c r="R46" i="161"/>
  <c r="CF149" i="157"/>
  <c r="R38" i="161"/>
  <c r="CF155" i="157"/>
  <c r="R86" i="161"/>
  <c r="CF153" i="157"/>
  <c r="R70" i="161"/>
  <c r="CF148" i="157"/>
  <c r="R30" i="161"/>
  <c r="Q79" i="161"/>
  <c r="Q87" i="161"/>
  <c r="BV155" i="157"/>
  <c r="Q88" i="161"/>
  <c r="BV154" i="157"/>
  <c r="Q80" i="161"/>
  <c r="BS154" i="157"/>
  <c r="BS155" i="157"/>
  <c r="BR157" i="157"/>
  <c r="BR156" i="157"/>
  <c r="BD156" i="157"/>
  <c r="BD157" i="157"/>
  <c r="BH156" i="157"/>
  <c r="BH157" i="157"/>
  <c r="BV149" i="157"/>
  <c r="Q40" i="161"/>
  <c r="BV148" i="157"/>
  <c r="Q32" i="161"/>
  <c r="BV153" i="157"/>
  <c r="Q72" i="161"/>
  <c r="BV152" i="157"/>
  <c r="Q64" i="161"/>
  <c r="BV150" i="157"/>
  <c r="Q48" i="161"/>
  <c r="BV151" i="157"/>
  <c r="Q56" i="161"/>
  <c r="BS151" i="157"/>
  <c r="Q55" i="161"/>
  <c r="BS152" i="157"/>
  <c r="Q63" i="161"/>
  <c r="BS149" i="157"/>
  <c r="Q39" i="161"/>
  <c r="BS150" i="157"/>
  <c r="Q47" i="161"/>
  <c r="BS148" i="157"/>
  <c r="Q31" i="161"/>
  <c r="BS153" i="157"/>
  <c r="Q71" i="161"/>
  <c r="BE157" i="157"/>
  <c r="BE156" i="157"/>
  <c r="CI160" i="157"/>
  <c r="R20" i="160"/>
  <c r="CI161" i="157"/>
  <c r="R38" i="160"/>
  <c r="CI159" i="157"/>
  <c r="R9" i="160"/>
  <c r="CI162" i="157"/>
  <c r="R56" i="160"/>
  <c r="BH163" i="157"/>
  <c r="BH164" i="157" s="1"/>
  <c r="BR163" i="157"/>
  <c r="BR164" i="157" s="1"/>
  <c r="BF163" i="157"/>
  <c r="BF164" i="157" s="1"/>
  <c r="BU163" i="157"/>
  <c r="BU164" i="157" s="1"/>
  <c r="BG163" i="157"/>
  <c r="BG164" i="157" s="1"/>
  <c r="BD163" i="157"/>
  <c r="BD164" i="157" s="1"/>
  <c r="CT161" i="157"/>
  <c r="S36" i="160"/>
  <c r="CT159" i="157"/>
  <c r="S7" i="160"/>
  <c r="CT162" i="157"/>
  <c r="S54" i="160"/>
  <c r="CT160" i="157"/>
  <c r="S18" i="160"/>
  <c r="CW161" i="157"/>
  <c r="S38" i="160"/>
  <c r="CW160" i="157"/>
  <c r="S20" i="160"/>
  <c r="CW162" i="157"/>
  <c r="S56" i="160"/>
  <c r="CW159" i="157"/>
  <c r="S9" i="160"/>
  <c r="CU127" i="157"/>
  <c r="CU125" i="157"/>
  <c r="CU128" i="157"/>
  <c r="CU126" i="157"/>
  <c r="CU122" i="157"/>
  <c r="CU124" i="157"/>
  <c r="CU123" i="157"/>
  <c r="CU121" i="157"/>
  <c r="R18" i="160"/>
  <c r="CF160" i="157"/>
  <c r="R36" i="160"/>
  <c r="CF161" i="157"/>
  <c r="R54" i="160"/>
  <c r="CF162" i="157"/>
  <c r="Q10" i="160"/>
  <c r="BV159" i="157"/>
  <c r="Q57" i="160"/>
  <c r="BV162" i="157"/>
  <c r="Q39" i="160"/>
  <c r="BV161" i="157"/>
  <c r="Q21" i="160"/>
  <c r="BV160" i="157"/>
  <c r="BT159" i="157"/>
  <c r="Q8" i="160"/>
  <c r="BT161" i="157"/>
  <c r="Q37" i="160"/>
  <c r="BT162" i="157"/>
  <c r="Q55" i="160"/>
  <c r="CJ141" i="157"/>
  <c r="CJ142" i="157"/>
  <c r="CJ140" i="157"/>
  <c r="CJ139" i="157"/>
  <c r="CJ121" i="157"/>
  <c r="CJ122" i="157"/>
  <c r="CJ124" i="157"/>
  <c r="CJ127" i="157"/>
  <c r="CJ126" i="157"/>
  <c r="CJ123" i="157"/>
  <c r="CJ128" i="157"/>
  <c r="CJ125" i="157"/>
  <c r="CH141" i="157"/>
  <c r="CH140" i="157"/>
  <c r="CH142" i="157"/>
  <c r="CH139" i="157"/>
  <c r="CG126" i="157"/>
  <c r="CG123" i="157"/>
  <c r="CG128" i="157"/>
  <c r="CG125" i="157"/>
  <c r="CG121" i="157"/>
  <c r="CG124" i="157"/>
  <c r="CG127" i="157"/>
  <c r="CG122" i="157"/>
  <c r="CX141" i="157"/>
  <c r="CX142" i="157"/>
  <c r="CX139" i="157"/>
  <c r="CX140" i="157"/>
  <c r="CX121" i="157"/>
  <c r="CX127" i="157"/>
  <c r="CX124" i="157"/>
  <c r="CX125" i="157"/>
  <c r="CX122" i="157"/>
  <c r="CX128" i="157"/>
  <c r="CX123" i="157"/>
  <c r="CX126" i="157"/>
  <c r="CV139" i="157"/>
  <c r="CV140" i="157"/>
  <c r="CV142" i="157"/>
  <c r="CV141" i="157"/>
  <c r="B19" i="139"/>
  <c r="B18" i="139"/>
  <c r="B17" i="139"/>
  <c r="B16" i="139"/>
  <c r="B15" i="139"/>
  <c r="B14" i="139"/>
  <c r="B13" i="139"/>
  <c r="B12" i="139"/>
  <c r="B11" i="139"/>
  <c r="B10" i="139"/>
  <c r="B9" i="139"/>
  <c r="B8" i="139"/>
  <c r="M7" i="146"/>
  <c r="CU154" i="157" l="1"/>
  <c r="S79" i="161"/>
  <c r="CU152" i="157"/>
  <c r="S63" i="161"/>
  <c r="CU155" i="157"/>
  <c r="S87" i="161"/>
  <c r="CU153" i="157"/>
  <c r="S71" i="161"/>
  <c r="CU149" i="157"/>
  <c r="S39" i="161"/>
  <c r="CU151" i="157"/>
  <c r="S55" i="161"/>
  <c r="CU150" i="157"/>
  <c r="S47" i="161"/>
  <c r="CU148" i="157"/>
  <c r="S31" i="161"/>
  <c r="CX148" i="157"/>
  <c r="S32" i="161"/>
  <c r="CX154" i="157"/>
  <c r="S80" i="161"/>
  <c r="CX151" i="157"/>
  <c r="S56" i="161"/>
  <c r="CX152" i="157"/>
  <c r="S64" i="161"/>
  <c r="CX149" i="157"/>
  <c r="S40" i="161"/>
  <c r="CX155" i="157"/>
  <c r="S88" i="161"/>
  <c r="CX150" i="157"/>
  <c r="S48" i="161"/>
  <c r="CX153" i="157"/>
  <c r="S72" i="161"/>
  <c r="CF156" i="157"/>
  <c r="CF157" i="157"/>
  <c r="CJ148" i="157"/>
  <c r="R32" i="161"/>
  <c r="CJ149" i="157"/>
  <c r="R40" i="161"/>
  <c r="CJ151" i="157"/>
  <c r="R56" i="161"/>
  <c r="CJ154" i="157"/>
  <c r="R80" i="161"/>
  <c r="CJ153" i="157"/>
  <c r="R72" i="161"/>
  <c r="CJ150" i="157"/>
  <c r="R48" i="161"/>
  <c r="CJ155" i="157"/>
  <c r="R88" i="161"/>
  <c r="CJ152" i="157"/>
  <c r="R64" i="161"/>
  <c r="CG153" i="157"/>
  <c r="R71" i="161"/>
  <c r="CG150" i="157"/>
  <c r="R47" i="161"/>
  <c r="CG155" i="157"/>
  <c r="R87" i="161"/>
  <c r="CG152" i="157"/>
  <c r="R63" i="161"/>
  <c r="CG148" i="157"/>
  <c r="R31" i="161"/>
  <c r="CG151" i="157"/>
  <c r="R55" i="161"/>
  <c r="CG154" i="157"/>
  <c r="R79" i="161"/>
  <c r="CG149" i="157"/>
  <c r="R39" i="161"/>
  <c r="BV156" i="157"/>
  <c r="BV157" i="157"/>
  <c r="BS157" i="157"/>
  <c r="BS156" i="157"/>
  <c r="CW163" i="157"/>
  <c r="CW164" i="157" s="1"/>
  <c r="CI163" i="157"/>
  <c r="CI164" i="157" s="1"/>
  <c r="BT163" i="157"/>
  <c r="BT164" i="157" s="1"/>
  <c r="CT163" i="157"/>
  <c r="CT164" i="157" s="1"/>
  <c r="CF163" i="157"/>
  <c r="CF164" i="157" s="1"/>
  <c r="BV163" i="157"/>
  <c r="BV164" i="157" s="1"/>
  <c r="CJ161" i="157"/>
  <c r="R39" i="160"/>
  <c r="CJ162" i="157"/>
  <c r="R57" i="160"/>
  <c r="CJ160" i="157"/>
  <c r="R21" i="160"/>
  <c r="CJ159" i="157"/>
  <c r="R10" i="160"/>
  <c r="CH161" i="157"/>
  <c r="R37" i="160"/>
  <c r="CH160" i="157"/>
  <c r="R19" i="160"/>
  <c r="CH162" i="157"/>
  <c r="R55" i="160"/>
  <c r="CH159" i="157"/>
  <c r="R8" i="160"/>
  <c r="CX161" i="157"/>
  <c r="S39" i="160"/>
  <c r="CX162" i="157"/>
  <c r="S57" i="160"/>
  <c r="CX159" i="157"/>
  <c r="S10" i="160"/>
  <c r="CX160" i="157"/>
  <c r="S21" i="160"/>
  <c r="CV159" i="157"/>
  <c r="S8" i="160"/>
  <c r="CV160" i="157"/>
  <c r="S19" i="160"/>
  <c r="CV162" i="157"/>
  <c r="S55" i="160"/>
  <c r="CV161" i="157"/>
  <c r="S37" i="160"/>
  <c r="N7" i="146"/>
  <c r="CX156" i="157" l="1"/>
  <c r="CX157" i="157"/>
  <c r="CU156" i="157"/>
  <c r="CU157" i="157"/>
  <c r="CG157" i="157"/>
  <c r="CG156" i="157"/>
  <c r="CJ156" i="157"/>
  <c r="CJ157" i="157"/>
  <c r="CJ163" i="157"/>
  <c r="CJ164" i="157" s="1"/>
  <c r="CX163" i="157"/>
  <c r="CX164" i="157" s="1"/>
  <c r="CV163" i="157"/>
  <c r="CV164" i="157" s="1"/>
  <c r="CH163" i="157"/>
  <c r="CH164" i="157" s="1"/>
  <c r="G18" i="139"/>
  <c r="G17" i="139"/>
  <c r="G15" i="139"/>
  <c r="G14" i="139"/>
  <c r="G13" i="139"/>
  <c r="J20" i="139"/>
  <c r="J24" i="148" l="1"/>
  <c r="K24" i="148"/>
  <c r="L24" i="148"/>
  <c r="M24" i="148"/>
  <c r="N24" i="148"/>
  <c r="O24" i="148"/>
  <c r="P24" i="148"/>
  <c r="Q24" i="148"/>
  <c r="R24" i="148"/>
  <c r="S24" i="148"/>
  <c r="T24" i="148"/>
  <c r="U24" i="148"/>
  <c r="I24" i="148"/>
  <c r="CD7" i="148"/>
  <c r="CD8" i="148"/>
  <c r="CD9" i="148"/>
  <c r="CD10" i="148"/>
  <c r="CD11" i="148"/>
  <c r="CD6" i="148"/>
  <c r="W26" i="148"/>
  <c r="W25" i="148"/>
  <c r="J26" i="148"/>
  <c r="K26" i="148"/>
  <c r="L26" i="148"/>
  <c r="M26" i="148"/>
  <c r="N26" i="148"/>
  <c r="O26" i="148"/>
  <c r="P26" i="148"/>
  <c r="Q26" i="148"/>
  <c r="R26" i="148"/>
  <c r="S26" i="148"/>
  <c r="T26" i="148"/>
  <c r="U26" i="148"/>
  <c r="I26" i="148"/>
  <c r="J25" i="148"/>
  <c r="K25" i="148"/>
  <c r="L25" i="148"/>
  <c r="M25" i="148"/>
  <c r="N25" i="148"/>
  <c r="O25" i="148"/>
  <c r="P25" i="148"/>
  <c r="Q25" i="148"/>
  <c r="R25" i="148"/>
  <c r="S25" i="148"/>
  <c r="T25" i="148"/>
  <c r="U25" i="148"/>
  <c r="I25" i="148"/>
  <c r="I22" i="148"/>
  <c r="J22" i="148"/>
  <c r="K22" i="148"/>
  <c r="L22" i="148"/>
  <c r="M22" i="148"/>
  <c r="N22" i="148"/>
  <c r="O22" i="148"/>
  <c r="P22" i="148"/>
  <c r="Q22" i="148"/>
  <c r="R22" i="148"/>
  <c r="S22" i="148"/>
  <c r="T22" i="148"/>
  <c r="U22" i="148"/>
  <c r="H22" i="148"/>
  <c r="H19" i="148"/>
  <c r="H20" i="148"/>
  <c r="H21" i="148"/>
  <c r="H18" i="148"/>
  <c r="H17" i="148"/>
  <c r="U21" i="148"/>
  <c r="U20" i="148"/>
  <c r="X18" i="148"/>
  <c r="X19" i="148"/>
  <c r="W18" i="148"/>
  <c r="W19" i="148"/>
  <c r="W20" i="148"/>
  <c r="X20" i="148" s="1"/>
  <c r="W21" i="148"/>
  <c r="X21" i="148" s="1"/>
  <c r="I18" i="148"/>
  <c r="J18" i="148"/>
  <c r="K18" i="148"/>
  <c r="L18" i="148"/>
  <c r="M18" i="148"/>
  <c r="N18" i="148"/>
  <c r="O18" i="148"/>
  <c r="P18" i="148"/>
  <c r="Q18" i="148"/>
  <c r="R18" i="148"/>
  <c r="S18" i="148"/>
  <c r="T18" i="148"/>
  <c r="U18" i="148"/>
  <c r="I19" i="148"/>
  <c r="J19" i="148"/>
  <c r="K19" i="148"/>
  <c r="L19" i="148"/>
  <c r="M19" i="148"/>
  <c r="N19" i="148"/>
  <c r="O19" i="148"/>
  <c r="P19" i="148"/>
  <c r="Q19" i="148"/>
  <c r="R19" i="148"/>
  <c r="S19" i="148"/>
  <c r="T19" i="148"/>
  <c r="U19" i="148"/>
  <c r="I20" i="148"/>
  <c r="J20" i="148"/>
  <c r="K20" i="148"/>
  <c r="L20" i="148"/>
  <c r="M20" i="148"/>
  <c r="N20" i="148"/>
  <c r="O20" i="148"/>
  <c r="P20" i="148"/>
  <c r="Q20" i="148"/>
  <c r="R20" i="148"/>
  <c r="S20" i="148"/>
  <c r="T20" i="148"/>
  <c r="I21" i="148"/>
  <c r="J21" i="148"/>
  <c r="K21" i="148"/>
  <c r="L21" i="148"/>
  <c r="M21" i="148"/>
  <c r="N21" i="148"/>
  <c r="O21" i="148"/>
  <c r="P21" i="148"/>
  <c r="Q21" i="148"/>
  <c r="R21" i="148"/>
  <c r="S21" i="148"/>
  <c r="T21" i="148"/>
  <c r="X17" i="148"/>
  <c r="W17" i="148"/>
  <c r="U17" i="148"/>
  <c r="B33" i="145" l="1"/>
  <c r="C33" i="145"/>
  <c r="E33" i="145"/>
  <c r="T17" i="148"/>
  <c r="S17" i="148"/>
  <c r="R17" i="148"/>
  <c r="Q17" i="148"/>
  <c r="P17" i="148"/>
  <c r="O17" i="148"/>
  <c r="N17" i="148"/>
  <c r="M17" i="148"/>
  <c r="L17" i="148"/>
  <c r="K17" i="148"/>
  <c r="J17" i="148"/>
  <c r="I17" i="148"/>
  <c r="D41" i="157" l="1"/>
  <c r="D16" i="157"/>
  <c r="D27" i="157"/>
  <c r="E20" i="139"/>
  <c r="D8" i="139"/>
  <c r="D9" i="139"/>
  <c r="D10" i="139"/>
  <c r="D11" i="139"/>
  <c r="D12" i="139"/>
  <c r="D13" i="139"/>
  <c r="D15" i="139"/>
  <c r="D16" i="139"/>
  <c r="D17" i="139"/>
  <c r="D18" i="139"/>
  <c r="D19" i="139"/>
  <c r="D7" i="139"/>
  <c r="C7" i="139"/>
  <c r="B7" i="139"/>
  <c r="E10" i="145" l="1"/>
  <c r="E12" i="145"/>
  <c r="E14" i="145"/>
  <c r="E16" i="145"/>
  <c r="E18" i="145"/>
  <c r="E20" i="145"/>
  <c r="D7" i="149"/>
  <c r="E24" i="145"/>
  <c r="E27" i="145"/>
  <c r="E30" i="145"/>
  <c r="E32" i="145"/>
  <c r="E8" i="145"/>
  <c r="B31" i="145"/>
  <c r="C31" i="145"/>
  <c r="B25" i="145"/>
  <c r="C25" i="145"/>
  <c r="Y21" i="145"/>
  <c r="C21" i="145"/>
  <c r="B17" i="145"/>
  <c r="C17" i="145"/>
  <c r="B13" i="145"/>
  <c r="C13" i="145"/>
  <c r="B9" i="145"/>
  <c r="C9" i="145"/>
  <c r="C7" i="145"/>
  <c r="C11" i="145"/>
  <c r="C15" i="145"/>
  <c r="C19" i="145"/>
  <c r="C23" i="145"/>
  <c r="C28" i="145"/>
  <c r="B11" i="145"/>
  <c r="B15" i="145"/>
  <c r="B19" i="145"/>
  <c r="B23" i="145"/>
  <c r="B28" i="145"/>
  <c r="B7" i="145"/>
  <c r="D25" i="157" l="1"/>
  <c r="D39" i="157"/>
  <c r="D14" i="157"/>
  <c r="D24" i="157"/>
  <c r="D38" i="157"/>
  <c r="D13" i="157"/>
  <c r="D12" i="157"/>
  <c r="D23" i="157"/>
  <c r="D37" i="157"/>
  <c r="D45" i="157"/>
  <c r="D29" i="157"/>
  <c r="D19" i="157"/>
  <c r="D11" i="157"/>
  <c r="D22" i="157"/>
  <c r="D36" i="157"/>
  <c r="D17" i="157"/>
  <c r="D28" i="157"/>
  <c r="D42" i="157"/>
  <c r="D47" i="157"/>
  <c r="D31" i="157"/>
  <c r="D8" i="157"/>
  <c r="D33" i="157"/>
  <c r="D18" i="157"/>
  <c r="D44" i="157"/>
  <c r="D9" i="157"/>
  <c r="D46" i="157"/>
  <c r="D30" i="157"/>
  <c r="D20" i="157"/>
  <c r="D34" i="157"/>
  <c r="D7" i="157"/>
  <c r="D43" i="157"/>
  <c r="D7" i="144"/>
  <c r="E7" i="144"/>
  <c r="D8" i="144"/>
  <c r="E8" i="144"/>
  <c r="D9" i="144"/>
  <c r="E9" i="144"/>
  <c r="D10" i="144"/>
  <c r="E10" i="144"/>
  <c r="D11" i="144"/>
  <c r="E11" i="144"/>
  <c r="D12" i="144"/>
  <c r="E12" i="144"/>
  <c r="D13" i="144"/>
  <c r="E13" i="144"/>
  <c r="D14" i="144"/>
  <c r="E14" i="144"/>
  <c r="D15" i="144"/>
  <c r="E15" i="144"/>
  <c r="D16" i="144"/>
  <c r="E16" i="144"/>
  <c r="D17" i="144"/>
  <c r="E17" i="144"/>
  <c r="D18" i="144"/>
  <c r="E18" i="144"/>
  <c r="D19" i="144"/>
  <c r="E19" i="144"/>
  <c r="D20" i="144"/>
  <c r="E20" i="144"/>
  <c r="D21" i="144"/>
  <c r="E21" i="144"/>
  <c r="D22" i="144"/>
  <c r="E22" i="144"/>
  <c r="D23" i="144"/>
  <c r="E23" i="144"/>
  <c r="D24" i="144"/>
  <c r="E24" i="144"/>
  <c r="D25" i="144"/>
  <c r="E25" i="144"/>
  <c r="D26" i="144"/>
  <c r="E26" i="144"/>
  <c r="D27" i="144"/>
  <c r="E27" i="144"/>
  <c r="D28" i="144"/>
  <c r="E28" i="144"/>
  <c r="D29" i="144"/>
  <c r="E29" i="144"/>
  <c r="D30" i="144"/>
  <c r="E30" i="144"/>
  <c r="D31" i="144"/>
  <c r="E31" i="144"/>
  <c r="D32" i="144"/>
  <c r="E32" i="144"/>
  <c r="D33" i="144"/>
  <c r="E33" i="144"/>
  <c r="D34" i="144"/>
  <c r="E34" i="144"/>
  <c r="D35" i="144"/>
  <c r="E35" i="144"/>
  <c r="D36" i="144"/>
  <c r="E36" i="144"/>
  <c r="D37" i="144"/>
  <c r="E37" i="144"/>
  <c r="D38" i="144"/>
  <c r="E38" i="144"/>
  <c r="D39" i="144"/>
  <c r="E39" i="144"/>
  <c r="D40" i="144"/>
  <c r="E40" i="144"/>
  <c r="D41" i="144"/>
  <c r="E41" i="144"/>
  <c r="D42" i="144"/>
  <c r="E42" i="144"/>
  <c r="D43" i="144"/>
  <c r="E43" i="144"/>
  <c r="D44" i="144"/>
  <c r="E44" i="144"/>
  <c r="D45" i="144"/>
  <c r="E45" i="144"/>
  <c r="D46" i="144"/>
  <c r="E46" i="144"/>
  <c r="D47" i="144"/>
  <c r="E47" i="144"/>
  <c r="D48" i="144"/>
  <c r="E48" i="144"/>
  <c r="D49" i="144"/>
  <c r="E49" i="144"/>
  <c r="D50" i="144"/>
  <c r="E50" i="144"/>
  <c r="D51" i="144"/>
  <c r="E51" i="144"/>
  <c r="D52" i="144"/>
  <c r="E52" i="144"/>
  <c r="D53" i="144"/>
  <c r="E53" i="144"/>
  <c r="D54" i="144"/>
  <c r="E54" i="144"/>
  <c r="D55" i="144"/>
  <c r="E55" i="144"/>
  <c r="D56" i="144"/>
  <c r="E56" i="144"/>
  <c r="D57" i="144"/>
  <c r="E57" i="144"/>
  <c r="D58" i="144"/>
  <c r="E58" i="144"/>
  <c r="D59" i="144"/>
  <c r="E59" i="144"/>
  <c r="D60" i="144"/>
  <c r="E60" i="144"/>
  <c r="D61" i="144"/>
  <c r="E61" i="144"/>
  <c r="D62" i="144"/>
  <c r="E62" i="144"/>
  <c r="D63" i="144"/>
  <c r="E63" i="144"/>
  <c r="D64" i="144"/>
  <c r="E64" i="144"/>
  <c r="D65" i="144"/>
  <c r="E65" i="144"/>
  <c r="D66" i="144"/>
  <c r="E66" i="144"/>
  <c r="D67" i="144"/>
  <c r="E67" i="144"/>
  <c r="D68" i="144"/>
  <c r="E68" i="144"/>
  <c r="D69" i="144"/>
  <c r="E69" i="144"/>
  <c r="D70" i="144"/>
  <c r="E70" i="144"/>
  <c r="D71" i="144"/>
  <c r="E71" i="144"/>
  <c r="D72" i="144"/>
  <c r="E72" i="144"/>
  <c r="D73" i="144"/>
  <c r="E73" i="144"/>
  <c r="D74" i="144"/>
  <c r="E74" i="144"/>
  <c r="D75" i="144"/>
  <c r="E75" i="144"/>
  <c r="D76" i="144"/>
  <c r="E76" i="144"/>
  <c r="D77" i="144"/>
  <c r="E77" i="144"/>
  <c r="D78" i="144"/>
  <c r="E78" i="144"/>
  <c r="D79" i="144"/>
  <c r="E79" i="144"/>
  <c r="D80" i="144"/>
  <c r="E80" i="144"/>
  <c r="D81" i="144"/>
  <c r="E81" i="144"/>
  <c r="D82" i="144"/>
  <c r="E82" i="144"/>
  <c r="D83" i="144"/>
  <c r="E83" i="144"/>
  <c r="D84" i="144"/>
  <c r="E84" i="144"/>
  <c r="D85" i="144"/>
  <c r="E85" i="144"/>
  <c r="D86" i="144"/>
  <c r="E86" i="144"/>
  <c r="D87" i="144"/>
  <c r="E87" i="144"/>
  <c r="D88" i="144"/>
  <c r="E88" i="144"/>
  <c r="D89" i="144"/>
  <c r="E89" i="144"/>
  <c r="D90" i="144"/>
  <c r="E90" i="144"/>
  <c r="D91" i="144"/>
  <c r="E91" i="144"/>
  <c r="D92" i="144"/>
  <c r="E92" i="144"/>
  <c r="D93" i="144"/>
  <c r="E93" i="144"/>
  <c r="D94" i="144"/>
  <c r="E94" i="144"/>
  <c r="D95" i="144"/>
  <c r="E95" i="144"/>
  <c r="D96" i="144"/>
  <c r="E96" i="144"/>
  <c r="D97" i="144"/>
  <c r="E97" i="144"/>
  <c r="D98" i="144"/>
  <c r="E98" i="144"/>
  <c r="D99" i="144"/>
  <c r="E99" i="144"/>
  <c r="D100" i="144"/>
  <c r="E100" i="144"/>
  <c r="D101" i="144"/>
  <c r="E101" i="144"/>
  <c r="D102" i="144"/>
  <c r="E102" i="144"/>
  <c r="D103" i="144"/>
  <c r="E103" i="144"/>
  <c r="D104" i="144"/>
  <c r="E104" i="144"/>
  <c r="D105" i="144"/>
  <c r="E105" i="144"/>
  <c r="D106" i="144"/>
  <c r="E106" i="144"/>
  <c r="D107" i="144"/>
  <c r="E107" i="144"/>
  <c r="D108" i="144"/>
  <c r="E108" i="144"/>
  <c r="D109" i="144"/>
  <c r="E109" i="144"/>
  <c r="D110" i="144"/>
  <c r="E110" i="144"/>
  <c r="D111" i="144"/>
  <c r="E111" i="144"/>
  <c r="D112" i="144"/>
  <c r="E112" i="144"/>
  <c r="D113" i="144"/>
  <c r="E113" i="144"/>
  <c r="D114" i="144"/>
  <c r="E114" i="144"/>
  <c r="D115" i="144"/>
  <c r="E115" i="144"/>
  <c r="D116" i="144"/>
  <c r="E116" i="144"/>
  <c r="D117" i="144"/>
  <c r="E117" i="144"/>
  <c r="D118" i="144"/>
  <c r="E118" i="144"/>
  <c r="D119" i="144"/>
  <c r="E119" i="144"/>
  <c r="D120" i="144"/>
  <c r="E120" i="144"/>
  <c r="D121" i="144"/>
  <c r="E121" i="144"/>
  <c r="D122" i="144"/>
  <c r="E122" i="144"/>
  <c r="D123" i="144"/>
  <c r="E123" i="144"/>
  <c r="D124" i="144"/>
  <c r="E124" i="144"/>
  <c r="D125" i="144"/>
  <c r="E125" i="144"/>
  <c r="D126" i="144"/>
  <c r="E126" i="144"/>
  <c r="D127" i="144"/>
  <c r="E127" i="144"/>
  <c r="D128" i="144"/>
  <c r="E128" i="144"/>
  <c r="D129" i="144"/>
  <c r="E129" i="144"/>
  <c r="D130" i="144"/>
  <c r="E130" i="144"/>
  <c r="D131" i="144"/>
  <c r="E131" i="144"/>
  <c r="D132" i="144"/>
  <c r="E132" i="144"/>
  <c r="D133" i="144"/>
  <c r="E133" i="144"/>
  <c r="E6" i="144"/>
  <c r="D6" i="144"/>
  <c r="F6" i="144"/>
  <c r="AB63" i="16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G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H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100" authorId="0" shapeId="0" xr:uid="{E7858CC0-D1FF-4A63-9694-EDE9C3AFB2F6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Maciej Raczyński</author>
    <author>Maurizio Gargiulo</author>
    <author>Amit Kanudia</author>
    <author>tc={B156F4B2-8C8E-45A4-80F1-781A40D77A19}</author>
  </authors>
  <commentList>
    <comment ref="B5" authorId="0" shapeId="0" xr:uid="{00000000-0006-0000-0200-000001000000}">
      <text>
        <r>
          <rPr>
            <sz val="9"/>
            <color indexed="81"/>
            <rFont val="Tahoma"/>
            <family val="2"/>
            <charset val="238"/>
          </rPr>
          <t xml:space="preserve">Dozwolone Zbiory Procesów
ELE (Elektrownia)
CHP (Elektrociepłownia)
STGTSS (Elektrownia Szczyt-Pompowa)
PRE (Dowolny Proces/Technologia)
DMD (Proces Popytu)
IMP (Import)
EXP (Eksport)
MIN (Proces Wydobycia/Kopalnia)
RNW (Technologia Odnawialna*)
HPL (Ciepłownia)
</t>
        </r>
      </text>
    </comment>
    <comment ref="H5" authorId="1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2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1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24" authorId="3" shapeId="0" xr:uid="{B156F4B2-8C8E-45A4-80F1-781A40D77A19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Ciepło z kogeneratorów rolniczych wyłącznie na potrzeby własne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tc={DDBC5021-F8D5-4AB4-87CB-5D42EBB66CE2}</author>
  </authors>
  <commentList>
    <comment ref="H25" authorId="0" shapeId="0" xr:uid="{DDBC5021-F8D5-4AB4-87CB-5D42EBB66CE2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Share wg scenariusza RDF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tc={F25D57A7-DA81-45F0-B1B5-DC6D28453F2B}</author>
    <author>Patrycja Rzeszut</author>
    <author>tc={BE394215-FF53-463E-939D-42B35A404009}</author>
    <author>tc={28E661DA-59E0-498B-BDBC-CB24C1CB515E}</author>
    <author>tc={BCAF5637-E2F4-4F03-8B75-49508CEAA675}</author>
  </authors>
  <commentList>
    <comment ref="AN26" authorId="0" shapeId="0" xr:uid="{F25D57A7-DA81-45F0-B1B5-DC6D28453F2B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Odpad świeży, ton/ha; pomniejszony do 33% - nadwyżka słomy. Nadwyżka słomy dostępnej do wykorzystania na potrzeby energetyczne w 2016 r. Hryniewicz, Grzybek </t>
      </text>
    </comment>
    <comment ref="N30" authorId="1" shapeId="0" xr:uid="{29250993-5EB9-4662-98D0-7F21F2E11361}">
      <text>
        <r>
          <rPr>
            <b/>
            <sz val="9"/>
            <color indexed="81"/>
            <rFont val="Tahoma"/>
            <family val="2"/>
            <charset val="238"/>
          </rPr>
          <t>Patrycja Rzeszut:</t>
        </r>
        <r>
          <rPr>
            <sz val="9"/>
            <color indexed="81"/>
            <rFont val="Tahoma"/>
            <family val="2"/>
            <charset val="238"/>
          </rPr>
          <t xml:space="preserve">
Energia mechaniczna użytkowa</t>
        </r>
      </text>
    </comment>
    <comment ref="AN95" authorId="2" shapeId="0" xr:uid="{BE394215-FF53-463E-939D-42B35A404009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Brak danych o uzysku odpadów.</t>
      </text>
    </comment>
    <comment ref="C112" authorId="3" shapeId="0" xr:uid="{28E661DA-59E0-498B-BDBC-CB24C1CB515E}">
      <text>
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Powierzchnia uprawy, plony i zbiory:
Jabłek w sadach
Gruszek w sadach
Śliwek w sadach
Wiśni w sadach
Czereśni w sadach
Pozostałych owoców z drzew w sadach
Truskawek i poziomek gruntowych
Malin w sadach
Porzeczek ogółem w sadach
Borówki wysokiej w sadach
Aronii w sadach
Agrestu w sadach
Pozostałych owoców z krzewów i plantacji jagodowych w sadach </t>
      </text>
    </comment>
    <comment ref="C117" authorId="4" shapeId="0" xr:uid="{BCAF5637-E2F4-4F03-8B75-49508CEAA675}">
      <text>
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Powierzchnia, plony i zbiory z następujących warzyw: Kapusty gruntowej
Kalafiorów gruntowych
Cebuli gruntowej
Marchwi jadalnej gruntowej
Buraków ćwikłowych gruntowych
Ogórków gruntowych
Pomidorów gruntowych
Pietruszki gruntowej
Selerów korzeniowych
Dynii, kabaczka i cukinii
Kukurydzy cukrowej
Pozostałych warzyw gruntowych </t>
      </text>
    </comment>
    <comment ref="AC134" authorId="1" shapeId="0" xr:uid="{C65EBE8F-3974-40B2-B21F-D26B2D2DFCA5}">
      <text>
        <r>
          <rPr>
            <b/>
            <sz val="9"/>
            <color indexed="81"/>
            <rFont val="Tahoma"/>
            <family val="2"/>
            <charset val="238"/>
          </rPr>
          <t>Patrycja Rzeszut:</t>
        </r>
        <r>
          <rPr>
            <sz val="9"/>
            <color indexed="81"/>
            <rFont val="Tahoma"/>
            <family val="2"/>
            <charset val="238"/>
          </rPr>
          <t xml:space="preserve">
Zaktualizowane na 2024 r.</t>
        </r>
      </text>
    </comment>
    <comment ref="AE140" authorId="1" shapeId="0" xr:uid="{A44C205E-5D18-40C3-9A9B-75076153FAD5}">
      <text>
        <r>
          <rPr>
            <b/>
            <sz val="9"/>
            <color indexed="81"/>
            <rFont val="Tahoma"/>
            <family val="2"/>
            <charset val="238"/>
          </rPr>
          <t>Patrycja Rzeszut:</t>
        </r>
        <r>
          <rPr>
            <sz val="9"/>
            <color indexed="81"/>
            <rFont val="Tahoma"/>
            <family val="2"/>
            <charset val="238"/>
          </rPr>
          <t xml:space="preserve">
Z arkusza DMD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tc={57982017-164E-496E-8A5A-5DB2EBB981AE}</author>
    <author>Patrycja Rzeszut</author>
  </authors>
  <commentList>
    <comment ref="Y3" authorId="0" shapeId="0" xr:uid="{57982017-164E-496E-8A5A-5DB2EBB981AE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t/rok, świeżej masy, obornik i gnojowica razem</t>
      </text>
    </comment>
    <comment ref="P68" authorId="1" shapeId="0" xr:uid="{CC76F500-BA45-4DBA-902B-E31A3FEC8E32}">
      <text>
        <r>
          <rPr>
            <b/>
            <sz val="9"/>
            <color indexed="81"/>
            <rFont val="Tahoma"/>
            <family val="2"/>
            <charset val="238"/>
          </rPr>
          <t>Patrycja Rzeszut:</t>
        </r>
        <r>
          <rPr>
            <sz val="9"/>
            <color indexed="81"/>
            <rFont val="Tahoma"/>
            <family val="2"/>
            <charset val="238"/>
          </rPr>
          <t xml:space="preserve">
Wartości zaktualizowane na rok 2024 (10.09.26)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tc={448E6D92-8F11-472F-B64A-4DA688ED5CC3}</author>
    <author>tc={5616DBBB-A6C3-4D95-8004-9E9C9A0DDC8A}</author>
  </authors>
  <commentList>
    <comment ref="O3" authorId="0" shapeId="0" xr:uid="{448E6D92-8F11-472F-B64A-4DA688ED5CC3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 znalezienia</t>
      </text>
    </comment>
    <comment ref="L5" authorId="1" shapeId="0" xr:uid="{5616DBBB-A6C3-4D95-8004-9E9C9A0DDC8A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Wartość do sprawdzenia?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tc={4062344E-0FCE-4BC0-8898-174144F25BC5}</author>
  </authors>
  <commentList>
    <comment ref="M7" authorId="0" shapeId="0" xr:uid="{4062344E-0FCE-4BC0-8898-174144F25BC5}">
      <text>
        <t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Współczynnik emisji wg scenariusza RDF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G5" authorId="0" shapeId="0" xr:uid="{7F6082EE-9380-40AE-8DB5-9D79054A974B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H5" authorId="1" shapeId="0" xr:uid="{3F2E5AFE-5A43-44DE-A3DE-6F8E6B3F61D2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78A84B5C-A508-41E4-BF3C-2DC2847686C3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5" authorId="1" shapeId="0" xr:uid="{94FFD3D1-D331-45C0-B1C1-438F1575446F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29" authorId="0" shapeId="0" xr:uid="{379A3D27-CCB4-4B6B-A378-8083C74A54D9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<sst xmlns="http://schemas.openxmlformats.org/spreadsheetml/2006/main" count="3716" uniqueCount="960">
  <si>
    <t>Typ dokumentu</t>
  </si>
  <si>
    <t>Plik z danymi roku bazowego</t>
  </si>
  <si>
    <t>Cel powstania</t>
  </si>
  <si>
    <t>Wprowadzenie topologii i danych dla sektora rolnictwa</t>
  </si>
  <si>
    <t>Data powstania</t>
  </si>
  <si>
    <t>Ostatnia aktualizacja</t>
  </si>
  <si>
    <t>Autor(zy)</t>
  </si>
  <si>
    <t>Janusz Zyśk</t>
  </si>
  <si>
    <t>Artur Wyrwa</t>
  </si>
  <si>
    <t>Maciej Raczyński</t>
  </si>
  <si>
    <t>Osoba kontaktowa</t>
  </si>
  <si>
    <t>awyrwa@agh.edu.pl</t>
  </si>
  <si>
    <t>Metadane</t>
  </si>
  <si>
    <t>Bazowy</t>
  </si>
  <si>
    <t>Definicja dóbr | Commodity Definition</t>
  </si>
  <si>
    <t>~FI_Comm</t>
  </si>
  <si>
    <t>Csets</t>
  </si>
  <si>
    <t>Region</t>
  </si>
  <si>
    <t>CommName</t>
  </si>
  <si>
    <t>CommDesc</t>
  </si>
  <si>
    <t>Unit</t>
  </si>
  <si>
    <t>LimType</t>
  </si>
  <si>
    <t>CTSLvl</t>
  </si>
  <si>
    <t>PeakTS</t>
  </si>
  <si>
    <t>Ctype</t>
  </si>
  <si>
    <t>* Przynależność do zbioru dóbr</t>
  </si>
  <si>
    <t>Nazwa dobra</t>
  </si>
  <si>
    <t>Opis dobra</t>
  </si>
  <si>
    <t>Jednostka</t>
  </si>
  <si>
    <t>Znak w równaniu bilansu</t>
  </si>
  <si>
    <t>Poziom podokresów</t>
  </si>
  <si>
    <t>Monitorowanie szczytu</t>
  </si>
  <si>
    <t>Wskaźnik energii elektrycznej</t>
  </si>
  <si>
    <t>NRG</t>
  </si>
  <si>
    <t>PL</t>
  </si>
  <si>
    <t>AGR_HC</t>
  </si>
  <si>
    <t>Hard Coal</t>
  </si>
  <si>
    <t>PJ</t>
  </si>
  <si>
    <t>ANNUAL</t>
  </si>
  <si>
    <t>AGR_BC</t>
  </si>
  <si>
    <t>Brown Coal</t>
  </si>
  <si>
    <t>AGR_OIL_GSL</t>
  </si>
  <si>
    <t>Gasoline</t>
  </si>
  <si>
    <t>AGR_OIL_DSL</t>
  </si>
  <si>
    <t>Diesel</t>
  </si>
  <si>
    <t>AGR_OIL_LPG</t>
  </si>
  <si>
    <t>LPG</t>
  </si>
  <si>
    <t>PRI_BIOG_AGR</t>
  </si>
  <si>
    <t>AGR_OIL_FUE</t>
  </si>
  <si>
    <t>Fuel Oil</t>
  </si>
  <si>
    <t>AGR_NAT_GAS</t>
  </si>
  <si>
    <t>Natural Gas</t>
  </si>
  <si>
    <t>Biogas AGR</t>
  </si>
  <si>
    <t>PRI_BIO_CH4_AGR</t>
  </si>
  <si>
    <t>Biometan AGR</t>
  </si>
  <si>
    <t>AGR_BIOG</t>
  </si>
  <si>
    <t>AGR_BIOM</t>
  </si>
  <si>
    <t>Biomass</t>
  </si>
  <si>
    <t>AGR_RDF</t>
  </si>
  <si>
    <t>RDF</t>
  </si>
  <si>
    <t>AGR_ELC</t>
  </si>
  <si>
    <t>Electricity</t>
  </si>
  <si>
    <t>AGR_DH</t>
  </si>
  <si>
    <t>District Heat</t>
  </si>
  <si>
    <t>AGR_OTH_FUE</t>
  </si>
  <si>
    <t>Other Fuels</t>
  </si>
  <si>
    <t>DEM</t>
  </si>
  <si>
    <t>AGR_DEM</t>
  </si>
  <si>
    <t>Agriculture Demand</t>
  </si>
  <si>
    <t>IPI</t>
  </si>
  <si>
    <t>ENV</t>
  </si>
  <si>
    <t>AGR_CO2</t>
  </si>
  <si>
    <t>Carbon Dioxide - Combustion (AGR)</t>
  </si>
  <si>
    <t>kt</t>
  </si>
  <si>
    <t>AGR_SO2</t>
  </si>
  <si>
    <t>Sulphur Dioxide - Combustion (AGR)</t>
  </si>
  <si>
    <t>AGR_NOX</t>
  </si>
  <si>
    <t>Nitrogen Oxides - Combustion (AGR)</t>
  </si>
  <si>
    <t>AGR_TSP</t>
  </si>
  <si>
    <t>Total Suspended Particulate - Combustion (AGR)</t>
  </si>
  <si>
    <t>AGR_PM10</t>
  </si>
  <si>
    <t>Particulate Matter &lt;= 10 um - Combustion (AGR)</t>
  </si>
  <si>
    <t>AGR_PM2.5</t>
  </si>
  <si>
    <t>Particulate Matter &lt;= 2.5 um - Combustion (AGR)</t>
  </si>
  <si>
    <t>AGR_HG</t>
  </si>
  <si>
    <t>Mercury - Combustion (AGR)</t>
  </si>
  <si>
    <t>ELC_GNC</t>
  </si>
  <si>
    <t>Generic Electricity - all voltages</t>
  </si>
  <si>
    <t>DAYNITE</t>
  </si>
  <si>
    <t>ELC</t>
  </si>
  <si>
    <t>\I:</t>
  </si>
  <si>
    <t>ELC_AGR_CHPI</t>
  </si>
  <si>
    <t>HT_AGR_CHPI</t>
  </si>
  <si>
    <t>AGR_HT_OWN_USE</t>
  </si>
  <si>
    <t>\I: nowododane dobra dla biogazowni</t>
  </si>
  <si>
    <t>\I: NRG</t>
  </si>
  <si>
    <t>AGR_BIO_CH4</t>
  </si>
  <si>
    <t>Agricultural Biomethane</t>
  </si>
  <si>
    <t>AGR_N2O</t>
  </si>
  <si>
    <t>Nitrous Oxide - Field (AGR)</t>
  </si>
  <si>
    <t>AGR_CH4_ENT</t>
  </si>
  <si>
    <t>Methane - Livestock Enteric Digestion (AGR)</t>
  </si>
  <si>
    <t>AGR_CH4_MAN</t>
  </si>
  <si>
    <t>Methane - Livestock Manure (AGR)</t>
  </si>
  <si>
    <t>AGR_CH4_LAND</t>
  </si>
  <si>
    <t>Methane - LAND (AGR)</t>
  </si>
  <si>
    <t>AGR_LIV_MANURE_CAT_DAIRY</t>
  </si>
  <si>
    <t>Animal Manure - Dairy Cattle</t>
  </si>
  <si>
    <t>AGR_LIV_MANURE_CAT_NON-DAIRY</t>
  </si>
  <si>
    <t>Animal Manure - Non Dairy Cattle</t>
  </si>
  <si>
    <t>AGR_LIV_MANURE_SHEEP</t>
  </si>
  <si>
    <t>Animal Manure - Sheep</t>
  </si>
  <si>
    <t>AGR_LIV_MANURE_SWINE</t>
  </si>
  <si>
    <t>Animal Manure - Swine</t>
  </si>
  <si>
    <t>AGR_LIV_MANURE_GOAT</t>
  </si>
  <si>
    <t>Animal Manure - Goat</t>
  </si>
  <si>
    <t>AGR_LIV_MANURE_HORSE</t>
  </si>
  <si>
    <t>Animal Manure - Horse</t>
  </si>
  <si>
    <t>AGR_LIV_MANURE_POULTRY</t>
  </si>
  <si>
    <t>Animal Manure - Poultry</t>
  </si>
  <si>
    <t>AGR_LIV_MANURE_RABBIT</t>
  </si>
  <si>
    <t>Animal Manure - Rabbit</t>
  </si>
  <si>
    <t>AGR_LIV_MANURE_FUR</t>
  </si>
  <si>
    <t>Animal Manure - Furry</t>
  </si>
  <si>
    <t>AGR_RESID_CROP_WHEAT</t>
  </si>
  <si>
    <t>Crop Residues</t>
  </si>
  <si>
    <t>AGR_RESID_CROP_BARLEY</t>
  </si>
  <si>
    <t>AGR_RESID_CROP_MAIZE</t>
  </si>
  <si>
    <t>AGR_RESID_CROP_CER-MIX</t>
  </si>
  <si>
    <t>AGR_RESID_CROP_TRITICALE</t>
  </si>
  <si>
    <t>AGR_RESID_CROP_OATS</t>
  </si>
  <si>
    <t>AGR_RESID_CROP_RYE</t>
  </si>
  <si>
    <t>AGR_RESID_CROP_MILL-BUCK</t>
  </si>
  <si>
    <t>AGR_RESID_CROP_PULS-FEED</t>
  </si>
  <si>
    <t>AGR_RESID_CROP_PULS-EDIB</t>
  </si>
  <si>
    <t>AGR_RESID_CROP_POTATO</t>
  </si>
  <si>
    <t>AGR_RESID_CROP_STR-HAY</t>
  </si>
  <si>
    <t>AGR_RESID_CROP_OIL</t>
  </si>
  <si>
    <t>AGR_RESID_CROP_FRUIT</t>
  </si>
  <si>
    <t>AGR_RESID_CROP_VEG</t>
  </si>
  <si>
    <t>MAT</t>
  </si>
  <si>
    <t>AGR_LIVESTOCK_FOOD</t>
  </si>
  <si>
    <t>Dummy Energy for Agriculture</t>
  </si>
  <si>
    <t>DUM</t>
  </si>
  <si>
    <t>AGR_LAND</t>
  </si>
  <si>
    <t>kha</t>
  </si>
  <si>
    <t>AGR_DUMMY_NRG_CATTLE</t>
  </si>
  <si>
    <t>AGR_DUMMY_NRG_LAND</t>
  </si>
  <si>
    <t>AGR_DUMMY_DMD_LAND</t>
  </si>
  <si>
    <t>Dummy Land Demand for Agriculture</t>
  </si>
  <si>
    <t>AGR_DUMMY_LAND_RESIDUES</t>
  </si>
  <si>
    <t>Dummy Crop Residues for Biogas Production</t>
  </si>
  <si>
    <t>AGR_DEM_LIV_CAT_DAIRY</t>
  </si>
  <si>
    <t>AGR_DEM_LIV_CAT_NON-DAIRY</t>
  </si>
  <si>
    <t>AGR_DEM_LIV_SHEEP</t>
  </si>
  <si>
    <t>AGR_DEM_LIV_SWINE</t>
  </si>
  <si>
    <t>AGR_DEM_LIV_GOAT</t>
  </si>
  <si>
    <t>AGR_DEM_LIV_HORSE</t>
  </si>
  <si>
    <t>AGR_DEM_LIV_POULTRY</t>
  </si>
  <si>
    <t>AGR_DEM_LIV_RABBIT</t>
  </si>
  <si>
    <t>AGR_DEM_LIV_FUR</t>
  </si>
  <si>
    <t>AGR_DEM_LIV_INDIRECT</t>
  </si>
  <si>
    <t>AGR_DEM_CROP_WHEAT</t>
  </si>
  <si>
    <t>AGR_DEM_CROP_BARLEY</t>
  </si>
  <si>
    <t>AGR_DEM_CROP_MAIZE</t>
  </si>
  <si>
    <t>AGR_DEM_CROP_CER-MIX</t>
  </si>
  <si>
    <t>AGR_DEM_CROP_TRITICALE</t>
  </si>
  <si>
    <t>AGR_DEM_CROP_OATS</t>
  </si>
  <si>
    <t>AGR_DEM_CROP_RYE</t>
  </si>
  <si>
    <t>AGR_DEM_CROP_MILL-BUCK</t>
  </si>
  <si>
    <t>AGR_DEM_CROP_PULS-FEED</t>
  </si>
  <si>
    <t>AGR_DEM_CROP_PULS-EDIB</t>
  </si>
  <si>
    <t>AGR_DEM_CROP_POTATO</t>
  </si>
  <si>
    <t>AGR_DEM_CROP_OIL</t>
  </si>
  <si>
    <t>AGR_DEM_CROP_FRUIT</t>
  </si>
  <si>
    <t>AGR_DEM_CROP_VEG</t>
  </si>
  <si>
    <t>Definicja procesów | Process Definition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</si>
  <si>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</si>
  <si>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</si>
  <si>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</si>
  <si>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</si>
  <si>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</si>
  <si>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</si>
  <si>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</si>
  <si>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</si>
  <si>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</si>
  <si>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* Przynależność do zbioru procesów</t>
  </si>
  <si>
    <t>Nazwa regionu</t>
  </si>
  <si>
    <t>Nazwa technologii</t>
  </si>
  <si>
    <t>Opis technologii</t>
  </si>
  <si>
    <t>Jednostka aktywności</t>
  </si>
  <si>
    <t>Jednostka mocy</t>
  </si>
  <si>
    <t>Podokres aktywności procesu</t>
  </si>
  <si>
    <t>Przynależność do grupy głównej dóbr</t>
  </si>
  <si>
    <t>Śledzenie rocznika</t>
  </si>
  <si>
    <t>PRE</t>
  </si>
  <si>
    <t>SECTF_AGR_HC</t>
  </si>
  <si>
    <t>Sector fuel - Hard Coal</t>
  </si>
  <si>
    <t>Pja</t>
  </si>
  <si>
    <t>SECTF_AGR_BC</t>
  </si>
  <si>
    <t>Sector fuel - Brown Coal</t>
  </si>
  <si>
    <t>SECTF_AGR_OIL_GSL</t>
  </si>
  <si>
    <t>Sector fuel - Gasoline</t>
  </si>
  <si>
    <t>SECTF_AGR_OIL_DSL</t>
  </si>
  <si>
    <t>Sector fuel - Diesel</t>
  </si>
  <si>
    <t>SECTF_AGR_OIL_LPG</t>
  </si>
  <si>
    <t>Sector fuel - LPG</t>
  </si>
  <si>
    <t>SECTF_AGR_OIL_FUE</t>
  </si>
  <si>
    <t>Sector fuel - Fuel Oil</t>
  </si>
  <si>
    <t>SECTF_AGR_NAT_GAS</t>
  </si>
  <si>
    <t>Sector fuel - Natural Gas</t>
  </si>
  <si>
    <t>SECTF_AGR_BIOG</t>
  </si>
  <si>
    <t>Sector fuel - Biogas</t>
  </si>
  <si>
    <t>SECTF_AGR_BIOM</t>
  </si>
  <si>
    <t>Sector fuel - Biomass</t>
  </si>
  <si>
    <t>SECTF_AGR_RDF</t>
  </si>
  <si>
    <t>Sector fuel - RDF</t>
  </si>
  <si>
    <t>SECTF_AGR_ELC</t>
  </si>
  <si>
    <t>Sector fuel - Electricity</t>
  </si>
  <si>
    <t>SECTF_AGR_DH</t>
  </si>
  <si>
    <t>Sector fuel - District Heat</t>
  </si>
  <si>
    <t>SECTF_AGR_OTH</t>
  </si>
  <si>
    <t>Sector fuel - Other Fuels</t>
  </si>
  <si>
    <t>DMD</t>
  </si>
  <si>
    <t>AGR_DEM_AGR</t>
  </si>
  <si>
    <t>Agriculture Demand Process</t>
  </si>
  <si>
    <t>IPIa</t>
  </si>
  <si>
    <t>CHP</t>
  </si>
  <si>
    <t>Industrial Chp Plants for biogas from agriculture residues</t>
  </si>
  <si>
    <t>GW</t>
  </si>
  <si>
    <t>NO</t>
  </si>
  <si>
    <t>ELC_VOLT_DIV_AGR_CHPI</t>
  </si>
  <si>
    <t>Voltage Divider - AGR CHPI</t>
  </si>
  <si>
    <t>PJa</t>
  </si>
  <si>
    <t>HT_DIV_AGR_CHPI</t>
  </si>
  <si>
    <t>Heat Divider - AGR CHPI</t>
  </si>
  <si>
    <t>\I: nowododane procesy dla biogazu</t>
  </si>
  <si>
    <t>AGR_EX_BIOG</t>
  </si>
  <si>
    <t>Agriculture Existing Biogass</t>
  </si>
  <si>
    <t>mln m3</t>
  </si>
  <si>
    <t>AGR_EX_BIOG_CLEAN</t>
  </si>
  <si>
    <t>Agriculture Biogaz Cleaning</t>
  </si>
  <si>
    <t>AGR_IMP_DUMMY_NRG_LIV</t>
  </si>
  <si>
    <t>Dummy Energy Import</t>
  </si>
  <si>
    <t>AGR_IMP_LAND_RESIDUE</t>
  </si>
  <si>
    <t>Dummy Import of Crop Residues for Biogas Production</t>
  </si>
  <si>
    <t>AGR_IMP_DUMMY_NRG_LAND</t>
  </si>
  <si>
    <t>Dummy Land Import</t>
  </si>
  <si>
    <t>IMP</t>
  </si>
  <si>
    <t>AGR_IMP_DUMMY_FOOD_LIV</t>
  </si>
  <si>
    <t>1000s of animals</t>
  </si>
  <si>
    <t>AGR_IMP_DUMMY_LAND</t>
  </si>
  <si>
    <t>kha/a</t>
  </si>
  <si>
    <t>AGR_EX_LIV_CAT_DAIRY</t>
  </si>
  <si>
    <t>AGR_LIV_CAT_DAIRY</t>
  </si>
  <si>
    <t>AGR_EX_LIV_CAT_NON-DAIRY</t>
  </si>
  <si>
    <t>AGR_LIV_CAT_NON-DAIRY</t>
  </si>
  <si>
    <t>AGR_EX_LIV_SHEEP</t>
  </si>
  <si>
    <t>AGR_LIV_SHEEP</t>
  </si>
  <si>
    <t>AGR_EX_LIV_SWINE</t>
  </si>
  <si>
    <t>AGR_LIV_SWINE</t>
  </si>
  <si>
    <t>AGR_EX_LIV_GOAT</t>
  </si>
  <si>
    <t>AGR_LIV_GOAT</t>
  </si>
  <si>
    <t>AGR_EX_LIV_HORSE</t>
  </si>
  <si>
    <t>AGR_LIV_HORSE</t>
  </si>
  <si>
    <t>AGR_EX_LIV_POULTRY</t>
  </si>
  <si>
    <t>AGR_LIV_POULTRY</t>
  </si>
  <si>
    <t>AGR_EX_LIV_RABBIT</t>
  </si>
  <si>
    <t>AGR_LIV_RABBIT</t>
  </si>
  <si>
    <t>AGR_EX_LIV_FUR</t>
  </si>
  <si>
    <t>AGR_LIV_FUR</t>
  </si>
  <si>
    <t>AGR_EX_LIV_INDIRECT</t>
  </si>
  <si>
    <t>AGR_FERT_N_INORG</t>
  </si>
  <si>
    <t>AGR_FERT_N_MANURE</t>
  </si>
  <si>
    <t>AGR_FERT_N_SLUDGE</t>
  </si>
  <si>
    <t>AGR_FERT_N_URINE</t>
  </si>
  <si>
    <t>AGR_FERT_N_CROP-RES</t>
  </si>
  <si>
    <t>AGR_FERT_N_MIN</t>
  </si>
  <si>
    <t>AGR_FERT_N_CULT</t>
  </si>
  <si>
    <t>AGR_FERT_N_ATM-DEP</t>
  </si>
  <si>
    <t>AGR_FERT_N_NITR-LEACH</t>
  </si>
  <si>
    <t>AGR_LAND_FERT_CO2_LIM</t>
  </si>
  <si>
    <t>AGR_LAND_FERT_CO2_DOL</t>
  </si>
  <si>
    <t>AGR_LAND_FERT_CO2_UREA</t>
  </si>
  <si>
    <t>AGR_LAND_FERT_CO2_OTH</t>
  </si>
  <si>
    <t>AGR_LAND_CROP_WHEAT</t>
  </si>
  <si>
    <t>AGR_LAND_CROP_BARLEY</t>
  </si>
  <si>
    <t>AGR_LAND_CROP_MAIZE</t>
  </si>
  <si>
    <t>AGR_LAND_CROP_CER-MIX</t>
  </si>
  <si>
    <t>AGR_LAND_CROP_TRITICALE</t>
  </si>
  <si>
    <t>AGR_LAND_CROP_OATS</t>
  </si>
  <si>
    <t>AGR_LAND_CROP_RYE</t>
  </si>
  <si>
    <t>AGR_LAND_CROP_MILL-BUCK</t>
  </si>
  <si>
    <t>AGR_LAND_CROP_PULS-FEED</t>
  </si>
  <si>
    <t>AGR_LAND_CROP_PULS-EDIB</t>
  </si>
  <si>
    <t>AGR_LAND_CROP_POTATO</t>
  </si>
  <si>
    <t>AGR_LAND_CROP_STR-HAY</t>
  </si>
  <si>
    <t>AGR_LAND_CROP_OIL</t>
  </si>
  <si>
    <t>AGR_LAND_CROP_FRUIT</t>
  </si>
  <si>
    <t>AGR_LAND_CROP_VEG</t>
  </si>
  <si>
    <t>\I:IMP</t>
  </si>
  <si>
    <t>\I: PRE</t>
  </si>
  <si>
    <t>Paliwa sektorowe | Sector fuels</t>
  </si>
  <si>
    <t>~FI_T: PL</t>
  </si>
  <si>
    <t>* TechDesc</t>
  </si>
  <si>
    <t>Comm-IN</t>
  </si>
  <si>
    <t>Comm-OUT</t>
  </si>
  <si>
    <t>EFF</t>
  </si>
  <si>
    <t>Share-I~UP</t>
  </si>
  <si>
    <t>FLO_COST~2025</t>
  </si>
  <si>
    <t>FLO_COST~2030</t>
  </si>
  <si>
    <t>FLO_COST~2035</t>
  </si>
  <si>
    <t>FLO_COST~2040</t>
  </si>
  <si>
    <t>FLO_COST~2045</t>
  </si>
  <si>
    <t>FLO_COST~2050</t>
  </si>
  <si>
    <t>FLO_DELIV~2025</t>
  </si>
  <si>
    <t>FLO_DELIV~2030</t>
  </si>
  <si>
    <t>FLO_DELIV~2035</t>
  </si>
  <si>
    <t>FLO_DELIV~2040</t>
  </si>
  <si>
    <t>FLO_DELIV~2045</t>
  </si>
  <si>
    <t>FLO_DELIV~2050</t>
  </si>
  <si>
    <t>FLO_TAX</t>
  </si>
  <si>
    <t>\I: UNITS</t>
  </si>
  <si>
    <t>Mzl/PJ</t>
  </si>
  <si>
    <t>PRI_HC</t>
  </si>
  <si>
    <t>PRI_BC</t>
  </si>
  <si>
    <t>SEC_OIL_GSL</t>
  </si>
  <si>
    <t>SEC_OIL_DSL</t>
  </si>
  <si>
    <t>SEC_OIL_LPG</t>
  </si>
  <si>
    <t>SEC_OIL_FUE</t>
  </si>
  <si>
    <t>PRI_GAS_NAT_LP</t>
  </si>
  <si>
    <t>Biogaz rolniczy wytwarza się sam</t>
  </si>
  <si>
    <t>PRI_BIO_WOOD</t>
  </si>
  <si>
    <t>ELC_LV-LV</t>
  </si>
  <si>
    <t>HT_DH</t>
  </si>
  <si>
    <t>PRI_IND_OTH_FUE</t>
  </si>
  <si>
    <t>MV Jako możliwość</t>
  </si>
  <si>
    <t>~FI_T:PL</t>
  </si>
  <si>
    <t>Comm-OUT-A</t>
  </si>
  <si>
    <t>Stock~2020</t>
  </si>
  <si>
    <t>Stock~2050</t>
  </si>
  <si>
    <t>Input</t>
  </si>
  <si>
    <t>OUTPUT</t>
  </si>
  <si>
    <t>Cap2Act</t>
  </si>
  <si>
    <t>AFA</t>
  </si>
  <si>
    <t>Uzysk manure</t>
  </si>
  <si>
    <t>Współczynnik zebrania</t>
  </si>
  <si>
    <t>Produkcja odpadów max</t>
  </si>
  <si>
    <t>* Technology name</t>
  </si>
  <si>
    <t>Technology description</t>
  </si>
  <si>
    <t>Commodity input</t>
  </si>
  <si>
    <t>Commodity output</t>
  </si>
  <si>
    <t>Thousands Animals</t>
  </si>
  <si>
    <t>Fuel Input per 1000 Animals</t>
  </si>
  <si>
    <t>kt/1000 animals</t>
  </si>
  <si>
    <t>Animals per year</t>
  </si>
  <si>
    <t>file:///C:/Users/gabry/Downloads/2022_Estimation-of-CH4-emissions-from-manure-management-in-China_CCAC_CH4dla_cattle__shieep_swine_goat.pdf</t>
  </si>
  <si>
    <t>Dane wejściowe</t>
  </si>
  <si>
    <t>*TechDesc</t>
  </si>
  <si>
    <t>Cost</t>
  </si>
  <si>
    <t>GUS</t>
  </si>
  <si>
    <t>100 IPI / thousand vehicle</t>
  </si>
  <si>
    <t>Regiony/Województwa</t>
  </si>
  <si>
    <t>Bydło</t>
  </si>
  <si>
    <r>
      <t>Świnie</t>
    </r>
    <r>
      <rPr>
        <vertAlign val="superscript"/>
        <sz val="8"/>
        <rFont val="Fira Sans"/>
        <family val="2"/>
        <charset val="238"/>
      </rPr>
      <t xml:space="preserve"> </t>
    </r>
  </si>
  <si>
    <t>Owce</t>
  </si>
  <si>
    <t>Drób kurzy</t>
  </si>
  <si>
    <r>
      <t>Kozy</t>
    </r>
    <r>
      <rPr>
        <vertAlign val="superscript"/>
        <sz val="8"/>
        <color rgb="FF000000"/>
        <rFont val="Fira Sans"/>
        <family val="2"/>
        <charset val="238"/>
      </rPr>
      <t xml:space="preserve">b </t>
    </r>
    <r>
      <rPr>
        <sz val="8"/>
        <color rgb="FF000000"/>
        <rFont val="Fira Sans"/>
        <family val="2"/>
        <charset val="238"/>
      </rPr>
      <t xml:space="preserve">    </t>
    </r>
    <r>
      <rPr>
        <sz val="8"/>
        <color rgb="FF808080"/>
        <rFont val="Fira Sans"/>
        <family val="2"/>
        <charset val="238"/>
      </rPr>
      <t>Goats</t>
    </r>
  </si>
  <si>
    <t>ogółem</t>
  </si>
  <si>
    <t>w tym krowy</t>
  </si>
  <si>
    <t>w tym lochy</t>
  </si>
  <si>
    <t>w sztukach</t>
  </si>
  <si>
    <t> </t>
  </si>
  <si>
    <t>Polska.................................................</t>
  </si>
  <si>
    <t>Województwa</t>
  </si>
  <si>
    <t>Drób ogółem</t>
  </si>
  <si>
    <t>W tym drób kurzy</t>
  </si>
  <si>
    <t>Polska..........................................................</t>
  </si>
  <si>
    <t>Hodowla zwierząt | Livestock</t>
  </si>
  <si>
    <t>XXX~FI_T:PL</t>
  </si>
  <si>
    <t>XXX~FI_T: PL</t>
  </si>
  <si>
    <t>Stock~2020~2050</t>
  </si>
  <si>
    <t>Output~2020~AGR_N2O</t>
  </si>
  <si>
    <t>Output~2050~AGR_N2O</t>
  </si>
  <si>
    <t>AFA~FX</t>
  </si>
  <si>
    <t>k ha</t>
  </si>
  <si>
    <t>kt/k ha</t>
  </si>
  <si>
    <t>Output~2020~AGR_CO2</t>
  </si>
  <si>
    <t>Output~2050~AGR_CO2</t>
  </si>
  <si>
    <t>ACTFLO</t>
  </si>
  <si>
    <t>kha/kha</t>
  </si>
  <si>
    <t>kt/kha</t>
  </si>
  <si>
    <t>t/ha</t>
  </si>
  <si>
    <t/>
  </si>
  <si>
    <t>Dane wejściowe:</t>
  </si>
  <si>
    <t> KOBIZE</t>
  </si>
  <si>
    <t>Wheat</t>
  </si>
  <si>
    <t>Barley</t>
  </si>
  <si>
    <t>Maize</t>
  </si>
  <si>
    <t>Cereal mixed</t>
  </si>
  <si>
    <t>Triticale</t>
  </si>
  <si>
    <t>Oats</t>
  </si>
  <si>
    <t>Rye</t>
  </si>
  <si>
    <t>Millet and buckwheat</t>
  </si>
  <si>
    <t>Other crops</t>
  </si>
  <si>
    <t>Crop production (t)</t>
  </si>
  <si>
    <t>Wyszczególnienie</t>
  </si>
  <si>
    <t>Powierzchnia
w tys. ha</t>
  </si>
  <si>
    <t>Plony
z 1 ha
w dt</t>
  </si>
  <si>
    <t>Zbiory
w dt</t>
  </si>
  <si>
    <t>Residue/crop ratio</t>
  </si>
  <si>
    <t>Dry matter (dm) fraction of residue</t>
  </si>
  <si>
    <t>TABL. 4. POWIERZCHNIA, PLONY I ZBIORY PSZENICY OGÓŁEM</t>
  </si>
  <si>
    <t>Fraction burned in fields</t>
  </si>
  <si>
    <t>P o l s k a ....................</t>
  </si>
  <si>
    <t>Fraction oxidized</t>
  </si>
  <si>
    <t>TABL. 7. POWIERZCHNIA, PLONY I ZBIORY ŻYTA</t>
  </si>
  <si>
    <t>P o l s k a .....................</t>
  </si>
  <si>
    <t>TABL. 8. POWIERZCHNIA, PLONY I ZBIORY JĘCZMIENIA OGÓŁEM</t>
  </si>
  <si>
    <t>TABL. 11. POWIERZCHNIA, PLONY I ZBIORY OWSA</t>
  </si>
  <si>
    <t>TABL. 12. POWIERZCHNIA, PLONY I ZBIORY PSZENŻYTA OGÓŁEM</t>
  </si>
  <si>
    <t>TABL. 15. POWIERZCHNIA, PLONY I ZBIORY MIESZANEK ZBOŻOWYCH OGÓŁEM</t>
  </si>
  <si>
    <t>TABL. 18. POWIERZCHNIA, PLONY I ZBIORY KUKURYDZY NA ZIARNO</t>
  </si>
  <si>
    <t>TABL. 19. POWIERZCHNIA, PLONY I ZBIORY GRYKI</t>
  </si>
  <si>
    <t>TABL. 20. POWIERZCHNIA, PLONY I ZBIORY PROSA</t>
  </si>
  <si>
    <t>TABL. 24. POWIERZCHNIA, PLONY I ZBIORY ROŚLIN OLEISTYCH</t>
  </si>
  <si>
    <t>TABL. 29. POWIERZCHNIA, PLONY I ZBIORY STRĄCZKOWYCH JADALNYCH (konsumpcyjnych)</t>
  </si>
  <si>
    <t>TABL. 40. POWIERZCHNIA, PLONY I ZBIORY STRĄCZKOWYCH PASTEWNYCH NA ZIELONKĘ</t>
  </si>
  <si>
    <t>P o l s k a ..................</t>
  </si>
  <si>
    <t>Uprawa roślin | Land use in agrigulture</t>
  </si>
  <si>
    <t>OLD~FI_T:PL</t>
  </si>
  <si>
    <t>Output~2020~AGR_CH4_LAND</t>
  </si>
  <si>
    <t>Output~2050~AGR_CH4_LAND</t>
  </si>
  <si>
    <t>Stock~2025</t>
  </si>
  <si>
    <t>Stock~2030</t>
  </si>
  <si>
    <t>Stock~2035</t>
  </si>
  <si>
    <t>Stock~2040</t>
  </si>
  <si>
    <t>Stock~2045</t>
  </si>
  <si>
    <t>* Gross Calorific Value</t>
  </si>
  <si>
    <t>CEFF</t>
  </si>
  <si>
    <t>Share-I</t>
  </si>
  <si>
    <t>VAROM</t>
  </si>
  <si>
    <t>FIXOM</t>
  </si>
  <si>
    <t>FLO_COST</t>
  </si>
  <si>
    <t>Share-I~0</t>
  </si>
  <si>
    <t>mln m3 biogazu na rok</t>
  </si>
  <si>
    <t>MJ / m3</t>
  </si>
  <si>
    <t xml:space="preserve">PJ/mln m3 - </t>
  </si>
  <si>
    <t>kt animal manure / kt all manure</t>
  </si>
  <si>
    <t>kt/kt</t>
  </si>
  <si>
    <t>PLN /m3</t>
  </si>
  <si>
    <t>Produkcja biogazu</t>
  </si>
  <si>
    <t xml:space="preserve">Wartości oryginalne ,,Biometan w miksie energetycznym Polski'' NCBR </t>
  </si>
  <si>
    <t>Wartości użyte: obniżone do poziomu
95% jako osiągalne w skali przemysłowej na rzeczywistych instalacjach biometanowych. Źródło NCBR.</t>
  </si>
  <si>
    <t>suma_land</t>
  </si>
  <si>
    <t>suma_liv</t>
  </si>
  <si>
    <t>suma</t>
  </si>
  <si>
    <t>EUR/PLN =</t>
  </si>
  <si>
    <t>Kategoria kosztu</t>
  </si>
  <si>
    <t>Instalacja średnia (3–8 MW)</t>
  </si>
  <si>
    <t>Instalacja duża (&gt;14 MW)</t>
  </si>
  <si>
    <t>CAPEX – część biogazowa [€/kW]</t>
  </si>
  <si>
    <t>CAPEX – upgrading [€/kW]</t>
  </si>
  <si>
    <t>CAPEX – przyłącze i downstream [€/kW]</t>
  </si>
  <si>
    <t>OPEX – część biogazowa [€/MWh]</t>
  </si>
  <si>
    <t>OPEX – upgrading [€/MWh]</t>
  </si>
  <si>
    <t>Gnojowica [€/t]</t>
  </si>
  <si>
    <t>Obornik [€/t]</t>
  </si>
  <si>
    <t>Odpadów pozbożowe</t>
  </si>
  <si>
    <t>LHV</t>
  </si>
  <si>
    <t>kWh/m3</t>
  </si>
  <si>
    <t>mln m3 / kt</t>
  </si>
  <si>
    <t>EC Rolnicze | Combined Heat and Power Plants in Agriculture</t>
  </si>
  <si>
    <t>Share~2020~2021~FX</t>
  </si>
  <si>
    <t>Share~2025~FX</t>
  </si>
  <si>
    <t>Share~2030~FX</t>
  </si>
  <si>
    <t>Share~2035~FX</t>
  </si>
  <si>
    <t>Share~2040~FX</t>
  </si>
  <si>
    <t>Share~2045~FX</t>
  </si>
  <si>
    <t>Share~2050~FX</t>
  </si>
  <si>
    <t>Stock~2020~2021</t>
  </si>
  <si>
    <t>CHPR~FX</t>
  </si>
  <si>
    <t>CHPR~LO</t>
  </si>
  <si>
    <t>CHPR~UP</t>
  </si>
  <si>
    <t>CEH</t>
  </si>
  <si>
    <t>BNDACT~2020~2021~UP</t>
  </si>
  <si>
    <t>AFA~LO</t>
  </si>
  <si>
    <t>%</t>
  </si>
  <si>
    <t>PJ/GW</t>
  </si>
  <si>
    <t>zl/kW</t>
  </si>
  <si>
    <t>zl/GJ</t>
  </si>
  <si>
    <t>Voltage Dividers</t>
  </si>
  <si>
    <t>NIEAKTYWNE~FI_T: PL</t>
  </si>
  <si>
    <t>Share-O~UP</t>
  </si>
  <si>
    <t>ELC_HV</t>
  </si>
  <si>
    <t>ELC_MV</t>
  </si>
  <si>
    <t>ELC_LV</t>
  </si>
  <si>
    <t>Heat Dividers</t>
  </si>
  <si>
    <t>HT_HT_I</t>
  </si>
  <si>
    <t>Final energy consumption</t>
  </si>
  <si>
    <t>Input~2020</t>
  </si>
  <si>
    <t>Input~2050</t>
  </si>
  <si>
    <t>Fuel Input per 1 IPI</t>
  </si>
  <si>
    <t>Agriculture Input [PJ] - see sheet ESTAT_2020</t>
  </si>
  <si>
    <t>Emisje sektorowe | Sectoral emissions</t>
  </si>
  <si>
    <t>~PRCCOMEMI: PL</t>
  </si>
  <si>
    <t>kt/PJ</t>
  </si>
  <si>
    <t>t/PJ</t>
  </si>
  <si>
    <t>0.003</t>
  </si>
  <si>
    <t>0.004</t>
  </si>
  <si>
    <t>6.81293E-05</t>
  </si>
  <si>
    <t>0.00018</t>
  </si>
  <si>
    <t>Poland</t>
  </si>
  <si>
    <t>TOTAL</t>
  </si>
  <si>
    <t>C0000X0350-0370</t>
  </si>
  <si>
    <t>C0110</t>
  </si>
  <si>
    <t>C0121</t>
  </si>
  <si>
    <t>C0129</t>
  </si>
  <si>
    <t>C0210</t>
  </si>
  <si>
    <t>C0220</t>
  </si>
  <si>
    <t>C0320</t>
  </si>
  <si>
    <t>C0311</t>
  </si>
  <si>
    <t>C0312</t>
  </si>
  <si>
    <t>C0340</t>
  </si>
  <si>
    <t>C0330</t>
  </si>
  <si>
    <t>C0350-0370</t>
  </si>
  <si>
    <t>C0360</t>
  </si>
  <si>
    <t>C0350</t>
  </si>
  <si>
    <t>C0371</t>
  </si>
  <si>
    <t>C0379</t>
  </si>
  <si>
    <t>P1000</t>
  </si>
  <si>
    <t>P1100</t>
  </si>
  <si>
    <t>P1200</t>
  </si>
  <si>
    <t>S2000</t>
  </si>
  <si>
    <t>O4000XBIO</t>
  </si>
  <si>
    <t>O4100_TOT</t>
  </si>
  <si>
    <t>O4200</t>
  </si>
  <si>
    <t>O4300</t>
  </si>
  <si>
    <t>O4400X4410</t>
  </si>
  <si>
    <t>O4500</t>
  </si>
  <si>
    <t>O4610</t>
  </si>
  <si>
    <t>O4620</t>
  </si>
  <si>
    <t>O4630</t>
  </si>
  <si>
    <t>O4652XR5210B</t>
  </si>
  <si>
    <t>O4651</t>
  </si>
  <si>
    <t>O4653</t>
  </si>
  <si>
    <t>O4661XR5230B</t>
  </si>
  <si>
    <t>O4669</t>
  </si>
  <si>
    <t>O4640</t>
  </si>
  <si>
    <t>O4671XR5220B</t>
  </si>
  <si>
    <t>O4680</t>
  </si>
  <si>
    <t>O4691</t>
  </si>
  <si>
    <t>O4692</t>
  </si>
  <si>
    <t>O4695</t>
  </si>
  <si>
    <t>O4694</t>
  </si>
  <si>
    <t>O4693</t>
  </si>
  <si>
    <t>O4699</t>
  </si>
  <si>
    <t>G3000</t>
  </si>
  <si>
    <t>RA000</t>
  </si>
  <si>
    <t>RA100</t>
  </si>
  <si>
    <t>RA500</t>
  </si>
  <si>
    <t>RA300</t>
  </si>
  <si>
    <t>RA420</t>
  </si>
  <si>
    <t>RA410</t>
  </si>
  <si>
    <t>RA200</t>
  </si>
  <si>
    <t>R5110-5150_W6000RI</t>
  </si>
  <si>
    <t>R5160</t>
  </si>
  <si>
    <t>R5300</t>
  </si>
  <si>
    <t>W6210</t>
  </si>
  <si>
    <t>R5210P</t>
  </si>
  <si>
    <t>R5210B</t>
  </si>
  <si>
    <t>R5220P</t>
  </si>
  <si>
    <t>R5220B</t>
  </si>
  <si>
    <t>R5230P</t>
  </si>
  <si>
    <t>R5230B</t>
  </si>
  <si>
    <t>R5290</t>
  </si>
  <si>
    <t>RA600</t>
  </si>
  <si>
    <t>W6100_6220</t>
  </si>
  <si>
    <t>W6100</t>
  </si>
  <si>
    <t>W6220</t>
  </si>
  <si>
    <t>N900H</t>
  </si>
  <si>
    <t>H8000</t>
  </si>
  <si>
    <t>E7000</t>
  </si>
  <si>
    <t>FE</t>
  </si>
  <si>
    <t>BIOE</t>
  </si>
  <si>
    <t>ktoe</t>
  </si>
  <si>
    <t>Total</t>
  </si>
  <si>
    <t>Solid fossil fuels</t>
  </si>
  <si>
    <t>Anthracite</t>
  </si>
  <si>
    <t>Coking coal</t>
  </si>
  <si>
    <t>Other bituminous coal</t>
  </si>
  <si>
    <t>Sub-bituminous coal</t>
  </si>
  <si>
    <t>Lignite</t>
  </si>
  <si>
    <t>Patent fuel</t>
  </si>
  <si>
    <t>Coke oven coke</t>
  </si>
  <si>
    <t>Gas coke</t>
  </si>
  <si>
    <t>Coal tar</t>
  </si>
  <si>
    <t>Brown coal briquettes</t>
  </si>
  <si>
    <t>Manufactured gases</t>
  </si>
  <si>
    <t>Gas works gas</t>
  </si>
  <si>
    <t>Coke oven gas</t>
  </si>
  <si>
    <t>Blast furnace gas</t>
  </si>
  <si>
    <t>Other recovered gases</t>
  </si>
  <si>
    <t>Peat and peat products</t>
  </si>
  <si>
    <t>Peat</t>
  </si>
  <si>
    <t>Peat products</t>
  </si>
  <si>
    <t>Oil shale and oil sands</t>
  </si>
  <si>
    <t>Oil and petroleum products</t>
  </si>
  <si>
    <t>Crude oil</t>
  </si>
  <si>
    <t>Natural gas liquids</t>
  </si>
  <si>
    <t>Refinery feedstocks</t>
  </si>
  <si>
    <t>Additives and oxygenates (excluding biofuel portion)</t>
  </si>
  <si>
    <t>Other hydrocarbons</t>
  </si>
  <si>
    <t>Refinery gas</t>
  </si>
  <si>
    <t>Ethane</t>
  </si>
  <si>
    <t>Liquefied petroleum gases</t>
  </si>
  <si>
    <t>Motor gasoline (excluding biofuel portion)</t>
  </si>
  <si>
    <t>Aviation gasoline</t>
  </si>
  <si>
    <t>Gasoline-type jet fuel</t>
  </si>
  <si>
    <t>Kerosene-type jet fuel (excluding biofuel portion)</t>
  </si>
  <si>
    <t>Other kerosene</t>
  </si>
  <si>
    <t>Naphtha</t>
  </si>
  <si>
    <t>Gas oil and diesel oil (excluding biofuel portion)</t>
  </si>
  <si>
    <t>Fuel oil</t>
  </si>
  <si>
    <t>White spirit and special boiling point industrial spirits</t>
  </si>
  <si>
    <t>Lubricants</t>
  </si>
  <si>
    <t>Bitumen</t>
  </si>
  <si>
    <t>Petroleum coke</t>
  </si>
  <si>
    <t>Paraffin waxes</t>
  </si>
  <si>
    <t>Other oil products</t>
  </si>
  <si>
    <t>Natural gas</t>
  </si>
  <si>
    <t>Renewables and biofuels</t>
  </si>
  <si>
    <t>Hydro</t>
  </si>
  <si>
    <t>Tide, wave, ocean</t>
  </si>
  <si>
    <t>Wind</t>
  </si>
  <si>
    <t>Solar photovoltaic</t>
  </si>
  <si>
    <t>Solar thermal</t>
  </si>
  <si>
    <t>Geothermal</t>
  </si>
  <si>
    <t>Primary solid biofuels</t>
  </si>
  <si>
    <t>Charcoal</t>
  </si>
  <si>
    <t>Biogases</t>
  </si>
  <si>
    <t>Renewable municipal waste</t>
  </si>
  <si>
    <t>Pure biogasoline</t>
  </si>
  <si>
    <t>Blended biogasoline</t>
  </si>
  <si>
    <t>Pure biodiesels</t>
  </si>
  <si>
    <t>Blended biodiesels</t>
  </si>
  <si>
    <t>Pure bio jet kerosene</t>
  </si>
  <si>
    <t>Blended bio jet kerosene</t>
  </si>
  <si>
    <t>Other liquid biofuels</t>
  </si>
  <si>
    <t>Ambient heat (heat pumps)</t>
  </si>
  <si>
    <t>Non-renewable waste</t>
  </si>
  <si>
    <t>Industrial waste (non-renewable)</t>
  </si>
  <si>
    <t>Non-renewable municipal waste</t>
  </si>
  <si>
    <t>Nuclear heat</t>
  </si>
  <si>
    <t>Heat</t>
  </si>
  <si>
    <t>Fossil energy</t>
  </si>
  <si>
    <t>Bioenergy</t>
  </si>
  <si>
    <t>+</t>
  </si>
  <si>
    <t>Other sectors</t>
  </si>
  <si>
    <t>FC_OTH_E</t>
  </si>
  <si>
    <t>Z</t>
  </si>
  <si>
    <t>Commercial &amp; public services</t>
  </si>
  <si>
    <t>FC_OTH_CP_E</t>
  </si>
  <si>
    <t>Households</t>
  </si>
  <si>
    <t>FC_OTH_HH_E</t>
  </si>
  <si>
    <t>Agriculture &amp; forestry</t>
  </si>
  <si>
    <t>FC_OTH_AF_E</t>
  </si>
  <si>
    <t>Fishing</t>
  </si>
  <si>
    <t>FC_OTH_FISH_E</t>
  </si>
  <si>
    <t>Not elsewhere specified (other)</t>
  </si>
  <si>
    <t>FC_OTH_NSP_E</t>
  </si>
  <si>
    <t>Commercial</t>
  </si>
  <si>
    <t>Agriculture</t>
  </si>
  <si>
    <t>Tabl. 4(94) Bilans całkowity (2020)</t>
  </si>
  <si>
    <t>Table 4(94) Complete balance (2020)</t>
  </si>
  <si>
    <t>WYSZCZEGÓLNIENIE</t>
  </si>
  <si>
    <t>Energia cieplna</t>
  </si>
  <si>
    <t>Energia elektryczna</t>
  </si>
  <si>
    <t>SPECIFICATION</t>
  </si>
  <si>
    <t>TWh</t>
  </si>
  <si>
    <t>Pozyskanie
Primary production</t>
  </si>
  <si>
    <t>Produkty z odzysku
Recovered &amp; recycled products</t>
  </si>
  <si>
    <t>Import
Imports</t>
  </si>
  <si>
    <t>Eksport
Exports</t>
  </si>
  <si>
    <t>Zmiana zapasów
Change in stock</t>
  </si>
  <si>
    <t>Energia dostępna brutto
Gross available energy</t>
  </si>
  <si>
    <t>Międzynarodowy bunkier morski
International maritime bunkers</t>
  </si>
  <si>
    <t>Krajowe zużycie brutto
Gross inland consumption</t>
  </si>
  <si>
    <t>Transport lotniczy międzynarodowy
International aviation</t>
  </si>
  <si>
    <t>Całkowita podaż energii
Total energy supply</t>
  </si>
  <si>
    <t xml:space="preserve">   Krajowe zużycie brutto (Europa 2020-2030)
   Gross inland consumption (Europe 2020-2030)</t>
  </si>
  <si>
    <t xml:space="preserve">   Zużycie energii pierwotnej (Europa 2020-2030)
   Primary energy consumption (Europe 2020-2030)</t>
  </si>
  <si>
    <t xml:space="preserve">   Zużycie końcowe energii (Europa 2020-2030)
   Final energy consumption (Europe 2020-2030)</t>
  </si>
  <si>
    <t>Wsad przemian
Transformation input</t>
  </si>
  <si>
    <t xml:space="preserve">   Wytwarzanie energii elektrycznej i ciepła
   Electricity &amp; heat generation</t>
  </si>
  <si>
    <t xml:space="preserve">      Elektrownie zawodowe
      Main activity producer electricity only</t>
  </si>
  <si>
    <t xml:space="preserve">      Instalacje elektrociepłowni zawodowych
      Main activity producer CHP</t>
  </si>
  <si>
    <t xml:space="preserve">      Ciepłownie zawodowe
      Main activity producer heat only</t>
  </si>
  <si>
    <t xml:space="preserve">      Elektrownie przemysłowe
      Autoproducer electricity only</t>
  </si>
  <si>
    <t xml:space="preserve">      Instalacje elektrociepłowni przemysłowych
      Autoproducer CHP </t>
  </si>
  <si>
    <t xml:space="preserve">      Ciepłownie przemysłowe
      Autoproducer heat only</t>
  </si>
  <si>
    <t xml:space="preserve">      Pompy ciepła
      Electrically driven heat pumps</t>
  </si>
  <si>
    <t xml:space="preserve">      Kotły elektryczne
      Electric boilers</t>
  </si>
  <si>
    <t xml:space="preserve">      Elektrownie szczytowo-pompowe
      Electricity for pumped storage</t>
  </si>
  <si>
    <t xml:space="preserve">      Ciepło wykorzystane do produkcji energii
      elektrycznej
      Derived heat for electricity production</t>
  </si>
  <si>
    <t xml:space="preserve">   Koksownie
   Coke ovens</t>
  </si>
  <si>
    <t xml:space="preserve">   Wielkie piece
   Blast furnaces</t>
  </si>
  <si>
    <t xml:space="preserve">   Gazownie
   Gas works</t>
  </si>
  <si>
    <t xml:space="preserve">   Rafinerie
   Refineries &amp; petrochemical industry</t>
  </si>
  <si>
    <t xml:space="preserve">      Wsad do rafinerii
      Refinery intake</t>
  </si>
  <si>
    <t xml:space="preserve">      Zwroty z sektora petrochemicznego
      Backflows from petrochemical industry</t>
  </si>
  <si>
    <t xml:space="preserve">      Produkty przetwarzane
      Products transferred</t>
  </si>
  <si>
    <t xml:space="preserve">      Produkty przeklasyfikowane
      Interproduct transfers</t>
  </si>
  <si>
    <t xml:space="preserve">      Zużycie bezpośrednie
      Direct use</t>
  </si>
  <si>
    <t xml:space="preserve">      Wsad do przemysłu petrochemicznego
      Petrochemical industry intake</t>
  </si>
  <si>
    <t xml:space="preserve">   Brykietownie węgla kamiennego
   Patent fuel plants</t>
  </si>
  <si>
    <t xml:space="preserve">   Brykietownie węgla brunatnego i torfu
   BKB &amp; PB plants</t>
  </si>
  <si>
    <t xml:space="preserve">   Upłynnianie węgla
   Coal liquefaction plants</t>
  </si>
  <si>
    <t xml:space="preserve">   Mieszalnie gazu ziemnego
   For blended natural gas</t>
  </si>
  <si>
    <t xml:space="preserve">   Do zmieszania z benzyną silnikową/olejem 
   napędowym/naftą lotniczą
   Liquid biofuels blended</t>
  </si>
  <si>
    <t xml:space="preserve">   Zakłady produkcji węgla drzewnego
   Charcoal production plants</t>
  </si>
  <si>
    <t xml:space="preserve">   Instalacje przetwarzania gazu na paliwa ciekłe
   Gas-to-liquids plants</t>
  </si>
  <si>
    <t xml:space="preserve">   Nigdzie indziej niewymienione
   Not elsewhere specified </t>
  </si>
  <si>
    <t>Uzysk przemian
Transformation output</t>
  </si>
  <si>
    <t xml:space="preserve">      Uzysk rafinerii
      Refinery output</t>
  </si>
  <si>
    <t xml:space="preserve">      Zwroty
      Backflows</t>
  </si>
  <si>
    <t xml:space="preserve">      Dostawy produktów pierwotnych
      Primary products receips</t>
  </si>
  <si>
    <t xml:space="preserve">      Zwroty z przemysłu petrochemicznego
      Petrochemical industry returns</t>
  </si>
  <si>
    <t>Sektor energetyczny
Energy sector</t>
  </si>
  <si>
    <t xml:space="preserve">   Elektrownie, elektrociepłownie oraz ciepłownie
   Own use in electricity &amp; heat generation</t>
  </si>
  <si>
    <t xml:space="preserve">   Kopalnie węgla
   Coal mines</t>
  </si>
  <si>
    <t xml:space="preserve">   Wydobycie ropy i gazu
   Oil &amp; natural gas extraction plants</t>
  </si>
  <si>
    <t xml:space="preserve">   Rafinerie ropy naftowej
   Petroleum refineries (oil refineries)</t>
  </si>
  <si>
    <t xml:space="preserve">   Przemysł jądrowy
   Nuclear industry</t>
  </si>
  <si>
    <t xml:space="preserve">   Skraplanie (LNG) lub zgazowanie
   Liquefaction &amp; regasification plants (LNG)</t>
  </si>
  <si>
    <t xml:space="preserve">   Zakłady zgazowania (biogaz)
   Gasification plants for biogas</t>
  </si>
  <si>
    <t xml:space="preserve">   Instalacje przetwarzania gazu na paliwa ciekłe
   Gas-to-liquids (GTL) plants</t>
  </si>
  <si>
    <t xml:space="preserve">   Nigdzie indziej niewymienione
   Not elsewhere specified (energy)</t>
  </si>
  <si>
    <t>Straty w dystrybucji
Distribution losses</t>
  </si>
  <si>
    <t>Zużycie finalne ogółem
Available for final consumption</t>
  </si>
  <si>
    <t>Zużycie nieenergetyczne
Final non-energy consumption</t>
  </si>
  <si>
    <t xml:space="preserve">   Zużycie nieenergetyczne w przemyśle/
   energetyce/przemianach
   Non-energy use industry/transformation/energy</t>
  </si>
  <si>
    <t xml:space="preserve">      W sektorze przemian
      Non-energy use in transformation sector</t>
  </si>
  <si>
    <t xml:space="preserve">      W sektorze energetycznym
      Non-energy use in energy sector</t>
  </si>
  <si>
    <t xml:space="preserve">      W sektorze przemysłu
      Non-energy use in industry sector</t>
  </si>
  <si>
    <t xml:space="preserve">   Zużycie nieenergetyczne w sektorze 
   transportowym
   Non-energy use in transport sector</t>
  </si>
  <si>
    <t xml:space="preserve">   Zużycie nieenergetyczne w pozostałych 
   sektorach
   Non-energy use in other sectors</t>
  </si>
  <si>
    <t>Zużycie końcowe energii
Final energy consumption</t>
  </si>
  <si>
    <t xml:space="preserve">   Sektor przemysłowy
   Industry sector</t>
  </si>
  <si>
    <t xml:space="preserve">      Przemysł hutniczy
      Iron &amp; steel</t>
  </si>
  <si>
    <t xml:space="preserve">      Przemysł chemiczny i petrochemiczny
      Chemical &amp; petrochemical</t>
  </si>
  <si>
    <t xml:space="preserve">      Przemysł metali nieżelaznych
      Non-ferrous metals</t>
  </si>
  <si>
    <t xml:space="preserve">      Przemysł surowców niemetalicznych
      Non-metallic minerals</t>
  </si>
  <si>
    <t xml:space="preserve">      Przemysł środków transportu
      Transport equipment</t>
  </si>
  <si>
    <t xml:space="preserve">      Przemysł maszynowy
      Machinery</t>
  </si>
  <si>
    <t xml:space="preserve">      Przemysł wydobywczy
      Mining &amp; quarrying</t>
  </si>
  <si>
    <t xml:space="preserve">      Przemysł spożywczy i tytoniowy
      Food, beverages &amp; tobacco</t>
  </si>
  <si>
    <t xml:space="preserve">      Przemysł papierniczy i poligraficzny
      Paper, pulp &amp; printing</t>
  </si>
  <si>
    <t xml:space="preserve">      Przemysł drzewny
      Wood &amp; wood products</t>
  </si>
  <si>
    <t xml:space="preserve">      Budownictwo
      Construction</t>
  </si>
  <si>
    <t xml:space="preserve">      Przemysł tekstylny i skórzany
      Textile &amp; leather</t>
  </si>
  <si>
    <t xml:space="preserve">      Nigdzie indziej niewymienione
      Not elsewhere specified (industry)</t>
  </si>
  <si>
    <t xml:space="preserve">   Sektor transportu
   Transport sector</t>
  </si>
  <si>
    <t xml:space="preserve">      Kolej
      Rail</t>
  </si>
  <si>
    <t xml:space="preserve">      Transport drogowy
      Road</t>
  </si>
  <si>
    <t xml:space="preserve">      Transport lotniczy krajowy
      Domestic aviation</t>
  </si>
  <si>
    <t xml:space="preserve">      Żegluga krajowa
      Domestic navigation</t>
  </si>
  <si>
    <t xml:space="preserve">      Transport rurociągowy
      Pipeline transport</t>
  </si>
  <si>
    <t xml:space="preserve">      Nigdzie indziej niewymienione – transport
      Not elsewhere specified (transport)</t>
  </si>
  <si>
    <t xml:space="preserve">   Inne sektory
   Other sectors</t>
  </si>
  <si>
    <t xml:space="preserve">      Sektor usług i użyteczności publicznej
      Commercial &amp; public services</t>
  </si>
  <si>
    <t xml:space="preserve">      Gospodarstwa domowe
      Households</t>
  </si>
  <si>
    <t xml:space="preserve">      Rolnictwo/leśnictwo
      Agriculture &amp; forestry</t>
  </si>
  <si>
    <t xml:space="preserve">      Rybołówstwo
      Fishing</t>
  </si>
  <si>
    <t xml:space="preserve">      Nigdzie indziej niewymienione – Inne
      Not elsewhere specified (other)</t>
  </si>
  <si>
    <t>Różnice statystyczne
Statistical differences</t>
  </si>
  <si>
    <t>Arkusz</t>
  </si>
  <si>
    <t>SECTF</t>
  </si>
  <si>
    <t>Moduł</t>
  </si>
  <si>
    <t>Uwagi</t>
  </si>
  <si>
    <t>Zaktualizowano listę procesów i dóbr</t>
  </si>
  <si>
    <t>AGR_LIV</t>
  </si>
  <si>
    <t>AGR_Comm</t>
  </si>
  <si>
    <t>Zaktualizowano listę dóbr</t>
  </si>
  <si>
    <t xml:space="preserve">Zaktualizowano listę procesów </t>
  </si>
  <si>
    <t>Patrycja Rzeszut</t>
  </si>
  <si>
    <t>Wersja modelu  wykorzystująca plik: TIMES-PL</t>
  </si>
  <si>
    <t>AGR_CHP</t>
  </si>
  <si>
    <t>DIV</t>
  </si>
  <si>
    <t>EMI</t>
  </si>
  <si>
    <t>AGR_FEC</t>
  </si>
  <si>
    <t>TIMES-PL Rozszerzenie</t>
  </si>
  <si>
    <t>\I: TechDesc</t>
  </si>
  <si>
    <t>Industrial Own Heat Consumption</t>
  </si>
  <si>
    <t>AGR_DEM_OWN_HEAT</t>
  </si>
  <si>
    <t>Demand for own use in agr</t>
  </si>
  <si>
    <t>NIEAKTYWNE~~FI_T: PL</t>
  </si>
  <si>
    <t>Heat demand related to CHPs in agr.,  e.g. drying</t>
  </si>
  <si>
    <t>\I: Previously Defined - For Copying</t>
  </si>
  <si>
    <t>AGR_Proc</t>
  </si>
  <si>
    <t>AGR_DEM_HT_OWN_USE</t>
  </si>
  <si>
    <t>CHPI_EX_BIOG_AGR</t>
  </si>
  <si>
    <t>\I: ENV</t>
  </si>
  <si>
    <t>PRI_NREN_RDF</t>
  </si>
  <si>
    <t>PRI_REN_RDF</t>
  </si>
  <si>
    <t>FLO_COST~2020~2021</t>
  </si>
  <si>
    <t>FLO_DELIV~2020~2021</t>
  </si>
  <si>
    <t>Share-I~UP~0</t>
  </si>
  <si>
    <t>AGR_MACH_WORK</t>
  </si>
  <si>
    <t>AGR_DRY_SVC</t>
  </si>
  <si>
    <t>AGR_PRC_MECH_WORK</t>
  </si>
  <si>
    <t>GUS EUROSTAT</t>
  </si>
  <si>
    <t>ZUŻYCIE FINALNLE</t>
  </si>
  <si>
    <t>Zwierzęta gospodarskie w 2024 r.</t>
  </si>
  <si>
    <r>
      <t xml:space="preserve">TABL. 3. ZWIERZĘTA GOSPODARSKIE WEDŁUG REGIONÓW I WOJEWÓDZTW W GRUDNIU 2024 R. </t>
    </r>
    <r>
      <rPr>
        <b/>
        <vertAlign val="superscript"/>
        <sz val="8"/>
        <rFont val="Fira Sans"/>
        <family val="2"/>
        <charset val="238"/>
      </rPr>
      <t>a/</t>
    </r>
  </si>
  <si>
    <t>TABL. 12. DRÓB WEDŁUG STANU W GRUDNIU ORAZ WEDŁUG WOJEWÓDZTW W 2024 R.</t>
  </si>
  <si>
    <t>Produkcja upraw rolnych i ogrodniczych w 2024 r.</t>
  </si>
  <si>
    <r>
      <t xml:space="preserve">TABL. 22. POWIERZCHNIA, PLONY I ZBIORY ZIEMNIAKÓW </t>
    </r>
    <r>
      <rPr>
        <b/>
        <vertAlign val="superscript"/>
        <sz val="8"/>
        <rFont val="Arial"/>
        <family val="2"/>
        <charset val="238"/>
      </rPr>
      <t>a)</t>
    </r>
  </si>
  <si>
    <t>Tablica 1. Zużycie węgla kamiennego *</t>
  </si>
  <si>
    <t>tys. t</t>
  </si>
  <si>
    <t>Tablica 2. Zużycie gazu ziemnego</t>
  </si>
  <si>
    <t>Tablica 4. Zużycie lekkiego oleju opałowego</t>
  </si>
  <si>
    <t>Tablica 6. Zużycie ciepła*</t>
  </si>
  <si>
    <t>TJ</t>
  </si>
  <si>
    <t>Tablica 7. Zużycie energii elektrycznej*</t>
  </si>
  <si>
    <t>GWh</t>
  </si>
  <si>
    <t>Tablica 3. Zużycie gazu ciekłego (bez pojazdów)</t>
  </si>
  <si>
    <t xml:space="preserve">tys. t   </t>
  </si>
  <si>
    <t>GUS Zużycie paliw i nośników energii w 2024 r.</t>
  </si>
  <si>
    <t>Rolnictwo</t>
  </si>
  <si>
    <t xml:space="preserve"> Energia ogółem</t>
  </si>
  <si>
    <t xml:space="preserve"> TJ</t>
  </si>
  <si>
    <t xml:space="preserve"> Energia pierwotna</t>
  </si>
  <si>
    <t xml:space="preserve">   Węgiel kamienny energetyczny</t>
  </si>
  <si>
    <t xml:space="preserve">   Węgiel brunatny</t>
  </si>
  <si>
    <t xml:space="preserve">   Gaz ziemny wysokometanowy</t>
  </si>
  <si>
    <t xml:space="preserve">   Gaz ziemny zaazotowany</t>
  </si>
  <si>
    <t xml:space="preserve">   Torf i drewno</t>
  </si>
  <si>
    <t xml:space="preserve">   Paliwa odpadowe stałe roślinne i zwierzęce</t>
  </si>
  <si>
    <t xml:space="preserve"> Energia pochodna</t>
  </si>
  <si>
    <t xml:space="preserve">   Brykiety z węgla kamiennego</t>
  </si>
  <si>
    <t xml:space="preserve">   Koks i półkoks</t>
  </si>
  <si>
    <t xml:space="preserve">   Gaz ciekły</t>
  </si>
  <si>
    <t xml:space="preserve">   Benzyny silnikowe</t>
  </si>
  <si>
    <t xml:space="preserve">   Benzyny lotnicze</t>
  </si>
  <si>
    <t xml:space="preserve">   Oleje napędowe pozostałe</t>
  </si>
  <si>
    <t xml:space="preserve">   Olej napędowy I</t>
  </si>
  <si>
    <t xml:space="preserve">   Lekki olej opałowy</t>
  </si>
  <si>
    <t xml:space="preserve">   Produkty nieenergetyczne</t>
  </si>
  <si>
    <t xml:space="preserve">   Energia elektryczna</t>
  </si>
  <si>
    <t xml:space="preserve">   Ciepło</t>
  </si>
  <si>
    <t xml:space="preserve">   Ciężki olej opałowy</t>
  </si>
  <si>
    <t>Jednostka miary</t>
  </si>
  <si>
    <t>GUS gospodarka_paliwowo-energetyczna_w_latach_2023-2024._tablice_w_formacie_xlsx</t>
  </si>
  <si>
    <t>Ciepło</t>
  </si>
  <si>
    <t>Stock~2024</t>
  </si>
  <si>
    <t>AGR_LIV_HT</t>
  </si>
  <si>
    <t>AGR_LIV_ELC_SVC</t>
  </si>
  <si>
    <t>AGR_OTH_SVC</t>
  </si>
  <si>
    <t>Gaz ziemny razem</t>
  </si>
  <si>
    <t>Torf i drewno</t>
  </si>
  <si>
    <t>Benzyny silnikowe i lotnicze</t>
  </si>
  <si>
    <t>Węgiel brunatny</t>
  </si>
  <si>
    <t>Brykiety, koks i półkoks</t>
  </si>
  <si>
    <t>Gaz ciekły</t>
  </si>
  <si>
    <t>Oleje napędowe</t>
  </si>
  <si>
    <t>Oleje opałowe</t>
  </si>
  <si>
    <t>Węgiel kamienny en.</t>
  </si>
  <si>
    <t>Paliwo/nośnik</t>
  </si>
  <si>
    <t>Udział paliwa/nośnika w dost. usługi</t>
  </si>
  <si>
    <t>Suma</t>
  </si>
  <si>
    <t>CROP</t>
  </si>
  <si>
    <t>LIV</t>
  </si>
  <si>
    <t>Przydział</t>
  </si>
  <si>
    <t>Stock</t>
  </si>
  <si>
    <t>Energochłonność wzgl.</t>
  </si>
  <si>
    <t>UPRAWY</t>
  </si>
  <si>
    <t>[kha]</t>
  </si>
  <si>
    <t>[PJ/kha]</t>
  </si>
  <si>
    <t>Zużycie energii przez usługę</t>
  </si>
  <si>
    <t>Check</t>
  </si>
  <si>
    <t>[tys. szt.]</t>
  </si>
  <si>
    <t>[PJ/tys. szt.]</t>
  </si>
  <si>
    <t>HODOWLA</t>
  </si>
  <si>
    <t>Agriculture Service - Mechanical Work</t>
  </si>
  <si>
    <t>Agriculture Service - Crop drying</t>
  </si>
  <si>
    <t>Agriculture Service - Livestock Space Heating</t>
  </si>
  <si>
    <t>Agriculture Service - Livestock Electrical Devices</t>
  </si>
  <si>
    <t>Agriculture Service - Other</t>
  </si>
  <si>
    <t>Fuel Input per 1000 Animals/Final Energy Demand [PJ/1000 Animals]</t>
  </si>
  <si>
    <t>Input~2024</t>
  </si>
  <si>
    <t>Energia finalna</t>
  </si>
  <si>
    <t>Energia użytkowa</t>
  </si>
  <si>
    <t>Dane wejściowe GUS</t>
  </si>
  <si>
    <t>Sprawność [%]</t>
  </si>
  <si>
    <t>AGR_PRC_DRY_SVC</t>
  </si>
  <si>
    <t>Usługi rolnicze | Agricultural services</t>
  </si>
  <si>
    <t>Mechanical Work for Agriculture</t>
  </si>
  <si>
    <t>Fuel share</t>
  </si>
  <si>
    <t>PJ/PJ</t>
  </si>
  <si>
    <t>AGR_PRC_LIV_HT</t>
  </si>
  <si>
    <t>AGR_PRC_LIV_ELC_SVC</t>
  </si>
  <si>
    <t>AGR_PRC_OTH_SVC</t>
  </si>
  <si>
    <t>Livestock Space Heating</t>
  </si>
  <si>
    <t>Crop Drying</t>
  </si>
  <si>
    <t>Livestock Electricity Services</t>
  </si>
  <si>
    <t>Other Services for Agriculture</t>
  </si>
  <si>
    <t>Rok bazowy 2024</t>
  </si>
  <si>
    <t>Prognoza 2050</t>
  </si>
  <si>
    <t>Share-I~2024</t>
  </si>
  <si>
    <t>Share-I~2050</t>
  </si>
  <si>
    <t>ACTFLO~2024</t>
  </si>
  <si>
    <t>ACTFLO~2025</t>
  </si>
  <si>
    <t>ACTFLO~2030</t>
  </si>
  <si>
    <t>ACTFLO~2035</t>
  </si>
  <si>
    <t>ACTFLO~2040</t>
  </si>
  <si>
    <t>ACTFLO~2045</t>
  </si>
  <si>
    <t>ACTFLO~2050</t>
  </si>
  <si>
    <t>Interpolacja</t>
  </si>
  <si>
    <t>Zmienić wartości dla roku bazowego i 2050 w dużych tabelach niżej - interpolacja i obliczenie nowych wartości formułami</t>
  </si>
  <si>
    <t>Share-I~2025</t>
  </si>
  <si>
    <t>Share-I~2030</t>
  </si>
  <si>
    <t>Share-I~2035</t>
  </si>
  <si>
    <t>Share-I~2040</t>
  </si>
  <si>
    <t>Share-I~2045</t>
  </si>
  <si>
    <t>BVogaz</t>
  </si>
  <si>
    <t>Paliwa odpadowe i ciekłe BVo.</t>
  </si>
  <si>
    <t xml:space="preserve">   BVogaz</t>
  </si>
  <si>
    <t xml:space="preserve">   Paliwa ciekłe z BVomasy</t>
  </si>
  <si>
    <t>Input~2025</t>
  </si>
  <si>
    <t>Input~2030</t>
  </si>
  <si>
    <t>Input~2035</t>
  </si>
  <si>
    <t>Input~2040</t>
  </si>
  <si>
    <t>Input~2045</t>
  </si>
  <si>
    <t>Uzysk odpadów 2024</t>
  </si>
  <si>
    <t>Uzysk odpadów 2025</t>
  </si>
  <si>
    <t>Uzysk odpadów 2030</t>
  </si>
  <si>
    <t>Uzysk odpadów 2035</t>
  </si>
  <si>
    <t>Uzysk odpadów 2040</t>
  </si>
  <si>
    <t>Uzysk odpadów 2045</t>
  </si>
  <si>
    <t>Uzysk odpadów 2050</t>
  </si>
  <si>
    <t>powierzchnia kha</t>
  </si>
  <si>
    <t>plony kt</t>
  </si>
  <si>
    <t>Output~2024</t>
  </si>
  <si>
    <t>Output~2025</t>
  </si>
  <si>
    <t>Output~2030</t>
  </si>
  <si>
    <t>Output~2035</t>
  </si>
  <si>
    <t>Output~2040</t>
  </si>
  <si>
    <t>Output~2045</t>
  </si>
  <si>
    <t>Output~2050</t>
  </si>
  <si>
    <t xml:space="preserve">Dane wejściowe </t>
  </si>
  <si>
    <t>Biogaz</t>
  </si>
  <si>
    <t>Paliwa odpadowe i ciekłe bio.</t>
  </si>
  <si>
    <t>Węgiel kamienny</t>
  </si>
  <si>
    <t>Gaz ziemny</t>
  </si>
  <si>
    <t>Biomasa</t>
  </si>
  <si>
    <t>Benzyna</t>
  </si>
  <si>
    <t>Olej napędowy</t>
  </si>
  <si>
    <t>Ciepło sieciowe</t>
  </si>
  <si>
    <t>Rolnictwo - zapotrzebowanie na energię finalną [PJ]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</si>
</sst>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7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\Te\x\t"/>
    <numFmt numFmtId="166" formatCode="0.000"/>
    <numFmt numFmtId="167" formatCode="#,##0.0"/>
    <numFmt numFmtId="168" formatCode="#,##0.0_ ;\-#,##0.0\ "/>
    <numFmt numFmtId="169" formatCode="_-* #,##0\ _€_-;\-* #,##0\ _€_-;_-* &quot;-&quot;??\ _€_-;_-@_-"/>
    <numFmt numFmtId="170" formatCode="0.0000%"/>
    <numFmt numFmtId="171" formatCode="0.0000"/>
    <numFmt numFmtId="172" formatCode="0.0"/>
    <numFmt numFmtId="173" formatCode="#,##0.0_i"/>
    <numFmt numFmtId="174" formatCode="_-* #,##0\ _z_ł_-;\-* #,##0\ _z_ł_-;_-* &quot;-&quot;\ _z_ł_-;_-@_-"/>
    <numFmt numFmtId="175" formatCode="_-* #,##0.00\ _z_ł_-;\-* #,##0.00\ _z_ł_-;_-* &quot;-&quot;??\ _z_ł_-;_-@_-"/>
    <numFmt numFmtId="176" formatCode="&quot;$&quot;#,##0.00_);[Red]\(&quot;$&quot;#,##0.00\)"/>
    <numFmt numFmtId="177" formatCode="_(&quot;$&quot;* #,##0.00_);_(&quot;$&quot;* \(#,##0.00\);_(&quot;$&quot;* &quot;-&quot;??_);_(@_)"/>
    <numFmt numFmtId="178" formatCode="_-* #,##0.00\ _D_M_-;\-* #,##0.00\ _D_M_-;_-* &quot;-&quot;??\ _D_M_-;_-@_-"/>
    <numFmt numFmtId="179" formatCode="_-* #,##0.00\ [$€]_-;\-* #,##0.00\ [$€]_-;_-* &quot;-&quot;??\ [$€]_-;_-@_-"/>
    <numFmt numFmtId="180" formatCode="_([$€-2]* #,##0.00_);_([$€-2]* \(#,##0.00\);_([$€-2]* &quot;-&quot;??_)"/>
    <numFmt numFmtId="181" formatCode="_([$€]* #,##0.00_);_([$€]* \(#,##0.00\);_([$€]* &quot;-&quot;??_);_(@_)"/>
    <numFmt numFmtId="182" formatCode="#,##0.00\ &quot;DM&quot;;[Red]\-#,##0.00\ &quot;DM&quot;"/>
    <numFmt numFmtId="183" formatCode="#,##0.00\ &quot;Pts&quot;;[Red]\-#,##0.00\ &quot;Pts&quot;"/>
    <numFmt numFmtId="184" formatCode="#,##0."/>
    <numFmt numFmtId="185" formatCode="&quot;$&quot;#."/>
    <numFmt numFmtId="186" formatCode="m/d/yy\ h:mm"/>
    <numFmt numFmtId="187" formatCode="#.00"/>
    <numFmt numFmtId="188" formatCode="mmm\ dd\,\ yyyy"/>
    <numFmt numFmtId="189" formatCode="mmm\-yyyy"/>
    <numFmt numFmtId="190" formatCode="yyyy"/>
    <numFmt numFmtId="191" formatCode="_-* ###0.00_-;\(###0.00\);_-* &quot;–&quot;_-;_-@_-"/>
    <numFmt numFmtId="192" formatCode="_ * #,##0.00_ ;_ * \-#,##0.00_ ;_ * &quot;-&quot;??_ ;_ @_ "/>
    <numFmt numFmtId="193" formatCode="_ * #,##0_ ;_ * \-#,##0_ ;_ * &quot;-&quot;_ ;_ @_ "/>
    <numFmt numFmtId="194" formatCode="_ &quot;kr&quot;\ * #,##0_ ;_ &quot;kr&quot;\ * \-#,##0_ ;_ &quot;kr&quot;\ * &quot;-&quot;_ ;_ @_ "/>
    <numFmt numFmtId="195" formatCode="_ &quot;kr&quot;\ * #,##0.00_ ;_ &quot;kr&quot;\ * \-#,##0.00_ ;_ &quot;kr&quot;\ * &quot;-&quot;??_ ;_ @_ "/>
    <numFmt numFmtId="196" formatCode="0.000000"/>
    <numFmt numFmtId="197" formatCode="0.00000"/>
    <numFmt numFmtId="198" formatCode="0.0000000000000000"/>
  </numFmts>
  <fonts count="169">
    <font>
      <sz val="10"/>
      <name val="Arial"/>
    </font>
    <font>
      <sz val="11"/>
      <color theme="1"/>
      <name val="Calibri"/>
      <family val="2"/>
      <charset val="238"/>
      <scheme val="minor"/>
    </font>
    <font>
      <sz val="14"/>
      <color theme="1"/>
      <name val="Czcionka tekstu podstaw."/>
      <family val="2"/>
      <charset val="238"/>
    </font>
    <font>
      <sz val="14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9"/>
      <color indexed="81"/>
      <name val="Tahoma"/>
      <family val="2"/>
      <charset val="238"/>
    </font>
    <font>
      <b/>
      <sz val="10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u/>
      <sz val="10"/>
      <color theme="10"/>
      <name val="Arial"/>
      <family val="2"/>
      <charset val="238"/>
    </font>
    <font>
      <sz val="9"/>
      <color theme="1"/>
      <name val="Arial"/>
      <family val="2"/>
    </font>
    <font>
      <sz val="9"/>
      <color theme="1"/>
      <name val="Arial Narrow"/>
      <family val="2"/>
    </font>
    <font>
      <b/>
      <sz val="16"/>
      <color theme="1"/>
      <name val="Arial Narrow"/>
      <family val="2"/>
    </font>
    <font>
      <b/>
      <sz val="16"/>
      <color theme="6"/>
      <name val="Arial Narrow"/>
      <family val="2"/>
    </font>
    <font>
      <sz val="11"/>
      <color theme="1"/>
      <name val="Calibri"/>
      <family val="2"/>
      <charset val="1"/>
      <scheme val="minor"/>
    </font>
    <font>
      <b/>
      <sz val="16"/>
      <color theme="5"/>
      <name val="Arial Narrow"/>
      <family val="2"/>
    </font>
    <font>
      <b/>
      <sz val="9"/>
      <color theme="1"/>
      <name val="Arial Narrow"/>
      <family val="2"/>
    </font>
    <font>
      <b/>
      <sz val="9"/>
      <color theme="6"/>
      <name val="Arial Narrow"/>
      <family val="2"/>
    </font>
    <font>
      <b/>
      <sz val="8"/>
      <color theme="6"/>
      <name val="Arial Narrow"/>
      <family val="2"/>
    </font>
    <font>
      <sz val="8"/>
      <color theme="1"/>
      <name val="Arial Narrow"/>
      <family val="2"/>
    </font>
    <font>
      <sz val="14"/>
      <color theme="0"/>
      <name val="Arial"/>
      <family val="2"/>
      <charset val="238"/>
    </font>
    <font>
      <b/>
      <sz val="14"/>
      <color theme="1"/>
      <name val="Calibri"/>
      <family val="2"/>
      <charset val="238"/>
      <scheme val="minor"/>
    </font>
    <font>
      <u/>
      <sz val="14"/>
      <color theme="10"/>
      <name val="Calibri"/>
      <family val="2"/>
      <charset val="238"/>
      <scheme val="minor"/>
    </font>
    <font>
      <b/>
      <sz val="10"/>
      <color rgb="FF0000FF"/>
      <name val="Arial"/>
      <family val="2"/>
    </font>
    <font>
      <strike/>
      <sz val="10"/>
      <name val="Arial"/>
      <family val="2"/>
      <charset val="238"/>
    </font>
    <font>
      <b/>
      <sz val="14"/>
      <color indexed="9"/>
      <name val="Arial"/>
      <family val="2"/>
      <charset val="238"/>
    </font>
    <font>
      <b/>
      <sz val="14"/>
      <color theme="0"/>
      <name val="Arial"/>
      <family val="2"/>
      <charset val="238"/>
    </font>
    <font>
      <sz val="10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8"/>
      <name val="Fira Sans"/>
      <family val="2"/>
      <charset val="238"/>
    </font>
    <font>
      <b/>
      <vertAlign val="superscript"/>
      <sz val="8"/>
      <name val="Fira Sans"/>
      <family val="2"/>
      <charset val="238"/>
    </font>
    <font>
      <sz val="8"/>
      <name val="Fira Sans"/>
      <family val="2"/>
      <charset val="238"/>
    </font>
    <font>
      <vertAlign val="superscript"/>
      <sz val="8"/>
      <name val="Fira Sans"/>
      <family val="2"/>
      <charset val="238"/>
    </font>
    <font>
      <sz val="8"/>
      <color rgb="FF000000"/>
      <name val="Fira Sans"/>
      <family val="2"/>
      <charset val="238"/>
    </font>
    <font>
      <vertAlign val="superscript"/>
      <sz val="8"/>
      <color rgb="FF000000"/>
      <name val="Fira Sans"/>
      <family val="2"/>
      <charset val="238"/>
    </font>
    <font>
      <sz val="8"/>
      <color rgb="FF808080"/>
      <name val="Fira Sans"/>
      <family val="2"/>
      <charset val="238"/>
    </font>
    <font>
      <b/>
      <sz val="8"/>
      <color rgb="FF000000"/>
      <name val="Fira Sans"/>
      <family val="2"/>
      <charset val="238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Calibri"/>
      <family val="2"/>
      <charset val="238"/>
    </font>
    <font>
      <sz val="10"/>
      <color rgb="FF000000"/>
      <name val="Arial"/>
      <family val="2"/>
      <charset val="238"/>
    </font>
    <font>
      <sz val="11"/>
      <name val="Helvetica Neue"/>
      <family val="3"/>
      <charset val="204"/>
    </font>
    <font>
      <sz val="11"/>
      <color rgb="FFEE0000"/>
      <name val="Aptos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4"/>
      <name val="Times New Roman"/>
      <family val="1"/>
      <charset val="238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Arial"/>
      <family val="2"/>
    </font>
    <font>
      <b/>
      <sz val="12"/>
      <name val="Times New Roman"/>
      <family val="1"/>
    </font>
    <font>
      <sz val="11"/>
      <name val="Arial"/>
      <family val="2"/>
      <charset val="238"/>
    </font>
    <font>
      <sz val="11"/>
      <color indexed="8"/>
      <name val="Czcionka tekstu podstawowego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alibri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alibri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alibri"/>
      <family val="2"/>
      <charset val="238"/>
    </font>
    <font>
      <sz val="11"/>
      <color indexed="17"/>
      <name val="Czcionka tekstu podstawowego"/>
      <family val="2"/>
    </font>
    <font>
      <u/>
      <sz val="8"/>
      <color indexed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Calibri"/>
      <family val="2"/>
    </font>
    <font>
      <sz val="10"/>
      <name val="MS Sans Serif"/>
      <family val="2"/>
    </font>
    <font>
      <sz val="11"/>
      <color indexed="52"/>
      <name val="Calibri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alibri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56"/>
      <name val="Calibri"/>
      <family val="2"/>
      <charset val="238"/>
    </font>
    <font>
      <b/>
      <sz val="15"/>
      <color indexed="56"/>
      <name val="Czcionka tekstu podstawowego"/>
      <family val="2"/>
    </font>
    <font>
      <b/>
      <sz val="13"/>
      <color indexed="56"/>
      <name val="Calibri"/>
      <family val="2"/>
      <charset val="238"/>
    </font>
    <font>
      <b/>
      <sz val="13"/>
      <color indexed="56"/>
      <name val="Czcionka tekstu podstawowego"/>
      <family val="2"/>
    </font>
    <font>
      <b/>
      <sz val="11"/>
      <color indexed="56"/>
      <name val="Calibri"/>
      <family val="2"/>
      <charset val="238"/>
    </font>
    <font>
      <b/>
      <sz val="11"/>
      <color indexed="56"/>
      <name val="Czcionka tekstu podstawowego"/>
      <family val="2"/>
    </font>
    <font>
      <sz val="11"/>
      <color indexed="60"/>
      <name val="Calibri"/>
      <family val="2"/>
      <charset val="238"/>
    </font>
    <font>
      <sz val="11"/>
      <color indexed="60"/>
      <name val="Czcionka tekstu podstawowego"/>
      <family val="2"/>
    </font>
    <font>
      <sz val="10"/>
      <name val="Courier"/>
      <family val="3"/>
    </font>
    <font>
      <b/>
      <sz val="11"/>
      <color indexed="52"/>
      <name val="Calibri"/>
      <family val="2"/>
      <charset val="238"/>
    </font>
    <font>
      <b/>
      <sz val="11"/>
      <color indexed="52"/>
      <name val="Czcionka tekstu podstawowego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alibri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alibri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alibri"/>
      <family val="2"/>
      <charset val="238"/>
    </font>
    <font>
      <sz val="11"/>
      <color indexed="10"/>
      <name val="Czcionka tekstu podstawowego"/>
      <family val="2"/>
    </font>
    <font>
      <b/>
      <sz val="18"/>
      <color indexed="56"/>
      <name val="Cambria"/>
      <family val="2"/>
      <charset val="238"/>
    </font>
    <font>
      <sz val="11"/>
      <color indexed="20"/>
      <name val="Calibri"/>
      <family val="2"/>
      <charset val="238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0"/>
      <name val="Helvetica"/>
    </font>
    <font>
      <sz val="8"/>
      <color indexed="9"/>
      <name val="Arial"/>
      <family val="2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i/>
      <sz val="8"/>
      <color rgb="FF000000"/>
      <name val="Arial"/>
      <family val="2"/>
      <charset val="238"/>
    </font>
    <font>
      <i/>
      <sz val="10"/>
      <color rgb="FF000000"/>
      <name val="Arial"/>
      <family val="2"/>
      <charset val="238"/>
    </font>
    <font>
      <b/>
      <sz val="9"/>
      <color indexed="81"/>
      <name val="Tahoma"/>
      <family val="2"/>
      <charset val="238"/>
    </font>
    <font>
      <b/>
      <sz val="9"/>
      <name val="Arial"/>
      <family val="2"/>
      <charset val="238"/>
    </font>
    <font>
      <b/>
      <sz val="8"/>
      <name val="Arial"/>
      <family val="2"/>
      <charset val="238"/>
    </font>
    <font>
      <b/>
      <vertAlign val="superscript"/>
      <sz val="8"/>
      <name val="Arial"/>
      <family val="2"/>
      <charset val="238"/>
    </font>
    <font>
      <sz val="9"/>
      <name val="Arial CE"/>
      <family val="2"/>
      <charset val="238"/>
    </font>
    <font>
      <i/>
      <sz val="10"/>
      <name val="Arial"/>
      <family val="2"/>
      <charset val="238"/>
    </font>
    <font>
      <sz val="11"/>
      <color rgb="FF222222"/>
      <name val="Arial"/>
      <family val="2"/>
      <charset val="238"/>
    </font>
    <font>
      <sz val="9"/>
      <name val="Arial"/>
      <family val="2"/>
      <charset val="238"/>
    </font>
    <font>
      <i/>
      <sz val="8"/>
      <name val="Arial"/>
      <family val="2"/>
      <charset val="238"/>
    </font>
    <font>
      <sz val="9"/>
      <name val="Arial Unicode MS"/>
      <charset val="238"/>
    </font>
    <font>
      <b/>
      <sz val="8"/>
      <color theme="0"/>
      <name val="Arial"/>
      <family val="2"/>
      <charset val="238"/>
    </font>
    <font>
      <sz val="5"/>
      <name val="Arial"/>
      <family val="2"/>
      <charset val="238"/>
    </font>
    <font>
      <b/>
      <sz val="10"/>
      <color rgb="FFFF0000"/>
      <name val="Arial"/>
      <family val="2"/>
      <charset val="238"/>
    </font>
    <font>
      <sz val="8"/>
      <name val="Arial"/>
    </font>
    <font>
      <sz val="6"/>
      <name val="Arial"/>
      <family val="2"/>
      <charset val="238"/>
    </font>
    <font>
      <sz val="8"/>
      <color theme="0" tint="-0.34998626667073579"/>
      <name val="Arial"/>
      <family val="2"/>
      <charset val="238"/>
    </font>
  </fonts>
  <fills count="7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1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99"/>
        <bgColor rgb="FFE7E6E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8"/>
      </patternFill>
    </fill>
    <fill>
      <patternFill patternType="solid">
        <fgColor indexed="6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D2F0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</fills>
  <borders count="19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rgb="FFA6A6A6"/>
      </left>
      <right/>
      <top style="thin">
        <color indexed="64"/>
      </top>
      <bottom style="thin">
        <color indexed="64"/>
      </bottom>
      <diagonal/>
    </border>
    <border>
      <left style="hair">
        <color rgb="FFA6A6A6"/>
      </left>
      <right style="hair">
        <color rgb="FFA6A6A6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hair">
        <color rgb="FFA6A6A6"/>
      </left>
      <right/>
      <top/>
      <bottom style="thin">
        <color rgb="FF000000"/>
      </bottom>
      <diagonal/>
    </border>
    <border>
      <left style="double">
        <color indexed="64"/>
      </left>
      <right/>
      <top/>
      <bottom style="thin">
        <color rgb="FF00000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/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double">
        <color indexed="64"/>
      </left>
      <right/>
      <top style="hair">
        <color rgb="FFC0C0C0"/>
      </top>
      <bottom style="hair">
        <color rgb="FFC0C0C0"/>
      </bottom>
      <diagonal/>
    </border>
    <border>
      <left/>
      <right/>
      <top/>
      <bottom style="hair">
        <color rgb="FFC0C0C0"/>
      </bottom>
      <diagonal/>
    </border>
    <border>
      <left/>
      <right/>
      <top style="hair">
        <color rgb="FFC0C0C0"/>
      </top>
      <bottom/>
      <diagonal/>
    </border>
    <border>
      <left style="hair">
        <color rgb="FFA6A6A6"/>
      </left>
      <right/>
      <top/>
      <bottom/>
      <diagonal/>
    </border>
    <border>
      <left style="hair">
        <color rgb="FFA6A6A6"/>
      </left>
      <right/>
      <top style="hair">
        <color rgb="FFC0C0C0"/>
      </top>
      <bottom/>
      <diagonal/>
    </border>
    <border>
      <left style="double">
        <color indexed="64"/>
      </left>
      <right/>
      <top style="hair">
        <color rgb="FFC0C0C0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8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dashDotDot">
        <color theme="1"/>
      </bottom>
      <diagonal/>
    </border>
    <border>
      <left style="dashDotDot">
        <color theme="1"/>
      </left>
      <right/>
      <top/>
      <bottom style="medium">
        <color indexed="64"/>
      </bottom>
      <diagonal/>
    </border>
    <border>
      <left style="dashDotDot">
        <color theme="1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theme="1"/>
      </right>
      <top/>
      <bottom style="double">
        <color indexed="64"/>
      </bottom>
      <diagonal/>
    </border>
    <border>
      <left/>
      <right style="medium">
        <color theme="1"/>
      </right>
      <top style="double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double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 style="thin">
        <color indexed="64"/>
      </left>
      <right style="medium">
        <color theme="1"/>
      </right>
      <top/>
      <bottom/>
      <diagonal/>
    </border>
    <border>
      <left/>
      <right style="medium">
        <color theme="1"/>
      </right>
      <top/>
      <bottom style="double">
        <color theme="1"/>
      </bottom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321">
    <xf numFmtId="0" fontId="0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0" fontId="7" fillId="0" borderId="0"/>
    <xf numFmtId="0" fontId="15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0" fontId="2" fillId="0" borderId="0"/>
    <xf numFmtId="0" fontId="3" fillId="0" borderId="0"/>
    <xf numFmtId="164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4" fillId="0" borderId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15" fillId="0" borderId="0"/>
    <xf numFmtId="0" fontId="7" fillId="0" borderId="0"/>
    <xf numFmtId="43" fontId="15" fillId="0" borderId="0" applyFont="0" applyFill="0" applyBorder="0" applyAlignment="0" applyProtection="0"/>
    <xf numFmtId="0" fontId="7" fillId="0" borderId="0"/>
    <xf numFmtId="0" fontId="60" fillId="0" borderId="0"/>
    <xf numFmtId="9" fontId="15" fillId="0" borderId="0" applyFont="0" applyFill="0" applyBorder="0" applyAlignment="0" applyProtection="0"/>
    <xf numFmtId="0" fontId="59" fillId="32" borderId="0" applyNumberFormat="0" applyBorder="0" applyAlignment="0" applyProtection="0"/>
    <xf numFmtId="0" fontId="15" fillId="0" borderId="0"/>
    <xf numFmtId="0" fontId="61" fillId="35" borderId="0" applyNumberFormat="0" applyBorder="0" applyAlignment="0" applyProtection="0"/>
    <xf numFmtId="0" fontId="15" fillId="0" borderId="0"/>
    <xf numFmtId="0" fontId="1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1" fillId="0" borderId="0"/>
    <xf numFmtId="0" fontId="62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65" fillId="0" borderId="0"/>
    <xf numFmtId="0" fontId="7" fillId="0" borderId="0"/>
    <xf numFmtId="9" fontId="59" fillId="0" borderId="0" applyFont="0" applyFill="0" applyBorder="0" applyAlignment="0" applyProtection="0"/>
    <xf numFmtId="0" fontId="61" fillId="0" borderId="0" applyFill="0" applyProtection="0"/>
    <xf numFmtId="0" fontId="15" fillId="0" borderId="0"/>
    <xf numFmtId="173" fontId="58" fillId="0" borderId="0" applyFill="0" applyBorder="0" applyProtection="0">
      <alignment horizontal="right"/>
    </xf>
    <xf numFmtId="164" fontId="25" fillId="0" borderId="0" applyFont="0" applyFill="0" applyBorder="0" applyAlignment="0" applyProtection="0"/>
    <xf numFmtId="0" fontId="59" fillId="0" borderId="0"/>
    <xf numFmtId="0" fontId="20" fillId="0" borderId="0" applyNumberFormat="0" applyFill="0" applyBorder="0" applyAlignment="0" applyProtection="0"/>
    <xf numFmtId="0" fontId="15" fillId="0" borderId="0"/>
    <xf numFmtId="0" fontId="68" fillId="0" borderId="0"/>
    <xf numFmtId="0" fontId="15" fillId="0" borderId="0"/>
    <xf numFmtId="173" fontId="21" fillId="0" borderId="0" applyFill="0" applyBorder="0" applyProtection="0">
      <alignment horizontal="right"/>
    </xf>
    <xf numFmtId="0" fontId="1" fillId="0" borderId="0"/>
    <xf numFmtId="0" fontId="1" fillId="0" borderId="0"/>
    <xf numFmtId="0" fontId="1" fillId="0" borderId="0"/>
    <xf numFmtId="43" fontId="59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5" fillId="0" borderId="0"/>
    <xf numFmtId="0" fontId="61" fillId="36" borderId="0" applyNumberFormat="0" applyBorder="0" applyAlignment="0" applyProtection="0"/>
    <xf numFmtId="0" fontId="6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40" borderId="0" applyNumberFormat="0" applyBorder="0" applyAlignment="0" applyProtection="0"/>
    <xf numFmtId="0" fontId="61" fillId="40" borderId="0" applyNumberFormat="0" applyBorder="0" applyAlignment="0" applyProtection="0"/>
    <xf numFmtId="0" fontId="85" fillId="36" borderId="0" applyNumberFormat="0" applyBorder="0" applyAlignment="0" applyProtection="0"/>
    <xf numFmtId="0" fontId="85" fillId="36" borderId="0" applyNumberFormat="0" applyBorder="0" applyAlignment="0" applyProtection="0"/>
    <xf numFmtId="0" fontId="61" fillId="36" borderId="0" applyNumberFormat="0" applyBorder="0" applyAlignment="0" applyProtection="0"/>
    <xf numFmtId="0" fontId="85" fillId="36" borderId="0" applyNumberFormat="0" applyBorder="0" applyAlignment="0" applyProtection="0"/>
    <xf numFmtId="0" fontId="61" fillId="36" borderId="0" applyNumberFormat="0" applyBorder="0" applyAlignment="0" applyProtection="0"/>
    <xf numFmtId="0" fontId="85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61" fillId="36" borderId="0" applyNumberFormat="0" applyBorder="0" applyAlignment="0" applyProtection="0"/>
    <xf numFmtId="0" fontId="85" fillId="36" borderId="0" applyNumberFormat="0" applyBorder="0" applyAlignment="0" applyProtection="0"/>
    <xf numFmtId="0" fontId="68" fillId="36" borderId="0" applyNumberFormat="0" applyBorder="0" applyAlignment="0" applyProtection="0"/>
    <xf numFmtId="0" fontId="68" fillId="36" borderId="0" applyNumberFormat="0" applyBorder="0" applyAlignment="0" applyProtection="0"/>
    <xf numFmtId="0" fontId="68" fillId="36" borderId="0" applyNumberFormat="0" applyBorder="0" applyAlignment="0" applyProtection="0"/>
    <xf numFmtId="0" fontId="68" fillId="36" borderId="0" applyNumberFormat="0" applyBorder="0" applyAlignment="0" applyProtection="0"/>
    <xf numFmtId="0" fontId="68" fillId="36" borderId="0" applyNumberFormat="0" applyBorder="0" applyAlignment="0" applyProtection="0"/>
    <xf numFmtId="0" fontId="68" fillId="36" borderId="0" applyNumberFormat="0" applyBorder="0" applyAlignment="0" applyProtection="0"/>
    <xf numFmtId="0" fontId="68" fillId="36" borderId="0" applyNumberFormat="0" applyBorder="0" applyAlignment="0" applyProtection="0"/>
    <xf numFmtId="0" fontId="85" fillId="36" borderId="0" applyNumberFormat="0" applyBorder="0" applyAlignment="0" applyProtection="0"/>
    <xf numFmtId="0" fontId="61" fillId="36" borderId="0" applyNumberFormat="0" applyBorder="0" applyAlignment="0" applyProtection="0"/>
    <xf numFmtId="0" fontId="85" fillId="36" borderId="0" applyNumberFormat="0" applyBorder="0" applyAlignment="0" applyProtection="0"/>
    <xf numFmtId="0" fontId="61" fillId="36" borderId="0" applyNumberFormat="0" applyBorder="0" applyAlignment="0" applyProtection="0"/>
    <xf numFmtId="0" fontId="85" fillId="36" borderId="0" applyNumberFormat="0" applyBorder="0" applyAlignment="0" applyProtection="0"/>
    <xf numFmtId="0" fontId="85" fillId="35" borderId="0" applyNumberFormat="0" applyBorder="0" applyAlignment="0" applyProtection="0"/>
    <xf numFmtId="0" fontId="85" fillId="35" borderId="0" applyNumberFormat="0" applyBorder="0" applyAlignment="0" applyProtection="0"/>
    <xf numFmtId="0" fontId="61" fillId="35" borderId="0" applyNumberFormat="0" applyBorder="0" applyAlignment="0" applyProtection="0"/>
    <xf numFmtId="0" fontId="85" fillId="35" borderId="0" applyNumberFormat="0" applyBorder="0" applyAlignment="0" applyProtection="0"/>
    <xf numFmtId="0" fontId="61" fillId="35" borderId="0" applyNumberFormat="0" applyBorder="0" applyAlignment="0" applyProtection="0"/>
    <xf numFmtId="0" fontId="85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61" fillId="35" borderId="0" applyNumberFormat="0" applyBorder="0" applyAlignment="0" applyProtection="0"/>
    <xf numFmtId="0" fontId="85" fillId="35" borderId="0" applyNumberFormat="0" applyBorder="0" applyAlignment="0" applyProtection="0"/>
    <xf numFmtId="0" fontId="68" fillId="35" borderId="0" applyNumberFormat="0" applyBorder="0" applyAlignment="0" applyProtection="0"/>
    <xf numFmtId="0" fontId="68" fillId="35" borderId="0" applyNumberFormat="0" applyBorder="0" applyAlignment="0" applyProtection="0"/>
    <xf numFmtId="0" fontId="68" fillId="35" borderId="0" applyNumberFormat="0" applyBorder="0" applyAlignment="0" applyProtection="0"/>
    <xf numFmtId="0" fontId="68" fillId="35" borderId="0" applyNumberFormat="0" applyBorder="0" applyAlignment="0" applyProtection="0"/>
    <xf numFmtId="0" fontId="68" fillId="35" borderId="0" applyNumberFormat="0" applyBorder="0" applyAlignment="0" applyProtection="0"/>
    <xf numFmtId="0" fontId="68" fillId="35" borderId="0" applyNumberFormat="0" applyBorder="0" applyAlignment="0" applyProtection="0"/>
    <xf numFmtId="0" fontId="68" fillId="35" borderId="0" applyNumberFormat="0" applyBorder="0" applyAlignment="0" applyProtection="0"/>
    <xf numFmtId="0" fontId="85" fillId="35" borderId="0" applyNumberFormat="0" applyBorder="0" applyAlignment="0" applyProtection="0"/>
    <xf numFmtId="0" fontId="61" fillId="35" borderId="0" applyNumberFormat="0" applyBorder="0" applyAlignment="0" applyProtection="0"/>
    <xf numFmtId="0" fontId="85" fillId="35" borderId="0" applyNumberFormat="0" applyBorder="0" applyAlignment="0" applyProtection="0"/>
    <xf numFmtId="0" fontId="61" fillId="35" borderId="0" applyNumberFormat="0" applyBorder="0" applyAlignment="0" applyProtection="0"/>
    <xf numFmtId="0" fontId="85" fillId="35" borderId="0" applyNumberFormat="0" applyBorder="0" applyAlignment="0" applyProtection="0"/>
    <xf numFmtId="0" fontId="85" fillId="37" borderId="0" applyNumberFormat="0" applyBorder="0" applyAlignment="0" applyProtection="0"/>
    <xf numFmtId="0" fontId="85" fillId="37" borderId="0" applyNumberFormat="0" applyBorder="0" applyAlignment="0" applyProtection="0"/>
    <xf numFmtId="0" fontId="61" fillId="37" borderId="0" applyNumberFormat="0" applyBorder="0" applyAlignment="0" applyProtection="0"/>
    <xf numFmtId="0" fontId="85" fillId="37" borderId="0" applyNumberFormat="0" applyBorder="0" applyAlignment="0" applyProtection="0"/>
    <xf numFmtId="0" fontId="61" fillId="37" borderId="0" applyNumberFormat="0" applyBorder="0" applyAlignment="0" applyProtection="0"/>
    <xf numFmtId="0" fontId="85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61" fillId="37" borderId="0" applyNumberFormat="0" applyBorder="0" applyAlignment="0" applyProtection="0"/>
    <xf numFmtId="0" fontId="85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85" fillId="37" borderId="0" applyNumberFormat="0" applyBorder="0" applyAlignment="0" applyProtection="0"/>
    <xf numFmtId="0" fontId="61" fillId="37" borderId="0" applyNumberFormat="0" applyBorder="0" applyAlignment="0" applyProtection="0"/>
    <xf numFmtId="0" fontId="85" fillId="37" borderId="0" applyNumberFormat="0" applyBorder="0" applyAlignment="0" applyProtection="0"/>
    <xf numFmtId="0" fontId="61" fillId="37" borderId="0" applyNumberFormat="0" applyBorder="0" applyAlignment="0" applyProtection="0"/>
    <xf numFmtId="0" fontId="85" fillId="37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61" fillId="38" borderId="0" applyNumberFormat="0" applyBorder="0" applyAlignment="0" applyProtection="0"/>
    <xf numFmtId="0" fontId="85" fillId="38" borderId="0" applyNumberFormat="0" applyBorder="0" applyAlignment="0" applyProtection="0"/>
    <xf numFmtId="0" fontId="61" fillId="38" borderId="0" applyNumberFormat="0" applyBorder="0" applyAlignment="0" applyProtection="0"/>
    <xf numFmtId="0" fontId="85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85" fillId="38" borderId="0" applyNumberFormat="0" applyBorder="0" applyAlignment="0" applyProtection="0"/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85" fillId="38" borderId="0" applyNumberFormat="0" applyBorder="0" applyAlignment="0" applyProtection="0"/>
    <xf numFmtId="0" fontId="61" fillId="38" borderId="0" applyNumberFormat="0" applyBorder="0" applyAlignment="0" applyProtection="0"/>
    <xf numFmtId="0" fontId="85" fillId="38" borderId="0" applyNumberFormat="0" applyBorder="0" applyAlignment="0" applyProtection="0"/>
    <xf numFmtId="0" fontId="61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39" borderId="0" applyNumberFormat="0" applyBorder="0" applyAlignment="0" applyProtection="0"/>
    <xf numFmtId="0" fontId="85" fillId="39" borderId="0" applyNumberFormat="0" applyBorder="0" applyAlignment="0" applyProtection="0"/>
    <xf numFmtId="0" fontId="61" fillId="39" borderId="0" applyNumberFormat="0" applyBorder="0" applyAlignment="0" applyProtection="0"/>
    <xf numFmtId="0" fontId="85" fillId="39" borderId="0" applyNumberFormat="0" applyBorder="0" applyAlignment="0" applyProtection="0"/>
    <xf numFmtId="0" fontId="61" fillId="39" borderId="0" applyNumberFormat="0" applyBorder="0" applyAlignment="0" applyProtection="0"/>
    <xf numFmtId="0" fontId="85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61" fillId="39" borderId="0" applyNumberFormat="0" applyBorder="0" applyAlignment="0" applyProtection="0"/>
    <xf numFmtId="0" fontId="85" fillId="39" borderId="0" applyNumberFormat="0" applyBorder="0" applyAlignment="0" applyProtection="0"/>
    <xf numFmtId="0" fontId="68" fillId="39" borderId="0" applyNumberFormat="0" applyBorder="0" applyAlignment="0" applyProtection="0"/>
    <xf numFmtId="0" fontId="68" fillId="39" borderId="0" applyNumberFormat="0" applyBorder="0" applyAlignment="0" applyProtection="0"/>
    <xf numFmtId="0" fontId="68" fillId="39" borderId="0" applyNumberFormat="0" applyBorder="0" applyAlignment="0" applyProtection="0"/>
    <xf numFmtId="0" fontId="68" fillId="39" borderId="0" applyNumberFormat="0" applyBorder="0" applyAlignment="0" applyProtection="0"/>
    <xf numFmtId="0" fontId="68" fillId="39" borderId="0" applyNumberFormat="0" applyBorder="0" applyAlignment="0" applyProtection="0"/>
    <xf numFmtId="0" fontId="68" fillId="39" borderId="0" applyNumberFormat="0" applyBorder="0" applyAlignment="0" applyProtection="0"/>
    <xf numFmtId="0" fontId="68" fillId="39" borderId="0" applyNumberFormat="0" applyBorder="0" applyAlignment="0" applyProtection="0"/>
    <xf numFmtId="0" fontId="85" fillId="39" borderId="0" applyNumberFormat="0" applyBorder="0" applyAlignment="0" applyProtection="0"/>
    <xf numFmtId="0" fontId="61" fillId="39" borderId="0" applyNumberFormat="0" applyBorder="0" applyAlignment="0" applyProtection="0"/>
    <xf numFmtId="0" fontId="85" fillId="39" borderId="0" applyNumberFormat="0" applyBorder="0" applyAlignment="0" applyProtection="0"/>
    <xf numFmtId="0" fontId="61" fillId="39" borderId="0" applyNumberFormat="0" applyBorder="0" applyAlignment="0" applyProtection="0"/>
    <xf numFmtId="0" fontId="85" fillId="39" borderId="0" applyNumberFormat="0" applyBorder="0" applyAlignment="0" applyProtection="0"/>
    <xf numFmtId="0" fontId="85" fillId="40" borderId="0" applyNumberFormat="0" applyBorder="0" applyAlignment="0" applyProtection="0"/>
    <xf numFmtId="0" fontId="85" fillId="40" borderId="0" applyNumberFormat="0" applyBorder="0" applyAlignment="0" applyProtection="0"/>
    <xf numFmtId="0" fontId="61" fillId="40" borderId="0" applyNumberFormat="0" applyBorder="0" applyAlignment="0" applyProtection="0"/>
    <xf numFmtId="0" fontId="85" fillId="40" borderId="0" applyNumberFormat="0" applyBorder="0" applyAlignment="0" applyProtection="0"/>
    <xf numFmtId="0" fontId="61" fillId="40" borderId="0" applyNumberFormat="0" applyBorder="0" applyAlignment="0" applyProtection="0"/>
    <xf numFmtId="0" fontId="85" fillId="40" borderId="0" applyNumberFormat="0" applyBorder="0" applyAlignment="0" applyProtection="0"/>
    <xf numFmtId="0" fontId="61" fillId="40" borderId="0" applyNumberFormat="0" applyBorder="0" applyAlignment="0" applyProtection="0"/>
    <xf numFmtId="0" fontId="61" fillId="40" borderId="0" applyNumberFormat="0" applyBorder="0" applyAlignment="0" applyProtection="0"/>
    <xf numFmtId="0" fontId="61" fillId="40" borderId="0" applyNumberFormat="0" applyBorder="0" applyAlignment="0" applyProtection="0"/>
    <xf numFmtId="0" fontId="61" fillId="40" borderId="0" applyNumberFormat="0" applyBorder="0" applyAlignment="0" applyProtection="0"/>
    <xf numFmtId="0" fontId="85" fillId="40" borderId="0" applyNumberFormat="0" applyBorder="0" applyAlignment="0" applyProtection="0"/>
    <xf numFmtId="0" fontId="68" fillId="40" borderId="0" applyNumberFormat="0" applyBorder="0" applyAlignment="0" applyProtection="0"/>
    <xf numFmtId="0" fontId="68" fillId="40" borderId="0" applyNumberFormat="0" applyBorder="0" applyAlignment="0" applyProtection="0"/>
    <xf numFmtId="0" fontId="68" fillId="40" borderId="0" applyNumberFormat="0" applyBorder="0" applyAlignment="0" applyProtection="0"/>
    <xf numFmtId="0" fontId="68" fillId="40" borderId="0" applyNumberFormat="0" applyBorder="0" applyAlignment="0" applyProtection="0"/>
    <xf numFmtId="0" fontId="68" fillId="40" borderId="0" applyNumberFormat="0" applyBorder="0" applyAlignment="0" applyProtection="0"/>
    <xf numFmtId="0" fontId="68" fillId="40" borderId="0" applyNumberFormat="0" applyBorder="0" applyAlignment="0" applyProtection="0"/>
    <xf numFmtId="0" fontId="68" fillId="40" borderId="0" applyNumberFormat="0" applyBorder="0" applyAlignment="0" applyProtection="0"/>
    <xf numFmtId="0" fontId="85" fillId="40" borderId="0" applyNumberFormat="0" applyBorder="0" applyAlignment="0" applyProtection="0"/>
    <xf numFmtId="0" fontId="61" fillId="40" borderId="0" applyNumberFormat="0" applyBorder="0" applyAlignment="0" applyProtection="0"/>
    <xf numFmtId="0" fontId="85" fillId="40" borderId="0" applyNumberFormat="0" applyBorder="0" applyAlignment="0" applyProtection="0"/>
    <xf numFmtId="0" fontId="61" fillId="40" borderId="0" applyNumberFormat="0" applyBorder="0" applyAlignment="0" applyProtection="0"/>
    <xf numFmtId="0" fontId="85" fillId="40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2"/>
    </xf>
    <xf numFmtId="0" fontId="7" fillId="0" borderId="0" applyNumberFormat="0" applyFont="0" applyFill="0" applyBorder="0" applyProtection="0">
      <alignment horizontal="left" vertical="center" indent="2"/>
    </xf>
    <xf numFmtId="0" fontId="6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38" borderId="0" applyNumberFormat="0" applyBorder="0" applyAlignment="0" applyProtection="0"/>
    <xf numFmtId="0" fontId="61" fillId="41" borderId="0" applyNumberFormat="0" applyBorder="0" applyAlignment="0" applyProtection="0"/>
    <xf numFmtId="0" fontId="61" fillId="44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61" fillId="43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44" borderId="0" applyNumberFormat="0" applyBorder="0" applyAlignment="0" applyProtection="0"/>
    <xf numFmtId="0" fontId="61" fillId="44" borderId="0" applyNumberFormat="0" applyBorder="0" applyAlignment="0" applyProtection="0"/>
    <xf numFmtId="0" fontId="85" fillId="41" borderId="0" applyNumberFormat="0" applyBorder="0" applyAlignment="0" applyProtection="0"/>
    <xf numFmtId="0" fontId="85" fillId="41" borderId="0" applyNumberFormat="0" applyBorder="0" applyAlignment="0" applyProtection="0"/>
    <xf numFmtId="0" fontId="61" fillId="41" borderId="0" applyNumberFormat="0" applyBorder="0" applyAlignment="0" applyProtection="0"/>
    <xf numFmtId="0" fontId="85" fillId="41" borderId="0" applyNumberFormat="0" applyBorder="0" applyAlignment="0" applyProtection="0"/>
    <xf numFmtId="0" fontId="61" fillId="41" borderId="0" applyNumberFormat="0" applyBorder="0" applyAlignment="0" applyProtection="0"/>
    <xf numFmtId="0" fontId="85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85" fillId="41" borderId="0" applyNumberFormat="0" applyBorder="0" applyAlignment="0" applyProtection="0"/>
    <xf numFmtId="0" fontId="68" fillId="41" borderId="0" applyNumberFormat="0" applyBorder="0" applyAlignment="0" applyProtection="0"/>
    <xf numFmtId="0" fontId="68" fillId="41" borderId="0" applyNumberFormat="0" applyBorder="0" applyAlignment="0" applyProtection="0"/>
    <xf numFmtId="0" fontId="68" fillId="41" borderId="0" applyNumberFormat="0" applyBorder="0" applyAlignment="0" applyProtection="0"/>
    <xf numFmtId="0" fontId="68" fillId="41" borderId="0" applyNumberFormat="0" applyBorder="0" applyAlignment="0" applyProtection="0"/>
    <xf numFmtId="0" fontId="68" fillId="41" borderId="0" applyNumberFormat="0" applyBorder="0" applyAlignment="0" applyProtection="0"/>
    <xf numFmtId="0" fontId="68" fillId="41" borderId="0" applyNumberFormat="0" applyBorder="0" applyAlignment="0" applyProtection="0"/>
    <xf numFmtId="0" fontId="68" fillId="41" borderId="0" applyNumberFormat="0" applyBorder="0" applyAlignment="0" applyProtection="0"/>
    <xf numFmtId="0" fontId="85" fillId="41" borderId="0" applyNumberFormat="0" applyBorder="0" applyAlignment="0" applyProtection="0"/>
    <xf numFmtId="0" fontId="61" fillId="41" borderId="0" applyNumberFormat="0" applyBorder="0" applyAlignment="0" applyProtection="0"/>
    <xf numFmtId="0" fontId="85" fillId="41" borderId="0" applyNumberFormat="0" applyBorder="0" applyAlignment="0" applyProtection="0"/>
    <xf numFmtId="0" fontId="61" fillId="41" borderId="0" applyNumberFormat="0" applyBorder="0" applyAlignment="0" applyProtection="0"/>
    <xf numFmtId="0" fontId="85" fillId="41" borderId="0" applyNumberFormat="0" applyBorder="0" applyAlignment="0" applyProtection="0"/>
    <xf numFmtId="0" fontId="85" fillId="42" borderId="0" applyNumberFormat="0" applyBorder="0" applyAlignment="0" applyProtection="0"/>
    <xf numFmtId="0" fontId="85" fillId="42" borderId="0" applyNumberFormat="0" applyBorder="0" applyAlignment="0" applyProtection="0"/>
    <xf numFmtId="0" fontId="61" fillId="42" borderId="0" applyNumberFormat="0" applyBorder="0" applyAlignment="0" applyProtection="0"/>
    <xf numFmtId="0" fontId="85" fillId="42" borderId="0" applyNumberFormat="0" applyBorder="0" applyAlignment="0" applyProtection="0"/>
    <xf numFmtId="0" fontId="61" fillId="42" borderId="0" applyNumberFormat="0" applyBorder="0" applyAlignment="0" applyProtection="0"/>
    <xf numFmtId="0" fontId="85" fillId="42" borderId="0" applyNumberFormat="0" applyBorder="0" applyAlignment="0" applyProtection="0"/>
    <xf numFmtId="0" fontId="61" fillId="42" borderId="0" applyNumberFormat="0" applyBorder="0" applyAlignment="0" applyProtection="0"/>
    <xf numFmtId="0" fontId="61" fillId="42" borderId="0" applyNumberFormat="0" applyBorder="0" applyAlignment="0" applyProtection="0"/>
    <xf numFmtId="0" fontId="61" fillId="42" borderId="0" applyNumberFormat="0" applyBorder="0" applyAlignment="0" applyProtection="0"/>
    <xf numFmtId="0" fontId="61" fillId="42" borderId="0" applyNumberFormat="0" applyBorder="0" applyAlignment="0" applyProtection="0"/>
    <xf numFmtId="0" fontId="85" fillId="42" borderId="0" applyNumberFormat="0" applyBorder="0" applyAlignment="0" applyProtection="0"/>
    <xf numFmtId="0" fontId="68" fillId="42" borderId="0" applyNumberFormat="0" applyBorder="0" applyAlignment="0" applyProtection="0"/>
    <xf numFmtId="0" fontId="68" fillId="42" borderId="0" applyNumberFormat="0" applyBorder="0" applyAlignment="0" applyProtection="0"/>
    <xf numFmtId="0" fontId="68" fillId="42" borderId="0" applyNumberFormat="0" applyBorder="0" applyAlignment="0" applyProtection="0"/>
    <xf numFmtId="0" fontId="68" fillId="42" borderId="0" applyNumberFormat="0" applyBorder="0" applyAlignment="0" applyProtection="0"/>
    <xf numFmtId="0" fontId="68" fillId="42" borderId="0" applyNumberFormat="0" applyBorder="0" applyAlignment="0" applyProtection="0"/>
    <xf numFmtId="0" fontId="68" fillId="42" borderId="0" applyNumberFormat="0" applyBorder="0" applyAlignment="0" applyProtection="0"/>
    <xf numFmtId="0" fontId="68" fillId="42" borderId="0" applyNumberFormat="0" applyBorder="0" applyAlignment="0" applyProtection="0"/>
    <xf numFmtId="0" fontId="85" fillId="42" borderId="0" applyNumberFormat="0" applyBorder="0" applyAlignment="0" applyProtection="0"/>
    <xf numFmtId="0" fontId="61" fillId="42" borderId="0" applyNumberFormat="0" applyBorder="0" applyAlignment="0" applyProtection="0"/>
    <xf numFmtId="0" fontId="85" fillId="42" borderId="0" applyNumberFormat="0" applyBorder="0" applyAlignment="0" applyProtection="0"/>
    <xf numFmtId="0" fontId="61" fillId="42" borderId="0" applyNumberFormat="0" applyBorder="0" applyAlignment="0" applyProtection="0"/>
    <xf numFmtId="0" fontId="85" fillId="42" borderId="0" applyNumberFormat="0" applyBorder="0" applyAlignment="0" applyProtection="0"/>
    <xf numFmtId="0" fontId="85" fillId="43" borderId="0" applyNumberFormat="0" applyBorder="0" applyAlignment="0" applyProtection="0"/>
    <xf numFmtId="0" fontId="85" fillId="43" borderId="0" applyNumberFormat="0" applyBorder="0" applyAlignment="0" applyProtection="0"/>
    <xf numFmtId="0" fontId="61" fillId="43" borderId="0" applyNumberFormat="0" applyBorder="0" applyAlignment="0" applyProtection="0"/>
    <xf numFmtId="0" fontId="85" fillId="43" borderId="0" applyNumberFormat="0" applyBorder="0" applyAlignment="0" applyProtection="0"/>
    <xf numFmtId="0" fontId="61" fillId="43" borderId="0" applyNumberFormat="0" applyBorder="0" applyAlignment="0" applyProtection="0"/>
    <xf numFmtId="0" fontId="85" fillId="43" borderId="0" applyNumberFormat="0" applyBorder="0" applyAlignment="0" applyProtection="0"/>
    <xf numFmtId="0" fontId="61" fillId="43" borderId="0" applyNumberFormat="0" applyBorder="0" applyAlignment="0" applyProtection="0"/>
    <xf numFmtId="0" fontId="61" fillId="43" borderId="0" applyNumberFormat="0" applyBorder="0" applyAlignment="0" applyProtection="0"/>
    <xf numFmtId="0" fontId="61" fillId="43" borderId="0" applyNumberFormat="0" applyBorder="0" applyAlignment="0" applyProtection="0"/>
    <xf numFmtId="0" fontId="61" fillId="43" borderId="0" applyNumberFormat="0" applyBorder="0" applyAlignment="0" applyProtection="0"/>
    <xf numFmtId="0" fontId="85" fillId="43" borderId="0" applyNumberFormat="0" applyBorder="0" applyAlignment="0" applyProtection="0"/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0" fontId="85" fillId="43" borderId="0" applyNumberFormat="0" applyBorder="0" applyAlignment="0" applyProtection="0"/>
    <xf numFmtId="0" fontId="61" fillId="43" borderId="0" applyNumberFormat="0" applyBorder="0" applyAlignment="0" applyProtection="0"/>
    <xf numFmtId="0" fontId="85" fillId="43" borderId="0" applyNumberFormat="0" applyBorder="0" applyAlignment="0" applyProtection="0"/>
    <xf numFmtId="0" fontId="61" fillId="43" borderId="0" applyNumberFormat="0" applyBorder="0" applyAlignment="0" applyProtection="0"/>
    <xf numFmtId="0" fontId="85" fillId="43" borderId="0" applyNumberFormat="0" applyBorder="0" applyAlignment="0" applyProtection="0"/>
    <xf numFmtId="0" fontId="85" fillId="38" borderId="0" applyNumberFormat="0" applyBorder="0" applyAlignment="0" applyProtection="0"/>
    <xf numFmtId="0" fontId="85" fillId="38" borderId="0" applyNumberFormat="0" applyBorder="0" applyAlignment="0" applyProtection="0"/>
    <xf numFmtId="0" fontId="61" fillId="38" borderId="0" applyNumberFormat="0" applyBorder="0" applyAlignment="0" applyProtection="0"/>
    <xf numFmtId="0" fontId="85" fillId="38" borderId="0" applyNumberFormat="0" applyBorder="0" applyAlignment="0" applyProtection="0"/>
    <xf numFmtId="0" fontId="61" fillId="38" borderId="0" applyNumberFormat="0" applyBorder="0" applyAlignment="0" applyProtection="0"/>
    <xf numFmtId="0" fontId="85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61" fillId="38" borderId="0" applyNumberFormat="0" applyBorder="0" applyAlignment="0" applyProtection="0"/>
    <xf numFmtId="0" fontId="85" fillId="38" borderId="0" applyNumberFormat="0" applyBorder="0" applyAlignment="0" applyProtection="0"/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68" fillId="38" borderId="0" applyNumberFormat="0" applyBorder="0" applyAlignment="0" applyProtection="0"/>
    <xf numFmtId="0" fontId="85" fillId="38" borderId="0" applyNumberFormat="0" applyBorder="0" applyAlignment="0" applyProtection="0"/>
    <xf numFmtId="0" fontId="61" fillId="38" borderId="0" applyNumberFormat="0" applyBorder="0" applyAlignment="0" applyProtection="0"/>
    <xf numFmtId="0" fontId="85" fillId="38" borderId="0" applyNumberFormat="0" applyBorder="0" applyAlignment="0" applyProtection="0"/>
    <xf numFmtId="0" fontId="61" fillId="38" borderId="0" applyNumberFormat="0" applyBorder="0" applyAlignment="0" applyProtection="0"/>
    <xf numFmtId="0" fontId="85" fillId="38" borderId="0" applyNumberFormat="0" applyBorder="0" applyAlignment="0" applyProtection="0"/>
    <xf numFmtId="0" fontId="85" fillId="41" borderId="0" applyNumberFormat="0" applyBorder="0" applyAlignment="0" applyProtection="0"/>
    <xf numFmtId="0" fontId="85" fillId="41" borderId="0" applyNumberFormat="0" applyBorder="0" applyAlignment="0" applyProtection="0"/>
    <xf numFmtId="0" fontId="61" fillId="41" borderId="0" applyNumberFormat="0" applyBorder="0" applyAlignment="0" applyProtection="0"/>
    <xf numFmtId="0" fontId="85" fillId="41" borderId="0" applyNumberFormat="0" applyBorder="0" applyAlignment="0" applyProtection="0"/>
    <xf numFmtId="0" fontId="61" fillId="41" borderId="0" applyNumberFormat="0" applyBorder="0" applyAlignment="0" applyProtection="0"/>
    <xf numFmtId="0" fontId="85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61" fillId="41" borderId="0" applyNumberFormat="0" applyBorder="0" applyAlignment="0" applyProtection="0"/>
    <xf numFmtId="0" fontId="85" fillId="41" borderId="0" applyNumberFormat="0" applyBorder="0" applyAlignment="0" applyProtection="0"/>
    <xf numFmtId="0" fontId="68" fillId="41" borderId="0" applyNumberFormat="0" applyBorder="0" applyAlignment="0" applyProtection="0"/>
    <xf numFmtId="0" fontId="68" fillId="41" borderId="0" applyNumberFormat="0" applyBorder="0" applyAlignment="0" applyProtection="0"/>
    <xf numFmtId="0" fontId="68" fillId="41" borderId="0" applyNumberFormat="0" applyBorder="0" applyAlignment="0" applyProtection="0"/>
    <xf numFmtId="0" fontId="68" fillId="41" borderId="0" applyNumberFormat="0" applyBorder="0" applyAlignment="0" applyProtection="0"/>
    <xf numFmtId="0" fontId="68" fillId="41" borderId="0" applyNumberFormat="0" applyBorder="0" applyAlignment="0" applyProtection="0"/>
    <xf numFmtId="0" fontId="68" fillId="41" borderId="0" applyNumberFormat="0" applyBorder="0" applyAlignment="0" applyProtection="0"/>
    <xf numFmtId="0" fontId="68" fillId="41" borderId="0" applyNumberFormat="0" applyBorder="0" applyAlignment="0" applyProtection="0"/>
    <xf numFmtId="0" fontId="85" fillId="41" borderId="0" applyNumberFormat="0" applyBorder="0" applyAlignment="0" applyProtection="0"/>
    <xf numFmtId="0" fontId="61" fillId="41" borderId="0" applyNumberFormat="0" applyBorder="0" applyAlignment="0" applyProtection="0"/>
    <xf numFmtId="0" fontId="85" fillId="41" borderId="0" applyNumberFormat="0" applyBorder="0" applyAlignment="0" applyProtection="0"/>
    <xf numFmtId="0" fontId="61" fillId="41" borderId="0" applyNumberFormat="0" applyBorder="0" applyAlignment="0" applyProtection="0"/>
    <xf numFmtId="0" fontId="85" fillId="41" borderId="0" applyNumberFormat="0" applyBorder="0" applyAlignment="0" applyProtection="0"/>
    <xf numFmtId="0" fontId="85" fillId="44" borderId="0" applyNumberFormat="0" applyBorder="0" applyAlignment="0" applyProtection="0"/>
    <xf numFmtId="0" fontId="85" fillId="44" borderId="0" applyNumberFormat="0" applyBorder="0" applyAlignment="0" applyProtection="0"/>
    <xf numFmtId="0" fontId="61" fillId="44" borderId="0" applyNumberFormat="0" applyBorder="0" applyAlignment="0" applyProtection="0"/>
    <xf numFmtId="0" fontId="85" fillId="44" borderId="0" applyNumberFormat="0" applyBorder="0" applyAlignment="0" applyProtection="0"/>
    <xf numFmtId="0" fontId="61" fillId="44" borderId="0" applyNumberFormat="0" applyBorder="0" applyAlignment="0" applyProtection="0"/>
    <xf numFmtId="0" fontId="85" fillId="44" borderId="0" applyNumberFormat="0" applyBorder="0" applyAlignment="0" applyProtection="0"/>
    <xf numFmtId="0" fontId="61" fillId="44" borderId="0" applyNumberFormat="0" applyBorder="0" applyAlignment="0" applyProtection="0"/>
    <xf numFmtId="0" fontId="61" fillId="44" borderId="0" applyNumberFormat="0" applyBorder="0" applyAlignment="0" applyProtection="0"/>
    <xf numFmtId="0" fontId="61" fillId="44" borderId="0" applyNumberFormat="0" applyBorder="0" applyAlignment="0" applyProtection="0"/>
    <xf numFmtId="0" fontId="61" fillId="44" borderId="0" applyNumberFormat="0" applyBorder="0" applyAlignment="0" applyProtection="0"/>
    <xf numFmtId="0" fontId="85" fillId="44" borderId="0" applyNumberFormat="0" applyBorder="0" applyAlignment="0" applyProtection="0"/>
    <xf numFmtId="0" fontId="68" fillId="44" borderId="0" applyNumberFormat="0" applyBorder="0" applyAlignment="0" applyProtection="0"/>
    <xf numFmtId="0" fontId="68" fillId="44" borderId="0" applyNumberFormat="0" applyBorder="0" applyAlignment="0" applyProtection="0"/>
    <xf numFmtId="0" fontId="68" fillId="44" borderId="0" applyNumberFormat="0" applyBorder="0" applyAlignment="0" applyProtection="0"/>
    <xf numFmtId="0" fontId="68" fillId="44" borderId="0" applyNumberFormat="0" applyBorder="0" applyAlignment="0" applyProtection="0"/>
    <xf numFmtId="0" fontId="68" fillId="44" borderId="0" applyNumberFormat="0" applyBorder="0" applyAlignment="0" applyProtection="0"/>
    <xf numFmtId="0" fontId="68" fillId="44" borderId="0" applyNumberFormat="0" applyBorder="0" applyAlignment="0" applyProtection="0"/>
    <xf numFmtId="0" fontId="68" fillId="44" borderId="0" applyNumberFormat="0" applyBorder="0" applyAlignment="0" applyProtection="0"/>
    <xf numFmtId="0" fontId="85" fillId="44" borderId="0" applyNumberFormat="0" applyBorder="0" applyAlignment="0" applyProtection="0"/>
    <xf numFmtId="0" fontId="61" fillId="44" borderId="0" applyNumberFormat="0" applyBorder="0" applyAlignment="0" applyProtection="0"/>
    <xf numFmtId="0" fontId="85" fillId="44" borderId="0" applyNumberFormat="0" applyBorder="0" applyAlignment="0" applyProtection="0"/>
    <xf numFmtId="0" fontId="61" fillId="44" borderId="0" applyNumberFormat="0" applyBorder="0" applyAlignment="0" applyProtection="0"/>
    <xf numFmtId="0" fontId="85" fillId="44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7" fillId="0" borderId="0" applyNumberFormat="0" applyFont="0" applyFill="0" applyBorder="0" applyProtection="0">
      <alignment horizontal="left" vertical="center" indent="5"/>
    </xf>
    <xf numFmtId="0" fontId="84" fillId="45" borderId="0" applyNumberFormat="0" applyBorder="0" applyAlignment="0" applyProtection="0"/>
    <xf numFmtId="0" fontId="84" fillId="42" borderId="0" applyNumberFormat="0" applyBorder="0" applyAlignment="0" applyProtection="0"/>
    <xf numFmtId="0" fontId="84" fillId="43" borderId="0" applyNumberFormat="0" applyBorder="0" applyAlignment="0" applyProtection="0"/>
    <xf numFmtId="0" fontId="84" fillId="46" borderId="0" applyNumberFormat="0" applyBorder="0" applyAlignment="0" applyProtection="0"/>
    <xf numFmtId="0" fontId="84" fillId="47" borderId="0" applyNumberFormat="0" applyBorder="0" applyAlignment="0" applyProtection="0"/>
    <xf numFmtId="0" fontId="84" fillId="48" borderId="0" applyNumberFormat="0" applyBorder="0" applyAlignment="0" applyProtection="0"/>
    <xf numFmtId="0" fontId="84" fillId="45" borderId="0" applyNumberFormat="0" applyBorder="0" applyAlignment="0" applyProtection="0"/>
    <xf numFmtId="0" fontId="84" fillId="45" borderId="0" applyNumberFormat="0" applyBorder="0" applyAlignment="0" applyProtection="0"/>
    <xf numFmtId="0" fontId="84" fillId="42" borderId="0" applyNumberFormat="0" applyBorder="0" applyAlignment="0" applyProtection="0"/>
    <xf numFmtId="0" fontId="84" fillId="42" borderId="0" applyNumberFormat="0" applyBorder="0" applyAlignment="0" applyProtection="0"/>
    <xf numFmtId="0" fontId="84" fillId="43" borderId="0" applyNumberFormat="0" applyBorder="0" applyAlignment="0" applyProtection="0"/>
    <xf numFmtId="0" fontId="84" fillId="43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7" borderId="0" applyNumberFormat="0" applyBorder="0" applyAlignment="0" applyProtection="0"/>
    <xf numFmtId="0" fontId="84" fillId="47" borderId="0" applyNumberFormat="0" applyBorder="0" applyAlignment="0" applyProtection="0"/>
    <xf numFmtId="0" fontId="84" fillId="48" borderId="0" applyNumberFormat="0" applyBorder="0" applyAlignment="0" applyProtection="0"/>
    <xf numFmtId="0" fontId="84" fillId="48" borderId="0" applyNumberFormat="0" applyBorder="0" applyAlignment="0" applyProtection="0"/>
    <xf numFmtId="0" fontId="86" fillId="45" borderId="0" applyNumberFormat="0" applyBorder="0" applyAlignment="0" applyProtection="0"/>
    <xf numFmtId="0" fontId="86" fillId="45" borderId="0" applyNumberFormat="0" applyBorder="0" applyAlignment="0" applyProtection="0"/>
    <xf numFmtId="0" fontId="84" fillId="45" borderId="0" applyNumberFormat="0" applyBorder="0" applyAlignment="0" applyProtection="0"/>
    <xf numFmtId="0" fontId="86" fillId="45" borderId="0" applyNumberFormat="0" applyBorder="0" applyAlignment="0" applyProtection="0"/>
    <xf numFmtId="0" fontId="84" fillId="45" borderId="0" applyNumberFormat="0" applyBorder="0" applyAlignment="0" applyProtection="0"/>
    <xf numFmtId="0" fontId="86" fillId="45" borderId="0" applyNumberFormat="0" applyBorder="0" applyAlignment="0" applyProtection="0"/>
    <xf numFmtId="0" fontId="84" fillId="45" borderId="0" applyNumberFormat="0" applyBorder="0" applyAlignment="0" applyProtection="0"/>
    <xf numFmtId="0" fontId="84" fillId="45" borderId="0" applyNumberFormat="0" applyBorder="0" applyAlignment="0" applyProtection="0"/>
    <xf numFmtId="0" fontId="84" fillId="45" borderId="0" applyNumberFormat="0" applyBorder="0" applyAlignment="0" applyProtection="0"/>
    <xf numFmtId="0" fontId="84" fillId="45" borderId="0" applyNumberFormat="0" applyBorder="0" applyAlignment="0" applyProtection="0"/>
    <xf numFmtId="0" fontId="86" fillId="45" borderId="0" applyNumberFormat="0" applyBorder="0" applyAlignment="0" applyProtection="0"/>
    <xf numFmtId="0" fontId="87" fillId="45" borderId="0" applyNumberFormat="0" applyBorder="0" applyAlignment="0" applyProtection="0"/>
    <xf numFmtId="0" fontId="87" fillId="45" borderId="0" applyNumberFormat="0" applyBorder="0" applyAlignment="0" applyProtection="0"/>
    <xf numFmtId="0" fontId="87" fillId="45" borderId="0" applyNumberFormat="0" applyBorder="0" applyAlignment="0" applyProtection="0"/>
    <xf numFmtId="0" fontId="87" fillId="45" borderId="0" applyNumberFormat="0" applyBorder="0" applyAlignment="0" applyProtection="0"/>
    <xf numFmtId="0" fontId="87" fillId="45" borderId="0" applyNumberFormat="0" applyBorder="0" applyAlignment="0" applyProtection="0"/>
    <xf numFmtId="0" fontId="87" fillId="45" borderId="0" applyNumberFormat="0" applyBorder="0" applyAlignment="0" applyProtection="0"/>
    <xf numFmtId="0" fontId="87" fillId="45" borderId="0" applyNumberFormat="0" applyBorder="0" applyAlignment="0" applyProtection="0"/>
    <xf numFmtId="0" fontId="86" fillId="45" borderId="0" applyNumberFormat="0" applyBorder="0" applyAlignment="0" applyProtection="0"/>
    <xf numFmtId="0" fontId="84" fillId="45" borderId="0" applyNumberFormat="0" applyBorder="0" applyAlignment="0" applyProtection="0"/>
    <xf numFmtId="0" fontId="86" fillId="45" borderId="0" applyNumberFormat="0" applyBorder="0" applyAlignment="0" applyProtection="0"/>
    <xf numFmtId="0" fontId="84" fillId="45" borderId="0" applyNumberFormat="0" applyBorder="0" applyAlignment="0" applyProtection="0"/>
    <xf numFmtId="0" fontId="86" fillId="45" borderId="0" applyNumberFormat="0" applyBorder="0" applyAlignment="0" applyProtection="0"/>
    <xf numFmtId="0" fontId="86" fillId="42" borderId="0" applyNumberFormat="0" applyBorder="0" applyAlignment="0" applyProtection="0"/>
    <xf numFmtId="0" fontId="86" fillId="42" borderId="0" applyNumberFormat="0" applyBorder="0" applyAlignment="0" applyProtection="0"/>
    <xf numFmtId="0" fontId="84" fillId="42" borderId="0" applyNumberFormat="0" applyBorder="0" applyAlignment="0" applyProtection="0"/>
    <xf numFmtId="0" fontId="86" fillId="42" borderId="0" applyNumberFormat="0" applyBorder="0" applyAlignment="0" applyProtection="0"/>
    <xf numFmtId="0" fontId="84" fillId="42" borderId="0" applyNumberFormat="0" applyBorder="0" applyAlignment="0" applyProtection="0"/>
    <xf numFmtId="0" fontId="86" fillId="42" borderId="0" applyNumberFormat="0" applyBorder="0" applyAlignment="0" applyProtection="0"/>
    <xf numFmtId="0" fontId="84" fillId="42" borderId="0" applyNumberFormat="0" applyBorder="0" applyAlignment="0" applyProtection="0"/>
    <xf numFmtId="0" fontId="84" fillId="42" borderId="0" applyNumberFormat="0" applyBorder="0" applyAlignment="0" applyProtection="0"/>
    <xf numFmtId="0" fontId="84" fillId="42" borderId="0" applyNumberFormat="0" applyBorder="0" applyAlignment="0" applyProtection="0"/>
    <xf numFmtId="0" fontId="84" fillId="42" borderId="0" applyNumberFormat="0" applyBorder="0" applyAlignment="0" applyProtection="0"/>
    <xf numFmtId="0" fontId="86" fillId="42" borderId="0" applyNumberFormat="0" applyBorder="0" applyAlignment="0" applyProtection="0"/>
    <xf numFmtId="0" fontId="87" fillId="42" borderId="0" applyNumberFormat="0" applyBorder="0" applyAlignment="0" applyProtection="0"/>
    <xf numFmtId="0" fontId="87" fillId="42" borderId="0" applyNumberFormat="0" applyBorder="0" applyAlignment="0" applyProtection="0"/>
    <xf numFmtId="0" fontId="87" fillId="42" borderId="0" applyNumberFormat="0" applyBorder="0" applyAlignment="0" applyProtection="0"/>
    <xf numFmtId="0" fontId="87" fillId="42" borderId="0" applyNumberFormat="0" applyBorder="0" applyAlignment="0" applyProtection="0"/>
    <xf numFmtId="0" fontId="87" fillId="42" borderId="0" applyNumberFormat="0" applyBorder="0" applyAlignment="0" applyProtection="0"/>
    <xf numFmtId="0" fontId="87" fillId="42" borderId="0" applyNumberFormat="0" applyBorder="0" applyAlignment="0" applyProtection="0"/>
    <xf numFmtId="0" fontId="87" fillId="42" borderId="0" applyNumberFormat="0" applyBorder="0" applyAlignment="0" applyProtection="0"/>
    <xf numFmtId="0" fontId="86" fillId="42" borderId="0" applyNumberFormat="0" applyBorder="0" applyAlignment="0" applyProtection="0"/>
    <xf numFmtId="0" fontId="84" fillId="42" borderId="0" applyNumberFormat="0" applyBorder="0" applyAlignment="0" applyProtection="0"/>
    <xf numFmtId="0" fontId="86" fillId="42" borderId="0" applyNumberFormat="0" applyBorder="0" applyAlignment="0" applyProtection="0"/>
    <xf numFmtId="0" fontId="84" fillId="42" borderId="0" applyNumberFormat="0" applyBorder="0" applyAlignment="0" applyProtection="0"/>
    <xf numFmtId="0" fontId="86" fillId="42" borderId="0" applyNumberFormat="0" applyBorder="0" applyAlignment="0" applyProtection="0"/>
    <xf numFmtId="0" fontId="86" fillId="43" borderId="0" applyNumberFormat="0" applyBorder="0" applyAlignment="0" applyProtection="0"/>
    <xf numFmtId="0" fontId="86" fillId="43" borderId="0" applyNumberFormat="0" applyBorder="0" applyAlignment="0" applyProtection="0"/>
    <xf numFmtId="0" fontId="84" fillId="43" borderId="0" applyNumberFormat="0" applyBorder="0" applyAlignment="0" applyProtection="0"/>
    <xf numFmtId="0" fontId="86" fillId="43" borderId="0" applyNumberFormat="0" applyBorder="0" applyAlignment="0" applyProtection="0"/>
    <xf numFmtId="0" fontId="84" fillId="43" borderId="0" applyNumberFormat="0" applyBorder="0" applyAlignment="0" applyProtection="0"/>
    <xf numFmtId="0" fontId="86" fillId="43" borderId="0" applyNumberFormat="0" applyBorder="0" applyAlignment="0" applyProtection="0"/>
    <xf numFmtId="0" fontId="84" fillId="43" borderId="0" applyNumberFormat="0" applyBorder="0" applyAlignment="0" applyProtection="0"/>
    <xf numFmtId="0" fontId="84" fillId="43" borderId="0" applyNumberFormat="0" applyBorder="0" applyAlignment="0" applyProtection="0"/>
    <xf numFmtId="0" fontId="84" fillId="43" borderId="0" applyNumberFormat="0" applyBorder="0" applyAlignment="0" applyProtection="0"/>
    <xf numFmtId="0" fontId="84" fillId="43" borderId="0" applyNumberFormat="0" applyBorder="0" applyAlignment="0" applyProtection="0"/>
    <xf numFmtId="0" fontId="86" fillId="43" borderId="0" applyNumberFormat="0" applyBorder="0" applyAlignment="0" applyProtection="0"/>
    <xf numFmtId="0" fontId="87" fillId="43" borderId="0" applyNumberFormat="0" applyBorder="0" applyAlignment="0" applyProtection="0"/>
    <xf numFmtId="0" fontId="87" fillId="43" borderId="0" applyNumberFormat="0" applyBorder="0" applyAlignment="0" applyProtection="0"/>
    <xf numFmtId="0" fontId="87" fillId="43" borderId="0" applyNumberFormat="0" applyBorder="0" applyAlignment="0" applyProtection="0"/>
    <xf numFmtId="0" fontId="87" fillId="43" borderId="0" applyNumberFormat="0" applyBorder="0" applyAlignment="0" applyProtection="0"/>
    <xf numFmtId="0" fontId="87" fillId="43" borderId="0" applyNumberFormat="0" applyBorder="0" applyAlignment="0" applyProtection="0"/>
    <xf numFmtId="0" fontId="87" fillId="43" borderId="0" applyNumberFormat="0" applyBorder="0" applyAlignment="0" applyProtection="0"/>
    <xf numFmtId="0" fontId="87" fillId="43" borderId="0" applyNumberFormat="0" applyBorder="0" applyAlignment="0" applyProtection="0"/>
    <xf numFmtId="0" fontId="86" fillId="43" borderId="0" applyNumberFormat="0" applyBorder="0" applyAlignment="0" applyProtection="0"/>
    <xf numFmtId="0" fontId="84" fillId="43" borderId="0" applyNumberFormat="0" applyBorder="0" applyAlignment="0" applyProtection="0"/>
    <xf numFmtId="0" fontId="86" fillId="43" borderId="0" applyNumberFormat="0" applyBorder="0" applyAlignment="0" applyProtection="0"/>
    <xf numFmtId="0" fontId="84" fillId="43" borderId="0" applyNumberFormat="0" applyBorder="0" applyAlignment="0" applyProtection="0"/>
    <xf numFmtId="0" fontId="86" fillId="43" borderId="0" applyNumberFormat="0" applyBorder="0" applyAlignment="0" applyProtection="0"/>
    <xf numFmtId="0" fontId="86" fillId="46" borderId="0" applyNumberFormat="0" applyBorder="0" applyAlignment="0" applyProtection="0"/>
    <xf numFmtId="0" fontId="86" fillId="46" borderId="0" applyNumberFormat="0" applyBorder="0" applyAlignment="0" applyProtection="0"/>
    <xf numFmtId="0" fontId="84" fillId="46" borderId="0" applyNumberFormat="0" applyBorder="0" applyAlignment="0" applyProtection="0"/>
    <xf numFmtId="0" fontId="86" fillId="46" borderId="0" applyNumberFormat="0" applyBorder="0" applyAlignment="0" applyProtection="0"/>
    <xf numFmtId="0" fontId="84" fillId="46" borderId="0" applyNumberFormat="0" applyBorder="0" applyAlignment="0" applyProtection="0"/>
    <xf numFmtId="0" fontId="86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146" fillId="46" borderId="0" applyNumberFormat="0" applyBorder="0" applyAlignment="0" applyProtection="0"/>
    <xf numFmtId="0" fontId="84" fillId="46" borderId="0" applyNumberFormat="0" applyBorder="0" applyAlignment="0" applyProtection="0"/>
    <xf numFmtId="0" fontId="86" fillId="46" borderId="0" applyNumberFormat="0" applyBorder="0" applyAlignment="0" applyProtection="0"/>
    <xf numFmtId="0" fontId="87" fillId="46" borderId="0" applyNumberFormat="0" applyBorder="0" applyAlignment="0" applyProtection="0"/>
    <xf numFmtId="0" fontId="87" fillId="46" borderId="0" applyNumberFormat="0" applyBorder="0" applyAlignment="0" applyProtection="0"/>
    <xf numFmtId="0" fontId="87" fillId="46" borderId="0" applyNumberFormat="0" applyBorder="0" applyAlignment="0" applyProtection="0"/>
    <xf numFmtId="0" fontId="87" fillId="46" borderId="0" applyNumberFormat="0" applyBorder="0" applyAlignment="0" applyProtection="0"/>
    <xf numFmtId="0" fontId="87" fillId="46" borderId="0" applyNumberFormat="0" applyBorder="0" applyAlignment="0" applyProtection="0"/>
    <xf numFmtId="0" fontId="87" fillId="46" borderId="0" applyNumberFormat="0" applyBorder="0" applyAlignment="0" applyProtection="0"/>
    <xf numFmtId="0" fontId="87" fillId="46" borderId="0" applyNumberFormat="0" applyBorder="0" applyAlignment="0" applyProtection="0"/>
    <xf numFmtId="0" fontId="86" fillId="46" borderId="0" applyNumberFormat="0" applyBorder="0" applyAlignment="0" applyProtection="0"/>
    <xf numFmtId="0" fontId="84" fillId="46" borderId="0" applyNumberFormat="0" applyBorder="0" applyAlignment="0" applyProtection="0"/>
    <xf numFmtId="0" fontId="86" fillId="46" borderId="0" applyNumberFormat="0" applyBorder="0" applyAlignment="0" applyProtection="0"/>
    <xf numFmtId="0" fontId="84" fillId="46" borderId="0" applyNumberFormat="0" applyBorder="0" applyAlignment="0" applyProtection="0"/>
    <xf numFmtId="0" fontId="86" fillId="46" borderId="0" applyNumberFormat="0" applyBorder="0" applyAlignment="0" applyProtection="0"/>
    <xf numFmtId="0" fontId="86" fillId="47" borderId="0" applyNumberFormat="0" applyBorder="0" applyAlignment="0" applyProtection="0"/>
    <xf numFmtId="0" fontId="86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47" borderId="0" applyNumberFormat="0" applyBorder="0" applyAlignment="0" applyProtection="0"/>
    <xf numFmtId="0" fontId="84" fillId="47" borderId="0" applyNumberFormat="0" applyBorder="0" applyAlignment="0" applyProtection="0"/>
    <xf numFmtId="0" fontId="84" fillId="47" borderId="0" applyNumberFormat="0" applyBorder="0" applyAlignment="0" applyProtection="0"/>
    <xf numFmtId="0" fontId="84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47" borderId="0" applyNumberFormat="0" applyBorder="0" applyAlignment="0" applyProtection="0"/>
    <xf numFmtId="0" fontId="86" fillId="48" borderId="0" applyNumberFormat="0" applyBorder="0" applyAlignment="0" applyProtection="0"/>
    <xf numFmtId="0" fontId="86" fillId="48" borderId="0" applyNumberFormat="0" applyBorder="0" applyAlignment="0" applyProtection="0"/>
    <xf numFmtId="0" fontId="84" fillId="48" borderId="0" applyNumberFormat="0" applyBorder="0" applyAlignment="0" applyProtection="0"/>
    <xf numFmtId="0" fontId="86" fillId="48" borderId="0" applyNumberFormat="0" applyBorder="0" applyAlignment="0" applyProtection="0"/>
    <xf numFmtId="0" fontId="84" fillId="48" borderId="0" applyNumberFormat="0" applyBorder="0" applyAlignment="0" applyProtection="0"/>
    <xf numFmtId="0" fontId="86" fillId="48" borderId="0" applyNumberFormat="0" applyBorder="0" applyAlignment="0" applyProtection="0"/>
    <xf numFmtId="0" fontId="84" fillId="48" borderId="0" applyNumberFormat="0" applyBorder="0" applyAlignment="0" applyProtection="0"/>
    <xf numFmtId="0" fontId="84" fillId="48" borderId="0" applyNumberFormat="0" applyBorder="0" applyAlignment="0" applyProtection="0"/>
    <xf numFmtId="0" fontId="84" fillId="48" borderId="0" applyNumberFormat="0" applyBorder="0" applyAlignment="0" applyProtection="0"/>
    <xf numFmtId="0" fontId="84" fillId="48" borderId="0" applyNumberFormat="0" applyBorder="0" applyAlignment="0" applyProtection="0"/>
    <xf numFmtId="0" fontId="86" fillId="48" borderId="0" applyNumberFormat="0" applyBorder="0" applyAlignment="0" applyProtection="0"/>
    <xf numFmtId="0" fontId="87" fillId="48" borderId="0" applyNumberFormat="0" applyBorder="0" applyAlignment="0" applyProtection="0"/>
    <xf numFmtId="0" fontId="87" fillId="48" borderId="0" applyNumberFormat="0" applyBorder="0" applyAlignment="0" applyProtection="0"/>
    <xf numFmtId="0" fontId="87" fillId="48" borderId="0" applyNumberFormat="0" applyBorder="0" applyAlignment="0" applyProtection="0"/>
    <xf numFmtId="0" fontId="87" fillId="48" borderId="0" applyNumberFormat="0" applyBorder="0" applyAlignment="0" applyProtection="0"/>
    <xf numFmtId="0" fontId="87" fillId="48" borderId="0" applyNumberFormat="0" applyBorder="0" applyAlignment="0" applyProtection="0"/>
    <xf numFmtId="0" fontId="87" fillId="48" borderId="0" applyNumberFormat="0" applyBorder="0" applyAlignment="0" applyProtection="0"/>
    <xf numFmtId="0" fontId="87" fillId="48" borderId="0" applyNumberFormat="0" applyBorder="0" applyAlignment="0" applyProtection="0"/>
    <xf numFmtId="0" fontId="86" fillId="48" borderId="0" applyNumberFormat="0" applyBorder="0" applyAlignment="0" applyProtection="0"/>
    <xf numFmtId="0" fontId="84" fillId="48" borderId="0" applyNumberFormat="0" applyBorder="0" applyAlignment="0" applyProtection="0"/>
    <xf numFmtId="0" fontId="86" fillId="48" borderId="0" applyNumberFormat="0" applyBorder="0" applyAlignment="0" applyProtection="0"/>
    <xf numFmtId="0" fontId="84" fillId="48" borderId="0" applyNumberFormat="0" applyBorder="0" applyAlignment="0" applyProtection="0"/>
    <xf numFmtId="0" fontId="86" fillId="48" borderId="0" applyNumberFormat="0" applyBorder="0" applyAlignment="0" applyProtection="0"/>
    <xf numFmtId="0" fontId="84" fillId="49" borderId="0" applyNumberFormat="0" applyBorder="0" applyAlignment="0" applyProtection="0"/>
    <xf numFmtId="0" fontId="84" fillId="49" borderId="0" applyNumberFormat="0" applyBorder="0" applyAlignment="0" applyProtection="0"/>
    <xf numFmtId="0" fontId="84" fillId="50" borderId="0" applyNumberFormat="0" applyBorder="0" applyAlignment="0" applyProtection="0"/>
    <xf numFmtId="0" fontId="84" fillId="50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7" borderId="0" applyNumberFormat="0" applyBorder="0" applyAlignment="0" applyProtection="0"/>
    <xf numFmtId="0" fontId="84" fillId="47" borderId="0" applyNumberFormat="0" applyBorder="0" applyAlignment="0" applyProtection="0"/>
    <xf numFmtId="0" fontId="84" fillId="52" borderId="0" applyNumberFormat="0" applyBorder="0" applyAlignment="0" applyProtection="0"/>
    <xf numFmtId="0" fontId="84" fillId="52" borderId="0" applyNumberFormat="0" applyBorder="0" applyAlignment="0" applyProtection="0"/>
    <xf numFmtId="183" fontId="7" fillId="53" borderId="91">
      <alignment horizontal="center" vertical="center"/>
    </xf>
    <xf numFmtId="0" fontId="86" fillId="49" borderId="0" applyNumberFormat="0" applyBorder="0" applyAlignment="0" applyProtection="0"/>
    <xf numFmtId="0" fontId="86" fillId="49" borderId="0" applyNumberFormat="0" applyBorder="0" applyAlignment="0" applyProtection="0"/>
    <xf numFmtId="0" fontId="84" fillId="49" borderId="0" applyNumberFormat="0" applyBorder="0" applyAlignment="0" applyProtection="0"/>
    <xf numFmtId="0" fontId="86" fillId="49" borderId="0" applyNumberFormat="0" applyBorder="0" applyAlignment="0" applyProtection="0"/>
    <xf numFmtId="0" fontId="84" fillId="49" borderId="0" applyNumberFormat="0" applyBorder="0" applyAlignment="0" applyProtection="0"/>
    <xf numFmtId="0" fontId="86" fillId="49" borderId="0" applyNumberFormat="0" applyBorder="0" applyAlignment="0" applyProtection="0"/>
    <xf numFmtId="0" fontId="84" fillId="49" borderId="0" applyNumberFormat="0" applyBorder="0" applyAlignment="0" applyProtection="0"/>
    <xf numFmtId="0" fontId="84" fillId="49" borderId="0" applyNumberFormat="0" applyBorder="0" applyAlignment="0" applyProtection="0"/>
    <xf numFmtId="0" fontId="84" fillId="49" borderId="0" applyNumberFormat="0" applyBorder="0" applyAlignment="0" applyProtection="0"/>
    <xf numFmtId="0" fontId="84" fillId="49" borderId="0" applyNumberFormat="0" applyBorder="0" applyAlignment="0" applyProtection="0"/>
    <xf numFmtId="0" fontId="86" fillId="49" borderId="0" applyNumberFormat="0" applyBorder="0" applyAlignment="0" applyProtection="0"/>
    <xf numFmtId="0" fontId="87" fillId="49" borderId="0" applyNumberFormat="0" applyBorder="0" applyAlignment="0" applyProtection="0"/>
    <xf numFmtId="0" fontId="87" fillId="49" borderId="0" applyNumberFormat="0" applyBorder="0" applyAlignment="0" applyProtection="0"/>
    <xf numFmtId="0" fontId="87" fillId="49" borderId="0" applyNumberFormat="0" applyBorder="0" applyAlignment="0" applyProtection="0"/>
    <xf numFmtId="0" fontId="87" fillId="49" borderId="0" applyNumberFormat="0" applyBorder="0" applyAlignment="0" applyProtection="0"/>
    <xf numFmtId="0" fontId="87" fillId="49" borderId="0" applyNumberFormat="0" applyBorder="0" applyAlignment="0" applyProtection="0"/>
    <xf numFmtId="0" fontId="87" fillId="49" borderId="0" applyNumberFormat="0" applyBorder="0" applyAlignment="0" applyProtection="0"/>
    <xf numFmtId="0" fontId="87" fillId="49" borderId="0" applyNumberFormat="0" applyBorder="0" applyAlignment="0" applyProtection="0"/>
    <xf numFmtId="0" fontId="86" fillId="49" borderId="0" applyNumberFormat="0" applyBorder="0" applyAlignment="0" applyProtection="0"/>
    <xf numFmtId="0" fontId="84" fillId="49" borderId="0" applyNumberFormat="0" applyBorder="0" applyAlignment="0" applyProtection="0"/>
    <xf numFmtId="0" fontId="86" fillId="49" borderId="0" applyNumberFormat="0" applyBorder="0" applyAlignment="0" applyProtection="0"/>
    <xf numFmtId="0" fontId="84" fillId="49" borderId="0" applyNumberFormat="0" applyBorder="0" applyAlignment="0" applyProtection="0"/>
    <xf numFmtId="0" fontId="86" fillId="50" borderId="0" applyNumberFormat="0" applyBorder="0" applyAlignment="0" applyProtection="0"/>
    <xf numFmtId="0" fontId="86" fillId="50" borderId="0" applyNumberFormat="0" applyBorder="0" applyAlignment="0" applyProtection="0"/>
    <xf numFmtId="0" fontId="84" fillId="50" borderId="0" applyNumberFormat="0" applyBorder="0" applyAlignment="0" applyProtection="0"/>
    <xf numFmtId="0" fontId="86" fillId="50" borderId="0" applyNumberFormat="0" applyBorder="0" applyAlignment="0" applyProtection="0"/>
    <xf numFmtId="0" fontId="84" fillId="50" borderId="0" applyNumberFormat="0" applyBorder="0" applyAlignment="0" applyProtection="0"/>
    <xf numFmtId="0" fontId="86" fillId="50" borderId="0" applyNumberFormat="0" applyBorder="0" applyAlignment="0" applyProtection="0"/>
    <xf numFmtId="0" fontId="84" fillId="50" borderId="0" applyNumberFormat="0" applyBorder="0" applyAlignment="0" applyProtection="0"/>
    <xf numFmtId="0" fontId="84" fillId="50" borderId="0" applyNumberFormat="0" applyBorder="0" applyAlignment="0" applyProtection="0"/>
    <xf numFmtId="0" fontId="84" fillId="50" borderId="0" applyNumberFormat="0" applyBorder="0" applyAlignment="0" applyProtection="0"/>
    <xf numFmtId="0" fontId="84" fillId="50" borderId="0" applyNumberFormat="0" applyBorder="0" applyAlignment="0" applyProtection="0"/>
    <xf numFmtId="0" fontId="86" fillId="50" borderId="0" applyNumberFormat="0" applyBorder="0" applyAlignment="0" applyProtection="0"/>
    <xf numFmtId="0" fontId="87" fillId="50" borderId="0" applyNumberFormat="0" applyBorder="0" applyAlignment="0" applyProtection="0"/>
    <xf numFmtId="0" fontId="87" fillId="50" borderId="0" applyNumberFormat="0" applyBorder="0" applyAlignment="0" applyProtection="0"/>
    <xf numFmtId="0" fontId="87" fillId="50" borderId="0" applyNumberFormat="0" applyBorder="0" applyAlignment="0" applyProtection="0"/>
    <xf numFmtId="0" fontId="87" fillId="50" borderId="0" applyNumberFormat="0" applyBorder="0" applyAlignment="0" applyProtection="0"/>
    <xf numFmtId="0" fontId="87" fillId="50" borderId="0" applyNumberFormat="0" applyBorder="0" applyAlignment="0" applyProtection="0"/>
    <xf numFmtId="0" fontId="87" fillId="50" borderId="0" applyNumberFormat="0" applyBorder="0" applyAlignment="0" applyProtection="0"/>
    <xf numFmtId="0" fontId="87" fillId="50" borderId="0" applyNumberFormat="0" applyBorder="0" applyAlignment="0" applyProtection="0"/>
    <xf numFmtId="0" fontId="86" fillId="50" borderId="0" applyNumberFormat="0" applyBorder="0" applyAlignment="0" applyProtection="0"/>
    <xf numFmtId="0" fontId="84" fillId="50" borderId="0" applyNumberFormat="0" applyBorder="0" applyAlignment="0" applyProtection="0"/>
    <xf numFmtId="0" fontId="86" fillId="50" borderId="0" applyNumberFormat="0" applyBorder="0" applyAlignment="0" applyProtection="0"/>
    <xf numFmtId="0" fontId="84" fillId="50" borderId="0" applyNumberFormat="0" applyBorder="0" applyAlignment="0" applyProtection="0"/>
    <xf numFmtId="0" fontId="86" fillId="51" borderId="0" applyNumberFormat="0" applyBorder="0" applyAlignment="0" applyProtection="0"/>
    <xf numFmtId="0" fontId="86" fillId="51" borderId="0" applyNumberFormat="0" applyBorder="0" applyAlignment="0" applyProtection="0"/>
    <xf numFmtId="0" fontId="84" fillId="51" borderId="0" applyNumberFormat="0" applyBorder="0" applyAlignment="0" applyProtection="0"/>
    <xf numFmtId="0" fontId="86" fillId="51" borderId="0" applyNumberFormat="0" applyBorder="0" applyAlignment="0" applyProtection="0"/>
    <xf numFmtId="0" fontId="84" fillId="51" borderId="0" applyNumberFormat="0" applyBorder="0" applyAlignment="0" applyProtection="0"/>
    <xf numFmtId="0" fontId="86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4" fillId="51" borderId="0" applyNumberFormat="0" applyBorder="0" applyAlignment="0" applyProtection="0"/>
    <xf numFmtId="0" fontId="86" fillId="51" borderId="0" applyNumberFormat="0" applyBorder="0" applyAlignment="0" applyProtection="0"/>
    <xf numFmtId="0" fontId="87" fillId="51" borderId="0" applyNumberFormat="0" applyBorder="0" applyAlignment="0" applyProtection="0"/>
    <xf numFmtId="0" fontId="87" fillId="51" borderId="0" applyNumberFormat="0" applyBorder="0" applyAlignment="0" applyProtection="0"/>
    <xf numFmtId="0" fontId="87" fillId="51" borderId="0" applyNumberFormat="0" applyBorder="0" applyAlignment="0" applyProtection="0"/>
    <xf numFmtId="0" fontId="87" fillId="51" borderId="0" applyNumberFormat="0" applyBorder="0" applyAlignment="0" applyProtection="0"/>
    <xf numFmtId="0" fontId="87" fillId="51" borderId="0" applyNumberFormat="0" applyBorder="0" applyAlignment="0" applyProtection="0"/>
    <xf numFmtId="0" fontId="87" fillId="51" borderId="0" applyNumberFormat="0" applyBorder="0" applyAlignment="0" applyProtection="0"/>
    <xf numFmtId="0" fontId="87" fillId="51" borderId="0" applyNumberFormat="0" applyBorder="0" applyAlignment="0" applyProtection="0"/>
    <xf numFmtId="0" fontId="86" fillId="51" borderId="0" applyNumberFormat="0" applyBorder="0" applyAlignment="0" applyProtection="0"/>
    <xf numFmtId="0" fontId="84" fillId="51" borderId="0" applyNumberFormat="0" applyBorder="0" applyAlignment="0" applyProtection="0"/>
    <xf numFmtId="0" fontId="86" fillId="51" borderId="0" applyNumberFormat="0" applyBorder="0" applyAlignment="0" applyProtection="0"/>
    <xf numFmtId="0" fontId="84" fillId="51" borderId="0" applyNumberFormat="0" applyBorder="0" applyAlignment="0" applyProtection="0"/>
    <xf numFmtId="0" fontId="86" fillId="46" borderId="0" applyNumberFormat="0" applyBorder="0" applyAlignment="0" applyProtection="0"/>
    <xf numFmtId="0" fontId="86" fillId="46" borderId="0" applyNumberFormat="0" applyBorder="0" applyAlignment="0" applyProtection="0"/>
    <xf numFmtId="0" fontId="84" fillId="46" borderId="0" applyNumberFormat="0" applyBorder="0" applyAlignment="0" applyProtection="0"/>
    <xf numFmtId="0" fontId="86" fillId="46" borderId="0" applyNumberFormat="0" applyBorder="0" applyAlignment="0" applyProtection="0"/>
    <xf numFmtId="0" fontId="84" fillId="46" borderId="0" applyNumberFormat="0" applyBorder="0" applyAlignment="0" applyProtection="0"/>
    <xf numFmtId="0" fontId="86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4" fillId="46" borderId="0" applyNumberFormat="0" applyBorder="0" applyAlignment="0" applyProtection="0"/>
    <xf numFmtId="0" fontId="86" fillId="46" borderId="0" applyNumberFormat="0" applyBorder="0" applyAlignment="0" applyProtection="0"/>
    <xf numFmtId="0" fontId="87" fillId="46" borderId="0" applyNumberFormat="0" applyBorder="0" applyAlignment="0" applyProtection="0"/>
    <xf numFmtId="0" fontId="87" fillId="46" borderId="0" applyNumberFormat="0" applyBorder="0" applyAlignment="0" applyProtection="0"/>
    <xf numFmtId="0" fontId="87" fillId="46" borderId="0" applyNumberFormat="0" applyBorder="0" applyAlignment="0" applyProtection="0"/>
    <xf numFmtId="0" fontId="87" fillId="46" borderId="0" applyNumberFormat="0" applyBorder="0" applyAlignment="0" applyProtection="0"/>
    <xf numFmtId="0" fontId="87" fillId="46" borderId="0" applyNumberFormat="0" applyBorder="0" applyAlignment="0" applyProtection="0"/>
    <xf numFmtId="0" fontId="87" fillId="46" borderId="0" applyNumberFormat="0" applyBorder="0" applyAlignment="0" applyProtection="0"/>
    <xf numFmtId="0" fontId="87" fillId="46" borderId="0" applyNumberFormat="0" applyBorder="0" applyAlignment="0" applyProtection="0"/>
    <xf numFmtId="0" fontId="86" fillId="46" borderId="0" applyNumberFormat="0" applyBorder="0" applyAlignment="0" applyProtection="0"/>
    <xf numFmtId="0" fontId="84" fillId="46" borderId="0" applyNumberFormat="0" applyBorder="0" applyAlignment="0" applyProtection="0"/>
    <xf numFmtId="0" fontId="86" fillId="46" borderId="0" applyNumberFormat="0" applyBorder="0" applyAlignment="0" applyProtection="0"/>
    <xf numFmtId="0" fontId="84" fillId="46" borderId="0" applyNumberFormat="0" applyBorder="0" applyAlignment="0" applyProtection="0"/>
    <xf numFmtId="0" fontId="86" fillId="47" borderId="0" applyNumberFormat="0" applyBorder="0" applyAlignment="0" applyProtection="0"/>
    <xf numFmtId="0" fontId="86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47" borderId="0" applyNumberFormat="0" applyBorder="0" applyAlignment="0" applyProtection="0"/>
    <xf numFmtId="0" fontId="84" fillId="47" borderId="0" applyNumberFormat="0" applyBorder="0" applyAlignment="0" applyProtection="0"/>
    <xf numFmtId="0" fontId="84" fillId="47" borderId="0" applyNumberFormat="0" applyBorder="0" applyAlignment="0" applyProtection="0"/>
    <xf numFmtId="0" fontId="84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7" fillId="47" borderId="0" applyNumberFormat="0" applyBorder="0" applyAlignment="0" applyProtection="0"/>
    <xf numFmtId="0" fontId="86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47" borderId="0" applyNumberFormat="0" applyBorder="0" applyAlignment="0" applyProtection="0"/>
    <xf numFmtId="0" fontId="84" fillId="47" borderId="0" applyNumberFormat="0" applyBorder="0" applyAlignment="0" applyProtection="0"/>
    <xf numFmtId="0" fontId="86" fillId="52" borderId="0" applyNumberFormat="0" applyBorder="0" applyAlignment="0" applyProtection="0"/>
    <xf numFmtId="0" fontId="86" fillId="52" borderId="0" applyNumberFormat="0" applyBorder="0" applyAlignment="0" applyProtection="0"/>
    <xf numFmtId="0" fontId="84" fillId="52" borderId="0" applyNumberFormat="0" applyBorder="0" applyAlignment="0" applyProtection="0"/>
    <xf numFmtId="0" fontId="86" fillId="52" borderId="0" applyNumberFormat="0" applyBorder="0" applyAlignment="0" applyProtection="0"/>
    <xf numFmtId="0" fontId="84" fillId="52" borderId="0" applyNumberFormat="0" applyBorder="0" applyAlignment="0" applyProtection="0"/>
    <xf numFmtId="0" fontId="86" fillId="52" borderId="0" applyNumberFormat="0" applyBorder="0" applyAlignment="0" applyProtection="0"/>
    <xf numFmtId="0" fontId="84" fillId="52" borderId="0" applyNumberFormat="0" applyBorder="0" applyAlignment="0" applyProtection="0"/>
    <xf numFmtId="0" fontId="84" fillId="52" borderId="0" applyNumberFormat="0" applyBorder="0" applyAlignment="0" applyProtection="0"/>
    <xf numFmtId="0" fontId="84" fillId="52" borderId="0" applyNumberFormat="0" applyBorder="0" applyAlignment="0" applyProtection="0"/>
    <xf numFmtId="0" fontId="84" fillId="52" borderId="0" applyNumberFormat="0" applyBorder="0" applyAlignment="0" applyProtection="0"/>
    <xf numFmtId="0" fontId="86" fillId="52" borderId="0" applyNumberFormat="0" applyBorder="0" applyAlignment="0" applyProtection="0"/>
    <xf numFmtId="0" fontId="87" fillId="52" borderId="0" applyNumberFormat="0" applyBorder="0" applyAlignment="0" applyProtection="0"/>
    <xf numFmtId="0" fontId="87" fillId="52" borderId="0" applyNumberFormat="0" applyBorder="0" applyAlignment="0" applyProtection="0"/>
    <xf numFmtId="0" fontId="87" fillId="52" borderId="0" applyNumberFormat="0" applyBorder="0" applyAlignment="0" applyProtection="0"/>
    <xf numFmtId="0" fontId="87" fillId="52" borderId="0" applyNumberFormat="0" applyBorder="0" applyAlignment="0" applyProtection="0"/>
    <xf numFmtId="0" fontId="87" fillId="52" borderId="0" applyNumberFormat="0" applyBorder="0" applyAlignment="0" applyProtection="0"/>
    <xf numFmtId="0" fontId="87" fillId="52" borderId="0" applyNumberFormat="0" applyBorder="0" applyAlignment="0" applyProtection="0"/>
    <xf numFmtId="0" fontId="87" fillId="52" borderId="0" applyNumberFormat="0" applyBorder="0" applyAlignment="0" applyProtection="0"/>
    <xf numFmtId="0" fontId="86" fillId="52" borderId="0" applyNumberFormat="0" applyBorder="0" applyAlignment="0" applyProtection="0"/>
    <xf numFmtId="0" fontId="84" fillId="52" borderId="0" applyNumberFormat="0" applyBorder="0" applyAlignment="0" applyProtection="0"/>
    <xf numFmtId="0" fontId="86" fillId="52" borderId="0" applyNumberFormat="0" applyBorder="0" applyAlignment="0" applyProtection="0"/>
    <xf numFmtId="0" fontId="84" fillId="52" borderId="0" applyNumberFormat="0" applyBorder="0" applyAlignment="0" applyProtection="0"/>
    <xf numFmtId="0" fontId="84" fillId="49" borderId="0" applyNumberFormat="0" applyBorder="0" applyAlignment="0" applyProtection="0"/>
    <xf numFmtId="0" fontId="84" fillId="50" borderId="0" applyNumberFormat="0" applyBorder="0" applyAlignment="0" applyProtection="0"/>
    <xf numFmtId="0" fontId="84" fillId="51" borderId="0" applyNumberFormat="0" applyBorder="0" applyAlignment="0" applyProtection="0"/>
    <xf numFmtId="0" fontId="84" fillId="46" borderId="0" applyNumberFormat="0" applyBorder="0" applyAlignment="0" applyProtection="0"/>
    <xf numFmtId="0" fontId="84" fillId="47" borderId="0" applyNumberFormat="0" applyBorder="0" applyAlignment="0" applyProtection="0"/>
    <xf numFmtId="0" fontId="84" fillId="52" borderId="0" applyNumberFormat="0" applyBorder="0" applyAlignment="0" applyProtection="0"/>
    <xf numFmtId="0" fontId="78" fillId="54" borderId="92" applyNumberFormat="0" applyAlignment="0" applyProtection="0"/>
    <xf numFmtId="0" fontId="75" fillId="35" borderId="0" applyNumberFormat="0" applyBorder="0" applyAlignment="0" applyProtection="0"/>
    <xf numFmtId="0" fontId="75" fillId="35" borderId="0" applyNumberFormat="0" applyBorder="0" applyAlignment="0" applyProtection="0"/>
    <xf numFmtId="0" fontId="79" fillId="54" borderId="93" applyNumberFormat="0" applyAlignment="0" applyProtection="0"/>
    <xf numFmtId="0" fontId="79" fillId="54" borderId="93" applyNumberFormat="0" applyAlignment="0" applyProtection="0"/>
    <xf numFmtId="0" fontId="79" fillId="54" borderId="93" applyNumberFormat="0" applyAlignment="0" applyProtection="0"/>
    <xf numFmtId="0" fontId="81" fillId="55" borderId="94" applyNumberFormat="0" applyAlignment="0" applyProtection="0"/>
    <xf numFmtId="0" fontId="81" fillId="55" borderId="94" applyNumberFormat="0" applyAlignment="0" applyProtection="0"/>
    <xf numFmtId="0" fontId="88" fillId="0" borderId="0" applyNumberFormat="0" applyFill="0" applyBorder="0" applyAlignment="0" applyProtection="0"/>
    <xf numFmtId="184" fontId="125" fillId="0" borderId="0">
      <protection locked="0"/>
    </xf>
    <xf numFmtId="0" fontId="126" fillId="0" borderId="0"/>
    <xf numFmtId="0" fontId="127" fillId="0" borderId="0"/>
    <xf numFmtId="184" fontId="125" fillId="0" borderId="0">
      <protection locked="0"/>
    </xf>
    <xf numFmtId="185" fontId="125" fillId="0" borderId="0">
      <protection locked="0"/>
    </xf>
    <xf numFmtId="0" fontId="89" fillId="40" borderId="93" applyNumberFormat="0" applyAlignment="0" applyProtection="0"/>
    <xf numFmtId="0" fontId="89" fillId="40" borderId="93" applyNumberFormat="0" applyAlignment="0" applyProtection="0"/>
    <xf numFmtId="0" fontId="77" fillId="40" borderId="93" applyNumberFormat="0" applyAlignment="0" applyProtection="0"/>
    <xf numFmtId="0" fontId="89" fillId="40" borderId="93" applyNumberFormat="0" applyAlignment="0" applyProtection="0"/>
    <xf numFmtId="0" fontId="77" fillId="40" borderId="93" applyNumberFormat="0" applyAlignment="0" applyProtection="0"/>
    <xf numFmtId="0" fontId="89" fillId="40" borderId="93" applyNumberFormat="0" applyAlignment="0" applyProtection="0"/>
    <xf numFmtId="0" fontId="77" fillId="40" borderId="93" applyNumberFormat="0" applyAlignment="0" applyProtection="0"/>
    <xf numFmtId="0" fontId="89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89" fillId="40" borderId="93" applyNumberFormat="0" applyAlignment="0" applyProtection="0"/>
    <xf numFmtId="0" fontId="90" fillId="40" borderId="93" applyNumberFormat="0" applyAlignment="0" applyProtection="0"/>
    <xf numFmtId="0" fontId="90" fillId="40" borderId="93" applyNumberFormat="0" applyAlignment="0" applyProtection="0"/>
    <xf numFmtId="0" fontId="90" fillId="40" borderId="93" applyNumberFormat="0" applyAlignment="0" applyProtection="0"/>
    <xf numFmtId="0" fontId="90" fillId="40" borderId="93" applyNumberFormat="0" applyAlignment="0" applyProtection="0"/>
    <xf numFmtId="0" fontId="90" fillId="40" borderId="93" applyNumberFormat="0" applyAlignment="0" applyProtection="0"/>
    <xf numFmtId="0" fontId="90" fillId="40" borderId="93" applyNumberFormat="0" applyAlignment="0" applyProtection="0"/>
    <xf numFmtId="0" fontId="90" fillId="40" borderId="93" applyNumberFormat="0" applyAlignment="0" applyProtection="0"/>
    <xf numFmtId="0" fontId="89" fillId="40" borderId="93" applyNumberFormat="0" applyAlignment="0" applyProtection="0"/>
    <xf numFmtId="0" fontId="77" fillId="40" borderId="93" applyNumberFormat="0" applyAlignment="0" applyProtection="0"/>
    <xf numFmtId="0" fontId="89" fillId="40" borderId="93" applyNumberFormat="0" applyAlignment="0" applyProtection="0"/>
    <xf numFmtId="0" fontId="77" fillId="40" borderId="93" applyNumberFormat="0" applyAlignment="0" applyProtection="0"/>
    <xf numFmtId="0" fontId="91" fillId="54" borderId="92" applyNumberFormat="0" applyAlignment="0" applyProtection="0"/>
    <xf numFmtId="0" fontId="91" fillId="54" borderId="92" applyNumberFormat="0" applyAlignment="0" applyProtection="0"/>
    <xf numFmtId="0" fontId="78" fillId="54" borderId="92" applyNumberFormat="0" applyAlignment="0" applyProtection="0"/>
    <xf numFmtId="0" fontId="91" fillId="54" borderId="92" applyNumberFormat="0" applyAlignment="0" applyProtection="0"/>
    <xf numFmtId="0" fontId="78" fillId="54" borderId="92" applyNumberFormat="0" applyAlignment="0" applyProtection="0"/>
    <xf numFmtId="0" fontId="91" fillId="54" borderId="92" applyNumberFormat="0" applyAlignment="0" applyProtection="0"/>
    <xf numFmtId="0" fontId="78" fillId="54" borderId="92" applyNumberFormat="0" applyAlignment="0" applyProtection="0"/>
    <xf numFmtId="0" fontId="91" fillId="54" borderId="92" applyNumberFormat="0" applyAlignment="0" applyProtection="0"/>
    <xf numFmtId="0" fontId="78" fillId="54" borderId="92" applyNumberFormat="0" applyAlignment="0" applyProtection="0"/>
    <xf numFmtId="0" fontId="78" fillId="54" borderId="92" applyNumberFormat="0" applyAlignment="0" applyProtection="0"/>
    <xf numFmtId="0" fontId="78" fillId="54" borderId="92" applyNumberFormat="0" applyAlignment="0" applyProtection="0"/>
    <xf numFmtId="0" fontId="91" fillId="54" borderId="92" applyNumberFormat="0" applyAlignment="0" applyProtection="0"/>
    <xf numFmtId="0" fontId="92" fillId="54" borderId="92" applyNumberFormat="0" applyAlignment="0" applyProtection="0"/>
    <xf numFmtId="0" fontId="92" fillId="54" borderId="92" applyNumberFormat="0" applyAlignment="0" applyProtection="0"/>
    <xf numFmtId="0" fontId="92" fillId="54" borderId="92" applyNumberFormat="0" applyAlignment="0" applyProtection="0"/>
    <xf numFmtId="0" fontId="92" fillId="54" borderId="92" applyNumberFormat="0" applyAlignment="0" applyProtection="0"/>
    <xf numFmtId="0" fontId="92" fillId="54" borderId="92" applyNumberFormat="0" applyAlignment="0" applyProtection="0"/>
    <xf numFmtId="0" fontId="92" fillId="54" borderId="92" applyNumberFormat="0" applyAlignment="0" applyProtection="0"/>
    <xf numFmtId="0" fontId="92" fillId="54" borderId="92" applyNumberFormat="0" applyAlignment="0" applyProtection="0"/>
    <xf numFmtId="0" fontId="91" fillId="54" borderId="92" applyNumberFormat="0" applyAlignment="0" applyProtection="0"/>
    <xf numFmtId="0" fontId="78" fillId="54" borderId="92" applyNumberFormat="0" applyAlignment="0" applyProtection="0"/>
    <xf numFmtId="0" fontId="91" fillId="54" borderId="92" applyNumberFormat="0" applyAlignment="0" applyProtection="0"/>
    <xf numFmtId="0" fontId="78" fillId="54" borderId="92" applyNumberFormat="0" applyAlignment="0" applyProtection="0"/>
    <xf numFmtId="0" fontId="125" fillId="0" borderId="0">
      <protection locked="0"/>
    </xf>
    <xf numFmtId="186" fontId="7" fillId="0" borderId="0" applyFont="0" applyFill="0" applyBorder="0" applyAlignment="0" applyProtection="0">
      <alignment wrapText="1"/>
    </xf>
    <xf numFmtId="41" fontId="7" fillId="0" borderId="0" applyFont="0" applyFill="0" applyBorder="0" applyAlignment="0" applyProtection="0"/>
    <xf numFmtId="174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64" fontId="61" fillId="0" borderId="0" applyFont="0" applyFill="0" applyBorder="0" applyAlignment="0" applyProtection="0"/>
    <xf numFmtId="164" fontId="61" fillId="0" borderId="0" applyFont="0" applyFill="0" applyBorder="0" applyAlignment="0" applyProtection="0"/>
    <xf numFmtId="164" fontId="61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93" fillId="37" borderId="0" applyNumberFormat="0" applyBorder="0" applyAlignment="0" applyProtection="0"/>
    <xf numFmtId="0" fontId="93" fillId="37" borderId="0" applyNumberFormat="0" applyBorder="0" applyAlignment="0" applyProtection="0"/>
    <xf numFmtId="0" fontId="74" fillId="37" borderId="0" applyNumberFormat="0" applyBorder="0" applyAlignment="0" applyProtection="0"/>
    <xf numFmtId="0" fontId="93" fillId="37" borderId="0" applyNumberFormat="0" applyBorder="0" applyAlignment="0" applyProtection="0"/>
    <xf numFmtId="0" fontId="74" fillId="37" borderId="0" applyNumberFormat="0" applyBorder="0" applyAlignment="0" applyProtection="0"/>
    <xf numFmtId="0" fontId="93" fillId="37" borderId="0" applyNumberFormat="0" applyBorder="0" applyAlignment="0" applyProtection="0"/>
    <xf numFmtId="0" fontId="74" fillId="37" borderId="0" applyNumberFormat="0" applyBorder="0" applyAlignment="0" applyProtection="0"/>
    <xf numFmtId="0" fontId="74" fillId="37" borderId="0" applyNumberFormat="0" applyBorder="0" applyAlignment="0" applyProtection="0"/>
    <xf numFmtId="0" fontId="74" fillId="37" borderId="0" applyNumberFormat="0" applyBorder="0" applyAlignment="0" applyProtection="0"/>
    <xf numFmtId="0" fontId="147" fillId="30" borderId="0" applyNumberFormat="0" applyBorder="0" applyAlignment="0" applyProtection="0"/>
    <xf numFmtId="0" fontId="74" fillId="37" borderId="0" applyNumberFormat="0" applyBorder="0" applyAlignment="0" applyProtection="0"/>
    <xf numFmtId="0" fontId="93" fillId="37" borderId="0" applyNumberFormat="0" applyBorder="0" applyAlignment="0" applyProtection="0"/>
    <xf numFmtId="0" fontId="94" fillId="37" borderId="0" applyNumberFormat="0" applyBorder="0" applyAlignment="0" applyProtection="0"/>
    <xf numFmtId="0" fontId="94" fillId="37" borderId="0" applyNumberFormat="0" applyBorder="0" applyAlignment="0" applyProtection="0"/>
    <xf numFmtId="0" fontId="94" fillId="37" borderId="0" applyNumberFormat="0" applyBorder="0" applyAlignment="0" applyProtection="0"/>
    <xf numFmtId="0" fontId="94" fillId="37" borderId="0" applyNumberFormat="0" applyBorder="0" applyAlignment="0" applyProtection="0"/>
    <xf numFmtId="0" fontId="94" fillId="37" borderId="0" applyNumberFormat="0" applyBorder="0" applyAlignment="0" applyProtection="0"/>
    <xf numFmtId="0" fontId="94" fillId="37" borderId="0" applyNumberFormat="0" applyBorder="0" applyAlignment="0" applyProtection="0"/>
    <xf numFmtId="0" fontId="94" fillId="37" borderId="0" applyNumberFormat="0" applyBorder="0" applyAlignment="0" applyProtection="0"/>
    <xf numFmtId="0" fontId="93" fillId="37" borderId="0" applyNumberFormat="0" applyBorder="0" applyAlignment="0" applyProtection="0"/>
    <xf numFmtId="0" fontId="74" fillId="37" borderId="0" applyNumberFormat="0" applyBorder="0" applyAlignment="0" applyProtection="0"/>
    <xf numFmtId="0" fontId="93" fillId="37" borderId="0" applyNumberFormat="0" applyBorder="0" applyAlignment="0" applyProtection="0"/>
    <xf numFmtId="0" fontId="74" fillId="37" borderId="0" applyNumberFormat="0" applyBorder="0" applyAlignment="0" applyProtection="0"/>
    <xf numFmtId="0" fontId="93" fillId="37" borderId="0" applyNumberFormat="0" applyBorder="0" applyAlignment="0" applyProtection="0"/>
    <xf numFmtId="175" fontId="15" fillId="0" borderId="0" applyFont="0" applyFill="0" applyBorder="0" applyAlignment="0" applyProtection="0"/>
    <xf numFmtId="0" fontId="77" fillId="40" borderId="93" applyNumberFormat="0" applyAlignment="0" applyProtection="0"/>
    <xf numFmtId="0" fontId="69" fillId="0" borderId="95" applyNumberFormat="0" applyFill="0" applyAlignment="0" applyProtection="0"/>
    <xf numFmtId="0" fontId="83" fillId="0" borderId="0" applyNumberForma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187" fontId="125" fillId="0" borderId="0">
      <protection locked="0"/>
    </xf>
    <xf numFmtId="0" fontId="128" fillId="0" borderId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74" fillId="37" borderId="0" applyNumberFormat="0" applyBorder="0" applyAlignment="0" applyProtection="0"/>
    <xf numFmtId="0" fontId="74" fillId="37" borderId="0" applyNumberFormat="0" applyBorder="0" applyAlignment="0" applyProtection="0"/>
    <xf numFmtId="38" fontId="8" fillId="33" borderId="0" applyNumberFormat="0" applyBorder="0" applyAlignment="0" applyProtection="0"/>
    <xf numFmtId="0" fontId="74" fillId="37" borderId="0" applyNumberFormat="0" applyBorder="0" applyAlignment="0" applyProtection="0"/>
    <xf numFmtId="0" fontId="129" fillId="0" borderId="0" applyNumberFormat="0" applyFill="0" applyBorder="0" applyAlignment="0" applyProtection="0"/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71" fillId="0" borderId="96" applyNumberFormat="0" applyFill="0" applyAlignment="0" applyProtection="0"/>
    <xf numFmtId="0" fontId="130" fillId="0" borderId="0">
      <protection locked="0"/>
    </xf>
    <xf numFmtId="0" fontId="71" fillId="0" borderId="96" applyNumberFormat="0" applyFill="0" applyAlignment="0" applyProtection="0"/>
    <xf numFmtId="0" fontId="71" fillId="0" borderId="96" applyNumberFormat="0" applyFill="0" applyAlignment="0" applyProtection="0"/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72" fillId="0" borderId="97" applyNumberFormat="0" applyFill="0" applyAlignment="0" applyProtection="0"/>
    <xf numFmtId="0" fontId="130" fillId="0" borderId="0">
      <protection locked="0"/>
    </xf>
    <xf numFmtId="0" fontId="72" fillId="0" borderId="97" applyNumberFormat="0" applyFill="0" applyAlignment="0" applyProtection="0"/>
    <xf numFmtId="0" fontId="72" fillId="0" borderId="97" applyNumberFormat="0" applyFill="0" applyAlignment="0" applyProtection="0"/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73" fillId="0" borderId="98" applyNumberFormat="0" applyFill="0" applyAlignment="0" applyProtection="0"/>
    <xf numFmtId="0" fontId="73" fillId="0" borderId="98" applyNumberFormat="0" applyFill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30" fillId="0" borderId="0">
      <protection locked="0"/>
    </xf>
    <xf numFmtId="0" fontId="130" fillId="0" borderId="0">
      <protection locked="0"/>
    </xf>
    <xf numFmtId="0" fontId="66" fillId="0" borderId="0" applyNumberFormat="0" applyFill="0" applyBorder="0" applyAlignment="0" applyProtection="0"/>
    <xf numFmtId="0" fontId="131" fillId="0" borderId="99" applyNumberFormat="0" applyFill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148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48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49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49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149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10" fontId="8" fillId="56" borderId="76" applyNumberFormat="0" applyBorder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0" fontId="77" fillId="40" borderId="93" applyNumberFormat="0" applyAlignment="0" applyProtection="0"/>
    <xf numFmtId="4" fontId="63" fillId="0" borderId="0" applyBorder="0">
      <alignment horizontal="right" vertical="center"/>
    </xf>
    <xf numFmtId="4" fontId="63" fillId="0" borderId="90">
      <alignment horizontal="right" vertical="center"/>
    </xf>
    <xf numFmtId="40" fontId="98" fillId="0" borderId="0" applyFont="0" applyFill="0" applyBorder="0" applyAlignment="0" applyProtection="0"/>
    <xf numFmtId="4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99" fillId="0" borderId="100" applyNumberFormat="0" applyFill="0" applyAlignment="0" applyProtection="0"/>
    <xf numFmtId="0" fontId="99" fillId="0" borderId="100" applyNumberFormat="0" applyFill="0" applyAlignment="0" applyProtection="0"/>
    <xf numFmtId="0" fontId="80" fillId="0" borderId="100" applyNumberFormat="0" applyFill="0" applyAlignment="0" applyProtection="0"/>
    <xf numFmtId="0" fontId="99" fillId="0" borderId="100" applyNumberFormat="0" applyFill="0" applyAlignment="0" applyProtection="0"/>
    <xf numFmtId="0" fontId="80" fillId="0" borderId="100" applyNumberFormat="0" applyFill="0" applyAlignment="0" applyProtection="0"/>
    <xf numFmtId="0" fontId="99" fillId="0" borderId="100" applyNumberFormat="0" applyFill="0" applyAlignment="0" applyProtection="0"/>
    <xf numFmtId="0" fontId="80" fillId="0" borderId="100" applyNumberFormat="0" applyFill="0" applyAlignment="0" applyProtection="0"/>
    <xf numFmtId="0" fontId="99" fillId="0" borderId="100" applyNumberFormat="0" applyFill="0" applyAlignment="0" applyProtection="0"/>
    <xf numFmtId="0" fontId="80" fillId="0" borderId="100" applyNumberFormat="0" applyFill="0" applyAlignment="0" applyProtection="0"/>
    <xf numFmtId="0" fontId="80" fillId="0" borderId="100" applyNumberFormat="0" applyFill="0" applyAlignment="0" applyProtection="0"/>
    <xf numFmtId="0" fontId="80" fillId="0" borderId="100" applyNumberFormat="0" applyFill="0" applyAlignment="0" applyProtection="0"/>
    <xf numFmtId="0" fontId="99" fillId="0" borderId="100" applyNumberFormat="0" applyFill="0" applyAlignment="0" applyProtection="0"/>
    <xf numFmtId="0" fontId="100" fillId="0" borderId="100" applyNumberFormat="0" applyFill="0" applyAlignment="0" applyProtection="0"/>
    <xf numFmtId="0" fontId="100" fillId="0" borderId="100" applyNumberFormat="0" applyFill="0" applyAlignment="0" applyProtection="0"/>
    <xf numFmtId="0" fontId="100" fillId="0" borderId="100" applyNumberFormat="0" applyFill="0" applyAlignment="0" applyProtection="0"/>
    <xf numFmtId="0" fontId="100" fillId="0" borderId="100" applyNumberFormat="0" applyFill="0" applyAlignment="0" applyProtection="0"/>
    <xf numFmtId="0" fontId="100" fillId="0" borderId="100" applyNumberFormat="0" applyFill="0" applyAlignment="0" applyProtection="0"/>
    <xf numFmtId="0" fontId="100" fillId="0" borderId="100" applyNumberFormat="0" applyFill="0" applyAlignment="0" applyProtection="0"/>
    <xf numFmtId="0" fontId="100" fillId="0" borderId="100" applyNumberFormat="0" applyFill="0" applyAlignment="0" applyProtection="0"/>
    <xf numFmtId="0" fontId="99" fillId="0" borderId="100" applyNumberFormat="0" applyFill="0" applyAlignment="0" applyProtection="0"/>
    <xf numFmtId="0" fontId="80" fillId="0" borderId="100" applyNumberFormat="0" applyFill="0" applyAlignment="0" applyProtection="0"/>
    <xf numFmtId="0" fontId="99" fillId="0" borderId="100" applyNumberFormat="0" applyFill="0" applyAlignment="0" applyProtection="0"/>
    <xf numFmtId="0" fontId="80" fillId="0" borderId="100" applyNumberFormat="0" applyFill="0" applyAlignment="0" applyProtection="0"/>
    <xf numFmtId="0" fontId="101" fillId="55" borderId="94" applyNumberFormat="0" applyAlignment="0" applyProtection="0"/>
    <xf numFmtId="0" fontId="101" fillId="55" borderId="94" applyNumberFormat="0" applyAlignment="0" applyProtection="0"/>
    <xf numFmtId="0" fontId="81" fillId="55" borderId="94" applyNumberFormat="0" applyAlignment="0" applyProtection="0"/>
    <xf numFmtId="0" fontId="101" fillId="55" borderId="94" applyNumberFormat="0" applyAlignment="0" applyProtection="0"/>
    <xf numFmtId="0" fontId="81" fillId="55" borderId="94" applyNumberFormat="0" applyAlignment="0" applyProtection="0"/>
    <xf numFmtId="0" fontId="101" fillId="55" borderId="94" applyNumberFormat="0" applyAlignment="0" applyProtection="0"/>
    <xf numFmtId="0" fontId="81" fillId="55" borderId="94" applyNumberFormat="0" applyAlignment="0" applyProtection="0"/>
    <xf numFmtId="0" fontId="101" fillId="55" borderId="94" applyNumberFormat="0" applyAlignment="0" applyProtection="0"/>
    <xf numFmtId="0" fontId="81" fillId="55" borderId="94" applyNumberFormat="0" applyAlignment="0" applyProtection="0"/>
    <xf numFmtId="0" fontId="81" fillId="55" borderId="94" applyNumberFormat="0" applyAlignment="0" applyProtection="0"/>
    <xf numFmtId="0" fontId="81" fillId="55" borderId="94" applyNumberFormat="0" applyAlignment="0" applyProtection="0"/>
    <xf numFmtId="0" fontId="101" fillId="55" borderId="94" applyNumberFormat="0" applyAlignment="0" applyProtection="0"/>
    <xf numFmtId="0" fontId="102" fillId="55" borderId="94" applyNumberFormat="0" applyAlignment="0" applyProtection="0"/>
    <xf numFmtId="0" fontId="102" fillId="55" borderId="94" applyNumberFormat="0" applyAlignment="0" applyProtection="0"/>
    <xf numFmtId="0" fontId="102" fillId="55" borderId="94" applyNumberFormat="0" applyAlignment="0" applyProtection="0"/>
    <xf numFmtId="0" fontId="102" fillId="55" borderId="94" applyNumberFormat="0" applyAlignment="0" applyProtection="0"/>
    <xf numFmtId="0" fontId="102" fillId="55" borderId="94" applyNumberFormat="0" applyAlignment="0" applyProtection="0"/>
    <xf numFmtId="0" fontId="102" fillId="55" borderId="94" applyNumberFormat="0" applyAlignment="0" applyProtection="0"/>
    <xf numFmtId="0" fontId="102" fillId="55" borderId="94" applyNumberFormat="0" applyAlignment="0" applyProtection="0"/>
    <xf numFmtId="0" fontId="101" fillId="55" borderId="94" applyNumberFormat="0" applyAlignment="0" applyProtection="0"/>
    <xf numFmtId="0" fontId="81" fillId="55" borderId="94" applyNumberFormat="0" applyAlignment="0" applyProtection="0"/>
    <xf numFmtId="0" fontId="101" fillId="55" borderId="94" applyNumberFormat="0" applyAlignment="0" applyProtection="0"/>
    <xf numFmtId="0" fontId="81" fillId="55" borderId="94" applyNumberFormat="0" applyAlignment="0" applyProtection="0"/>
    <xf numFmtId="0" fontId="80" fillId="0" borderId="100" applyNumberFormat="0" applyFill="0" applyAlignment="0" applyProtection="0"/>
    <xf numFmtId="0" fontId="80" fillId="0" borderId="100" applyNumberFormat="0" applyFill="0" applyAlignment="0" applyProtection="0"/>
    <xf numFmtId="0" fontId="103" fillId="0" borderId="96" applyNumberFormat="0" applyFill="0" applyAlignment="0" applyProtection="0"/>
    <xf numFmtId="0" fontId="103" fillId="0" borderId="96" applyNumberFormat="0" applyFill="0" applyAlignment="0" applyProtection="0"/>
    <xf numFmtId="0" fontId="71" fillId="0" borderId="96" applyNumberFormat="0" applyFill="0" applyAlignment="0" applyProtection="0"/>
    <xf numFmtId="0" fontId="103" fillId="0" borderId="96" applyNumberFormat="0" applyFill="0" applyAlignment="0" applyProtection="0"/>
    <xf numFmtId="0" fontId="71" fillId="0" borderId="96" applyNumberFormat="0" applyFill="0" applyAlignment="0" applyProtection="0"/>
    <xf numFmtId="0" fontId="103" fillId="0" borderId="96" applyNumberFormat="0" applyFill="0" applyAlignment="0" applyProtection="0"/>
    <xf numFmtId="0" fontId="71" fillId="0" borderId="96" applyNumberFormat="0" applyFill="0" applyAlignment="0" applyProtection="0"/>
    <xf numFmtId="0" fontId="103" fillId="0" borderId="96" applyNumberFormat="0" applyFill="0" applyAlignment="0" applyProtection="0"/>
    <xf numFmtId="0" fontId="71" fillId="0" borderId="96" applyNumberFormat="0" applyFill="0" applyAlignment="0" applyProtection="0"/>
    <xf numFmtId="0" fontId="71" fillId="0" borderId="96" applyNumberFormat="0" applyFill="0" applyAlignment="0" applyProtection="0"/>
    <xf numFmtId="0" fontId="71" fillId="0" borderId="96" applyNumberFormat="0" applyFill="0" applyAlignment="0" applyProtection="0"/>
    <xf numFmtId="0" fontId="103" fillId="0" borderId="96" applyNumberFormat="0" applyFill="0" applyAlignment="0" applyProtection="0"/>
    <xf numFmtId="0" fontId="104" fillId="0" borderId="96" applyNumberFormat="0" applyFill="0" applyAlignment="0" applyProtection="0"/>
    <xf numFmtId="0" fontId="104" fillId="0" borderId="96" applyNumberFormat="0" applyFill="0" applyAlignment="0" applyProtection="0"/>
    <xf numFmtId="0" fontId="104" fillId="0" borderId="96" applyNumberFormat="0" applyFill="0" applyAlignment="0" applyProtection="0"/>
    <xf numFmtId="0" fontId="104" fillId="0" borderId="96" applyNumberFormat="0" applyFill="0" applyAlignment="0" applyProtection="0"/>
    <xf numFmtId="0" fontId="104" fillId="0" borderId="96" applyNumberFormat="0" applyFill="0" applyAlignment="0" applyProtection="0"/>
    <xf numFmtId="0" fontId="104" fillId="0" borderId="96" applyNumberFormat="0" applyFill="0" applyAlignment="0" applyProtection="0"/>
    <xf numFmtId="0" fontId="104" fillId="0" borderId="96" applyNumberFormat="0" applyFill="0" applyAlignment="0" applyProtection="0"/>
    <xf numFmtId="0" fontId="103" fillId="0" borderId="96" applyNumberFormat="0" applyFill="0" applyAlignment="0" applyProtection="0"/>
    <xf numFmtId="0" fontId="71" fillId="0" borderId="96" applyNumberFormat="0" applyFill="0" applyAlignment="0" applyProtection="0"/>
    <xf numFmtId="0" fontId="103" fillId="0" borderId="96" applyNumberFormat="0" applyFill="0" applyAlignment="0" applyProtection="0"/>
    <xf numFmtId="0" fontId="71" fillId="0" borderId="96" applyNumberFormat="0" applyFill="0" applyAlignment="0" applyProtection="0"/>
    <xf numFmtId="0" fontId="105" fillId="0" borderId="97" applyNumberFormat="0" applyFill="0" applyAlignment="0" applyProtection="0"/>
    <xf numFmtId="0" fontId="105" fillId="0" borderId="97" applyNumberFormat="0" applyFill="0" applyAlignment="0" applyProtection="0"/>
    <xf numFmtId="0" fontId="72" fillId="0" borderId="97" applyNumberFormat="0" applyFill="0" applyAlignment="0" applyProtection="0"/>
    <xf numFmtId="0" fontId="105" fillId="0" borderId="97" applyNumberFormat="0" applyFill="0" applyAlignment="0" applyProtection="0"/>
    <xf numFmtId="0" fontId="72" fillId="0" borderId="97" applyNumberFormat="0" applyFill="0" applyAlignment="0" applyProtection="0"/>
    <xf numFmtId="0" fontId="105" fillId="0" borderId="97" applyNumberFormat="0" applyFill="0" applyAlignment="0" applyProtection="0"/>
    <xf numFmtId="0" fontId="72" fillId="0" borderId="97" applyNumberFormat="0" applyFill="0" applyAlignment="0" applyProtection="0"/>
    <xf numFmtId="0" fontId="105" fillId="0" borderId="97" applyNumberFormat="0" applyFill="0" applyAlignment="0" applyProtection="0"/>
    <xf numFmtId="0" fontId="72" fillId="0" borderId="97" applyNumberFormat="0" applyFill="0" applyAlignment="0" applyProtection="0"/>
    <xf numFmtId="0" fontId="72" fillId="0" borderId="97" applyNumberFormat="0" applyFill="0" applyAlignment="0" applyProtection="0"/>
    <xf numFmtId="0" fontId="72" fillId="0" borderId="97" applyNumberFormat="0" applyFill="0" applyAlignment="0" applyProtection="0"/>
    <xf numFmtId="0" fontId="105" fillId="0" borderId="97" applyNumberFormat="0" applyFill="0" applyAlignment="0" applyProtection="0"/>
    <xf numFmtId="0" fontId="106" fillId="0" borderId="97" applyNumberFormat="0" applyFill="0" applyAlignment="0" applyProtection="0"/>
    <xf numFmtId="0" fontId="106" fillId="0" borderId="97" applyNumberFormat="0" applyFill="0" applyAlignment="0" applyProtection="0"/>
    <xf numFmtId="0" fontId="106" fillId="0" borderId="97" applyNumberFormat="0" applyFill="0" applyAlignment="0" applyProtection="0"/>
    <xf numFmtId="0" fontId="106" fillId="0" borderId="97" applyNumberFormat="0" applyFill="0" applyAlignment="0" applyProtection="0"/>
    <xf numFmtId="0" fontId="106" fillId="0" borderId="97" applyNumberFormat="0" applyFill="0" applyAlignment="0" applyProtection="0"/>
    <xf numFmtId="0" fontId="106" fillId="0" borderId="97" applyNumberFormat="0" applyFill="0" applyAlignment="0" applyProtection="0"/>
    <xf numFmtId="0" fontId="106" fillId="0" borderId="97" applyNumberFormat="0" applyFill="0" applyAlignment="0" applyProtection="0"/>
    <xf numFmtId="0" fontId="105" fillId="0" borderId="97" applyNumberFormat="0" applyFill="0" applyAlignment="0" applyProtection="0"/>
    <xf numFmtId="0" fontId="72" fillId="0" borderId="97" applyNumberFormat="0" applyFill="0" applyAlignment="0" applyProtection="0"/>
    <xf numFmtId="0" fontId="105" fillId="0" borderId="97" applyNumberFormat="0" applyFill="0" applyAlignment="0" applyProtection="0"/>
    <xf numFmtId="0" fontId="72" fillId="0" borderId="97" applyNumberFormat="0" applyFill="0" applyAlignment="0" applyProtection="0"/>
    <xf numFmtId="0" fontId="107" fillId="0" borderId="98" applyNumberFormat="0" applyFill="0" applyAlignment="0" applyProtection="0"/>
    <xf numFmtId="0" fontId="107" fillId="0" borderId="98" applyNumberFormat="0" applyFill="0" applyAlignment="0" applyProtection="0"/>
    <xf numFmtId="0" fontId="73" fillId="0" borderId="98" applyNumberFormat="0" applyFill="0" applyAlignment="0" applyProtection="0"/>
    <xf numFmtId="0" fontId="107" fillId="0" borderId="98" applyNumberFormat="0" applyFill="0" applyAlignment="0" applyProtection="0"/>
    <xf numFmtId="0" fontId="73" fillId="0" borderId="98" applyNumberFormat="0" applyFill="0" applyAlignment="0" applyProtection="0"/>
    <xf numFmtId="0" fontId="107" fillId="0" borderId="98" applyNumberFormat="0" applyFill="0" applyAlignment="0" applyProtection="0"/>
    <xf numFmtId="0" fontId="73" fillId="0" borderId="98" applyNumberFormat="0" applyFill="0" applyAlignment="0" applyProtection="0"/>
    <xf numFmtId="0" fontId="107" fillId="0" borderId="98" applyNumberFormat="0" applyFill="0" applyAlignment="0" applyProtection="0"/>
    <xf numFmtId="0" fontId="73" fillId="0" borderId="98" applyNumberFormat="0" applyFill="0" applyAlignment="0" applyProtection="0"/>
    <xf numFmtId="0" fontId="73" fillId="0" borderId="98" applyNumberFormat="0" applyFill="0" applyAlignment="0" applyProtection="0"/>
    <xf numFmtId="0" fontId="73" fillId="0" borderId="98" applyNumberFormat="0" applyFill="0" applyAlignment="0" applyProtection="0"/>
    <xf numFmtId="0" fontId="107" fillId="0" borderId="98" applyNumberFormat="0" applyFill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108" fillId="0" borderId="98" applyNumberFormat="0" applyFill="0" applyAlignment="0" applyProtection="0"/>
    <xf numFmtId="0" fontId="107" fillId="0" borderId="98" applyNumberFormat="0" applyFill="0" applyAlignment="0" applyProtection="0"/>
    <xf numFmtId="0" fontId="73" fillId="0" borderId="98" applyNumberFormat="0" applyFill="0" applyAlignment="0" applyProtection="0"/>
    <xf numFmtId="0" fontId="107" fillId="0" borderId="98" applyNumberFormat="0" applyFill="0" applyAlignment="0" applyProtection="0"/>
    <xf numFmtId="0" fontId="73" fillId="0" borderId="98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6" fillId="57" borderId="0" applyNumberFormat="0" applyBorder="0" applyAlignment="0" applyProtection="0"/>
    <xf numFmtId="0" fontId="76" fillId="57" borderId="0" applyNumberFormat="0" applyBorder="0" applyAlignment="0" applyProtection="0"/>
    <xf numFmtId="0" fontId="109" fillId="57" borderId="0" applyNumberFormat="0" applyBorder="0" applyAlignment="0" applyProtection="0"/>
    <xf numFmtId="0" fontId="109" fillId="57" borderId="0" applyNumberFormat="0" applyBorder="0" applyAlignment="0" applyProtection="0"/>
    <xf numFmtId="0" fontId="76" fillId="57" borderId="0" applyNumberFormat="0" applyBorder="0" applyAlignment="0" applyProtection="0"/>
    <xf numFmtId="0" fontId="109" fillId="57" borderId="0" applyNumberFormat="0" applyBorder="0" applyAlignment="0" applyProtection="0"/>
    <xf numFmtId="0" fontId="76" fillId="57" borderId="0" applyNumberFormat="0" applyBorder="0" applyAlignment="0" applyProtection="0"/>
    <xf numFmtId="0" fontId="109" fillId="57" borderId="0" applyNumberFormat="0" applyBorder="0" applyAlignment="0" applyProtection="0"/>
    <xf numFmtId="0" fontId="76" fillId="57" borderId="0" applyNumberFormat="0" applyBorder="0" applyAlignment="0" applyProtection="0"/>
    <xf numFmtId="0" fontId="76" fillId="57" borderId="0" applyNumberFormat="0" applyBorder="0" applyAlignment="0" applyProtection="0"/>
    <xf numFmtId="0" fontId="150" fillId="31" borderId="0" applyNumberFormat="0" applyBorder="0" applyAlignment="0" applyProtection="0"/>
    <xf numFmtId="0" fontId="109" fillId="57" borderId="0" applyNumberFormat="0" applyBorder="0" applyAlignment="0" applyProtection="0"/>
    <xf numFmtId="0" fontId="150" fillId="31" borderId="0" applyNumberFormat="0" applyBorder="0" applyAlignment="0" applyProtection="0"/>
    <xf numFmtId="0" fontId="76" fillId="57" borderId="0" applyNumberFormat="0" applyBorder="0" applyAlignment="0" applyProtection="0"/>
    <xf numFmtId="0" fontId="76" fillId="57" borderId="0" applyNumberFormat="0" applyBorder="0" applyAlignment="0" applyProtection="0"/>
    <xf numFmtId="0" fontId="109" fillId="57" borderId="0" applyNumberFormat="0" applyBorder="0" applyAlignment="0" applyProtection="0"/>
    <xf numFmtId="0" fontId="110" fillId="57" borderId="0" applyNumberFormat="0" applyBorder="0" applyAlignment="0" applyProtection="0"/>
    <xf numFmtId="0" fontId="110" fillId="57" borderId="0" applyNumberFormat="0" applyBorder="0" applyAlignment="0" applyProtection="0"/>
    <xf numFmtId="0" fontId="110" fillId="57" borderId="0" applyNumberFormat="0" applyBorder="0" applyAlignment="0" applyProtection="0"/>
    <xf numFmtId="0" fontId="110" fillId="57" borderId="0" applyNumberFormat="0" applyBorder="0" applyAlignment="0" applyProtection="0"/>
    <xf numFmtId="0" fontId="110" fillId="57" borderId="0" applyNumberFormat="0" applyBorder="0" applyAlignment="0" applyProtection="0"/>
    <xf numFmtId="0" fontId="110" fillId="57" borderId="0" applyNumberFormat="0" applyBorder="0" applyAlignment="0" applyProtection="0"/>
    <xf numFmtId="0" fontId="110" fillId="57" borderId="0" applyNumberFormat="0" applyBorder="0" applyAlignment="0" applyProtection="0"/>
    <xf numFmtId="0" fontId="109" fillId="57" borderId="0" applyNumberFormat="0" applyBorder="0" applyAlignment="0" applyProtection="0"/>
    <xf numFmtId="0" fontId="76" fillId="57" borderId="0" applyNumberFormat="0" applyBorder="0" applyAlignment="0" applyProtection="0"/>
    <xf numFmtId="0" fontId="109" fillId="57" borderId="0" applyNumberFormat="0" applyBorder="0" applyAlignment="0" applyProtection="0"/>
    <xf numFmtId="0" fontId="76" fillId="57" borderId="0" applyNumberFormat="0" applyBorder="0" applyAlignment="0" applyProtection="0"/>
    <xf numFmtId="0" fontId="109" fillId="57" borderId="0" applyNumberFormat="0" applyBorder="0" applyAlignment="0" applyProtection="0"/>
    <xf numFmtId="37" fontId="132" fillId="0" borderId="0"/>
    <xf numFmtId="43" fontId="7" fillId="0" borderId="0"/>
    <xf numFmtId="0" fontId="61" fillId="0" borderId="0"/>
    <xf numFmtId="0" fontId="61" fillId="0" borderId="0"/>
    <xf numFmtId="0" fontId="61" fillId="0" borderId="0"/>
    <xf numFmtId="0" fontId="7" fillId="0" borderId="0"/>
    <xf numFmtId="0" fontId="7" fillId="0" borderId="0"/>
    <xf numFmtId="0" fontId="59" fillId="0" borderId="0"/>
    <xf numFmtId="0" fontId="61" fillId="0" borderId="0"/>
    <xf numFmtId="0" fontId="59" fillId="0" borderId="0"/>
    <xf numFmtId="0" fontId="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" fillId="0" borderId="0"/>
    <xf numFmtId="0" fontId="7" fillId="0" borderId="0"/>
    <xf numFmtId="0" fontId="7" fillId="0" borderId="0"/>
    <xf numFmtId="0" fontId="59" fillId="0" borderId="0"/>
    <xf numFmtId="0" fontId="61" fillId="0" borderId="0"/>
    <xf numFmtId="0" fontId="59" fillId="0" borderId="0"/>
    <xf numFmtId="0" fontId="7" fillId="0" borderId="0"/>
    <xf numFmtId="0" fontId="59" fillId="0" borderId="0"/>
    <xf numFmtId="0" fontId="61" fillId="0" borderId="0"/>
    <xf numFmtId="0" fontId="59" fillId="0" borderId="0"/>
    <xf numFmtId="0" fontId="7" fillId="0" borderId="0"/>
    <xf numFmtId="0" fontId="7" fillId="0" borderId="0"/>
    <xf numFmtId="0" fontId="59" fillId="0" borderId="0"/>
    <xf numFmtId="0" fontId="61" fillId="0" borderId="0"/>
    <xf numFmtId="0" fontId="59" fillId="0" borderId="0"/>
    <xf numFmtId="0" fontId="7" fillId="0" borderId="0"/>
    <xf numFmtId="0" fontId="59" fillId="0" borderId="0"/>
    <xf numFmtId="0" fontId="61" fillId="0" borderId="0"/>
    <xf numFmtId="0" fontId="5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1" fillId="0" borderId="0"/>
    <xf numFmtId="0" fontId="64" fillId="0" borderId="0" applyNumberFormat="0" applyFill="0" applyBorder="0" applyProtection="0">
      <alignment horizontal="left" vertical="center"/>
    </xf>
    <xf numFmtId="0" fontId="7" fillId="58" borderId="0" applyNumberFormat="0" applyFont="0" applyBorder="0" applyAlignment="0" applyProtection="0"/>
    <xf numFmtId="0" fontId="7" fillId="58" borderId="0" applyNumberFormat="0" applyFont="0" applyBorder="0" applyAlignment="0" applyProtection="0"/>
    <xf numFmtId="0" fontId="111" fillId="0" borderId="0"/>
    <xf numFmtId="0" fontId="56" fillId="0" borderId="0"/>
    <xf numFmtId="0" fontId="15" fillId="0" borderId="0"/>
    <xf numFmtId="0" fontId="56" fillId="0" borderId="0"/>
    <xf numFmtId="0" fontId="56" fillId="0" borderId="0"/>
    <xf numFmtId="0" fontId="5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9" fillId="0" borderId="0"/>
    <xf numFmtId="0" fontId="61" fillId="0" borderId="0"/>
    <xf numFmtId="0" fontId="59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85" fillId="0" borderId="0"/>
    <xf numFmtId="0" fontId="1" fillId="0" borderId="0"/>
    <xf numFmtId="0" fontId="85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85" fillId="0" borderId="0"/>
    <xf numFmtId="0" fontId="1" fillId="0" borderId="0"/>
    <xf numFmtId="0" fontId="85" fillId="0" borderId="0"/>
    <xf numFmtId="0" fontId="85" fillId="0" borderId="0"/>
    <xf numFmtId="0" fontId="1" fillId="0" borderId="0"/>
    <xf numFmtId="0" fontId="85" fillId="0" borderId="0"/>
    <xf numFmtId="0" fontId="85" fillId="0" borderId="0"/>
    <xf numFmtId="0" fontId="1" fillId="0" borderId="0"/>
    <xf numFmtId="0" fontId="85" fillId="0" borderId="0"/>
    <xf numFmtId="0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1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" fillId="0" borderId="0"/>
    <xf numFmtId="0" fontId="8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1" fillId="0" borderId="0"/>
    <xf numFmtId="0" fontId="85" fillId="0" borderId="0"/>
    <xf numFmtId="0" fontId="1" fillId="0" borderId="0"/>
    <xf numFmtId="0" fontId="145" fillId="0" borderId="0"/>
    <xf numFmtId="0" fontId="145" fillId="0" borderId="0"/>
    <xf numFmtId="0" fontId="15" fillId="0" borderId="0"/>
    <xf numFmtId="0" fontId="15" fillId="0" borderId="0"/>
    <xf numFmtId="0" fontId="59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7" fillId="59" borderId="101" applyNumberFormat="0" applyFont="0" applyAlignment="0" applyProtection="0"/>
    <xf numFmtId="0" fontId="61" fillId="59" borderId="101" applyNumberFormat="0" applyFont="0" applyAlignment="0" applyProtection="0"/>
    <xf numFmtId="0" fontId="7" fillId="59" borderId="101" applyNumberFormat="0" applyFont="0" applyAlignment="0" applyProtection="0"/>
    <xf numFmtId="0" fontId="61" fillId="59" borderId="101" applyNumberFormat="0" applyFont="0" applyAlignment="0" applyProtection="0"/>
    <xf numFmtId="0" fontId="7" fillId="59" borderId="101" applyNumberFormat="0" applyFont="0" applyAlignment="0" applyProtection="0"/>
    <xf numFmtId="0" fontId="7" fillId="59" borderId="101" applyNumberFormat="0" applyFont="0" applyAlignment="0" applyProtection="0"/>
    <xf numFmtId="0" fontId="61" fillId="59" borderId="101" applyNumberFormat="0" applyFont="0" applyAlignment="0" applyProtection="0"/>
    <xf numFmtId="0" fontId="112" fillId="54" borderId="93" applyNumberFormat="0" applyAlignment="0" applyProtection="0"/>
    <xf numFmtId="0" fontId="112" fillId="54" borderId="93" applyNumberFormat="0" applyAlignment="0" applyProtection="0"/>
    <xf numFmtId="0" fontId="79" fillId="54" borderId="93" applyNumberFormat="0" applyAlignment="0" applyProtection="0"/>
    <xf numFmtId="0" fontId="112" fillId="54" borderId="93" applyNumberFormat="0" applyAlignment="0" applyProtection="0"/>
    <xf numFmtId="0" fontId="79" fillId="54" borderId="93" applyNumberFormat="0" applyAlignment="0" applyProtection="0"/>
    <xf numFmtId="0" fontId="112" fillId="54" borderId="93" applyNumberFormat="0" applyAlignment="0" applyProtection="0"/>
    <xf numFmtId="0" fontId="79" fillId="54" borderId="93" applyNumberFormat="0" applyAlignment="0" applyProtection="0"/>
    <xf numFmtId="0" fontId="112" fillId="54" borderId="93" applyNumberFormat="0" applyAlignment="0" applyProtection="0"/>
    <xf numFmtId="0" fontId="79" fillId="54" borderId="93" applyNumberFormat="0" applyAlignment="0" applyProtection="0"/>
    <xf numFmtId="0" fontId="79" fillId="54" borderId="93" applyNumberFormat="0" applyAlignment="0" applyProtection="0"/>
    <xf numFmtId="0" fontId="79" fillId="54" borderId="93" applyNumberFormat="0" applyAlignment="0" applyProtection="0"/>
    <xf numFmtId="0" fontId="112" fillId="54" borderId="93" applyNumberFormat="0" applyAlignment="0" applyProtection="0"/>
    <xf numFmtId="0" fontId="113" fillId="54" borderId="93" applyNumberFormat="0" applyAlignment="0" applyProtection="0"/>
    <xf numFmtId="0" fontId="113" fillId="54" borderId="93" applyNumberFormat="0" applyAlignment="0" applyProtection="0"/>
    <xf numFmtId="0" fontId="113" fillId="54" borderId="93" applyNumberFormat="0" applyAlignment="0" applyProtection="0"/>
    <xf numFmtId="0" fontId="113" fillId="54" borderId="93" applyNumberFormat="0" applyAlignment="0" applyProtection="0"/>
    <xf numFmtId="0" fontId="113" fillId="54" borderId="93" applyNumberFormat="0" applyAlignment="0" applyProtection="0"/>
    <xf numFmtId="0" fontId="113" fillId="54" borderId="93" applyNumberFormat="0" applyAlignment="0" applyProtection="0"/>
    <xf numFmtId="0" fontId="113" fillId="54" borderId="93" applyNumberFormat="0" applyAlignment="0" applyProtection="0"/>
    <xf numFmtId="0" fontId="112" fillId="54" borderId="93" applyNumberFormat="0" applyAlignment="0" applyProtection="0"/>
    <xf numFmtId="0" fontId="79" fillId="54" borderId="93" applyNumberFormat="0" applyAlignment="0" applyProtection="0"/>
    <xf numFmtId="0" fontId="112" fillId="54" borderId="93" applyNumberFormat="0" applyAlignment="0" applyProtection="0"/>
    <xf numFmtId="0" fontId="79" fillId="54" borderId="93" applyNumberFormat="0" applyAlignment="0" applyProtection="0"/>
    <xf numFmtId="0" fontId="78" fillId="54" borderId="92" applyNumberFormat="0" applyAlignment="0" applyProtection="0"/>
    <xf numFmtId="0" fontId="78" fillId="54" borderId="92" applyNumberFormat="0" applyAlignment="0" applyProtection="0"/>
    <xf numFmtId="1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1" fillId="0" borderId="0" applyFont="0" applyFill="0" applyBorder="0" applyAlignment="0" applyProtection="0"/>
    <xf numFmtId="192" fontId="14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193" fontId="143" fillId="0" borderId="0" applyFont="0" applyFill="0" applyBorder="0" applyAlignment="0" applyProtection="0"/>
    <xf numFmtId="194" fontId="143" fillId="0" borderId="0" applyFont="0" applyFill="0" applyBorder="0" applyAlignment="0" applyProtection="0"/>
    <xf numFmtId="0" fontId="133" fillId="0" borderId="0" applyNumberFormat="0" applyFill="0" applyBorder="0" applyAlignment="0" applyProtection="0">
      <alignment horizontal="center"/>
    </xf>
    <xf numFmtId="4" fontId="134" fillId="57" borderId="102" applyNumberFormat="0" applyProtection="0">
      <alignment vertical="center"/>
    </xf>
    <xf numFmtId="4" fontId="135" fillId="2" borderId="102" applyNumberFormat="0" applyProtection="0">
      <alignment vertical="center"/>
    </xf>
    <xf numFmtId="4" fontId="134" fillId="2" borderId="102" applyNumberFormat="0" applyProtection="0">
      <alignment horizontal="left" vertical="center" indent="1"/>
    </xf>
    <xf numFmtId="0" fontId="134" fillId="2" borderId="102" applyNumberFormat="0" applyProtection="0">
      <alignment horizontal="left" vertical="top" indent="1"/>
    </xf>
    <xf numFmtId="4" fontId="134" fillId="34" borderId="0" applyNumberFormat="0" applyProtection="0">
      <alignment horizontal="left" vertical="center" indent="1"/>
    </xf>
    <xf numFmtId="4" fontId="136" fillId="35" borderId="102" applyNumberFormat="0" applyProtection="0">
      <alignment horizontal="right" vertical="center"/>
    </xf>
    <xf numFmtId="4" fontId="136" fillId="42" borderId="102" applyNumberFormat="0" applyProtection="0">
      <alignment horizontal="right" vertical="center"/>
    </xf>
    <xf numFmtId="4" fontId="136" fillId="50" borderId="102" applyNumberFormat="0" applyProtection="0">
      <alignment horizontal="right" vertical="center"/>
    </xf>
    <xf numFmtId="4" fontId="136" fillId="44" borderId="102" applyNumberFormat="0" applyProtection="0">
      <alignment horizontal="right" vertical="center"/>
    </xf>
    <xf numFmtId="4" fontId="136" fillId="48" borderId="102" applyNumberFormat="0" applyProtection="0">
      <alignment horizontal="right" vertical="center"/>
    </xf>
    <xf numFmtId="4" fontId="136" fillId="52" borderId="102" applyNumberFormat="0" applyProtection="0">
      <alignment horizontal="right" vertical="center"/>
    </xf>
    <xf numFmtId="4" fontId="136" fillId="51" borderId="102" applyNumberFormat="0" applyProtection="0">
      <alignment horizontal="right" vertical="center"/>
    </xf>
    <xf numFmtId="4" fontId="136" fillId="60" borderId="102" applyNumberFormat="0" applyProtection="0">
      <alignment horizontal="right" vertical="center"/>
    </xf>
    <xf numFmtId="4" fontId="136" fillId="43" borderId="102" applyNumberFormat="0" applyProtection="0">
      <alignment horizontal="right" vertical="center"/>
    </xf>
    <xf numFmtId="4" fontId="134" fillId="61" borderId="103" applyNumberFormat="0" applyProtection="0">
      <alignment horizontal="left" vertical="center" indent="1"/>
    </xf>
    <xf numFmtId="4" fontId="136" fillId="62" borderId="0" applyNumberFormat="0" applyProtection="0">
      <alignment horizontal="left" vertical="center" indent="1"/>
    </xf>
    <xf numFmtId="4" fontId="137" fillId="63" borderId="0" applyNumberFormat="0" applyProtection="0">
      <alignment horizontal="left" vertical="center" indent="1"/>
    </xf>
    <xf numFmtId="4" fontId="136" fillId="64" borderId="102" applyNumberFormat="0" applyProtection="0">
      <alignment horizontal="right" vertical="center"/>
    </xf>
    <xf numFmtId="4" fontId="136" fillId="62" borderId="0" applyNumberFormat="0" applyProtection="0">
      <alignment horizontal="left" vertical="center" indent="1"/>
    </xf>
    <xf numFmtId="4" fontId="136" fillId="34" borderId="0" applyNumberFormat="0" applyProtection="0">
      <alignment horizontal="left" vertical="center" indent="1"/>
    </xf>
    <xf numFmtId="0" fontId="7" fillId="63" borderId="102" applyNumberFormat="0" applyProtection="0">
      <alignment horizontal="left" vertical="center" indent="1"/>
    </xf>
    <xf numFmtId="0" fontId="7" fillId="63" borderId="102" applyNumberFormat="0" applyProtection="0">
      <alignment horizontal="left" vertical="top" indent="1"/>
    </xf>
    <xf numFmtId="0" fontId="7" fillId="34" borderId="102" applyNumberFormat="0" applyProtection="0">
      <alignment horizontal="left" vertical="center" indent="1"/>
    </xf>
    <xf numFmtId="0" fontId="7" fillId="34" borderId="102" applyNumberFormat="0" applyProtection="0">
      <alignment horizontal="left" vertical="top" indent="1"/>
    </xf>
    <xf numFmtId="0" fontId="7" fillId="53" borderId="102" applyNumberFormat="0" applyProtection="0">
      <alignment horizontal="left" vertical="center" indent="1"/>
    </xf>
    <xf numFmtId="0" fontId="7" fillId="53" borderId="102" applyNumberFormat="0" applyProtection="0">
      <alignment horizontal="left" vertical="top" indent="1"/>
    </xf>
    <xf numFmtId="0" fontId="7" fillId="65" borderId="102" applyNumberFormat="0" applyProtection="0">
      <alignment horizontal="left" vertical="center" indent="1"/>
    </xf>
    <xf numFmtId="0" fontId="7" fillId="65" borderId="102" applyNumberFormat="0" applyProtection="0">
      <alignment horizontal="left" vertical="top" indent="1"/>
    </xf>
    <xf numFmtId="4" fontId="136" fillId="56" borderId="102" applyNumberFormat="0" applyProtection="0">
      <alignment vertical="center"/>
    </xf>
    <xf numFmtId="4" fontId="138" fillId="56" borderId="102" applyNumberFormat="0" applyProtection="0">
      <alignment vertical="center"/>
    </xf>
    <xf numFmtId="4" fontId="136" fillId="56" borderId="102" applyNumberFormat="0" applyProtection="0">
      <alignment horizontal="left" vertical="center" indent="1"/>
    </xf>
    <xf numFmtId="0" fontId="136" fillId="56" borderId="102" applyNumberFormat="0" applyProtection="0">
      <alignment horizontal="left" vertical="top" indent="1"/>
    </xf>
    <xf numFmtId="4" fontId="136" fillId="62" borderId="102" applyNumberFormat="0" applyProtection="0">
      <alignment horizontal="right" vertical="center"/>
    </xf>
    <xf numFmtId="4" fontId="138" fillId="62" borderId="102" applyNumberFormat="0" applyProtection="0">
      <alignment horizontal="right" vertical="center"/>
    </xf>
    <xf numFmtId="4" fontId="136" fillId="64" borderId="102" applyNumberFormat="0" applyProtection="0">
      <alignment horizontal="left" vertical="center" indent="1"/>
    </xf>
    <xf numFmtId="0" fontId="136" fillId="34" borderId="102" applyNumberFormat="0" applyProtection="0">
      <alignment horizontal="left" vertical="top" indent="1"/>
    </xf>
    <xf numFmtId="4" fontId="139" fillId="66" borderId="0" applyNumberFormat="0" applyProtection="0">
      <alignment horizontal="left" vertical="center" indent="1"/>
    </xf>
    <xf numFmtId="4" fontId="57" fillId="62" borderId="102" applyNumberFormat="0" applyProtection="0">
      <alignment horizontal="right" vertical="center"/>
    </xf>
    <xf numFmtId="0" fontId="75" fillId="35" borderId="0" applyNumberFormat="0" applyBorder="0" applyAlignment="0" applyProtection="0"/>
    <xf numFmtId="0" fontId="63" fillId="58" borderId="76"/>
    <xf numFmtId="0" fontId="114" fillId="0" borderId="0"/>
    <xf numFmtId="0" fontId="7" fillId="0" borderId="0"/>
    <xf numFmtId="0" fontId="7" fillId="0" borderId="0"/>
    <xf numFmtId="0" fontId="65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65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50" fillId="0" borderId="0"/>
    <xf numFmtId="0" fontId="61" fillId="0" borderId="0"/>
    <xf numFmtId="0" fontId="59" fillId="0" borderId="0"/>
    <xf numFmtId="0" fontId="61" fillId="0" borderId="0"/>
    <xf numFmtId="0" fontId="50" fillId="0" borderId="0"/>
    <xf numFmtId="0" fontId="50" fillId="0" borderId="0"/>
    <xf numFmtId="0" fontId="50" fillId="0" borderId="0"/>
    <xf numFmtId="0" fontId="85" fillId="0" borderId="0"/>
    <xf numFmtId="0" fontId="50" fillId="0" borderId="0"/>
    <xf numFmtId="0" fontId="85" fillId="0" borderId="0"/>
    <xf numFmtId="0" fontId="50" fillId="0" borderId="0"/>
    <xf numFmtId="0" fontId="85" fillId="0" borderId="0"/>
    <xf numFmtId="0" fontId="50" fillId="0" borderId="0"/>
    <xf numFmtId="0" fontId="8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85" fillId="0" borderId="0"/>
    <xf numFmtId="0" fontId="50" fillId="0" borderId="0"/>
    <xf numFmtId="0" fontId="85" fillId="0" borderId="0"/>
    <xf numFmtId="0" fontId="59" fillId="0" borderId="0"/>
    <xf numFmtId="0" fontId="61" fillId="0" borderId="0"/>
    <xf numFmtId="0" fontId="59" fillId="0" borderId="0"/>
    <xf numFmtId="0" fontId="59" fillId="0" borderId="0"/>
    <xf numFmtId="0" fontId="61" fillId="0" borderId="0"/>
    <xf numFmtId="0" fontId="59" fillId="0" borderId="0"/>
    <xf numFmtId="0" fontId="85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6" fillId="0" borderId="0"/>
    <xf numFmtId="0" fontId="7" fillId="0" borderId="0"/>
    <xf numFmtId="0" fontId="7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98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8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8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59" fillId="0" borderId="0"/>
    <xf numFmtId="0" fontId="61" fillId="0" borderId="0"/>
    <xf numFmtId="0" fontId="61" fillId="0" borderId="0"/>
    <xf numFmtId="0" fontId="59" fillId="0" borderId="0"/>
    <xf numFmtId="0" fontId="61" fillId="0" borderId="0"/>
    <xf numFmtId="0" fontId="7" fillId="0" borderId="0"/>
    <xf numFmtId="0" fontId="5" fillId="67" borderId="104" applyNumberFormat="0" applyProtection="0">
      <alignment horizontal="center" wrapText="1"/>
    </xf>
    <xf numFmtId="0" fontId="7" fillId="0" borderId="76" applyNumberFormat="0" applyFill="0" applyProtection="0">
      <alignment horizontal="right"/>
    </xf>
    <xf numFmtId="0" fontId="7" fillId="0" borderId="76" applyNumberFormat="0" applyFill="0" applyProtection="0">
      <alignment horizontal="right"/>
    </xf>
    <xf numFmtId="0" fontId="5" fillId="67" borderId="104" applyNumberFormat="0" applyProtection="0">
      <alignment horizontal="center" wrapText="1"/>
    </xf>
    <xf numFmtId="0" fontId="7" fillId="0" borderId="76" applyNumberFormat="0" applyFill="0" applyProtection="0">
      <alignment horizontal="right"/>
    </xf>
    <xf numFmtId="0" fontId="5" fillId="67" borderId="105" applyNumberFormat="0" applyAlignment="0" applyProtection="0">
      <alignment wrapText="1"/>
    </xf>
    <xf numFmtId="0" fontId="5" fillId="68" borderId="76" applyNumberFormat="0" applyProtection="0">
      <alignment horizontal="right"/>
    </xf>
    <xf numFmtId="0" fontId="5" fillId="67" borderId="105" applyNumberFormat="0" applyAlignment="0" applyProtection="0">
      <alignment wrapText="1"/>
    </xf>
    <xf numFmtId="0" fontId="5" fillId="68" borderId="76" applyNumberFormat="0" applyProtection="0">
      <alignment horizontal="right"/>
    </xf>
    <xf numFmtId="0" fontId="7" fillId="69" borderId="0" applyNumberFormat="0" applyBorder="0">
      <alignment horizontal="center" wrapText="1"/>
    </xf>
    <xf numFmtId="0" fontId="140" fillId="68" borderId="0" applyNumberFormat="0" applyBorder="0" applyProtection="0">
      <alignment horizontal="left"/>
    </xf>
    <xf numFmtId="0" fontId="7" fillId="69" borderId="0" applyNumberFormat="0" applyBorder="0">
      <alignment horizontal="center" wrapText="1"/>
    </xf>
    <xf numFmtId="0" fontId="140" fillId="68" borderId="0" applyNumberFormat="0" applyBorder="0" applyProtection="0">
      <alignment horizontal="left"/>
    </xf>
    <xf numFmtId="0" fontId="7" fillId="69" borderId="0" applyNumberFormat="0" applyBorder="0">
      <alignment wrapText="1"/>
    </xf>
    <xf numFmtId="0" fontId="5" fillId="68" borderId="76" applyNumberFormat="0" applyProtection="0">
      <alignment horizontal="left"/>
    </xf>
    <xf numFmtId="0" fontId="7" fillId="69" borderId="0" applyNumberFormat="0" applyBorder="0">
      <alignment wrapText="1"/>
    </xf>
    <xf numFmtId="0" fontId="5" fillId="68" borderId="76" applyNumberFormat="0" applyProtection="0">
      <alignment horizontal="left"/>
    </xf>
    <xf numFmtId="0" fontId="7" fillId="0" borderId="0" applyNumberFormat="0" applyFill="0" applyBorder="0" applyProtection="0">
      <alignment horizontal="right" wrapText="1"/>
    </xf>
    <xf numFmtId="0" fontId="7" fillId="0" borderId="76" applyNumberFormat="0" applyFill="0" applyProtection="0">
      <alignment horizontal="right"/>
    </xf>
    <xf numFmtId="0" fontId="7" fillId="0" borderId="76" applyNumberFormat="0" applyFill="0" applyProtection="0">
      <alignment horizontal="right"/>
    </xf>
    <xf numFmtId="0" fontId="7" fillId="0" borderId="0" applyNumberFormat="0" applyFill="0" applyBorder="0" applyProtection="0">
      <alignment horizontal="right" wrapText="1"/>
    </xf>
    <xf numFmtId="0" fontId="7" fillId="0" borderId="76" applyNumberFormat="0" applyFill="0" applyProtection="0">
      <alignment horizontal="right"/>
    </xf>
    <xf numFmtId="188" fontId="7" fillId="0" borderId="0" applyFill="0" applyBorder="0" applyAlignment="0" applyProtection="0">
      <alignment wrapText="1"/>
    </xf>
    <xf numFmtId="0" fontId="144" fillId="70" borderId="0" applyNumberFormat="0" applyBorder="0" applyProtection="0">
      <alignment horizontal="left"/>
    </xf>
    <xf numFmtId="188" fontId="7" fillId="0" borderId="0" applyFill="0" applyBorder="0" applyAlignment="0" applyProtection="0">
      <alignment wrapText="1"/>
    </xf>
    <xf numFmtId="0" fontId="144" fillId="70" borderId="0" applyNumberFormat="0" applyBorder="0" applyProtection="0">
      <alignment horizontal="left"/>
    </xf>
    <xf numFmtId="189" fontId="7" fillId="0" borderId="0" applyFill="0" applyBorder="0" applyAlignment="0" applyProtection="0">
      <alignment wrapText="1"/>
    </xf>
    <xf numFmtId="190" fontId="7" fillId="0" borderId="0" applyFill="0" applyBorder="0" applyAlignment="0" applyProtection="0">
      <alignment wrapText="1"/>
    </xf>
    <xf numFmtId="0" fontId="7" fillId="0" borderId="0" applyNumberFormat="0" applyFill="0" applyBorder="0" applyProtection="0">
      <alignment horizontal="right" wrapText="1"/>
    </xf>
    <xf numFmtId="0" fontId="7" fillId="0" borderId="0" applyNumberFormat="0" applyFill="0" applyBorder="0">
      <alignment horizontal="right" wrapText="1"/>
    </xf>
    <xf numFmtId="17" fontId="7" fillId="0" borderId="0" applyFill="0" applyBorder="0">
      <alignment horizontal="right" wrapText="1"/>
    </xf>
    <xf numFmtId="176" fontId="7" fillId="0" borderId="0" applyFill="0" applyBorder="0" applyAlignment="0" applyProtection="0">
      <alignment wrapText="1"/>
    </xf>
    <xf numFmtId="0" fontId="140" fillId="0" borderId="0" applyNumberFormat="0" applyFill="0" applyBorder="0">
      <alignment horizontal="left" wrapText="1"/>
    </xf>
    <xf numFmtId="0" fontId="5" fillId="0" borderId="0" applyNumberFormat="0" applyFill="0" applyBorder="0">
      <alignment horizontal="center" wrapText="1"/>
    </xf>
    <xf numFmtId="0" fontId="5" fillId="0" borderId="0" applyNumberFormat="0" applyFill="0" applyBorder="0">
      <alignment horizontal="center" wrapText="1"/>
    </xf>
    <xf numFmtId="0" fontId="115" fillId="0" borderId="95" applyNumberFormat="0" applyFill="0" applyAlignment="0" applyProtection="0"/>
    <xf numFmtId="0" fontId="115" fillId="0" borderId="95" applyNumberFormat="0" applyFill="0" applyAlignment="0" applyProtection="0"/>
    <xf numFmtId="0" fontId="69" fillId="0" borderId="95" applyNumberFormat="0" applyFill="0" applyAlignment="0" applyProtection="0"/>
    <xf numFmtId="0" fontId="115" fillId="0" borderId="95" applyNumberFormat="0" applyFill="0" applyAlignment="0" applyProtection="0"/>
    <xf numFmtId="0" fontId="69" fillId="0" borderId="95" applyNumberFormat="0" applyFill="0" applyAlignment="0" applyProtection="0"/>
    <xf numFmtId="0" fontId="115" fillId="0" borderId="95" applyNumberFormat="0" applyFill="0" applyAlignment="0" applyProtection="0"/>
    <xf numFmtId="0" fontId="69" fillId="0" borderId="95" applyNumberFormat="0" applyFill="0" applyAlignment="0" applyProtection="0"/>
    <xf numFmtId="0" fontId="115" fillId="0" borderId="95" applyNumberFormat="0" applyFill="0" applyAlignment="0" applyProtection="0"/>
    <xf numFmtId="0" fontId="69" fillId="0" borderId="95" applyNumberFormat="0" applyFill="0" applyAlignment="0" applyProtection="0"/>
    <xf numFmtId="0" fontId="69" fillId="0" borderId="95" applyNumberFormat="0" applyFill="0" applyAlignment="0" applyProtection="0"/>
    <xf numFmtId="0" fontId="69" fillId="0" borderId="95" applyNumberFormat="0" applyFill="0" applyAlignment="0" applyProtection="0"/>
    <xf numFmtId="0" fontId="115" fillId="0" borderId="95" applyNumberFormat="0" applyFill="0" applyAlignment="0" applyProtection="0"/>
    <xf numFmtId="0" fontId="116" fillId="0" borderId="95" applyNumberFormat="0" applyFill="0" applyAlignment="0" applyProtection="0"/>
    <xf numFmtId="0" fontId="116" fillId="0" borderId="95" applyNumberFormat="0" applyFill="0" applyAlignment="0" applyProtection="0"/>
    <xf numFmtId="0" fontId="116" fillId="0" borderId="95" applyNumberFormat="0" applyFill="0" applyAlignment="0" applyProtection="0"/>
    <xf numFmtId="0" fontId="116" fillId="0" borderId="95" applyNumberFormat="0" applyFill="0" applyAlignment="0" applyProtection="0"/>
    <xf numFmtId="0" fontId="116" fillId="0" borderId="95" applyNumberFormat="0" applyFill="0" applyAlignment="0" applyProtection="0"/>
    <xf numFmtId="0" fontId="116" fillId="0" borderId="95" applyNumberFormat="0" applyFill="0" applyAlignment="0" applyProtection="0"/>
    <xf numFmtId="0" fontId="116" fillId="0" borderId="95" applyNumberFormat="0" applyFill="0" applyAlignment="0" applyProtection="0"/>
    <xf numFmtId="0" fontId="115" fillId="0" borderId="95" applyNumberFormat="0" applyFill="0" applyAlignment="0" applyProtection="0"/>
    <xf numFmtId="0" fontId="69" fillId="0" borderId="95" applyNumberFormat="0" applyFill="0" applyAlignment="0" applyProtection="0"/>
    <xf numFmtId="0" fontId="115" fillId="0" borderId="95" applyNumberFormat="0" applyFill="0" applyAlignment="0" applyProtection="0"/>
    <xf numFmtId="0" fontId="69" fillId="0" borderId="95" applyNumberFormat="0" applyFill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20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69" fillId="0" borderId="95" applyNumberFormat="0" applyFill="0" applyAlignment="0" applyProtection="0"/>
    <xf numFmtId="0" fontId="130" fillId="0" borderId="0">
      <protection locked="0"/>
    </xf>
    <xf numFmtId="0" fontId="69" fillId="0" borderId="95" applyNumberFormat="0" applyFill="0" applyAlignment="0" applyProtection="0"/>
    <xf numFmtId="0" fontId="69" fillId="0" borderId="95" applyNumberFormat="0" applyFill="0" applyAlignment="0" applyProtection="0"/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30" fillId="0" borderId="0">
      <protection locked="0"/>
    </xf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71" fillId="0" borderId="96" applyNumberFormat="0" applyFill="0" applyAlignment="0" applyProtection="0"/>
    <xf numFmtId="0" fontId="72" fillId="0" borderId="97" applyNumberFormat="0" applyFill="0" applyAlignment="0" applyProtection="0"/>
    <xf numFmtId="0" fontId="73" fillId="0" borderId="98" applyNumberFormat="0" applyFill="0" applyAlignment="0" applyProtection="0"/>
    <xf numFmtId="0" fontId="73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37" fontId="8" fillId="2" borderId="0" applyNumberFormat="0" applyBorder="0" applyAlignment="0" applyProtection="0"/>
    <xf numFmtId="37" fontId="8" fillId="0" borderId="0"/>
    <xf numFmtId="37" fontId="8" fillId="2" borderId="0" applyNumberFormat="0" applyBorder="0" applyAlignment="0" applyProtection="0"/>
    <xf numFmtId="3" fontId="141" fillId="0" borderId="99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7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7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7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7" fillId="59" borderId="101" applyNumberFormat="0" applyFont="0" applyAlignment="0" applyProtection="0"/>
    <xf numFmtId="0" fontId="7" fillId="59" borderId="101" applyNumberFormat="0" applyFont="0" applyAlignment="0" applyProtection="0"/>
    <xf numFmtId="0" fontId="7" fillId="59" borderId="101" applyNumberFormat="0" applyFont="0" applyAlignment="0" applyProtection="0"/>
    <xf numFmtId="0" fontId="56" fillId="59" borderId="101" applyNumberFormat="0" applyFont="0" applyAlignment="0" applyProtection="0"/>
    <xf numFmtId="0" fontId="68" fillId="59" borderId="101" applyNumberFormat="0" applyFont="0" applyAlignment="0" applyProtection="0"/>
    <xf numFmtId="0" fontId="68" fillId="59" borderId="101" applyNumberFormat="0" applyFont="0" applyAlignment="0" applyProtection="0"/>
    <xf numFmtId="0" fontId="68" fillId="59" borderId="101" applyNumberFormat="0" applyFont="0" applyAlignment="0" applyProtection="0"/>
    <xf numFmtId="0" fontId="68" fillId="59" borderId="101" applyNumberFormat="0" applyFont="0" applyAlignment="0" applyProtection="0"/>
    <xf numFmtId="0" fontId="68" fillId="59" borderId="101" applyNumberFormat="0" applyFont="0" applyAlignment="0" applyProtection="0"/>
    <xf numFmtId="0" fontId="68" fillId="59" borderId="101" applyNumberFormat="0" applyFont="0" applyAlignment="0" applyProtection="0"/>
    <xf numFmtId="0" fontId="68" fillId="59" borderId="101" applyNumberFormat="0" applyFont="0" applyAlignment="0" applyProtection="0"/>
    <xf numFmtId="0" fontId="56" fillId="59" borderId="101" applyNumberFormat="0" applyFont="0" applyAlignment="0" applyProtection="0"/>
    <xf numFmtId="0" fontId="7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56" fillId="59" borderId="101" applyNumberFormat="0" applyFont="0" applyAlignment="0" applyProtection="0"/>
    <xf numFmtId="0" fontId="7" fillId="59" borderId="101" applyNumberFormat="0" applyFont="0" applyAlignment="0" applyProtection="0"/>
    <xf numFmtId="195" fontId="143" fillId="0" borderId="0" applyFont="0" applyFill="0" applyBorder="0" applyAlignment="0" applyProtection="0"/>
    <xf numFmtId="0" fontId="80" fillId="0" borderId="100" applyNumberFormat="0" applyFill="0" applyAlignment="0" applyProtection="0"/>
    <xf numFmtId="177" fontId="7" fillId="0" borderId="0" applyFont="0" applyFill="0" applyBorder="0" applyAlignment="0" applyProtection="0"/>
    <xf numFmtId="182" fontId="98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191" fontId="142" fillId="0" borderId="0">
      <alignment horizontal="right" vertical="center"/>
    </xf>
    <xf numFmtId="0" fontId="81" fillId="55" borderId="94" applyNumberFormat="0" applyAlignment="0" applyProtection="0"/>
    <xf numFmtId="0" fontId="122" fillId="35" borderId="0" applyNumberFormat="0" applyBorder="0" applyAlignment="0" applyProtection="0"/>
    <xf numFmtId="0" fontId="122" fillId="35" borderId="0" applyNumberFormat="0" applyBorder="0" applyAlignment="0" applyProtection="0"/>
    <xf numFmtId="0" fontId="75" fillId="35" borderId="0" applyNumberFormat="0" applyBorder="0" applyAlignment="0" applyProtection="0"/>
    <xf numFmtId="0" fontId="122" fillId="35" borderId="0" applyNumberFormat="0" applyBorder="0" applyAlignment="0" applyProtection="0"/>
    <xf numFmtId="0" fontId="75" fillId="35" borderId="0" applyNumberFormat="0" applyBorder="0" applyAlignment="0" applyProtection="0"/>
    <xf numFmtId="0" fontId="122" fillId="35" borderId="0" applyNumberFormat="0" applyBorder="0" applyAlignment="0" applyProtection="0"/>
    <xf numFmtId="0" fontId="75" fillId="35" borderId="0" applyNumberFormat="0" applyBorder="0" applyAlignment="0" applyProtection="0"/>
    <xf numFmtId="0" fontId="75" fillId="35" borderId="0" applyNumberFormat="0" applyBorder="0" applyAlignment="0" applyProtection="0"/>
    <xf numFmtId="0" fontId="75" fillId="35" borderId="0" applyNumberFormat="0" applyBorder="0" applyAlignment="0" applyProtection="0"/>
    <xf numFmtId="0" fontId="75" fillId="35" borderId="0" applyNumberFormat="0" applyBorder="0" applyAlignment="0" applyProtection="0"/>
    <xf numFmtId="0" fontId="122" fillId="35" borderId="0" applyNumberFormat="0" applyBorder="0" applyAlignment="0" applyProtection="0"/>
    <xf numFmtId="0" fontId="123" fillId="35" borderId="0" applyNumberFormat="0" applyBorder="0" applyAlignment="0" applyProtection="0"/>
    <xf numFmtId="0" fontId="123" fillId="35" borderId="0" applyNumberFormat="0" applyBorder="0" applyAlignment="0" applyProtection="0"/>
    <xf numFmtId="0" fontId="123" fillId="35" borderId="0" applyNumberFormat="0" applyBorder="0" applyAlignment="0" applyProtection="0"/>
    <xf numFmtId="0" fontId="123" fillId="35" borderId="0" applyNumberFormat="0" applyBorder="0" applyAlignment="0" applyProtection="0"/>
    <xf numFmtId="0" fontId="123" fillId="35" borderId="0" applyNumberFormat="0" applyBorder="0" applyAlignment="0" applyProtection="0"/>
    <xf numFmtId="0" fontId="123" fillId="35" borderId="0" applyNumberFormat="0" applyBorder="0" applyAlignment="0" applyProtection="0"/>
    <xf numFmtId="0" fontId="123" fillId="35" borderId="0" applyNumberFormat="0" applyBorder="0" applyAlignment="0" applyProtection="0"/>
    <xf numFmtId="0" fontId="122" fillId="35" borderId="0" applyNumberFormat="0" applyBorder="0" applyAlignment="0" applyProtection="0"/>
    <xf numFmtId="0" fontId="75" fillId="35" borderId="0" applyNumberFormat="0" applyBorder="0" applyAlignment="0" applyProtection="0"/>
    <xf numFmtId="0" fontId="122" fillId="35" borderId="0" applyNumberFormat="0" applyBorder="0" applyAlignment="0" applyProtection="0"/>
    <xf numFmtId="0" fontId="75" fillId="35" borderId="0" applyNumberFormat="0" applyBorder="0" applyAlignment="0" applyProtection="0"/>
    <xf numFmtId="0" fontId="122" fillId="35" borderId="0" applyNumberFormat="0" applyBorder="0" applyAlignment="0" applyProtection="0"/>
    <xf numFmtId="4" fontId="63" fillId="0" borderId="0"/>
    <xf numFmtId="0" fontId="124" fillId="0" borderId="0" applyNumberFormat="0" applyFill="0" applyBorder="0" applyAlignment="0" applyProtection="0">
      <alignment vertical="center"/>
    </xf>
    <xf numFmtId="0" fontId="55" fillId="0" borderId="0"/>
    <xf numFmtId="9" fontId="25" fillId="0" borderId="0" applyFont="0" applyFill="0" applyBorder="0" applyAlignment="0" applyProtection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5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59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5" fillId="0" borderId="0"/>
  </cellStyleXfs>
  <cellXfs count="1027">
    <xf numFmtId="0" fontId="0" fillId="0" borderId="0" xfId="0"/>
    <xf numFmtId="0" fontId="17" fillId="0" borderId="0" xfId="10" applyFont="1"/>
    <xf numFmtId="0" fontId="3" fillId="13" borderId="0" xfId="13" applyFill="1" applyAlignment="1">
      <alignment horizontal="left" vertical="top" wrapText="1"/>
    </xf>
    <xf numFmtId="0" fontId="3" fillId="13" borderId="16" xfId="13" applyFill="1" applyBorder="1" applyAlignment="1">
      <alignment horizontal="left" vertical="top"/>
    </xf>
    <xf numFmtId="0" fontId="32" fillId="13" borderId="42" xfId="13" applyFont="1" applyFill="1" applyBorder="1" applyAlignment="1">
      <alignment horizontal="left" vertical="top"/>
    </xf>
    <xf numFmtId="0" fontId="32" fillId="13" borderId="42" xfId="13" applyFont="1" applyFill="1" applyBorder="1" applyAlignment="1">
      <alignment vertical="top"/>
    </xf>
    <xf numFmtId="0" fontId="3" fillId="13" borderId="42" xfId="13" applyFill="1" applyBorder="1" applyAlignment="1">
      <alignment horizontal="center" vertical="top"/>
    </xf>
    <xf numFmtId="0" fontId="3" fillId="13" borderId="42" xfId="13" applyFill="1" applyBorder="1" applyAlignment="1">
      <alignment horizontal="left" vertical="top"/>
    </xf>
    <xf numFmtId="0" fontId="3" fillId="13" borderId="42" xfId="13" applyFill="1" applyBorder="1" applyAlignment="1">
      <alignment vertical="top"/>
    </xf>
    <xf numFmtId="0" fontId="3" fillId="13" borderId="42" xfId="13" applyFill="1" applyBorder="1" applyAlignment="1">
      <alignment vertical="top" wrapText="1"/>
    </xf>
    <xf numFmtId="14" fontId="3" fillId="13" borderId="42" xfId="13" applyNumberFormat="1" applyFill="1" applyBorder="1" applyAlignment="1">
      <alignment horizontal="left" vertical="top"/>
    </xf>
    <xf numFmtId="0" fontId="32" fillId="13" borderId="42" xfId="13" applyFont="1" applyFill="1" applyBorder="1" applyAlignment="1">
      <alignment horizontal="center" vertical="center"/>
    </xf>
    <xf numFmtId="0" fontId="32" fillId="13" borderId="42" xfId="13" applyFont="1" applyFill="1" applyBorder="1" applyAlignment="1">
      <alignment horizontal="left" vertical="center"/>
    </xf>
    <xf numFmtId="0" fontId="32" fillId="13" borderId="0" xfId="13" applyFont="1" applyFill="1"/>
    <xf numFmtId="0" fontId="3" fillId="8" borderId="41" xfId="13" applyFill="1" applyBorder="1"/>
    <xf numFmtId="0" fontId="3" fillId="8" borderId="16" xfId="13" applyFill="1" applyBorder="1"/>
    <xf numFmtId="0" fontId="3" fillId="8" borderId="40" xfId="13" applyFill="1" applyBorder="1"/>
    <xf numFmtId="0" fontId="3" fillId="13" borderId="41" xfId="13" applyFill="1" applyBorder="1"/>
    <xf numFmtId="0" fontId="3" fillId="13" borderId="16" xfId="13" applyFill="1" applyBorder="1"/>
    <xf numFmtId="0" fontId="3" fillId="13" borderId="40" xfId="13" applyFill="1" applyBorder="1"/>
    <xf numFmtId="0" fontId="33" fillId="13" borderId="0" xfId="11" applyFont="1" applyFill="1"/>
    <xf numFmtId="14" fontId="3" fillId="13" borderId="0" xfId="13" applyNumberFormat="1" applyFill="1"/>
    <xf numFmtId="0" fontId="3" fillId="13" borderId="0" xfId="13" applyFill="1" applyAlignment="1">
      <alignment vertical="top" wrapText="1"/>
    </xf>
    <xf numFmtId="0" fontId="32" fillId="13" borderId="0" xfId="13" applyFont="1" applyFill="1" applyAlignment="1">
      <alignment horizontal="left"/>
    </xf>
    <xf numFmtId="0" fontId="2" fillId="0" borderId="0" xfId="12"/>
    <xf numFmtId="0" fontId="3" fillId="13" borderId="39" xfId="13" applyFill="1" applyBorder="1"/>
    <xf numFmtId="0" fontId="3" fillId="13" borderId="35" xfId="13" applyFill="1" applyBorder="1"/>
    <xf numFmtId="0" fontId="3" fillId="8" borderId="39" xfId="13" applyFill="1" applyBorder="1"/>
    <xf numFmtId="0" fontId="3" fillId="13" borderId="38" xfId="13" applyFill="1" applyBorder="1"/>
    <xf numFmtId="0" fontId="3" fillId="13" borderId="2" xfId="13" applyFill="1" applyBorder="1"/>
    <xf numFmtId="0" fontId="3" fillId="13" borderId="37" xfId="13" applyFill="1" applyBorder="1"/>
    <xf numFmtId="0" fontId="3" fillId="8" borderId="35" xfId="13" applyFill="1" applyBorder="1"/>
    <xf numFmtId="0" fontId="3" fillId="8" borderId="38" xfId="13" applyFill="1" applyBorder="1"/>
    <xf numFmtId="0" fontId="3" fillId="8" borderId="2" xfId="13" applyFill="1" applyBorder="1"/>
    <xf numFmtId="0" fontId="3" fillId="8" borderId="37" xfId="13" applyFill="1" applyBorder="1"/>
    <xf numFmtId="0" fontId="3" fillId="13" borderId="0" xfId="13" applyFill="1"/>
    <xf numFmtId="0" fontId="3" fillId="7" borderId="0" xfId="13" applyFill="1"/>
    <xf numFmtId="0" fontId="22" fillId="13" borderId="0" xfId="8" applyFont="1" applyFill="1" applyAlignment="1">
      <alignment horizontal="center" vertical="center"/>
    </xf>
    <xf numFmtId="0" fontId="15" fillId="0" borderId="0" xfId="0" applyFont="1"/>
    <xf numFmtId="0" fontId="8" fillId="0" borderId="0" xfId="0" applyFont="1" applyAlignment="1">
      <alignment horizontal="left" wrapText="1"/>
    </xf>
    <xf numFmtId="0" fontId="9" fillId="0" borderId="0" xfId="0" applyFont="1"/>
    <xf numFmtId="0" fontId="11" fillId="0" borderId="0" xfId="0" applyFont="1"/>
    <xf numFmtId="0" fontId="7" fillId="0" borderId="0" xfId="3"/>
    <xf numFmtId="165" fontId="6" fillId="4" borderId="0" xfId="0" applyNumberFormat="1" applyFont="1" applyFill="1"/>
    <xf numFmtId="165" fontId="7" fillId="0" borderId="0" xfId="0" applyNumberFormat="1" applyFont="1"/>
    <xf numFmtId="165" fontId="9" fillId="0" borderId="0" xfId="0" applyNumberFormat="1" applyFont="1"/>
    <xf numFmtId="165" fontId="0" fillId="0" borderId="0" xfId="0" applyNumberFormat="1"/>
    <xf numFmtId="0" fontId="7" fillId="3" borderId="1" xfId="1" applyFill="1" applyBorder="1" applyAlignment="1">
      <alignment horizontal="center" vertical="center" wrapText="1"/>
    </xf>
    <xf numFmtId="165" fontId="5" fillId="2" borderId="3" xfId="0" applyNumberFormat="1" applyFont="1" applyFill="1" applyBorder="1" applyAlignment="1">
      <alignment horizontal="center" vertical="center"/>
    </xf>
    <xf numFmtId="165" fontId="7" fillId="3" borderId="4" xfId="1" applyNumberFormat="1" applyFill="1" applyBorder="1" applyAlignment="1">
      <alignment horizontal="center" vertical="center" wrapText="1"/>
    </xf>
    <xf numFmtId="165" fontId="7" fillId="3" borderId="1" xfId="1" applyNumberFormat="1" applyFill="1" applyBorder="1" applyAlignment="1">
      <alignment horizontal="center" vertical="center" wrapText="1"/>
    </xf>
    <xf numFmtId="165" fontId="5" fillId="2" borderId="2" xfId="0" applyNumberFormat="1" applyFont="1" applyFill="1" applyBorder="1" applyAlignment="1">
      <alignment horizontal="center" vertical="center"/>
    </xf>
    <xf numFmtId="0" fontId="7" fillId="3" borderId="4" xfId="1" applyFill="1" applyBorder="1" applyAlignment="1">
      <alignment horizontal="center" vertical="center" wrapText="1"/>
    </xf>
    <xf numFmtId="0" fontId="0" fillId="10" borderId="0" xfId="0" applyFill="1"/>
    <xf numFmtId="0" fontId="18" fillId="0" borderId="0" xfId="0" applyFont="1"/>
    <xf numFmtId="0" fontId="19" fillId="0" borderId="3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wrapText="1"/>
    </xf>
    <xf numFmtId="0" fontId="19" fillId="0" borderId="9" xfId="0" applyFont="1" applyBorder="1" applyAlignment="1">
      <alignment horizontal="center" vertical="top" wrapText="1"/>
    </xf>
    <xf numFmtId="0" fontId="19" fillId="0" borderId="0" xfId="0" applyFont="1" applyAlignment="1">
      <alignment wrapText="1"/>
    </xf>
    <xf numFmtId="0" fontId="19" fillId="0" borderId="14" xfId="0" applyFont="1" applyBorder="1" applyAlignment="1">
      <alignment horizontal="right"/>
    </xf>
    <xf numFmtId="0" fontId="19" fillId="10" borderId="0" xfId="0" applyFont="1" applyFill="1" applyAlignment="1">
      <alignment wrapText="1"/>
    </xf>
    <xf numFmtId="0" fontId="19" fillId="10" borderId="14" xfId="0" applyFont="1" applyFill="1" applyBorder="1" applyAlignment="1">
      <alignment horizontal="right"/>
    </xf>
    <xf numFmtId="0" fontId="19" fillId="9" borderId="14" xfId="0" applyFont="1" applyFill="1" applyBorder="1" applyAlignment="1">
      <alignment horizontal="right"/>
    </xf>
    <xf numFmtId="0" fontId="6" fillId="4" borderId="0" xfId="10" applyFont="1" applyFill="1"/>
    <xf numFmtId="0" fontId="9" fillId="0" borderId="0" xfId="10" applyFont="1"/>
    <xf numFmtId="0" fontId="15" fillId="0" borderId="0" xfId="10"/>
    <xf numFmtId="0" fontId="5" fillId="0" borderId="0" xfId="10" applyFont="1"/>
    <xf numFmtId="0" fontId="17" fillId="7" borderId="7" xfId="10" applyFont="1" applyFill="1" applyBorder="1" applyAlignment="1">
      <alignment horizontal="center" vertical="center" wrapText="1"/>
    </xf>
    <xf numFmtId="0" fontId="15" fillId="8" borderId="8" xfId="10" applyFill="1" applyBorder="1" applyAlignment="1">
      <alignment horizontal="center" vertical="center" wrapText="1"/>
    </xf>
    <xf numFmtId="0" fontId="15" fillId="5" borderId="0" xfId="10" applyFill="1" applyAlignment="1">
      <alignment vertical="center" wrapText="1"/>
    </xf>
    <xf numFmtId="0" fontId="15" fillId="11" borderId="0" xfId="10" applyFill="1"/>
    <xf numFmtId="0" fontId="17" fillId="7" borderId="7" xfId="3" applyFont="1" applyFill="1" applyBorder="1" applyAlignment="1">
      <alignment horizontal="center" vertical="center"/>
    </xf>
    <xf numFmtId="0" fontId="17" fillId="7" borderId="7" xfId="1" applyFont="1" applyFill="1" applyBorder="1" applyAlignment="1">
      <alignment horizontal="center" vertical="center"/>
    </xf>
    <xf numFmtId="0" fontId="17" fillId="7" borderId="7" xfId="3" applyFont="1" applyFill="1" applyBorder="1" applyAlignment="1">
      <alignment horizontal="center" vertical="center" wrapText="1"/>
    </xf>
    <xf numFmtId="0" fontId="15" fillId="8" borderId="8" xfId="1" applyFont="1" applyFill="1" applyBorder="1" applyAlignment="1">
      <alignment horizontal="center" vertical="center" wrapText="1"/>
    </xf>
    <xf numFmtId="165" fontId="15" fillId="6" borderId="6" xfId="0" applyNumberFormat="1" applyFont="1" applyFill="1" applyBorder="1"/>
    <xf numFmtId="165" fontId="15" fillId="5" borderId="5" xfId="0" applyNumberFormat="1" applyFont="1" applyFill="1" applyBorder="1"/>
    <xf numFmtId="0" fontId="15" fillId="5" borderId="5" xfId="0" applyFont="1" applyFill="1" applyBorder="1"/>
    <xf numFmtId="165" fontId="15" fillId="6" borderId="0" xfId="0" applyNumberFormat="1" applyFont="1" applyFill="1"/>
    <xf numFmtId="0" fontId="15" fillId="6" borderId="0" xfId="0" applyFont="1" applyFill="1"/>
    <xf numFmtId="165" fontId="15" fillId="5" borderId="0" xfId="0" applyNumberFormat="1" applyFont="1" applyFill="1"/>
    <xf numFmtId="0" fontId="15" fillId="5" borderId="0" xfId="0" applyFont="1" applyFill="1"/>
    <xf numFmtId="0" fontId="15" fillId="6" borderId="6" xfId="0" applyFont="1" applyFill="1" applyBorder="1"/>
    <xf numFmtId="0" fontId="15" fillId="6" borderId="0" xfId="0" quotePrefix="1" applyFont="1" applyFill="1"/>
    <xf numFmtId="0" fontId="15" fillId="5" borderId="15" xfId="10" applyFill="1" applyBorder="1" applyAlignment="1">
      <alignment vertical="center" wrapText="1"/>
    </xf>
    <xf numFmtId="0" fontId="15" fillId="5" borderId="15" xfId="10" applyFill="1" applyBorder="1"/>
    <xf numFmtId="0" fontId="15" fillId="5" borderId="0" xfId="10" applyFill="1"/>
    <xf numFmtId="0" fontId="15" fillId="5" borderId="15" xfId="0" applyFont="1" applyFill="1" applyBorder="1"/>
    <xf numFmtId="0" fontId="15" fillId="6" borderId="0" xfId="10" applyFill="1"/>
    <xf numFmtId="0" fontId="15" fillId="12" borderId="0" xfId="10" applyFill="1"/>
    <xf numFmtId="0" fontId="15" fillId="6" borderId="0" xfId="10" applyFill="1" applyAlignment="1">
      <alignment vertical="center" wrapText="1"/>
    </xf>
    <xf numFmtId="165" fontId="15" fillId="6" borderId="0" xfId="4" applyNumberFormat="1" applyFill="1"/>
    <xf numFmtId="165" fontId="15" fillId="5" borderId="0" xfId="4" applyNumberFormat="1" applyFill="1"/>
    <xf numFmtId="165" fontId="9" fillId="0" borderId="0" xfId="0" applyNumberFormat="1" applyFont="1" applyAlignment="1">
      <alignment vertical="center"/>
    </xf>
    <xf numFmtId="0" fontId="22" fillId="13" borderId="0" xfId="8" applyFont="1" applyFill="1" applyAlignment="1">
      <alignment horizontal="left" vertical="center"/>
    </xf>
    <xf numFmtId="0" fontId="23" fillId="13" borderId="0" xfId="8" applyFont="1" applyFill="1" applyAlignment="1">
      <alignment horizontal="left" vertical="center"/>
    </xf>
    <xf numFmtId="0" fontId="24" fillId="13" borderId="0" xfId="8" applyFont="1" applyFill="1" applyAlignment="1">
      <alignment horizontal="left" vertical="center"/>
    </xf>
    <xf numFmtId="168" fontId="22" fillId="13" borderId="0" xfId="14" applyNumberFormat="1" applyFont="1" applyFill="1" applyBorder="1" applyAlignment="1">
      <alignment horizontal="left" vertical="center"/>
    </xf>
    <xf numFmtId="0" fontId="26" fillId="13" borderId="0" xfId="8" applyFont="1" applyFill="1" applyAlignment="1">
      <alignment horizontal="left" vertical="center"/>
    </xf>
    <xf numFmtId="0" fontId="23" fillId="13" borderId="16" xfId="8" applyFont="1" applyFill="1" applyBorder="1" applyAlignment="1">
      <alignment horizontal="left" vertical="center"/>
    </xf>
    <xf numFmtId="0" fontId="24" fillId="13" borderId="16" xfId="8" applyFont="1" applyFill="1" applyBorder="1" applyAlignment="1">
      <alignment horizontal="left" vertical="center"/>
    </xf>
    <xf numFmtId="168" fontId="27" fillId="13" borderId="16" xfId="14" applyNumberFormat="1" applyFont="1" applyFill="1" applyBorder="1" applyAlignment="1">
      <alignment horizontal="left" vertical="center"/>
    </xf>
    <xf numFmtId="168" fontId="27" fillId="13" borderId="0" xfId="14" applyNumberFormat="1" applyFont="1" applyFill="1" applyBorder="1" applyAlignment="1">
      <alignment horizontal="left" vertical="center"/>
    </xf>
    <xf numFmtId="0" fontId="24" fillId="13" borderId="16" xfId="8" applyFont="1" applyFill="1" applyBorder="1" applyAlignment="1">
      <alignment vertical="center"/>
    </xf>
    <xf numFmtId="168" fontId="28" fillId="13" borderId="16" xfId="14" applyNumberFormat="1" applyFont="1" applyFill="1" applyBorder="1" applyAlignment="1">
      <alignment horizontal="center" vertical="center"/>
    </xf>
    <xf numFmtId="168" fontId="29" fillId="13" borderId="17" xfId="14" applyNumberFormat="1" applyFont="1" applyFill="1" applyBorder="1" applyAlignment="1">
      <alignment horizontal="center" vertical="center" wrapText="1"/>
    </xf>
    <xf numFmtId="168" fontId="28" fillId="13" borderId="17" xfId="14" applyNumberFormat="1" applyFont="1" applyFill="1" applyBorder="1" applyAlignment="1">
      <alignment horizontal="center" vertical="center"/>
    </xf>
    <xf numFmtId="168" fontId="28" fillId="13" borderId="18" xfId="14" applyNumberFormat="1" applyFont="1" applyFill="1" applyBorder="1" applyAlignment="1">
      <alignment horizontal="center" vertical="center"/>
    </xf>
    <xf numFmtId="168" fontId="28" fillId="13" borderId="3" xfId="14" applyNumberFormat="1" applyFont="1" applyFill="1" applyBorder="1" applyAlignment="1">
      <alignment horizontal="center" vertical="center"/>
    </xf>
    <xf numFmtId="168" fontId="29" fillId="13" borderId="16" xfId="14" applyNumberFormat="1" applyFont="1" applyFill="1" applyBorder="1" applyAlignment="1">
      <alignment horizontal="center" vertical="center"/>
    </xf>
    <xf numFmtId="168" fontId="29" fillId="13" borderId="16" xfId="14" applyNumberFormat="1" applyFont="1" applyFill="1" applyBorder="1" applyAlignment="1">
      <alignment horizontal="center" vertical="center" wrapText="1"/>
    </xf>
    <xf numFmtId="168" fontId="28" fillId="13" borderId="19" xfId="14" applyNumberFormat="1" applyFont="1" applyFill="1" applyBorder="1" applyAlignment="1">
      <alignment horizontal="center" vertical="center"/>
    </xf>
    <xf numFmtId="0" fontId="28" fillId="13" borderId="0" xfId="8" applyFont="1" applyFill="1" applyAlignment="1">
      <alignment vertical="center"/>
    </xf>
    <xf numFmtId="0" fontId="22" fillId="14" borderId="20" xfId="8" applyFont="1" applyFill="1" applyBorder="1" applyAlignment="1">
      <alignment horizontal="center" vertical="center"/>
    </xf>
    <xf numFmtId="0" fontId="23" fillId="14" borderId="20" xfId="8" applyFont="1" applyFill="1" applyBorder="1" applyAlignment="1">
      <alignment horizontal="center" vertical="center"/>
    </xf>
    <xf numFmtId="0" fontId="23" fillId="14" borderId="20" xfId="8" applyFont="1" applyFill="1" applyBorder="1" applyAlignment="1">
      <alignment horizontal="left" vertical="center"/>
    </xf>
    <xf numFmtId="0" fontId="22" fillId="14" borderId="20" xfId="8" quotePrefix="1" applyFont="1" applyFill="1" applyBorder="1" applyAlignment="1">
      <alignment horizontal="center" vertical="center"/>
    </xf>
    <xf numFmtId="0" fontId="28" fillId="14" borderId="20" xfId="8" applyFont="1" applyFill="1" applyBorder="1" applyAlignment="1">
      <alignment horizontal="center" vertical="center"/>
    </xf>
    <xf numFmtId="168" fontId="22" fillId="14" borderId="21" xfId="14" applyNumberFormat="1" applyFont="1" applyFill="1" applyBorder="1" applyAlignment="1">
      <alignment horizontal="center" vertical="center" wrapText="1"/>
    </xf>
    <xf numFmtId="168" fontId="22" fillId="14" borderId="20" xfId="14" applyNumberFormat="1" applyFont="1" applyFill="1" applyBorder="1" applyAlignment="1">
      <alignment horizontal="center" vertical="center" wrapText="1"/>
    </xf>
    <xf numFmtId="168" fontId="30" fillId="14" borderId="20" xfId="14" applyNumberFormat="1" applyFont="1" applyFill="1" applyBorder="1" applyAlignment="1">
      <alignment horizontal="center" vertical="center" wrapText="1"/>
    </xf>
    <xf numFmtId="168" fontId="22" fillId="14" borderId="22" xfId="14" applyNumberFormat="1" applyFont="1" applyFill="1" applyBorder="1" applyAlignment="1">
      <alignment horizontal="center" vertical="center" wrapText="1"/>
    </xf>
    <xf numFmtId="0" fontId="21" fillId="13" borderId="0" xfId="8" applyFont="1" applyFill="1" applyAlignment="1">
      <alignment horizontal="center" vertical="center"/>
    </xf>
    <xf numFmtId="169" fontId="22" fillId="13" borderId="0" xfId="14" applyNumberFormat="1" applyFont="1" applyFill="1" applyBorder="1" applyAlignment="1">
      <alignment horizontal="center" vertical="center"/>
    </xf>
    <xf numFmtId="0" fontId="27" fillId="13" borderId="23" xfId="8" applyFont="1" applyFill="1" applyBorder="1" applyAlignment="1">
      <alignment horizontal="center" vertical="center"/>
    </xf>
    <xf numFmtId="0" fontId="22" fillId="13" borderId="23" xfId="8" applyFont="1" applyFill="1" applyBorder="1" applyAlignment="1">
      <alignment horizontal="left" vertical="center"/>
    </xf>
    <xf numFmtId="0" fontId="22" fillId="13" borderId="23" xfId="8" applyFont="1" applyFill="1" applyBorder="1" applyAlignment="1">
      <alignment horizontal="center" vertical="center"/>
    </xf>
    <xf numFmtId="0" fontId="28" fillId="13" borderId="23" xfId="8" applyFont="1" applyFill="1" applyBorder="1" applyAlignment="1">
      <alignment horizontal="center" vertical="center"/>
    </xf>
    <xf numFmtId="167" fontId="22" fillId="13" borderId="24" xfId="14" applyNumberFormat="1" applyFont="1" applyFill="1" applyBorder="1" applyAlignment="1">
      <alignment horizontal="right" vertical="center"/>
    </xf>
    <xf numFmtId="167" fontId="22" fillId="13" borderId="23" xfId="14" applyNumberFormat="1" applyFont="1" applyFill="1" applyBorder="1" applyAlignment="1">
      <alignment horizontal="right" vertical="center"/>
    </xf>
    <xf numFmtId="167" fontId="22" fillId="13" borderId="25" xfId="14" applyNumberFormat="1" applyFont="1" applyFill="1" applyBorder="1" applyAlignment="1">
      <alignment horizontal="right" vertical="center"/>
    </xf>
    <xf numFmtId="167" fontId="22" fillId="13" borderId="26" xfId="14" applyNumberFormat="1" applyFont="1" applyFill="1" applyBorder="1" applyAlignment="1">
      <alignment horizontal="right" vertical="center"/>
    </xf>
    <xf numFmtId="0" fontId="22" fillId="13" borderId="0" xfId="8" applyFont="1" applyFill="1" applyAlignment="1">
      <alignment vertical="center"/>
    </xf>
    <xf numFmtId="0" fontId="22" fillId="13" borderId="23" xfId="8" applyFont="1" applyFill="1" applyBorder="1" applyAlignment="1">
      <alignment vertical="center"/>
    </xf>
    <xf numFmtId="167" fontId="22" fillId="13" borderId="27" xfId="14" applyNumberFormat="1" applyFont="1" applyFill="1" applyBorder="1" applyAlignment="1">
      <alignment horizontal="right" vertical="center"/>
    </xf>
    <xf numFmtId="0" fontId="22" fillId="13" borderId="28" xfId="8" applyFont="1" applyFill="1" applyBorder="1" applyAlignment="1">
      <alignment vertical="center"/>
    </xf>
    <xf numFmtId="0" fontId="27" fillId="13" borderId="28" xfId="8" applyFont="1" applyFill="1" applyBorder="1" applyAlignment="1">
      <alignment horizontal="center" vertical="center"/>
    </xf>
    <xf numFmtId="0" fontId="22" fillId="13" borderId="28" xfId="8" applyFont="1" applyFill="1" applyBorder="1" applyAlignment="1">
      <alignment horizontal="left" vertical="center"/>
    </xf>
    <xf numFmtId="0" fontId="22" fillId="13" borderId="28" xfId="8" applyFont="1" applyFill="1" applyBorder="1" applyAlignment="1">
      <alignment horizontal="center" vertical="center"/>
    </xf>
    <xf numFmtId="0" fontId="28" fillId="13" borderId="28" xfId="8" applyFont="1" applyFill="1" applyBorder="1" applyAlignment="1">
      <alignment horizontal="center" vertical="center"/>
    </xf>
    <xf numFmtId="167" fontId="22" fillId="13" borderId="29" xfId="14" applyNumberFormat="1" applyFont="1" applyFill="1" applyBorder="1" applyAlignment="1">
      <alignment horizontal="right" vertical="center"/>
    </xf>
    <xf numFmtId="167" fontId="22" fillId="13" borderId="28" xfId="14" applyNumberFormat="1" applyFont="1" applyFill="1" applyBorder="1" applyAlignment="1">
      <alignment horizontal="right" vertical="center"/>
    </xf>
    <xf numFmtId="167" fontId="22" fillId="13" borderId="30" xfId="14" applyNumberFormat="1" applyFont="1" applyFill="1" applyBorder="1" applyAlignment="1">
      <alignment horizontal="right" vertical="center"/>
    </xf>
    <xf numFmtId="167" fontId="22" fillId="13" borderId="31" xfId="14" applyNumberFormat="1" applyFont="1" applyFill="1" applyBorder="1" applyAlignment="1">
      <alignment horizontal="right" vertical="center"/>
    </xf>
    <xf numFmtId="0" fontId="27" fillId="13" borderId="2" xfId="8" applyFont="1" applyFill="1" applyBorder="1" applyAlignment="1">
      <alignment horizontal="left" vertical="center"/>
    </xf>
    <xf numFmtId="0" fontId="22" fillId="13" borderId="2" xfId="8" applyFont="1" applyFill="1" applyBorder="1" applyAlignment="1">
      <alignment horizontal="center" vertical="center"/>
    </xf>
    <xf numFmtId="0" fontId="28" fillId="13" borderId="2" xfId="8" applyFont="1" applyFill="1" applyBorder="1" applyAlignment="1">
      <alignment horizontal="center" vertical="center"/>
    </xf>
    <xf numFmtId="170" fontId="27" fillId="13" borderId="2" xfId="15" applyNumberFormat="1" applyFont="1" applyFill="1" applyBorder="1" applyAlignment="1">
      <alignment horizontal="center" vertical="center"/>
    </xf>
    <xf numFmtId="167" fontId="22" fillId="13" borderId="2" xfId="14" applyNumberFormat="1" applyFont="1" applyFill="1" applyBorder="1" applyAlignment="1">
      <alignment horizontal="right" vertical="center"/>
    </xf>
    <xf numFmtId="167" fontId="27" fillId="13" borderId="2" xfId="14" applyNumberFormat="1" applyFont="1" applyFill="1" applyBorder="1" applyAlignment="1">
      <alignment horizontal="center" vertical="center"/>
    </xf>
    <xf numFmtId="167" fontId="22" fillId="13" borderId="2" xfId="14" applyNumberFormat="1" applyFont="1" applyFill="1" applyBorder="1" applyAlignment="1">
      <alignment horizontal="center" vertical="center"/>
    </xf>
    <xf numFmtId="0" fontId="28" fillId="13" borderId="0" xfId="8" applyFont="1" applyFill="1" applyAlignment="1">
      <alignment horizontal="center" vertical="center"/>
    </xf>
    <xf numFmtId="168" fontId="22" fillId="13" borderId="0" xfId="14" applyNumberFormat="1" applyFont="1" applyFill="1" applyAlignment="1">
      <alignment horizontal="center" vertical="center"/>
    </xf>
    <xf numFmtId="168" fontId="22" fillId="13" borderId="0" xfId="14" applyNumberFormat="1" applyFont="1" applyFill="1" applyBorder="1" applyAlignment="1">
      <alignment horizontal="center" vertical="center"/>
    </xf>
    <xf numFmtId="168" fontId="22" fillId="13" borderId="0" xfId="14" applyNumberFormat="1" applyFont="1" applyFill="1" applyBorder="1" applyAlignment="1">
      <alignment vertical="center"/>
    </xf>
    <xf numFmtId="168" fontId="22" fillId="13" borderId="0" xfId="14" applyNumberFormat="1" applyFont="1" applyFill="1" applyAlignment="1">
      <alignment vertical="center"/>
    </xf>
    <xf numFmtId="167" fontId="22" fillId="13" borderId="0" xfId="8" applyNumberFormat="1" applyFont="1" applyFill="1" applyAlignment="1">
      <alignment vertical="center"/>
    </xf>
    <xf numFmtId="0" fontId="15" fillId="13" borderId="6" xfId="10" applyFill="1" applyBorder="1"/>
    <xf numFmtId="165" fontId="15" fillId="13" borderId="6" xfId="4" applyNumberFormat="1" applyFill="1" applyBorder="1"/>
    <xf numFmtId="0" fontId="15" fillId="15" borderId="6" xfId="10" applyFill="1" applyBorder="1"/>
    <xf numFmtId="0" fontId="15" fillId="13" borderId="6" xfId="10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0" fillId="0" borderId="16" xfId="0" applyBorder="1"/>
    <xf numFmtId="0" fontId="17" fillId="7" borderId="7" xfId="9" applyFont="1" applyFill="1" applyBorder="1" applyAlignment="1">
      <alignment horizontal="center" vertical="center" wrapText="1"/>
    </xf>
    <xf numFmtId="166" fontId="15" fillId="5" borderId="15" xfId="4" applyNumberFormat="1" applyFill="1" applyBorder="1"/>
    <xf numFmtId="166" fontId="15" fillId="6" borderId="0" xfId="4" applyNumberFormat="1" applyFill="1"/>
    <xf numFmtId="166" fontId="15" fillId="5" borderId="0" xfId="4" applyNumberFormat="1" applyFill="1"/>
    <xf numFmtId="166" fontId="0" fillId="0" borderId="0" xfId="0" applyNumberFormat="1"/>
    <xf numFmtId="171" fontId="15" fillId="5" borderId="15" xfId="0" applyNumberFormat="1" applyFont="1" applyFill="1" applyBorder="1"/>
    <xf numFmtId="171" fontId="15" fillId="6" borderId="0" xfId="0" applyNumberFormat="1" applyFont="1" applyFill="1"/>
    <xf numFmtId="171" fontId="15" fillId="5" borderId="0" xfId="0" applyNumberFormat="1" applyFont="1" applyFill="1"/>
    <xf numFmtId="171" fontId="15" fillId="5" borderId="0" xfId="4" applyNumberFormat="1" applyFill="1"/>
    <xf numFmtId="171" fontId="15" fillId="6" borderId="0" xfId="4" applyNumberFormat="1" applyFill="1"/>
    <xf numFmtId="171" fontId="0" fillId="0" borderId="0" xfId="0" applyNumberFormat="1"/>
    <xf numFmtId="171" fontId="0" fillId="0" borderId="16" xfId="0" applyNumberFormat="1" applyBorder="1"/>
    <xf numFmtId="0" fontId="15" fillId="13" borderId="0" xfId="10" applyFill="1"/>
    <xf numFmtId="0" fontId="15" fillId="13" borderId="0" xfId="10" applyFill="1" applyAlignment="1">
      <alignment vertical="center" wrapText="1"/>
    </xf>
    <xf numFmtId="0" fontId="0" fillId="13" borderId="0" xfId="0" applyFill="1"/>
    <xf numFmtId="165" fontId="15" fillId="13" borderId="0" xfId="4" applyNumberFormat="1" applyFill="1"/>
    <xf numFmtId="0" fontId="15" fillId="15" borderId="0" xfId="10" applyFill="1"/>
    <xf numFmtId="0" fontId="0" fillId="16" borderId="0" xfId="0" applyFill="1"/>
    <xf numFmtId="0" fontId="17" fillId="7" borderId="7" xfId="5" applyFont="1" applyFill="1" applyBorder="1" applyAlignment="1">
      <alignment horizontal="center" vertical="center"/>
    </xf>
    <xf numFmtId="0" fontId="17" fillId="7" borderId="7" xfId="5" applyFont="1" applyFill="1" applyBorder="1" applyAlignment="1">
      <alignment horizontal="center" vertical="center" wrapText="1"/>
    </xf>
    <xf numFmtId="0" fontId="17" fillId="18" borderId="7" xfId="5" applyFont="1" applyFill="1" applyBorder="1" applyAlignment="1">
      <alignment horizontal="center" vertical="center" wrapText="1"/>
    </xf>
    <xf numFmtId="0" fontId="15" fillId="8" borderId="8" xfId="6" applyFont="1" applyFill="1" applyBorder="1" applyAlignment="1">
      <alignment horizontal="center" vertical="center" wrapText="1"/>
    </xf>
    <xf numFmtId="0" fontId="31" fillId="19" borderId="0" xfId="0" applyFont="1" applyFill="1"/>
    <xf numFmtId="0" fontId="5" fillId="7" borderId="2" xfId="5" applyFont="1" applyFill="1" applyBorder="1" applyAlignment="1">
      <alignment vertical="center"/>
    </xf>
    <xf numFmtId="0" fontId="5" fillId="7" borderId="2" xfId="5" applyFont="1" applyFill="1" applyBorder="1" applyAlignment="1">
      <alignment horizontal="center" vertical="center" wrapText="1"/>
    </xf>
    <xf numFmtId="0" fontId="15" fillId="3" borderId="1" xfId="6" applyFont="1" applyFill="1" applyBorder="1" applyAlignment="1">
      <alignment horizontal="center" vertical="center" wrapText="1"/>
    </xf>
    <xf numFmtId="0" fontId="15" fillId="3" borderId="1" xfId="6" applyFont="1" applyFill="1" applyBorder="1" applyAlignment="1">
      <alignment horizontal="left" vertical="center" wrapText="1"/>
    </xf>
    <xf numFmtId="0" fontId="0" fillId="13" borderId="5" xfId="0" applyFill="1" applyBorder="1"/>
    <xf numFmtId="0" fontId="15" fillId="13" borderId="5" xfId="0" applyFont="1" applyFill="1" applyBorder="1"/>
    <xf numFmtId="0" fontId="0" fillId="0" borderId="4" xfId="0" applyBorder="1"/>
    <xf numFmtId="0" fontId="0" fillId="13" borderId="4" xfId="0" applyFill="1" applyBorder="1"/>
    <xf numFmtId="0" fontId="0" fillId="16" borderId="4" xfId="0" applyFill="1" applyBorder="1"/>
    <xf numFmtId="0" fontId="15" fillId="13" borderId="4" xfId="0" applyFont="1" applyFill="1" applyBorder="1"/>
    <xf numFmtId="165" fontId="15" fillId="13" borderId="0" xfId="0" applyNumberFormat="1" applyFont="1" applyFill="1"/>
    <xf numFmtId="0" fontId="15" fillId="13" borderId="0" xfId="0" applyFont="1" applyFill="1"/>
    <xf numFmtId="0" fontId="15" fillId="17" borderId="0" xfId="0" applyFont="1" applyFill="1"/>
    <xf numFmtId="0" fontId="15" fillId="5" borderId="6" xfId="0" applyFont="1" applyFill="1" applyBorder="1"/>
    <xf numFmtId="0" fontId="15" fillId="13" borderId="16" xfId="0" applyFont="1" applyFill="1" applyBorder="1"/>
    <xf numFmtId="0" fontId="15" fillId="8" borderId="8" xfId="5" applyFill="1" applyBorder="1" applyAlignment="1">
      <alignment horizontal="center" vertical="center" wrapText="1"/>
    </xf>
    <xf numFmtId="0" fontId="15" fillId="6" borderId="6" xfId="4" applyFill="1" applyBorder="1"/>
    <xf numFmtId="0" fontId="15" fillId="8" borderId="16" xfId="5" applyFill="1" applyBorder="1" applyAlignment="1">
      <alignment horizontal="center" vertical="center" wrapText="1"/>
    </xf>
    <xf numFmtId="0" fontId="15" fillId="6" borderId="16" xfId="0" applyFont="1" applyFill="1" applyBorder="1"/>
    <xf numFmtId="0" fontId="0" fillId="6" borderId="0" xfId="0" applyFill="1"/>
    <xf numFmtId="11" fontId="15" fillId="6" borderId="0" xfId="0" applyNumberFormat="1" applyFont="1" applyFill="1"/>
    <xf numFmtId="11" fontId="0" fillId="6" borderId="0" xfId="0" applyNumberFormat="1" applyFill="1"/>
    <xf numFmtId="0" fontId="17" fillId="7" borderId="32" xfId="10" applyFont="1" applyFill="1" applyBorder="1" applyAlignment="1">
      <alignment horizontal="center" vertical="center" wrapText="1"/>
    </xf>
    <xf numFmtId="0" fontId="17" fillId="7" borderId="32" xfId="10" applyFont="1" applyFill="1" applyBorder="1" applyAlignment="1">
      <alignment horizontal="center" vertical="center"/>
    </xf>
    <xf numFmtId="0" fontId="15" fillId="8" borderId="33" xfId="10" applyFill="1" applyBorder="1" applyAlignment="1">
      <alignment horizontal="center" vertical="center" wrapText="1"/>
    </xf>
    <xf numFmtId="0" fontId="15" fillId="5" borderId="34" xfId="10" applyFill="1" applyBorder="1" applyAlignment="1">
      <alignment vertical="center" wrapText="1"/>
    </xf>
    <xf numFmtId="0" fontId="15" fillId="5" borderId="35" xfId="10" applyFill="1" applyBorder="1" applyAlignment="1">
      <alignment vertical="center" wrapText="1"/>
    </xf>
    <xf numFmtId="0" fontId="15" fillId="6" borderId="35" xfId="10" applyFill="1" applyBorder="1" applyAlignment="1">
      <alignment vertical="center" wrapText="1"/>
    </xf>
    <xf numFmtId="0" fontId="15" fillId="13" borderId="35" xfId="10" applyFill="1" applyBorder="1" applyAlignment="1">
      <alignment vertical="center" wrapText="1"/>
    </xf>
    <xf numFmtId="0" fontId="0" fillId="13" borderId="35" xfId="0" applyFill="1" applyBorder="1"/>
    <xf numFmtId="0" fontId="15" fillId="13" borderId="36" xfId="10" applyFill="1" applyBorder="1" applyAlignment="1">
      <alignment vertical="center" wrapText="1"/>
    </xf>
    <xf numFmtId="2" fontId="15" fillId="5" borderId="34" xfId="10" applyNumberFormat="1" applyFill="1" applyBorder="1" applyAlignment="1">
      <alignment vertical="center" wrapText="1"/>
    </xf>
    <xf numFmtId="2" fontId="15" fillId="5" borderId="15" xfId="10" applyNumberFormat="1" applyFill="1" applyBorder="1" applyAlignment="1">
      <alignment vertical="center" wrapText="1"/>
    </xf>
    <xf numFmtId="2" fontId="15" fillId="5" borderId="35" xfId="10" applyNumberFormat="1" applyFill="1" applyBorder="1" applyAlignment="1">
      <alignment vertical="center" wrapText="1"/>
    </xf>
    <xf numFmtId="2" fontId="15" fillId="5" borderId="0" xfId="10" applyNumberFormat="1" applyFill="1" applyAlignment="1">
      <alignment vertical="center" wrapText="1"/>
    </xf>
    <xf numFmtId="2" fontId="15" fillId="6" borderId="35" xfId="10" applyNumberFormat="1" applyFill="1" applyBorder="1" applyAlignment="1">
      <alignment vertical="center" wrapText="1"/>
    </xf>
    <xf numFmtId="2" fontId="15" fillId="6" borderId="0" xfId="10" applyNumberFormat="1" applyFill="1" applyAlignment="1">
      <alignment vertical="center" wrapText="1"/>
    </xf>
    <xf numFmtId="2" fontId="15" fillId="13" borderId="35" xfId="10" applyNumberFormat="1" applyFill="1" applyBorder="1" applyAlignment="1">
      <alignment vertical="center" wrapText="1"/>
    </xf>
    <xf numFmtId="2" fontId="15" fillId="13" borderId="0" xfId="10" applyNumberFormat="1" applyFill="1" applyAlignment="1">
      <alignment vertical="center" wrapText="1"/>
    </xf>
    <xf numFmtId="2" fontId="0" fillId="13" borderId="35" xfId="0" applyNumberFormat="1" applyFill="1" applyBorder="1"/>
    <xf numFmtId="2" fontId="0" fillId="13" borderId="0" xfId="0" applyNumberFormat="1" applyFill="1"/>
    <xf numFmtId="2" fontId="15" fillId="13" borderId="36" xfId="10" applyNumberFormat="1" applyFill="1" applyBorder="1" applyAlignment="1">
      <alignment vertical="center" wrapText="1"/>
    </xf>
    <xf numFmtId="2" fontId="15" fillId="13" borderId="6" xfId="10" applyNumberFormat="1" applyFill="1" applyBorder="1" applyAlignment="1">
      <alignment vertical="center" wrapText="1"/>
    </xf>
    <xf numFmtId="0" fontId="15" fillId="13" borderId="0" xfId="7" applyFill="1"/>
    <xf numFmtId="0" fontId="15" fillId="5" borderId="4" xfId="0" applyFont="1" applyFill="1" applyBorder="1"/>
    <xf numFmtId="0" fontId="15" fillId="6" borderId="4" xfId="0" applyFont="1" applyFill="1" applyBorder="1"/>
    <xf numFmtId="0" fontId="15" fillId="21" borderId="43" xfId="0" applyFont="1" applyFill="1" applyBorder="1"/>
    <xf numFmtId="0" fontId="0" fillId="21" borderId="43" xfId="0" applyFill="1" applyBorder="1"/>
    <xf numFmtId="0" fontId="9" fillId="0" borderId="0" xfId="3" applyFont="1" applyAlignment="1">
      <alignment horizontal="left"/>
    </xf>
    <xf numFmtId="0" fontId="17" fillId="7" borderId="7" xfId="0" applyFont="1" applyFill="1" applyBorder="1" applyAlignment="1">
      <alignment horizontal="center" vertical="center" wrapText="1"/>
    </xf>
    <xf numFmtId="0" fontId="15" fillId="8" borderId="8" xfId="0" applyFont="1" applyFill="1" applyBorder="1" applyAlignment="1">
      <alignment horizontal="center" vertical="center" wrapText="1"/>
    </xf>
    <xf numFmtId="0" fontId="15" fillId="5" borderId="44" xfId="0" applyFont="1" applyFill="1" applyBorder="1"/>
    <xf numFmtId="0" fontId="15" fillId="5" borderId="45" xfId="0" applyFont="1" applyFill="1" applyBorder="1"/>
    <xf numFmtId="0" fontId="15" fillId="6" borderId="45" xfId="0" applyFont="1" applyFill="1" applyBorder="1"/>
    <xf numFmtId="0" fontId="15" fillId="17" borderId="45" xfId="0" applyFont="1" applyFill="1" applyBorder="1"/>
    <xf numFmtId="0" fontId="0" fillId="17" borderId="45" xfId="0" applyFill="1" applyBorder="1"/>
    <xf numFmtId="0" fontId="0" fillId="17" borderId="46" xfId="0" applyFill="1" applyBorder="1"/>
    <xf numFmtId="0" fontId="9" fillId="13" borderId="0" xfId="3" applyFont="1" applyFill="1" applyAlignment="1">
      <alignment horizontal="left"/>
    </xf>
    <xf numFmtId="0" fontId="7" fillId="13" borderId="0" xfId="3" applyFill="1"/>
    <xf numFmtId="0" fontId="17" fillId="7" borderId="7" xfId="18" applyFont="1" applyFill="1" applyBorder="1" applyAlignment="1">
      <alignment horizontal="center" vertical="center" wrapText="1"/>
    </xf>
    <xf numFmtId="0" fontId="15" fillId="21" borderId="3" xfId="0" applyFont="1" applyFill="1" applyBorder="1"/>
    <xf numFmtId="0" fontId="0" fillId="21" borderId="3" xfId="0" applyFill="1" applyBorder="1"/>
    <xf numFmtId="0" fontId="34" fillId="0" borderId="0" xfId="3" applyFont="1" applyAlignment="1">
      <alignment horizontal="left"/>
    </xf>
    <xf numFmtId="0" fontId="17" fillId="22" borderId="47" xfId="3" applyFont="1" applyFill="1" applyBorder="1" applyAlignment="1">
      <alignment horizontal="center" vertical="center"/>
    </xf>
    <xf numFmtId="0" fontId="17" fillId="22" borderId="47" xfId="1" applyFont="1" applyFill="1" applyBorder="1" applyAlignment="1">
      <alignment horizontal="center" vertical="center"/>
    </xf>
    <xf numFmtId="0" fontId="17" fillId="22" borderId="47" xfId="9" applyFont="1" applyFill="1" applyBorder="1" applyAlignment="1">
      <alignment horizontal="center" vertical="center" wrapText="1"/>
    </xf>
    <xf numFmtId="0" fontId="15" fillId="23" borderId="48" xfId="1" applyFont="1" applyFill="1" applyBorder="1" applyAlignment="1">
      <alignment horizontal="center" vertical="center" wrapText="1"/>
    </xf>
    <xf numFmtId="0" fontId="15" fillId="24" borderId="49" xfId="0" applyFont="1" applyFill="1" applyBorder="1"/>
    <xf numFmtId="0" fontId="15" fillId="25" borderId="50" xfId="0" applyFont="1" applyFill="1" applyBorder="1"/>
    <xf numFmtId="0" fontId="15" fillId="5" borderId="2" xfId="0" applyFont="1" applyFill="1" applyBorder="1"/>
    <xf numFmtId="0" fontId="35" fillId="6" borderId="0" xfId="0" applyFont="1" applyFill="1"/>
    <xf numFmtId="0" fontId="35" fillId="17" borderId="0" xfId="0" applyFont="1" applyFill="1"/>
    <xf numFmtId="165" fontId="15" fillId="5" borderId="15" xfId="0" applyNumberFormat="1" applyFont="1" applyFill="1" applyBorder="1"/>
    <xf numFmtId="0" fontId="36" fillId="4" borderId="0" xfId="10" applyFont="1" applyFill="1"/>
    <xf numFmtId="14" fontId="32" fillId="13" borderId="42" xfId="13" applyNumberFormat="1" applyFont="1" applyFill="1" applyBorder="1" applyAlignment="1">
      <alignment horizontal="left" vertical="top"/>
    </xf>
    <xf numFmtId="165" fontId="36" fillId="4" borderId="0" xfId="0" quotePrefix="1" applyNumberFormat="1" applyFont="1" applyFill="1"/>
    <xf numFmtId="165" fontId="36" fillId="4" borderId="0" xfId="0" applyNumberFormat="1" applyFont="1" applyFill="1"/>
    <xf numFmtId="0" fontId="37" fillId="19" borderId="0" xfId="0" applyFont="1" applyFill="1"/>
    <xf numFmtId="0" fontId="15" fillId="16" borderId="2" xfId="0" applyFont="1" applyFill="1" applyBorder="1"/>
    <xf numFmtId="0" fontId="15" fillId="0" borderId="0" xfId="7"/>
    <xf numFmtId="0" fontId="15" fillId="21" borderId="2" xfId="7" applyFill="1" applyBorder="1"/>
    <xf numFmtId="0" fontId="15" fillId="5" borderId="51" xfId="7" applyFill="1" applyBorder="1"/>
    <xf numFmtId="0" fontId="15" fillId="10" borderId="0" xfId="7" applyFill="1"/>
    <xf numFmtId="0" fontId="15" fillId="5" borderId="45" xfId="7" applyFill="1" applyBorder="1"/>
    <xf numFmtId="0" fontId="15" fillId="26" borderId="45" xfId="7" applyFill="1" applyBorder="1"/>
    <xf numFmtId="0" fontId="15" fillId="16" borderId="45" xfId="7" applyFill="1" applyBorder="1"/>
    <xf numFmtId="0" fontId="15" fillId="16" borderId="0" xfId="7" applyFill="1"/>
    <xf numFmtId="0" fontId="15" fillId="21" borderId="45" xfId="7" applyFill="1" applyBorder="1"/>
    <xf numFmtId="0" fontId="15" fillId="6" borderId="45" xfId="7" applyFill="1" applyBorder="1"/>
    <xf numFmtId="0" fontId="15" fillId="10" borderId="45" xfId="7" applyFill="1" applyBorder="1"/>
    <xf numFmtId="0" fontId="15" fillId="27" borderId="45" xfId="7" applyFill="1" applyBorder="1"/>
    <xf numFmtId="0" fontId="20" fillId="0" borderId="0" xfId="19"/>
    <xf numFmtId="0" fontId="15" fillId="17" borderId="45" xfId="7" applyFill="1" applyBorder="1"/>
    <xf numFmtId="0" fontId="15" fillId="17" borderId="0" xfId="7" applyFill="1"/>
    <xf numFmtId="166" fontId="15" fillId="16" borderId="45" xfId="7" applyNumberFormat="1" applyFill="1" applyBorder="1"/>
    <xf numFmtId="0" fontId="15" fillId="17" borderId="52" xfId="7" applyFill="1" applyBorder="1"/>
    <xf numFmtId="0" fontId="15" fillId="27" borderId="52" xfId="7" applyFill="1" applyBorder="1"/>
    <xf numFmtId="0" fontId="39" fillId="13" borderId="53" xfId="7" applyFont="1" applyFill="1" applyBorder="1"/>
    <xf numFmtId="0" fontId="39" fillId="13" borderId="49" xfId="7" applyFont="1" applyFill="1" applyBorder="1" applyAlignment="1">
      <alignment wrapText="1"/>
    </xf>
    <xf numFmtId="0" fontId="17" fillId="13" borderId="49" xfId="7" applyFont="1" applyFill="1" applyBorder="1"/>
    <xf numFmtId="0" fontId="15" fillId="13" borderId="49" xfId="7" applyFill="1" applyBorder="1"/>
    <xf numFmtId="0" fontId="15" fillId="13" borderId="54" xfId="7" applyFill="1" applyBorder="1"/>
    <xf numFmtId="0" fontId="15" fillId="13" borderId="55" xfId="7" applyFill="1" applyBorder="1"/>
    <xf numFmtId="0" fontId="15" fillId="13" borderId="56" xfId="7" applyFill="1" applyBorder="1"/>
    <xf numFmtId="0" fontId="15" fillId="24" borderId="49" xfId="7" applyFill="1" applyBorder="1"/>
    <xf numFmtId="0" fontId="40" fillId="13" borderId="55" xfId="7" applyFont="1" applyFill="1" applyBorder="1"/>
    <xf numFmtId="0" fontId="40" fillId="13" borderId="0" xfId="7" applyFont="1" applyFill="1" applyAlignment="1">
      <alignment wrapText="1"/>
    </xf>
    <xf numFmtId="0" fontId="40" fillId="13" borderId="56" xfId="7" applyFont="1" applyFill="1" applyBorder="1" applyAlignment="1">
      <alignment wrapText="1"/>
    </xf>
    <xf numFmtId="0" fontId="40" fillId="0" borderId="55" xfId="7" applyFont="1" applyBorder="1" applyAlignment="1">
      <alignment wrapText="1"/>
    </xf>
    <xf numFmtId="0" fontId="40" fillId="0" borderId="0" xfId="7" applyFont="1" applyAlignment="1">
      <alignment wrapText="1"/>
    </xf>
    <xf numFmtId="0" fontId="40" fillId="0" borderId="56" xfId="7" applyFont="1" applyBorder="1" applyAlignment="1">
      <alignment wrapText="1"/>
    </xf>
    <xf numFmtId="0" fontId="42" fillId="0" borderId="55" xfId="7" applyFont="1" applyBorder="1"/>
    <xf numFmtId="0" fontId="42" fillId="0" borderId="0" xfId="7" applyFont="1"/>
    <xf numFmtId="0" fontId="42" fillId="0" borderId="0" xfId="7" applyFont="1" applyAlignment="1">
      <alignment wrapText="1"/>
    </xf>
    <xf numFmtId="0" fontId="44" fillId="0" borderId="56" xfId="7" applyFont="1" applyBorder="1" applyAlignment="1">
      <alignment wrapText="1"/>
    </xf>
    <xf numFmtId="0" fontId="42" fillId="0" borderId="56" xfId="7" applyFont="1" applyBorder="1"/>
    <xf numFmtId="0" fontId="40" fillId="0" borderId="55" xfId="7" applyFont="1" applyBorder="1"/>
    <xf numFmtId="0" fontId="40" fillId="0" borderId="0" xfId="7" applyFont="1"/>
    <xf numFmtId="0" fontId="47" fillId="0" borderId="56" xfId="7" applyFont="1" applyBorder="1"/>
    <xf numFmtId="0" fontId="40" fillId="13" borderId="53" xfId="7" applyFont="1" applyFill="1" applyBorder="1"/>
    <xf numFmtId="0" fontId="40" fillId="13" borderId="49" xfId="7" applyFont="1" applyFill="1" applyBorder="1"/>
    <xf numFmtId="0" fontId="42" fillId="13" borderId="49" xfId="7" applyFont="1" applyFill="1" applyBorder="1"/>
    <xf numFmtId="0" fontId="42" fillId="13" borderId="49" xfId="7" applyFont="1" applyFill="1" applyBorder="1" applyAlignment="1">
      <alignment wrapText="1"/>
    </xf>
    <xf numFmtId="0" fontId="44" fillId="13" borderId="54" xfId="7" applyFont="1" applyFill="1" applyBorder="1" applyAlignment="1">
      <alignment wrapText="1"/>
    </xf>
    <xf numFmtId="0" fontId="15" fillId="0" borderId="56" xfId="7" applyBorder="1"/>
    <xf numFmtId="0" fontId="40" fillId="0" borderId="57" xfId="7" applyFont="1" applyBorder="1"/>
    <xf numFmtId="0" fontId="40" fillId="0" borderId="50" xfId="7" applyFont="1" applyBorder="1"/>
    <xf numFmtId="0" fontId="15" fillId="0" borderId="50" xfId="7" applyBorder="1"/>
    <xf numFmtId="0" fontId="15" fillId="0" borderId="58" xfId="7" applyBorder="1"/>
    <xf numFmtId="0" fontId="17" fillId="7" borderId="7" xfId="7" applyFont="1" applyFill="1" applyBorder="1" applyAlignment="1">
      <alignment horizontal="center" vertical="center" wrapText="1"/>
    </xf>
    <xf numFmtId="0" fontId="17" fillId="7" borderId="0" xfId="7" applyFont="1" applyFill="1" applyAlignment="1">
      <alignment horizontal="center" vertical="center" wrapText="1"/>
    </xf>
    <xf numFmtId="0" fontId="15" fillId="8" borderId="8" xfId="7" applyFill="1" applyBorder="1" applyAlignment="1">
      <alignment horizontal="center" vertical="center" wrapText="1"/>
    </xf>
    <xf numFmtId="0" fontId="15" fillId="8" borderId="0" xfId="7" applyFill="1" applyAlignment="1">
      <alignment horizontal="center" vertical="center" wrapText="1"/>
    </xf>
    <xf numFmtId="0" fontId="15" fillId="5" borderId="0" xfId="7" applyFill="1"/>
    <xf numFmtId="0" fontId="15" fillId="5" borderId="15" xfId="7" applyFill="1" applyBorder="1"/>
    <xf numFmtId="0" fontId="15" fillId="6" borderId="0" xfId="7" applyFill="1"/>
    <xf numFmtId="0" fontId="15" fillId="5" borderId="4" xfId="7" applyFill="1" applyBorder="1"/>
    <xf numFmtId="0" fontId="15" fillId="6" borderId="6" xfId="7" applyFill="1" applyBorder="1"/>
    <xf numFmtId="0" fontId="17" fillId="7" borderId="37" xfId="3" applyFont="1" applyFill="1" applyBorder="1" applyAlignment="1">
      <alignment horizontal="center" vertical="center"/>
    </xf>
    <xf numFmtId="0" fontId="17" fillId="7" borderId="2" xfId="1" applyFont="1" applyFill="1" applyBorder="1" applyAlignment="1">
      <alignment horizontal="center" vertical="center"/>
    </xf>
    <xf numFmtId="0" fontId="17" fillId="7" borderId="2" xfId="3" applyFont="1" applyFill="1" applyBorder="1" applyAlignment="1">
      <alignment horizontal="center" vertical="center"/>
    </xf>
    <xf numFmtId="0" fontId="17" fillId="7" borderId="2" xfId="3" applyFont="1" applyFill="1" applyBorder="1" applyAlignment="1">
      <alignment horizontal="center" vertical="center" wrapText="1"/>
    </xf>
    <xf numFmtId="0" fontId="17" fillId="7" borderId="2" xfId="7" applyFont="1" applyFill="1" applyBorder="1" applyAlignment="1">
      <alignment horizontal="center" vertical="center" wrapText="1"/>
    </xf>
    <xf numFmtId="0" fontId="17" fillId="7" borderId="38" xfId="7" applyFont="1" applyFill="1" applyBorder="1" applyAlignment="1">
      <alignment horizontal="center" vertical="center" wrapText="1"/>
    </xf>
    <xf numFmtId="0" fontId="15" fillId="8" borderId="60" xfId="1" applyFont="1" applyFill="1" applyBorder="1" applyAlignment="1">
      <alignment horizontal="center" vertical="center" wrapText="1"/>
    </xf>
    <xf numFmtId="0" fontId="15" fillId="8" borderId="3" xfId="1" applyFont="1" applyFill="1" applyBorder="1" applyAlignment="1">
      <alignment horizontal="center" vertical="center" wrapText="1"/>
    </xf>
    <xf numFmtId="0" fontId="15" fillId="8" borderId="3" xfId="7" applyFill="1" applyBorder="1" applyAlignment="1">
      <alignment horizontal="center" vertical="center" wrapText="1"/>
    </xf>
    <xf numFmtId="0" fontId="15" fillId="8" borderId="61" xfId="7" applyFill="1" applyBorder="1" applyAlignment="1">
      <alignment horizontal="center" vertical="center" wrapText="1"/>
    </xf>
    <xf numFmtId="0" fontId="15" fillId="8" borderId="16" xfId="7" applyFill="1" applyBorder="1" applyAlignment="1">
      <alignment horizontal="center" vertical="center" wrapText="1"/>
    </xf>
    <xf numFmtId="0" fontId="15" fillId="0" borderId="37" xfId="7" applyBorder="1"/>
    <xf numFmtId="0" fontId="15" fillId="0" borderId="2" xfId="7" applyBorder="1"/>
    <xf numFmtId="0" fontId="15" fillId="21" borderId="38" xfId="7" applyFill="1" applyBorder="1"/>
    <xf numFmtId="0" fontId="15" fillId="0" borderId="35" xfId="7" applyBorder="1"/>
    <xf numFmtId="0" fontId="15" fillId="9" borderId="0" xfId="7" applyFill="1"/>
    <xf numFmtId="0" fontId="15" fillId="0" borderId="39" xfId="7" applyBorder="1"/>
    <xf numFmtId="0" fontId="15" fillId="26" borderId="0" xfId="7" applyFill="1"/>
    <xf numFmtId="2" fontId="15" fillId="16" borderId="0" xfId="7" applyNumberFormat="1" applyFill="1"/>
    <xf numFmtId="0" fontId="15" fillId="0" borderId="40" xfId="7" applyBorder="1"/>
    <xf numFmtId="0" fontId="15" fillId="0" borderId="16" xfId="7" applyBorder="1"/>
    <xf numFmtId="0" fontId="15" fillId="28" borderId="16" xfId="7" applyFill="1" applyBorder="1"/>
    <xf numFmtId="0" fontId="15" fillId="0" borderId="41" xfId="7" applyBorder="1"/>
    <xf numFmtId="0" fontId="15" fillId="5" borderId="37" xfId="7" applyFill="1" applyBorder="1"/>
    <xf numFmtId="2" fontId="15" fillId="26" borderId="0" xfId="7" applyNumberFormat="1" applyFill="1"/>
    <xf numFmtId="0" fontId="15" fillId="0" borderId="0" xfId="7" quotePrefix="1"/>
    <xf numFmtId="0" fontId="15" fillId="5" borderId="35" xfId="7" applyFill="1" applyBorder="1"/>
    <xf numFmtId="0" fontId="15" fillId="21" borderId="0" xfId="7" applyFill="1"/>
    <xf numFmtId="0" fontId="15" fillId="21" borderId="39" xfId="7" applyFill="1" applyBorder="1"/>
    <xf numFmtId="0" fontId="15" fillId="28" borderId="0" xfId="7" applyFill="1"/>
    <xf numFmtId="0" fontId="15" fillId="0" borderId="20" xfId="7" applyBorder="1"/>
    <xf numFmtId="0" fontId="15" fillId="0" borderId="53" xfId="7" applyBorder="1"/>
    <xf numFmtId="0" fontId="15" fillId="0" borderId="49" xfId="7" applyBorder="1"/>
    <xf numFmtId="0" fontId="15" fillId="0" borderId="54" xfId="7" applyBorder="1"/>
    <xf numFmtId="0" fontId="48" fillId="29" borderId="62" xfId="7" applyFont="1" applyFill="1" applyBorder="1" applyAlignment="1">
      <alignment wrapText="1"/>
    </xf>
    <xf numFmtId="0" fontId="48" fillId="29" borderId="63" xfId="7" applyFont="1" applyFill="1" applyBorder="1" applyAlignment="1">
      <alignment horizontal="center" wrapText="1"/>
    </xf>
    <xf numFmtId="0" fontId="48" fillId="29" borderId="64" xfId="7" applyFont="1" applyFill="1" applyBorder="1" applyAlignment="1">
      <alignment horizontal="center" wrapText="1"/>
    </xf>
    <xf numFmtId="0" fontId="48" fillId="29" borderId="65" xfId="7" applyFont="1" applyFill="1" applyBorder="1" applyAlignment="1">
      <alignment horizontal="center" wrapText="1"/>
    </xf>
    <xf numFmtId="0" fontId="48" fillId="29" borderId="66" xfId="7" applyFont="1" applyFill="1" applyBorder="1" applyAlignment="1">
      <alignment horizontal="center" wrapText="1"/>
    </xf>
    <xf numFmtId="0" fontId="15" fillId="13" borderId="68" xfId="7" applyFill="1" applyBorder="1"/>
    <xf numFmtId="0" fontId="17" fillId="13" borderId="69" xfId="7" applyFont="1" applyFill="1" applyBorder="1"/>
    <xf numFmtId="0" fontId="48" fillId="29" borderId="70" xfId="7" applyFont="1" applyFill="1" applyBorder="1" applyAlignment="1">
      <alignment wrapText="1"/>
    </xf>
    <xf numFmtId="0" fontId="48" fillId="29" borderId="71" xfId="7" applyFont="1" applyFill="1" applyBorder="1" applyAlignment="1">
      <alignment wrapText="1"/>
    </xf>
    <xf numFmtId="0" fontId="48" fillId="29" borderId="72" xfId="7" applyFont="1" applyFill="1" applyBorder="1" applyAlignment="1">
      <alignment wrapText="1"/>
    </xf>
    <xf numFmtId="0" fontId="48" fillId="29" borderId="73" xfId="7" applyFont="1" applyFill="1" applyBorder="1" applyAlignment="1">
      <alignment wrapText="1"/>
    </xf>
    <xf numFmtId="0" fontId="48" fillId="29" borderId="74" xfId="7" applyFont="1" applyFill="1" applyBorder="1" applyAlignment="1">
      <alignment wrapText="1"/>
    </xf>
    <xf numFmtId="0" fontId="15" fillId="13" borderId="67" xfId="7" applyFill="1" applyBorder="1"/>
    <xf numFmtId="0" fontId="15" fillId="13" borderId="69" xfId="7" applyFill="1" applyBorder="1"/>
    <xf numFmtId="0" fontId="49" fillId="29" borderId="75" xfId="7" applyFont="1" applyFill="1" applyBorder="1"/>
    <xf numFmtId="4" fontId="49" fillId="0" borderId="76" xfId="7" applyNumberFormat="1" applyFont="1" applyBorder="1"/>
    <xf numFmtId="4" fontId="49" fillId="0" borderId="61" xfId="7" applyNumberFormat="1" applyFont="1" applyBorder="1"/>
    <xf numFmtId="4" fontId="49" fillId="0" borderId="13" xfId="7" applyNumberFormat="1" applyFont="1" applyBorder="1"/>
    <xf numFmtId="4" fontId="49" fillId="0" borderId="77" xfId="7" applyNumberFormat="1" applyFont="1" applyBorder="1"/>
    <xf numFmtId="0" fontId="49" fillId="0" borderId="78" xfId="7" applyFont="1" applyBorder="1"/>
    <xf numFmtId="0" fontId="49" fillId="0" borderId="41" xfId="7" applyFont="1" applyBorder="1"/>
    <xf numFmtId="0" fontId="49" fillId="0" borderId="11" xfId="7" applyFont="1" applyBorder="1"/>
    <xf numFmtId="0" fontId="49" fillId="0" borderId="79" xfId="7" applyFont="1" applyBorder="1"/>
    <xf numFmtId="4" fontId="15" fillId="13" borderId="68" xfId="7" applyNumberFormat="1" applyFill="1" applyBorder="1"/>
    <xf numFmtId="3" fontId="15" fillId="13" borderId="68" xfId="7" applyNumberFormat="1" applyFill="1" applyBorder="1"/>
    <xf numFmtId="0" fontId="49" fillId="29" borderId="70" xfId="7" applyFont="1" applyFill="1" applyBorder="1"/>
    <xf numFmtId="0" fontId="49" fillId="0" borderId="71" xfId="7" applyFont="1" applyBorder="1"/>
    <xf numFmtId="0" fontId="49" fillId="0" borderId="72" xfId="7" applyFont="1" applyBorder="1"/>
    <xf numFmtId="0" fontId="49" fillId="0" borderId="73" xfId="7" applyFont="1" applyBorder="1"/>
    <xf numFmtId="0" fontId="49" fillId="0" borderId="74" xfId="7" applyFont="1" applyBorder="1"/>
    <xf numFmtId="0" fontId="50" fillId="13" borderId="68" xfId="7" applyFont="1" applyFill="1" applyBorder="1"/>
    <xf numFmtId="0" fontId="50" fillId="13" borderId="69" xfId="7" applyFont="1" applyFill="1" applyBorder="1"/>
    <xf numFmtId="0" fontId="15" fillId="13" borderId="80" xfId="7" applyFill="1" applyBorder="1"/>
    <xf numFmtId="0" fontId="51" fillId="13" borderId="81" xfId="7" applyFont="1" applyFill="1" applyBorder="1"/>
    <xf numFmtId="0" fontId="15" fillId="13" borderId="81" xfId="7" applyFill="1" applyBorder="1"/>
    <xf numFmtId="3" fontId="15" fillId="13" borderId="81" xfId="7" applyNumberFormat="1" applyFill="1" applyBorder="1"/>
    <xf numFmtId="0" fontId="15" fillId="13" borderId="82" xfId="7" applyFill="1" applyBorder="1"/>
    <xf numFmtId="0" fontId="15" fillId="0" borderId="68" xfId="7" applyBorder="1"/>
    <xf numFmtId="0" fontId="15" fillId="0" borderId="69" xfId="7" applyBorder="1"/>
    <xf numFmtId="0" fontId="15" fillId="0" borderId="67" xfId="7" applyBorder="1"/>
    <xf numFmtId="3" fontId="15" fillId="0" borderId="68" xfId="7" applyNumberFormat="1" applyBorder="1"/>
    <xf numFmtId="0" fontId="15" fillId="0" borderId="83" xfId="7" applyBorder="1"/>
    <xf numFmtId="0" fontId="38" fillId="0" borderId="84" xfId="7" applyFont="1" applyBorder="1"/>
    <xf numFmtId="3" fontId="15" fillId="0" borderId="84" xfId="7" applyNumberFormat="1" applyBorder="1"/>
    <xf numFmtId="0" fontId="15" fillId="0" borderId="84" xfId="7" applyBorder="1"/>
    <xf numFmtId="0" fontId="15" fillId="0" borderId="85" xfId="7" applyBorder="1"/>
    <xf numFmtId="0" fontId="15" fillId="21" borderId="2" xfId="0" applyFont="1" applyFill="1" applyBorder="1"/>
    <xf numFmtId="0" fontId="15" fillId="5" borderId="51" xfId="0" applyFont="1" applyFill="1" applyBorder="1"/>
    <xf numFmtId="0" fontId="15" fillId="16" borderId="45" xfId="0" applyFont="1" applyFill="1" applyBorder="1"/>
    <xf numFmtId="0" fontId="15" fillId="21" borderId="45" xfId="0" applyFont="1" applyFill="1" applyBorder="1"/>
    <xf numFmtId="0" fontId="15" fillId="10" borderId="45" xfId="0" applyFont="1" applyFill="1" applyBorder="1"/>
    <xf numFmtId="0" fontId="15" fillId="27" borderId="45" xfId="0" applyFont="1" applyFill="1" applyBorder="1"/>
    <xf numFmtId="0" fontId="0" fillId="17" borderId="0" xfId="0" applyFill="1"/>
    <xf numFmtId="0" fontId="15" fillId="17" borderId="52" xfId="0" applyFont="1" applyFill="1" applyBorder="1"/>
    <xf numFmtId="0" fontId="15" fillId="27" borderId="52" xfId="0" applyFont="1" applyFill="1" applyBorder="1"/>
    <xf numFmtId="0" fontId="0" fillId="17" borderId="52" xfId="0" applyFill="1" applyBorder="1"/>
    <xf numFmtId="0" fontId="15" fillId="20" borderId="4" xfId="7" applyFill="1" applyBorder="1"/>
    <xf numFmtId="0" fontId="52" fillId="0" borderId="86" xfId="0" applyFont="1" applyBorder="1" applyAlignment="1">
      <alignment horizontal="justify" vertical="center" wrapText="1"/>
    </xf>
    <xf numFmtId="0" fontId="52" fillId="0" borderId="87" xfId="0" applyFont="1" applyBorder="1" applyAlignment="1">
      <alignment horizontal="justify" vertical="center" wrapText="1"/>
    </xf>
    <xf numFmtId="0" fontId="52" fillId="0" borderId="88" xfId="0" applyFont="1" applyBorder="1" applyAlignment="1">
      <alignment horizontal="justify" vertical="center" wrapText="1"/>
    </xf>
    <xf numFmtId="0" fontId="52" fillId="0" borderId="73" xfId="0" applyFont="1" applyBorder="1" applyAlignment="1">
      <alignment horizontal="center" vertical="center" wrapText="1"/>
    </xf>
    <xf numFmtId="0" fontId="52" fillId="0" borderId="14" xfId="0" applyFont="1" applyBorder="1" applyAlignment="1">
      <alignment horizontal="justify" vertical="center" wrapText="1"/>
    </xf>
    <xf numFmtId="0" fontId="52" fillId="0" borderId="89" xfId="0" applyFont="1" applyBorder="1" applyAlignment="1">
      <alignment horizontal="center" vertical="center" wrapText="1"/>
    </xf>
    <xf numFmtId="172" fontId="0" fillId="20" borderId="0" xfId="0" applyNumberFormat="1" applyFill="1"/>
    <xf numFmtId="0" fontId="35" fillId="6" borderId="6" xfId="0" applyFont="1" applyFill="1" applyBorder="1"/>
    <xf numFmtId="0" fontId="53" fillId="0" borderId="0" xfId="0" applyFont="1" applyAlignment="1">
      <alignment horizontal="justify" vertical="center"/>
    </xf>
    <xf numFmtId="165" fontId="35" fillId="6" borderId="0" xfId="0" applyNumberFormat="1" applyFont="1" applyFill="1"/>
    <xf numFmtId="0" fontId="17" fillId="13" borderId="0" xfId="7" applyFont="1" applyFill="1"/>
    <xf numFmtId="0" fontId="9" fillId="0" borderId="0" xfId="21" applyFont="1" applyAlignment="1">
      <alignment horizontal="left"/>
    </xf>
    <xf numFmtId="0" fontId="152" fillId="71" borderId="59" xfId="1" applyFont="1" applyFill="1" applyBorder="1" applyAlignment="1">
      <alignment horizontal="center" vertical="center" wrapText="1"/>
    </xf>
    <xf numFmtId="0" fontId="51" fillId="5" borderId="0" xfId="2320" applyFont="1" applyFill="1"/>
    <xf numFmtId="0" fontId="51" fillId="72" borderId="0" xfId="2320" applyFont="1" applyFill="1"/>
    <xf numFmtId="0" fontId="35" fillId="13" borderId="16" xfId="0" applyFont="1" applyFill="1" applyBorder="1"/>
    <xf numFmtId="2" fontId="0" fillId="20" borderId="0" xfId="0" applyNumberFormat="1" applyFill="1"/>
    <xf numFmtId="0" fontId="39" fillId="13" borderId="68" xfId="7" applyFont="1" applyFill="1" applyBorder="1" applyAlignment="1">
      <alignment wrapText="1"/>
    </xf>
    <xf numFmtId="166" fontId="15" fillId="0" borderId="0" xfId="7" applyNumberFormat="1"/>
    <xf numFmtId="0" fontId="154" fillId="0" borderId="76" xfId="0" applyFont="1" applyBorder="1" applyAlignment="1">
      <alignment horizontal="left"/>
    </xf>
    <xf numFmtId="0" fontId="154" fillId="13" borderId="76" xfId="0" applyFont="1" applyFill="1" applyBorder="1" applyAlignment="1">
      <alignment horizontal="center"/>
    </xf>
    <xf numFmtId="1" fontId="154" fillId="13" borderId="76" xfId="0" applyNumberFormat="1" applyFont="1" applyFill="1" applyBorder="1"/>
    <xf numFmtId="0" fontId="160" fillId="0" borderId="76" xfId="0" applyFont="1" applyBorder="1" applyAlignment="1">
      <alignment horizontal="left"/>
    </xf>
    <xf numFmtId="0" fontId="160" fillId="13" borderId="76" xfId="0" applyFont="1" applyFill="1" applyBorder="1" applyAlignment="1">
      <alignment horizontal="center"/>
    </xf>
    <xf numFmtId="1" fontId="160" fillId="13" borderId="76" xfId="0" applyNumberFormat="1" applyFont="1" applyFill="1" applyBorder="1"/>
    <xf numFmtId="0" fontId="15" fillId="0" borderId="76" xfId="0" applyFont="1" applyBorder="1"/>
    <xf numFmtId="1" fontId="160" fillId="13" borderId="76" xfId="0" applyNumberFormat="1" applyFont="1" applyFill="1" applyBorder="1" applyAlignment="1">
      <alignment horizontal="right"/>
    </xf>
    <xf numFmtId="0" fontId="160" fillId="0" borderId="76" xfId="0" applyFont="1" applyBorder="1" applyAlignment="1">
      <alignment horizontal="center"/>
    </xf>
    <xf numFmtId="0" fontId="0" fillId="0" borderId="76" xfId="0" applyBorder="1" applyAlignment="1">
      <alignment horizontal="center"/>
    </xf>
    <xf numFmtId="0" fontId="67" fillId="0" borderId="0" xfId="0" applyFont="1"/>
    <xf numFmtId="0" fontId="15" fillId="0" borderId="76" xfId="0" applyFont="1" applyBorder="1" applyAlignment="1">
      <alignment horizontal="center"/>
    </xf>
    <xf numFmtId="0" fontId="159" fillId="0" borderId="0" xfId="0" applyFont="1"/>
    <xf numFmtId="0" fontId="17" fillId="13" borderId="76" xfId="0" applyFont="1" applyFill="1" applyBorder="1" applyAlignment="1">
      <alignment horizontal="left" vertical="center"/>
    </xf>
    <xf numFmtId="0" fontId="158" fillId="13" borderId="76" xfId="0" applyFont="1" applyFill="1" applyBorder="1" applyAlignment="1">
      <alignment horizontal="center" vertical="center"/>
    </xf>
    <xf numFmtId="1" fontId="157" fillId="13" borderId="76" xfId="0" applyNumberFormat="1" applyFont="1" applyFill="1" applyBorder="1" applyAlignment="1">
      <alignment horizontal="center" vertical="center"/>
    </xf>
    <xf numFmtId="0" fontId="0" fillId="13" borderId="76" xfId="0" applyFill="1" applyBorder="1"/>
    <xf numFmtId="0" fontId="17" fillId="13" borderId="78" xfId="0" applyFont="1" applyFill="1" applyBorder="1"/>
    <xf numFmtId="0" fontId="17" fillId="13" borderId="78" xfId="0" applyFont="1" applyFill="1" applyBorder="1" applyAlignment="1">
      <alignment horizontal="left" vertical="center"/>
    </xf>
    <xf numFmtId="2" fontId="0" fillId="0" borderId="76" xfId="0" applyNumberFormat="1" applyBorder="1" applyAlignment="1">
      <alignment horizontal="right" vertical="center"/>
    </xf>
    <xf numFmtId="2" fontId="0" fillId="0" borderId="76" xfId="0" applyNumberFormat="1" applyBorder="1" applyAlignment="1">
      <alignment horizontal="right"/>
    </xf>
    <xf numFmtId="9" fontId="0" fillId="0" borderId="76" xfId="0" applyNumberFormat="1" applyBorder="1"/>
    <xf numFmtId="2" fontId="0" fillId="0" borderId="110" xfId="0" applyNumberFormat="1" applyBorder="1" applyAlignment="1">
      <alignment horizontal="right"/>
    </xf>
    <xf numFmtId="9" fontId="0" fillId="0" borderId="114" xfId="0" applyNumberFormat="1" applyBorder="1"/>
    <xf numFmtId="9" fontId="0" fillId="0" borderId="77" xfId="0" applyNumberFormat="1" applyBorder="1"/>
    <xf numFmtId="2" fontId="0" fillId="0" borderId="78" xfId="0" applyNumberFormat="1" applyBorder="1" applyAlignment="1">
      <alignment horizontal="right" vertical="center"/>
    </xf>
    <xf numFmtId="9" fontId="0" fillId="0" borderId="116" xfId="0" applyNumberFormat="1" applyBorder="1"/>
    <xf numFmtId="9" fontId="0" fillId="0" borderId="110" xfId="0" applyNumberFormat="1" applyBorder="1"/>
    <xf numFmtId="9" fontId="0" fillId="0" borderId="117" xfId="0" applyNumberFormat="1" applyBorder="1"/>
    <xf numFmtId="9" fontId="0" fillId="0" borderId="118" xfId="0" applyNumberFormat="1" applyBorder="1"/>
    <xf numFmtId="9" fontId="0" fillId="0" borderId="79" xfId="0" applyNumberFormat="1" applyBorder="1" applyAlignment="1">
      <alignment horizontal="center" vertical="center"/>
    </xf>
    <xf numFmtId="9" fontId="0" fillId="0" borderId="77" xfId="0" applyNumberFormat="1" applyBorder="1" applyAlignment="1">
      <alignment horizontal="center" vertical="center"/>
    </xf>
    <xf numFmtId="9" fontId="0" fillId="0" borderId="117" xfId="0" applyNumberFormat="1" applyBorder="1" applyAlignment="1">
      <alignment horizontal="center" vertical="center"/>
    </xf>
    <xf numFmtId="2" fontId="0" fillId="0" borderId="71" xfId="0" applyNumberFormat="1" applyBorder="1"/>
    <xf numFmtId="10" fontId="0" fillId="0" borderId="74" xfId="0" applyNumberFormat="1" applyBorder="1" applyAlignment="1">
      <alignment horizontal="center" vertical="center"/>
    </xf>
    <xf numFmtId="0" fontId="54" fillId="17" borderId="111" xfId="0" applyFont="1" applyFill="1" applyBorder="1" applyAlignment="1">
      <alignment horizontal="center" vertical="center"/>
    </xf>
    <xf numFmtId="0" fontId="54" fillId="17" borderId="112" xfId="0" applyFont="1" applyFill="1" applyBorder="1" applyAlignment="1">
      <alignment horizontal="center" vertical="center"/>
    </xf>
    <xf numFmtId="0" fontId="54" fillId="17" borderId="113" xfId="0" applyFont="1" applyFill="1" applyBorder="1" applyAlignment="1">
      <alignment horizontal="center" vertical="center"/>
    </xf>
    <xf numFmtId="1" fontId="0" fillId="0" borderId="114" xfId="0" applyNumberFormat="1" applyBorder="1"/>
    <xf numFmtId="1" fontId="0" fillId="0" borderId="76" xfId="0" applyNumberFormat="1" applyBorder="1"/>
    <xf numFmtId="1" fontId="0" fillId="0" borderId="77" xfId="0" applyNumberFormat="1" applyBorder="1"/>
    <xf numFmtId="1" fontId="0" fillId="0" borderId="116" xfId="0" applyNumberFormat="1" applyBorder="1"/>
    <xf numFmtId="1" fontId="0" fillId="0" borderId="110" xfId="0" applyNumberFormat="1" applyBorder="1"/>
    <xf numFmtId="1" fontId="0" fillId="0" borderId="117" xfId="0" applyNumberFormat="1" applyBorder="1"/>
    <xf numFmtId="0" fontId="0" fillId="17" borderId="113" xfId="0" applyFill="1" applyBorder="1"/>
    <xf numFmtId="0" fontId="161" fillId="17" borderId="77" xfId="0" applyFont="1" applyFill="1" applyBorder="1" applyAlignment="1">
      <alignment horizontal="center" vertical="center"/>
    </xf>
    <xf numFmtId="0" fontId="15" fillId="0" borderId="118" xfId="0" applyFont="1" applyBorder="1"/>
    <xf numFmtId="0" fontId="15" fillId="17" borderId="114" xfId="0" applyFont="1" applyFill="1" applyBorder="1" applyAlignment="1">
      <alignment horizontal="center"/>
    </xf>
    <xf numFmtId="0" fontId="0" fillId="17" borderId="76" xfId="0" applyFill="1" applyBorder="1" applyAlignment="1">
      <alignment horizontal="center"/>
    </xf>
    <xf numFmtId="0" fontId="0" fillId="17" borderId="77" xfId="0" applyFill="1" applyBorder="1" applyAlignment="1">
      <alignment horizontal="center"/>
    </xf>
    <xf numFmtId="0" fontId="0" fillId="0" borderId="76" xfId="0" applyBorder="1"/>
    <xf numFmtId="1" fontId="0" fillId="0" borderId="120" xfId="0" applyNumberFormat="1" applyBorder="1"/>
    <xf numFmtId="1" fontId="0" fillId="0" borderId="121" xfId="0" applyNumberFormat="1" applyBorder="1"/>
    <xf numFmtId="1" fontId="0" fillId="0" borderId="122" xfId="0" applyNumberFormat="1" applyBorder="1"/>
    <xf numFmtId="0" fontId="0" fillId="0" borderId="122" xfId="0" applyBorder="1"/>
    <xf numFmtId="2" fontId="0" fillId="0" borderId="109" xfId="0" applyNumberFormat="1" applyBorder="1"/>
    <xf numFmtId="0" fontId="15" fillId="73" borderId="123" xfId="0" applyFont="1" applyFill="1" applyBorder="1" applyAlignment="1">
      <alignment horizontal="center"/>
    </xf>
    <xf numFmtId="0" fontId="15" fillId="73" borderId="124" xfId="0" applyFont="1" applyFill="1" applyBorder="1" applyAlignment="1">
      <alignment horizontal="center"/>
    </xf>
    <xf numFmtId="0" fontId="15" fillId="73" borderId="87" xfId="0" applyFont="1" applyFill="1" applyBorder="1" applyAlignment="1">
      <alignment horizontal="center"/>
    </xf>
    <xf numFmtId="0" fontId="161" fillId="13" borderId="76" xfId="0" applyFont="1" applyFill="1" applyBorder="1" applyAlignment="1">
      <alignment horizontal="center" vertical="center"/>
    </xf>
    <xf numFmtId="4" fontId="0" fillId="13" borderId="76" xfId="0" applyNumberFormat="1" applyFill="1" applyBorder="1"/>
    <xf numFmtId="0" fontId="160" fillId="13" borderId="76" xfId="0" applyFont="1" applyFill="1" applyBorder="1" applyAlignment="1">
      <alignment horizontal="left" vertical="top"/>
    </xf>
    <xf numFmtId="0" fontId="162" fillId="13" borderId="76" xfId="0" applyFont="1" applyFill="1" applyBorder="1" applyAlignment="1">
      <alignment horizontal="left" vertical="top"/>
    </xf>
    <xf numFmtId="0" fontId="160" fillId="13" borderId="109" xfId="0" applyFont="1" applyFill="1" applyBorder="1" applyAlignment="1">
      <alignment horizontal="left" vertical="top"/>
    </xf>
    <xf numFmtId="4" fontId="0" fillId="13" borderId="109" xfId="0" applyNumberFormat="1" applyFill="1" applyBorder="1"/>
    <xf numFmtId="0" fontId="160" fillId="13" borderId="110" xfId="0" applyFont="1" applyFill="1" applyBorder="1" applyAlignment="1">
      <alignment horizontal="left" vertical="top"/>
    </xf>
    <xf numFmtId="4" fontId="0" fillId="13" borderId="110" xfId="0" applyNumberFormat="1" applyFill="1" applyBorder="1"/>
    <xf numFmtId="0" fontId="0" fillId="0" borderId="110" xfId="0" applyBorder="1"/>
    <xf numFmtId="0" fontId="54" fillId="17" borderId="112" xfId="0" applyFont="1" applyFill="1" applyBorder="1" applyAlignment="1">
      <alignment horizontal="center"/>
    </xf>
    <xf numFmtId="0" fontId="54" fillId="17" borderId="113" xfId="0" applyFont="1" applyFill="1" applyBorder="1" applyAlignment="1">
      <alignment horizontal="center"/>
    </xf>
    <xf numFmtId="0" fontId="0" fillId="13" borderId="127" xfId="0" applyFill="1" applyBorder="1"/>
    <xf numFmtId="2" fontId="0" fillId="13" borderId="0" xfId="0" applyNumberFormat="1" applyFill="1" applyAlignment="1">
      <alignment horizontal="center" vertical="center"/>
    </xf>
    <xf numFmtId="197" fontId="0" fillId="13" borderId="127" xfId="0" applyNumberFormat="1" applyFill="1" applyBorder="1" applyAlignment="1">
      <alignment horizontal="center" vertical="center"/>
    </xf>
    <xf numFmtId="0" fontId="0" fillId="13" borderId="62" xfId="0" applyFill="1" applyBorder="1"/>
    <xf numFmtId="0" fontId="161" fillId="13" borderId="112" xfId="0" applyFont="1" applyFill="1" applyBorder="1" applyAlignment="1">
      <alignment horizontal="center" vertical="center"/>
    </xf>
    <xf numFmtId="0" fontId="0" fillId="0" borderId="112" xfId="0" applyBorder="1"/>
    <xf numFmtId="0" fontId="54" fillId="17" borderId="5" xfId="0" applyFont="1" applyFill="1" applyBorder="1" applyAlignment="1">
      <alignment horizontal="center"/>
    </xf>
    <xf numFmtId="0" fontId="0" fillId="13" borderId="125" xfId="0" applyFill="1" applyBorder="1"/>
    <xf numFmtId="0" fontId="160" fillId="13" borderId="114" xfId="0" applyFont="1" applyFill="1" applyBorder="1" applyAlignment="1">
      <alignment horizontal="left" vertical="top"/>
    </xf>
    <xf numFmtId="0" fontId="162" fillId="13" borderId="114" xfId="0" applyFont="1" applyFill="1" applyBorder="1" applyAlignment="1">
      <alignment horizontal="left" vertical="top"/>
    </xf>
    <xf numFmtId="0" fontId="160" fillId="13" borderId="128" xfId="0" applyFont="1" applyFill="1" applyBorder="1" applyAlignment="1">
      <alignment horizontal="left" vertical="top"/>
    </xf>
    <xf numFmtId="0" fontId="160" fillId="13" borderId="116" xfId="0" applyFont="1" applyFill="1" applyBorder="1" applyAlignment="1">
      <alignment horizontal="left" vertical="top"/>
    </xf>
    <xf numFmtId="4" fontId="0" fillId="13" borderId="0" xfId="0" applyNumberFormat="1" applyFill="1"/>
    <xf numFmtId="197" fontId="0" fillId="13" borderId="0" xfId="0" applyNumberFormat="1" applyFill="1" applyAlignment="1">
      <alignment horizontal="center" vertical="center"/>
    </xf>
    <xf numFmtId="0" fontId="0" fillId="13" borderId="70" xfId="0" applyFill="1" applyBorder="1"/>
    <xf numFmtId="197" fontId="0" fillId="13" borderId="4" xfId="0" applyNumberFormat="1" applyFill="1" applyBorder="1" applyAlignment="1">
      <alignment horizontal="center" vertical="center"/>
    </xf>
    <xf numFmtId="197" fontId="0" fillId="13" borderId="73" xfId="0" applyNumberFormat="1" applyFill="1" applyBorder="1" applyAlignment="1">
      <alignment horizontal="center" vertical="center"/>
    </xf>
    <xf numFmtId="197" fontId="0" fillId="13" borderId="35" xfId="0" applyNumberFormat="1" applyFill="1" applyBorder="1" applyAlignment="1">
      <alignment horizontal="center" vertical="center"/>
    </xf>
    <xf numFmtId="197" fontId="0" fillId="13" borderId="39" xfId="0" applyNumberFormat="1" applyFill="1" applyBorder="1" applyAlignment="1">
      <alignment horizontal="center" vertical="center"/>
    </xf>
    <xf numFmtId="197" fontId="0" fillId="13" borderId="126" xfId="0" applyNumberFormat="1" applyFill="1" applyBorder="1" applyAlignment="1">
      <alignment horizontal="center" vertical="center"/>
    </xf>
    <xf numFmtId="197" fontId="0" fillId="13" borderId="130" xfId="0" applyNumberFormat="1" applyFill="1" applyBorder="1" applyAlignment="1">
      <alignment horizontal="center" vertical="center"/>
    </xf>
    <xf numFmtId="197" fontId="0" fillId="13" borderId="40" xfId="0" applyNumberFormat="1" applyFill="1" applyBorder="1" applyAlignment="1">
      <alignment horizontal="center" vertical="center"/>
    </xf>
    <xf numFmtId="197" fontId="0" fillId="13" borderId="16" xfId="0" applyNumberFormat="1" applyFill="1" applyBorder="1" applyAlignment="1">
      <alignment horizontal="center" vertical="center"/>
    </xf>
    <xf numFmtId="197" fontId="0" fillId="13" borderId="41" xfId="0" applyNumberFormat="1" applyFill="1" applyBorder="1" applyAlignment="1">
      <alignment horizontal="center" vertical="center"/>
    </xf>
    <xf numFmtId="2" fontId="0" fillId="13" borderId="35" xfId="0" applyNumberFormat="1" applyFill="1" applyBorder="1" applyAlignment="1">
      <alignment horizontal="center" vertical="center"/>
    </xf>
    <xf numFmtId="2" fontId="0" fillId="13" borderId="39" xfId="0" applyNumberFormat="1" applyFill="1" applyBorder="1" applyAlignment="1">
      <alignment horizontal="center" vertical="center"/>
    </xf>
    <xf numFmtId="10" fontId="54" fillId="0" borderId="112" xfId="0" applyNumberFormat="1" applyFont="1" applyBorder="1" applyAlignment="1">
      <alignment horizontal="center" vertical="center"/>
    </xf>
    <xf numFmtId="10" fontId="54" fillId="0" borderId="113" xfId="0" applyNumberFormat="1" applyFont="1" applyBorder="1" applyAlignment="1">
      <alignment horizontal="center" vertical="center"/>
    </xf>
    <xf numFmtId="10" fontId="54" fillId="0" borderId="133" xfId="0" applyNumberFormat="1" applyFont="1" applyBorder="1" applyAlignment="1">
      <alignment horizontal="center" vertical="center"/>
    </xf>
    <xf numFmtId="2" fontId="0" fillId="0" borderId="134" xfId="0" applyNumberFormat="1" applyBorder="1"/>
    <xf numFmtId="9" fontId="0" fillId="0" borderId="121" xfId="0" applyNumberFormat="1" applyBorder="1"/>
    <xf numFmtId="0" fontId="0" fillId="0" borderId="121" xfId="0" applyBorder="1"/>
    <xf numFmtId="0" fontId="160" fillId="13" borderId="127" xfId="0" applyFont="1" applyFill="1" applyBorder="1"/>
    <xf numFmtId="0" fontId="160" fillId="13" borderId="125" xfId="0" applyFont="1" applyFill="1" applyBorder="1"/>
    <xf numFmtId="0" fontId="160" fillId="13" borderId="0" xfId="0" applyFont="1" applyFill="1"/>
    <xf numFmtId="0" fontId="162" fillId="13" borderId="125" xfId="0" applyFont="1" applyFill="1" applyBorder="1"/>
    <xf numFmtId="0" fontId="160" fillId="13" borderId="131" xfId="0" applyFont="1" applyFill="1" applyBorder="1"/>
    <xf numFmtId="0" fontId="0" fillId="0" borderId="70" xfId="0" applyBorder="1"/>
    <xf numFmtId="0" fontId="0" fillId="13" borderId="0" xfId="0" applyFill="1" applyAlignment="1">
      <alignment horizontal="center" vertical="center"/>
    </xf>
    <xf numFmtId="0" fontId="0" fillId="13" borderId="35" xfId="0" applyFill="1" applyBorder="1" applyAlignment="1">
      <alignment horizontal="center" vertical="center"/>
    </xf>
    <xf numFmtId="0" fontId="0" fillId="13" borderId="39" xfId="0" applyFill="1" applyBorder="1" applyAlignment="1">
      <alignment horizontal="center" vertical="center"/>
    </xf>
    <xf numFmtId="0" fontId="15" fillId="6" borderId="51" xfId="7" applyFill="1" applyBorder="1"/>
    <xf numFmtId="0" fontId="15" fillId="10" borderId="51" xfId="7" applyFill="1" applyBorder="1"/>
    <xf numFmtId="0" fontId="15" fillId="6" borderId="51" xfId="0" applyFont="1" applyFill="1" applyBorder="1"/>
    <xf numFmtId="0" fontId="15" fillId="10" borderId="51" xfId="0" applyFont="1" applyFill="1" applyBorder="1"/>
    <xf numFmtId="0" fontId="15" fillId="6" borderId="136" xfId="7" applyFill="1" applyBorder="1"/>
    <xf numFmtId="0" fontId="15" fillId="21" borderId="136" xfId="0" applyFont="1" applyFill="1" applyBorder="1"/>
    <xf numFmtId="0" fontId="15" fillId="6" borderId="136" xfId="0" applyFont="1" applyFill="1" applyBorder="1"/>
    <xf numFmtId="0" fontId="15" fillId="5" borderId="138" xfId="7" applyFill="1" applyBorder="1"/>
    <xf numFmtId="0" fontId="15" fillId="5" borderId="138" xfId="0" applyFont="1" applyFill="1" applyBorder="1"/>
    <xf numFmtId="0" fontId="15" fillId="0" borderId="135" xfId="7" applyBorder="1"/>
    <xf numFmtId="0" fontId="15" fillId="0" borderId="137" xfId="7" applyBorder="1"/>
    <xf numFmtId="0" fontId="15" fillId="10" borderId="137" xfId="7" applyFill="1" applyBorder="1"/>
    <xf numFmtId="0" fontId="15" fillId="10" borderId="135" xfId="7" applyFill="1" applyBorder="1"/>
    <xf numFmtId="0" fontId="15" fillId="27" borderId="136" xfId="7" applyFill="1" applyBorder="1"/>
    <xf numFmtId="0" fontId="15" fillId="27" borderId="137" xfId="7" applyFill="1" applyBorder="1"/>
    <xf numFmtId="0" fontId="15" fillId="6" borderId="135" xfId="7" applyFill="1" applyBorder="1"/>
    <xf numFmtId="0" fontId="15" fillId="6" borderId="135" xfId="0" applyFont="1" applyFill="1" applyBorder="1"/>
    <xf numFmtId="0" fontId="15" fillId="27" borderId="135" xfId="0" applyFont="1" applyFill="1" applyBorder="1"/>
    <xf numFmtId="0" fontId="15" fillId="27" borderId="136" xfId="0" applyFont="1" applyFill="1" applyBorder="1"/>
    <xf numFmtId="0" fontId="15" fillId="16" borderId="137" xfId="7" applyFill="1" applyBorder="1"/>
    <xf numFmtId="0" fontId="15" fillId="16" borderId="135" xfId="7" applyFill="1" applyBorder="1"/>
    <xf numFmtId="166" fontId="15" fillId="0" borderId="135" xfId="7" applyNumberFormat="1" applyBorder="1"/>
    <xf numFmtId="166" fontId="15" fillId="16" borderId="137" xfId="7" applyNumberFormat="1" applyFill="1" applyBorder="1"/>
    <xf numFmtId="0" fontId="15" fillId="10" borderId="137" xfId="0" applyFont="1" applyFill="1" applyBorder="1"/>
    <xf numFmtId="0" fontId="15" fillId="5" borderId="135" xfId="0" applyFont="1" applyFill="1" applyBorder="1"/>
    <xf numFmtId="2" fontId="0" fillId="10" borderId="0" xfId="0" applyNumberFormat="1" applyFill="1" applyAlignment="1">
      <alignment horizontal="center" vertical="center"/>
    </xf>
    <xf numFmtId="2" fontId="0" fillId="10" borderId="89" xfId="0" applyNumberFormat="1" applyFill="1" applyBorder="1" applyAlignment="1">
      <alignment horizontal="center" vertical="center"/>
    </xf>
    <xf numFmtId="2" fontId="0" fillId="10" borderId="126" xfId="0" applyNumberFormat="1" applyFill="1" applyBorder="1" applyAlignment="1">
      <alignment horizontal="center" vertical="center"/>
    </xf>
    <xf numFmtId="2" fontId="0" fillId="10" borderId="127" xfId="0" applyNumberFormat="1" applyFill="1" applyBorder="1" applyAlignment="1">
      <alignment horizontal="center" vertical="center"/>
    </xf>
    <xf numFmtId="2" fontId="0" fillId="10" borderId="129" xfId="0" applyNumberFormat="1" applyFill="1" applyBorder="1" applyAlignment="1">
      <alignment horizontal="center" vertical="center"/>
    </xf>
    <xf numFmtId="2" fontId="0" fillId="10" borderId="76" xfId="0" applyNumberFormat="1" applyFill="1" applyBorder="1"/>
    <xf numFmtId="2" fontId="0" fillId="10" borderId="77" xfId="0" applyNumberFormat="1" applyFill="1" applyBorder="1"/>
    <xf numFmtId="0" fontId="54" fillId="8" borderId="8" xfId="1" applyFont="1" applyFill="1" applyBorder="1" applyAlignment="1">
      <alignment horizontal="center" vertical="center" wrapText="1"/>
    </xf>
    <xf numFmtId="196" fontId="15" fillId="10" borderId="137" xfId="0" applyNumberFormat="1" applyFont="1" applyFill="1" applyBorder="1"/>
    <xf numFmtId="196" fontId="15" fillId="10" borderId="135" xfId="0" applyNumberFormat="1" applyFont="1" applyFill="1" applyBorder="1"/>
    <xf numFmtId="196" fontId="15" fillId="10" borderId="45" xfId="0" applyNumberFormat="1" applyFont="1" applyFill="1" applyBorder="1"/>
    <xf numFmtId="196" fontId="15" fillId="10" borderId="0" xfId="7" applyNumberFormat="1" applyFill="1"/>
    <xf numFmtId="196" fontId="15" fillId="0" borderId="0" xfId="7" applyNumberFormat="1"/>
    <xf numFmtId="196" fontId="15" fillId="0" borderId="16" xfId="7" applyNumberFormat="1" applyBorder="1"/>
    <xf numFmtId="196" fontId="15" fillId="0" borderId="2" xfId="7" applyNumberFormat="1" applyBorder="1"/>
    <xf numFmtId="1" fontId="15" fillId="10" borderId="0" xfId="7" applyNumberFormat="1" applyFill="1"/>
    <xf numFmtId="171" fontId="0" fillId="0" borderId="127" xfId="0" applyNumberFormat="1" applyBorder="1"/>
    <xf numFmtId="0" fontId="15" fillId="0" borderId="62" xfId="0" applyFont="1" applyBorder="1"/>
    <xf numFmtId="0" fontId="0" fillId="0" borderId="5" xfId="0" applyBorder="1"/>
    <xf numFmtId="0" fontId="0" fillId="0" borderId="65" xfId="0" applyBorder="1"/>
    <xf numFmtId="171" fontId="0" fillId="0" borderId="125" xfId="0" applyNumberFormat="1" applyBorder="1"/>
    <xf numFmtId="171" fontId="0" fillId="0" borderId="89" xfId="0" applyNumberFormat="1" applyBorder="1"/>
    <xf numFmtId="171" fontId="0" fillId="0" borderId="131" xfId="0" applyNumberFormat="1" applyBorder="1"/>
    <xf numFmtId="171" fontId="0" fillId="0" borderId="129" xfId="0" applyNumberFormat="1" applyBorder="1"/>
    <xf numFmtId="0" fontId="0" fillId="0" borderId="125" xfId="0" applyBorder="1"/>
    <xf numFmtId="0" fontId="0" fillId="0" borderId="89" xfId="0" applyBorder="1"/>
    <xf numFmtId="0" fontId="54" fillId="17" borderId="125" xfId="0" applyFont="1" applyFill="1" applyBorder="1"/>
    <xf numFmtId="0" fontId="54" fillId="17" borderId="0" xfId="0" applyFont="1" applyFill="1"/>
    <xf numFmtId="0" fontId="54" fillId="17" borderId="89" xfId="0" applyFont="1" applyFill="1" applyBorder="1"/>
    <xf numFmtId="0" fontId="54" fillId="17" borderId="70" xfId="0" applyFont="1" applyFill="1" applyBorder="1"/>
    <xf numFmtId="0" fontId="54" fillId="17" borderId="4" xfId="0" applyFont="1" applyFill="1" applyBorder="1"/>
    <xf numFmtId="0" fontId="54" fillId="17" borderId="73" xfId="0" applyFont="1" applyFill="1" applyBorder="1"/>
    <xf numFmtId="198" fontId="0" fillId="13" borderId="0" xfId="0" applyNumberFormat="1" applyFill="1"/>
    <xf numFmtId="2" fontId="0" fillId="0" borderId="114" xfId="0" applyNumberFormat="1" applyBorder="1"/>
    <xf numFmtId="0" fontId="155" fillId="0" borderId="87" xfId="0" applyFont="1" applyBorder="1" applyAlignment="1">
      <alignment horizontal="center"/>
    </xf>
    <xf numFmtId="0" fontId="54" fillId="0" borderId="115" xfId="0" applyFont="1" applyBorder="1"/>
    <xf numFmtId="0" fontId="54" fillId="0" borderId="114" xfId="0" applyFont="1" applyBorder="1" applyAlignment="1">
      <alignment horizontal="left"/>
    </xf>
    <xf numFmtId="0" fontId="54" fillId="0" borderId="114" xfId="0" applyFont="1" applyBorder="1"/>
    <xf numFmtId="0" fontId="54" fillId="0" borderId="116" xfId="0" applyFont="1" applyBorder="1"/>
    <xf numFmtId="2" fontId="0" fillId="0" borderId="76" xfId="0" applyNumberFormat="1" applyBorder="1"/>
    <xf numFmtId="2" fontId="0" fillId="0" borderId="77" xfId="0" applyNumberFormat="1" applyBorder="1"/>
    <xf numFmtId="2" fontId="0" fillId="0" borderId="110" xfId="0" applyNumberFormat="1" applyBorder="1"/>
    <xf numFmtId="2" fontId="0" fillId="0" borderId="117" xfId="0" applyNumberFormat="1" applyBorder="1"/>
    <xf numFmtId="2" fontId="38" fillId="73" borderId="114" xfId="0" applyNumberFormat="1" applyFont="1" applyFill="1" applyBorder="1"/>
    <xf numFmtId="2" fontId="38" fillId="73" borderId="116" xfId="0" applyNumberFormat="1" applyFont="1" applyFill="1" applyBorder="1"/>
    <xf numFmtId="2" fontId="38" fillId="73" borderId="110" xfId="0" applyNumberFormat="1" applyFont="1" applyFill="1" applyBorder="1"/>
    <xf numFmtId="2" fontId="38" fillId="73" borderId="76" xfId="0" applyNumberFormat="1" applyFont="1" applyFill="1" applyBorder="1"/>
    <xf numFmtId="1" fontId="38" fillId="73" borderId="114" xfId="0" applyNumberFormat="1" applyFont="1" applyFill="1" applyBorder="1"/>
    <xf numFmtId="1" fontId="38" fillId="73" borderId="76" xfId="0" applyNumberFormat="1" applyFont="1" applyFill="1" applyBorder="1"/>
    <xf numFmtId="1" fontId="38" fillId="73" borderId="116" xfId="0" applyNumberFormat="1" applyFont="1" applyFill="1" applyBorder="1"/>
    <xf numFmtId="1" fontId="38" fillId="73" borderId="110" xfId="0" applyNumberFormat="1" applyFont="1" applyFill="1" applyBorder="1"/>
    <xf numFmtId="0" fontId="0" fillId="0" borderId="132" xfId="0" applyBorder="1"/>
    <xf numFmtId="0" fontId="155" fillId="0" borderId="76" xfId="0" applyFont="1" applyBorder="1" applyAlignment="1">
      <alignment horizontal="right"/>
    </xf>
    <xf numFmtId="1" fontId="0" fillId="0" borderId="78" xfId="0" applyNumberFormat="1" applyBorder="1"/>
    <xf numFmtId="1" fontId="0" fillId="0" borderId="41" xfId="0" applyNumberFormat="1" applyBorder="1"/>
    <xf numFmtId="0" fontId="155" fillId="0" borderId="141" xfId="0" applyFont="1" applyBorder="1" applyAlignment="1">
      <alignment horizontal="right"/>
    </xf>
    <xf numFmtId="2" fontId="0" fillId="0" borderId="139" xfId="0" applyNumberFormat="1" applyBorder="1"/>
    <xf numFmtId="2" fontId="0" fillId="0" borderId="90" xfId="0" applyNumberFormat="1" applyBorder="1"/>
    <xf numFmtId="1" fontId="0" fillId="0" borderId="141" xfId="0" applyNumberFormat="1" applyBorder="1"/>
    <xf numFmtId="2" fontId="0" fillId="0" borderId="132" xfId="0" applyNumberFormat="1" applyBorder="1"/>
    <xf numFmtId="0" fontId="155" fillId="0" borderId="132" xfId="0" applyFont="1" applyBorder="1" applyAlignment="1">
      <alignment horizontal="right"/>
    </xf>
    <xf numFmtId="0" fontId="0" fillId="0" borderId="61" xfId="0" applyBorder="1"/>
    <xf numFmtId="0" fontId="0" fillId="13" borderId="89" xfId="0" applyFill="1" applyBorder="1"/>
    <xf numFmtId="0" fontId="0" fillId="13" borderId="73" xfId="0" applyFill="1" applyBorder="1"/>
    <xf numFmtId="0" fontId="160" fillId="0" borderId="109" xfId="0" applyFont="1" applyBorder="1" applyAlignment="1">
      <alignment vertical="center"/>
    </xf>
    <xf numFmtId="0" fontId="160" fillId="0" borderId="78" xfId="0" applyFont="1" applyBorder="1" applyAlignment="1">
      <alignment vertical="center"/>
    </xf>
    <xf numFmtId="0" fontId="160" fillId="17" borderId="16" xfId="0" applyFont="1" applyFill="1" applyBorder="1" applyAlignment="1">
      <alignment horizontal="center" vertical="center"/>
    </xf>
    <xf numFmtId="0" fontId="160" fillId="17" borderId="11" xfId="0" applyFont="1" applyFill="1" applyBorder="1" applyAlignment="1">
      <alignment horizontal="center" vertical="center"/>
    </xf>
    <xf numFmtId="0" fontId="164" fillId="0" borderId="115" xfId="0" applyFont="1" applyBorder="1" applyAlignment="1">
      <alignment horizontal="left" vertical="center"/>
    </xf>
    <xf numFmtId="0" fontId="164" fillId="0" borderId="114" xfId="0" applyFont="1" applyBorder="1" applyAlignment="1">
      <alignment horizontal="left" vertical="center"/>
    </xf>
    <xf numFmtId="0" fontId="164" fillId="0" borderId="116" xfId="0" applyFont="1" applyBorder="1" applyAlignment="1">
      <alignment horizontal="left" vertical="center"/>
    </xf>
    <xf numFmtId="0" fontId="164" fillId="0" borderId="140" xfId="0" applyFont="1" applyBorder="1" applyAlignment="1">
      <alignment horizontal="center" vertical="center"/>
    </xf>
    <xf numFmtId="0" fontId="164" fillId="0" borderId="112" xfId="0" applyFont="1" applyBorder="1" applyAlignment="1">
      <alignment horizontal="center" vertical="center"/>
    </xf>
    <xf numFmtId="0" fontId="15" fillId="17" borderId="15" xfId="0" applyFont="1" applyFill="1" applyBorder="1"/>
    <xf numFmtId="0" fontId="0" fillId="13" borderId="148" xfId="0" applyFill="1" applyBorder="1"/>
    <xf numFmtId="0" fontId="0" fillId="13" borderId="150" xfId="0" applyFill="1" applyBorder="1"/>
    <xf numFmtId="0" fontId="15" fillId="13" borderId="151" xfId="0" applyFont="1" applyFill="1" applyBorder="1"/>
    <xf numFmtId="0" fontId="0" fillId="13" borderId="152" xfId="0" applyFill="1" applyBorder="1"/>
    <xf numFmtId="0" fontId="0" fillId="13" borderId="149" xfId="0" applyFill="1" applyBorder="1"/>
    <xf numFmtId="0" fontId="0" fillId="13" borderId="151" xfId="0" applyFill="1" applyBorder="1"/>
    <xf numFmtId="0" fontId="0" fillId="13" borderId="147" xfId="0" applyFill="1" applyBorder="1"/>
    <xf numFmtId="0" fontId="0" fillId="17" borderId="127" xfId="0" applyFill="1" applyBorder="1"/>
    <xf numFmtId="0" fontId="0" fillId="0" borderId="153" xfId="0" applyBorder="1"/>
    <xf numFmtId="0" fontId="0" fillId="0" borderId="155" xfId="0" applyBorder="1"/>
    <xf numFmtId="9" fontId="0" fillId="0" borderId="156" xfId="0" applyNumberFormat="1" applyBorder="1" applyAlignment="1">
      <alignment horizontal="center" vertical="center"/>
    </xf>
    <xf numFmtId="9" fontId="0" fillId="0" borderId="122" xfId="0" applyNumberFormat="1" applyBorder="1" applyAlignment="1">
      <alignment horizontal="center" vertical="center"/>
    </xf>
    <xf numFmtId="0" fontId="0" fillId="0" borderId="157" xfId="0" applyBorder="1"/>
    <xf numFmtId="1" fontId="0" fillId="0" borderId="158" xfId="0" applyNumberFormat="1" applyBorder="1"/>
    <xf numFmtId="1" fontId="0" fillId="0" borderId="159" xfId="0" applyNumberFormat="1" applyBorder="1"/>
    <xf numFmtId="1" fontId="0" fillId="0" borderId="156" xfId="0" applyNumberFormat="1" applyBorder="1"/>
    <xf numFmtId="2" fontId="0" fillId="13" borderId="143" xfId="0" applyNumberFormat="1" applyFill="1" applyBorder="1" applyAlignment="1">
      <alignment horizontal="center" vertical="center"/>
    </xf>
    <xf numFmtId="0" fontId="0" fillId="13" borderId="160" xfId="0" applyFill="1" applyBorder="1"/>
    <xf numFmtId="0" fontId="0" fillId="13" borderId="157" xfId="0" applyFill="1" applyBorder="1"/>
    <xf numFmtId="0" fontId="161" fillId="13" borderId="161" xfId="0" applyFont="1" applyFill="1" applyBorder="1" applyAlignment="1">
      <alignment horizontal="center" vertical="center"/>
    </xf>
    <xf numFmtId="0" fontId="0" fillId="0" borderId="161" xfId="0" applyBorder="1"/>
    <xf numFmtId="0" fontId="54" fillId="17" borderId="157" xfId="0" applyFont="1" applyFill="1" applyBorder="1" applyAlignment="1">
      <alignment horizontal="center"/>
    </xf>
    <xf numFmtId="0" fontId="54" fillId="17" borderId="161" xfId="0" applyFont="1" applyFill="1" applyBorder="1" applyAlignment="1">
      <alignment horizontal="center"/>
    </xf>
    <xf numFmtId="0" fontId="54" fillId="17" borderId="162" xfId="0" applyFont="1" applyFill="1" applyBorder="1" applyAlignment="1">
      <alignment horizontal="center"/>
    </xf>
    <xf numFmtId="0" fontId="0" fillId="13" borderId="163" xfId="0" applyFill="1" applyBorder="1"/>
    <xf numFmtId="0" fontId="160" fillId="13" borderId="165" xfId="0" applyFont="1" applyFill="1" applyBorder="1" applyAlignment="1">
      <alignment horizontal="left" vertical="top"/>
    </xf>
    <xf numFmtId="2" fontId="0" fillId="10" borderId="166" xfId="0" applyNumberFormat="1" applyFill="1" applyBorder="1" applyAlignment="1">
      <alignment horizontal="center" vertical="center"/>
    </xf>
    <xf numFmtId="0" fontId="162" fillId="13" borderId="165" xfId="0" applyFont="1" applyFill="1" applyBorder="1" applyAlignment="1">
      <alignment horizontal="left" vertical="top"/>
    </xf>
    <xf numFmtId="0" fontId="160" fillId="13" borderId="167" xfId="0" applyFont="1" applyFill="1" applyBorder="1" applyAlignment="1">
      <alignment horizontal="left" vertical="top"/>
    </xf>
    <xf numFmtId="0" fontId="160" fillId="13" borderId="168" xfId="0" applyFont="1" applyFill="1" applyBorder="1" applyAlignment="1">
      <alignment horizontal="left" vertical="top"/>
    </xf>
    <xf numFmtId="2" fontId="0" fillId="10" borderId="169" xfId="0" applyNumberFormat="1" applyFill="1" applyBorder="1" applyAlignment="1">
      <alignment horizontal="center" vertical="center"/>
    </xf>
    <xf numFmtId="2" fontId="0" fillId="13" borderId="170" xfId="0" applyNumberFormat="1" applyFill="1" applyBorder="1" applyAlignment="1">
      <alignment horizontal="center" vertical="center"/>
    </xf>
    <xf numFmtId="0" fontId="160" fillId="13" borderId="163" xfId="0" applyFont="1" applyFill="1" applyBorder="1"/>
    <xf numFmtId="197" fontId="0" fillId="13" borderId="166" xfId="0" applyNumberFormat="1" applyFill="1" applyBorder="1" applyAlignment="1">
      <alignment horizontal="center" vertical="center"/>
    </xf>
    <xf numFmtId="0" fontId="160" fillId="13" borderId="171" xfId="0" applyFont="1" applyFill="1" applyBorder="1"/>
    <xf numFmtId="197" fontId="0" fillId="13" borderId="169" xfId="0" applyNumberFormat="1" applyFill="1" applyBorder="1" applyAlignment="1">
      <alignment horizontal="center" vertical="center"/>
    </xf>
    <xf numFmtId="0" fontId="0" fillId="13" borderId="172" xfId="0" applyFill="1" applyBorder="1"/>
    <xf numFmtId="0" fontId="0" fillId="13" borderId="173" xfId="0" applyFill="1" applyBorder="1"/>
    <xf numFmtId="197" fontId="0" fillId="13" borderId="174" xfId="0" applyNumberFormat="1" applyFill="1" applyBorder="1" applyAlignment="1">
      <alignment horizontal="center" vertical="center"/>
    </xf>
    <xf numFmtId="197" fontId="0" fillId="13" borderId="173" xfId="0" applyNumberFormat="1" applyFill="1" applyBorder="1" applyAlignment="1">
      <alignment horizontal="center" vertical="center"/>
    </xf>
    <xf numFmtId="197" fontId="0" fillId="13" borderId="175" xfId="0" applyNumberFormat="1" applyFill="1" applyBorder="1" applyAlignment="1">
      <alignment horizontal="center" vertical="center"/>
    </xf>
    <xf numFmtId="197" fontId="0" fillId="13" borderId="179" xfId="0" applyNumberFormat="1" applyFill="1" applyBorder="1" applyAlignment="1">
      <alignment horizontal="center" vertical="center"/>
    </xf>
    <xf numFmtId="197" fontId="0" fillId="13" borderId="180" xfId="0" applyNumberFormat="1" applyFill="1" applyBorder="1" applyAlignment="1">
      <alignment horizontal="center" vertical="center"/>
    </xf>
    <xf numFmtId="0" fontId="162" fillId="13" borderId="163" xfId="0" applyFont="1" applyFill="1" applyBorder="1"/>
    <xf numFmtId="0" fontId="0" fillId="13" borderId="181" xfId="0" applyFill="1" applyBorder="1" applyAlignment="1">
      <alignment horizontal="center" vertical="center"/>
    </xf>
    <xf numFmtId="197" fontId="0" fillId="13" borderId="182" xfId="0" applyNumberFormat="1" applyFill="1" applyBorder="1" applyAlignment="1">
      <alignment horizontal="center" vertical="center"/>
    </xf>
    <xf numFmtId="0" fontId="0" fillId="0" borderId="172" xfId="0" applyBorder="1"/>
    <xf numFmtId="0" fontId="0" fillId="0" borderId="173" xfId="0" applyBorder="1"/>
    <xf numFmtId="2" fontId="15" fillId="13" borderId="151" xfId="0" applyNumberFormat="1" applyFont="1" applyFill="1" applyBorder="1"/>
    <xf numFmtId="2" fontId="0" fillId="13" borderId="149" xfId="0" applyNumberFormat="1" applyFill="1" applyBorder="1"/>
    <xf numFmtId="2" fontId="0" fillId="13" borderId="151" xfId="0" applyNumberFormat="1" applyFill="1" applyBorder="1"/>
    <xf numFmtId="2" fontId="0" fillId="13" borderId="147" xfId="0" applyNumberFormat="1" applyFill="1" applyBorder="1"/>
    <xf numFmtId="197" fontId="15" fillId="17" borderId="15" xfId="0" applyNumberFormat="1" applyFont="1" applyFill="1" applyBorder="1"/>
    <xf numFmtId="197" fontId="15" fillId="17" borderId="0" xfId="0" applyNumberFormat="1" applyFont="1" applyFill="1"/>
    <xf numFmtId="197" fontId="15" fillId="13" borderId="0" xfId="0" applyNumberFormat="1" applyFont="1" applyFill="1"/>
    <xf numFmtId="197" fontId="0" fillId="13" borderId="0" xfId="0" applyNumberFormat="1" applyFill="1"/>
    <xf numFmtId="197" fontId="0" fillId="17" borderId="0" xfId="0" applyNumberFormat="1" applyFill="1"/>
    <xf numFmtId="0" fontId="15" fillId="17" borderId="183" xfId="0" applyFont="1" applyFill="1" applyBorder="1"/>
    <xf numFmtId="197" fontId="15" fillId="17" borderId="183" xfId="0" applyNumberFormat="1" applyFont="1" applyFill="1" applyBorder="1"/>
    <xf numFmtId="0" fontId="0" fillId="13" borderId="183" xfId="0" applyFill="1" applyBorder="1"/>
    <xf numFmtId="197" fontId="0" fillId="13" borderId="183" xfId="0" applyNumberFormat="1" applyFill="1" applyBorder="1"/>
    <xf numFmtId="197" fontId="0" fillId="17" borderId="127" xfId="0" applyNumberFormat="1" applyFill="1" applyBorder="1"/>
    <xf numFmtId="0" fontId="15" fillId="17" borderId="142" xfId="0" applyFont="1" applyFill="1" applyBorder="1" applyAlignment="1">
      <alignment horizontal="center"/>
    </xf>
    <xf numFmtId="0" fontId="15" fillId="17" borderId="143" xfId="0" applyFont="1" applyFill="1" applyBorder="1" applyAlignment="1">
      <alignment horizontal="center"/>
    </xf>
    <xf numFmtId="0" fontId="15" fillId="17" borderId="144" xfId="0" applyFont="1" applyFill="1" applyBorder="1" applyAlignment="1">
      <alignment horizontal="center"/>
    </xf>
    <xf numFmtId="0" fontId="160" fillId="17" borderId="12" xfId="0" applyFont="1" applyFill="1" applyBorder="1" applyAlignment="1">
      <alignment horizontal="center"/>
    </xf>
    <xf numFmtId="0" fontId="160" fillId="17" borderId="3" xfId="0" applyFont="1" applyFill="1" applyBorder="1" applyAlignment="1">
      <alignment horizontal="center"/>
    </xf>
    <xf numFmtId="0" fontId="160" fillId="17" borderId="13" xfId="0" applyFont="1" applyFill="1" applyBorder="1" applyAlignment="1">
      <alignment horizontal="center"/>
    </xf>
    <xf numFmtId="0" fontId="161" fillId="17" borderId="145" xfId="0" applyFont="1" applyFill="1" applyBorder="1" applyAlignment="1">
      <alignment horizontal="center" vertical="center"/>
    </xf>
    <xf numFmtId="0" fontId="161" fillId="17" borderId="146" xfId="0" applyFont="1" applyFill="1" applyBorder="1" applyAlignment="1">
      <alignment horizontal="center" vertical="center"/>
    </xf>
    <xf numFmtId="0" fontId="161" fillId="17" borderId="119" xfId="0" applyFont="1" applyFill="1" applyBorder="1" applyAlignment="1">
      <alignment horizontal="center" vertical="center"/>
    </xf>
    <xf numFmtId="0" fontId="161" fillId="17" borderId="115" xfId="0" applyFont="1" applyFill="1" applyBorder="1" applyAlignment="1">
      <alignment horizontal="center" vertical="center"/>
    </xf>
    <xf numFmtId="0" fontId="161" fillId="17" borderId="63" xfId="0" applyFont="1" applyFill="1" applyBorder="1" applyAlignment="1">
      <alignment horizontal="center" vertical="center"/>
    </xf>
    <xf numFmtId="0" fontId="161" fillId="17" borderId="78" xfId="0" applyFont="1" applyFill="1" applyBorder="1" applyAlignment="1">
      <alignment horizontal="center" vertical="center"/>
    </xf>
    <xf numFmtId="4" fontId="15" fillId="0" borderId="0" xfId="7" applyNumberFormat="1"/>
    <xf numFmtId="0" fontId="0" fillId="17" borderId="135" xfId="0" applyFill="1" applyBorder="1"/>
    <xf numFmtId="197" fontId="0" fillId="17" borderId="135" xfId="0" applyNumberFormat="1" applyFill="1" applyBorder="1"/>
    <xf numFmtId="167" fontId="15" fillId="21" borderId="2" xfId="7" applyNumberFormat="1" applyFill="1" applyBorder="1"/>
    <xf numFmtId="167" fontId="15" fillId="0" borderId="0" xfId="7" applyNumberFormat="1"/>
    <xf numFmtId="167" fontId="15" fillId="0" borderId="16" xfId="7" applyNumberFormat="1" applyBorder="1"/>
    <xf numFmtId="167" fontId="15" fillId="21" borderId="0" xfId="7" applyNumberFormat="1" applyFill="1"/>
    <xf numFmtId="2" fontId="15" fillId="0" borderId="0" xfId="7" applyNumberFormat="1"/>
    <xf numFmtId="2" fontId="15" fillId="0" borderId="16" xfId="7" applyNumberFormat="1" applyBorder="1"/>
    <xf numFmtId="2" fontId="15" fillId="0" borderId="2" xfId="7" applyNumberFormat="1" applyBorder="1"/>
    <xf numFmtId="2" fontId="15" fillId="0" borderId="0" xfId="7" quotePrefix="1" applyNumberFormat="1"/>
    <xf numFmtId="2" fontId="15" fillId="21" borderId="2" xfId="0" applyNumberFormat="1" applyFont="1" applyFill="1" applyBorder="1"/>
    <xf numFmtId="2" fontId="15" fillId="5" borderId="138" xfId="0" applyNumberFormat="1" applyFont="1" applyFill="1" applyBorder="1"/>
    <xf numFmtId="2" fontId="15" fillId="5" borderId="137" xfId="0" applyNumberFormat="1" applyFont="1" applyFill="1" applyBorder="1"/>
    <xf numFmtId="2" fontId="15" fillId="5" borderId="51" xfId="0" applyNumberFormat="1" applyFont="1" applyFill="1" applyBorder="1"/>
    <xf numFmtId="2" fontId="15" fillId="5" borderId="45" xfId="0" applyNumberFormat="1" applyFont="1" applyFill="1" applyBorder="1"/>
    <xf numFmtId="2" fontId="15" fillId="21" borderId="136" xfId="0" applyNumberFormat="1" applyFont="1" applyFill="1" applyBorder="1"/>
    <xf numFmtId="2" fontId="15" fillId="6" borderId="51" xfId="0" applyNumberFormat="1" applyFont="1" applyFill="1" applyBorder="1"/>
    <xf numFmtId="2" fontId="15" fillId="6" borderId="45" xfId="0" applyNumberFormat="1" applyFont="1" applyFill="1" applyBorder="1"/>
    <xf numFmtId="2" fontId="15" fillId="21" borderId="45" xfId="0" applyNumberFormat="1" applyFont="1" applyFill="1" applyBorder="1"/>
    <xf numFmtId="0" fontId="15" fillId="13" borderId="184" xfId="0" applyFont="1" applyFill="1" applyBorder="1" applyAlignment="1">
      <alignment horizontal="center"/>
    </xf>
    <xf numFmtId="0" fontId="15" fillId="13" borderId="185" xfId="0" applyFont="1" applyFill="1" applyBorder="1" applyAlignment="1">
      <alignment horizontal="center"/>
    </xf>
    <xf numFmtId="0" fontId="0" fillId="0" borderId="149" xfId="0" applyBorder="1" applyAlignment="1">
      <alignment horizontal="center"/>
    </xf>
    <xf numFmtId="0" fontId="0" fillId="0" borderId="150" xfId="0" applyBorder="1" applyAlignment="1">
      <alignment horizontal="center"/>
    </xf>
    <xf numFmtId="0" fontId="165" fillId="0" borderId="0" xfId="0" applyFont="1" applyAlignment="1">
      <alignment horizontal="center"/>
    </xf>
    <xf numFmtId="0" fontId="17" fillId="0" borderId="0" xfId="0" applyFont="1"/>
    <xf numFmtId="2" fontId="0" fillId="17" borderId="0" xfId="0" applyNumberFormat="1" applyFill="1"/>
    <xf numFmtId="0" fontId="54" fillId="13" borderId="0" xfId="0" applyFont="1" applyFill="1"/>
    <xf numFmtId="171" fontId="15" fillId="0" borderId="0" xfId="0" applyNumberFormat="1" applyFont="1"/>
    <xf numFmtId="171" fontId="15" fillId="0" borderId="127" xfId="0" applyNumberFormat="1" applyFont="1" applyBorder="1"/>
    <xf numFmtId="0" fontId="155" fillId="17" borderId="87" xfId="0" applyFont="1" applyFill="1" applyBorder="1" applyAlignment="1">
      <alignment horizontal="center"/>
    </xf>
    <xf numFmtId="0" fontId="54" fillId="17" borderId="115" xfId="0" applyFont="1" applyFill="1" applyBorder="1"/>
    <xf numFmtId="2" fontId="0" fillId="17" borderId="78" xfId="0" applyNumberFormat="1" applyFill="1" applyBorder="1" applyAlignment="1">
      <alignment horizontal="right" vertical="center"/>
    </xf>
    <xf numFmtId="9" fontId="0" fillId="17" borderId="79" xfId="0" applyNumberFormat="1" applyFill="1" applyBorder="1" applyAlignment="1">
      <alignment horizontal="center" vertical="center"/>
    </xf>
    <xf numFmtId="9" fontId="0" fillId="17" borderId="114" xfId="0" applyNumberFormat="1" applyFill="1" applyBorder="1"/>
    <xf numFmtId="9" fontId="0" fillId="17" borderId="76" xfId="0" applyNumberFormat="1" applyFill="1" applyBorder="1"/>
    <xf numFmtId="9" fontId="0" fillId="17" borderId="77" xfId="0" applyNumberFormat="1" applyFill="1" applyBorder="1"/>
    <xf numFmtId="1" fontId="0" fillId="17" borderId="114" xfId="0" applyNumberFormat="1" applyFill="1" applyBorder="1"/>
    <xf numFmtId="1" fontId="0" fillId="17" borderId="9" xfId="0" applyNumberFormat="1" applyFill="1" applyBorder="1"/>
    <xf numFmtId="0" fontId="54" fillId="17" borderId="114" xfId="0" applyFont="1" applyFill="1" applyBorder="1" applyAlignment="1">
      <alignment horizontal="left"/>
    </xf>
    <xf numFmtId="9" fontId="0" fillId="17" borderId="77" xfId="0" applyNumberFormat="1" applyFill="1" applyBorder="1" applyAlignment="1">
      <alignment horizontal="center" vertical="center"/>
    </xf>
    <xf numFmtId="0" fontId="54" fillId="17" borderId="114" xfId="0" applyFont="1" applyFill="1" applyBorder="1"/>
    <xf numFmtId="0" fontId="54" fillId="17" borderId="116" xfId="0" applyFont="1" applyFill="1" applyBorder="1"/>
    <xf numFmtId="2" fontId="0" fillId="17" borderId="110" xfId="0" applyNumberFormat="1" applyFill="1" applyBorder="1" applyAlignment="1">
      <alignment horizontal="right" vertical="center"/>
    </xf>
    <xf numFmtId="9" fontId="0" fillId="17" borderId="117" xfId="0" applyNumberFormat="1" applyFill="1" applyBorder="1" applyAlignment="1">
      <alignment horizontal="center" vertical="center"/>
    </xf>
    <xf numFmtId="9" fontId="0" fillId="17" borderId="116" xfId="0" applyNumberFormat="1" applyFill="1" applyBorder="1"/>
    <xf numFmtId="9" fontId="0" fillId="17" borderId="110" xfId="0" applyNumberFormat="1" applyFill="1" applyBorder="1"/>
    <xf numFmtId="9" fontId="0" fillId="17" borderId="117" xfId="0" applyNumberFormat="1" applyFill="1" applyBorder="1"/>
    <xf numFmtId="1" fontId="0" fillId="17" borderId="116" xfId="0" applyNumberFormat="1" applyFill="1" applyBorder="1"/>
    <xf numFmtId="1" fontId="0" fillId="17" borderId="186" xfId="0" applyNumberFormat="1" applyFill="1" applyBorder="1"/>
    <xf numFmtId="0" fontId="15" fillId="17" borderId="118" xfId="0" applyFont="1" applyFill="1" applyBorder="1"/>
    <xf numFmtId="2" fontId="0" fillId="17" borderId="71" xfId="0" applyNumberFormat="1" applyFill="1" applyBorder="1"/>
    <xf numFmtId="10" fontId="0" fillId="17" borderId="74" xfId="0" applyNumberFormat="1" applyFill="1" applyBorder="1" applyAlignment="1">
      <alignment horizontal="center" vertical="center"/>
    </xf>
    <xf numFmtId="9" fontId="0" fillId="17" borderId="118" xfId="0" applyNumberFormat="1" applyFill="1" applyBorder="1"/>
    <xf numFmtId="1" fontId="0" fillId="17" borderId="118" xfId="0" applyNumberFormat="1" applyFill="1" applyBorder="1"/>
    <xf numFmtId="1" fontId="0" fillId="17" borderId="71" xfId="0" applyNumberFormat="1" applyFill="1" applyBorder="1"/>
    <xf numFmtId="1" fontId="0" fillId="17" borderId="74" xfId="0" applyNumberFormat="1" applyFill="1" applyBorder="1"/>
    <xf numFmtId="0" fontId="0" fillId="17" borderId="62" xfId="0" applyFill="1" applyBorder="1"/>
    <xf numFmtId="0" fontId="0" fillId="17" borderId="5" xfId="0" applyFill="1" applyBorder="1"/>
    <xf numFmtId="0" fontId="164" fillId="17" borderId="112" xfId="0" applyFont="1" applyFill="1" applyBorder="1" applyAlignment="1">
      <alignment horizontal="center" vertical="center"/>
    </xf>
    <xf numFmtId="10" fontId="54" fillId="17" borderId="133" xfId="0" applyNumberFormat="1" applyFont="1" applyFill="1" applyBorder="1" applyAlignment="1">
      <alignment horizontal="center" vertical="center"/>
    </xf>
    <xf numFmtId="10" fontId="54" fillId="17" borderId="188" xfId="0" applyNumberFormat="1" applyFont="1" applyFill="1" applyBorder="1" applyAlignment="1">
      <alignment horizontal="center" vertical="center"/>
    </xf>
    <xf numFmtId="0" fontId="0" fillId="17" borderId="125" xfId="0" applyFill="1" applyBorder="1"/>
    <xf numFmtId="0" fontId="155" fillId="17" borderId="76" xfId="0" applyFont="1" applyFill="1" applyBorder="1" applyAlignment="1">
      <alignment horizontal="right"/>
    </xf>
    <xf numFmtId="2" fontId="0" fillId="17" borderId="109" xfId="0" applyNumberFormat="1" applyFill="1" applyBorder="1"/>
    <xf numFmtId="2" fontId="0" fillId="17" borderId="134" xfId="0" applyNumberFormat="1" applyFill="1" applyBorder="1"/>
    <xf numFmtId="0" fontId="0" fillId="17" borderId="89" xfId="0" applyFill="1" applyBorder="1"/>
    <xf numFmtId="0" fontId="0" fillId="17" borderId="132" xfId="0" applyFill="1" applyBorder="1"/>
    <xf numFmtId="0" fontId="164" fillId="17" borderId="115" xfId="0" applyFont="1" applyFill="1" applyBorder="1" applyAlignment="1">
      <alignment horizontal="left" vertical="center"/>
    </xf>
    <xf numFmtId="2" fontId="38" fillId="17" borderId="114" xfId="0" applyNumberFormat="1" applyFont="1" applyFill="1" applyBorder="1"/>
    <xf numFmtId="2" fontId="0" fillId="17" borderId="76" xfId="0" applyNumberFormat="1" applyFill="1" applyBorder="1"/>
    <xf numFmtId="2" fontId="38" fillId="17" borderId="76" xfId="0" applyNumberFormat="1" applyFont="1" applyFill="1" applyBorder="1"/>
    <xf numFmtId="2" fontId="0" fillId="17" borderId="77" xfId="0" applyNumberFormat="1" applyFill="1" applyBorder="1"/>
    <xf numFmtId="0" fontId="164" fillId="17" borderId="114" xfId="0" applyFont="1" applyFill="1" applyBorder="1" applyAlignment="1">
      <alignment horizontal="left" vertical="center"/>
    </xf>
    <xf numFmtId="2" fontId="0" fillId="17" borderId="114" xfId="0" applyNumberFormat="1" applyFill="1" applyBorder="1"/>
    <xf numFmtId="0" fontId="164" fillId="17" borderId="116" xfId="0" applyFont="1" applyFill="1" applyBorder="1" applyAlignment="1">
      <alignment horizontal="left" vertical="center"/>
    </xf>
    <xf numFmtId="2" fontId="38" fillId="17" borderId="116" xfId="0" applyNumberFormat="1" applyFont="1" applyFill="1" applyBorder="1"/>
    <xf numFmtId="2" fontId="38" fillId="17" borderId="110" xfId="0" applyNumberFormat="1" applyFont="1" applyFill="1" applyBorder="1"/>
    <xf numFmtId="2" fontId="0" fillId="17" borderId="110" xfId="0" applyNumberFormat="1" applyFill="1" applyBorder="1"/>
    <xf numFmtId="2" fontId="0" fillId="17" borderId="117" xfId="0" applyNumberFormat="1" applyFill="1" applyBorder="1"/>
    <xf numFmtId="1" fontId="38" fillId="17" borderId="114" xfId="0" applyNumberFormat="1" applyFont="1" applyFill="1" applyBorder="1"/>
    <xf numFmtId="1" fontId="0" fillId="17" borderId="76" xfId="0" applyNumberFormat="1" applyFill="1" applyBorder="1"/>
    <xf numFmtId="1" fontId="38" fillId="17" borderId="76" xfId="0" applyNumberFormat="1" applyFont="1" applyFill="1" applyBorder="1"/>
    <xf numFmtId="1" fontId="0" fillId="17" borderId="77" xfId="0" applyNumberFormat="1" applyFill="1" applyBorder="1"/>
    <xf numFmtId="0" fontId="164" fillId="17" borderId="140" xfId="0" applyFont="1" applyFill="1" applyBorder="1" applyAlignment="1">
      <alignment horizontal="center" vertical="center"/>
    </xf>
    <xf numFmtId="1" fontId="38" fillId="17" borderId="116" xfId="0" applyNumberFormat="1" applyFont="1" applyFill="1" applyBorder="1"/>
    <xf numFmtId="1" fontId="38" fillId="17" borderId="110" xfId="0" applyNumberFormat="1" applyFont="1" applyFill="1" applyBorder="1"/>
    <xf numFmtId="1" fontId="0" fillId="17" borderId="110" xfId="0" applyNumberFormat="1" applyFill="1" applyBorder="1"/>
    <xf numFmtId="1" fontId="0" fillId="17" borderId="117" xfId="0" applyNumberFormat="1" applyFill="1" applyBorder="1"/>
    <xf numFmtId="0" fontId="155" fillId="17" borderId="141" xfId="0" applyFont="1" applyFill="1" applyBorder="1" applyAlignment="1">
      <alignment horizontal="right"/>
    </xf>
    <xf numFmtId="1" fontId="0" fillId="17" borderId="41" xfId="0" applyNumberFormat="1" applyFill="1" applyBorder="1"/>
    <xf numFmtId="1" fontId="0" fillId="17" borderId="78" xfId="0" applyNumberFormat="1" applyFill="1" applyBorder="1"/>
    <xf numFmtId="1" fontId="0" fillId="17" borderId="141" xfId="0" applyNumberFormat="1" applyFill="1" applyBorder="1"/>
    <xf numFmtId="0" fontId="155" fillId="17" borderId="132" xfId="0" applyFont="1" applyFill="1" applyBorder="1" applyAlignment="1">
      <alignment horizontal="right"/>
    </xf>
    <xf numFmtId="2" fontId="0" fillId="17" borderId="139" xfId="0" applyNumberFormat="1" applyFill="1" applyBorder="1"/>
    <xf numFmtId="2" fontId="0" fillId="17" borderId="90" xfId="0" applyNumberFormat="1" applyFill="1" applyBorder="1"/>
    <xf numFmtId="2" fontId="0" fillId="17" borderId="132" xfId="0" applyNumberFormat="1" applyFill="1" applyBorder="1"/>
    <xf numFmtId="198" fontId="0" fillId="17" borderId="0" xfId="0" applyNumberFormat="1" applyFill="1"/>
    <xf numFmtId="0" fontId="0" fillId="17" borderId="61" xfId="0" applyFill="1" applyBorder="1"/>
    <xf numFmtId="0" fontId="0" fillId="17" borderId="70" xfId="0" applyFill="1" applyBorder="1"/>
    <xf numFmtId="0" fontId="0" fillId="17" borderId="4" xfId="0" applyFill="1" applyBorder="1"/>
    <xf numFmtId="0" fontId="0" fillId="17" borderId="73" xfId="0" applyFill="1" applyBorder="1"/>
    <xf numFmtId="0" fontId="0" fillId="17" borderId="189" xfId="0" applyFill="1" applyBorder="1"/>
    <xf numFmtId="0" fontId="161" fillId="17" borderId="112" xfId="0" applyFont="1" applyFill="1" applyBorder="1" applyAlignment="1">
      <alignment horizontal="center" vertical="center"/>
    </xf>
    <xf numFmtId="0" fontId="0" fillId="17" borderId="112" xfId="0" applyFill="1" applyBorder="1"/>
    <xf numFmtId="0" fontId="161" fillId="17" borderId="76" xfId="0" applyFont="1" applyFill="1" applyBorder="1" applyAlignment="1">
      <alignment horizontal="center" vertical="center"/>
    </xf>
    <xf numFmtId="0" fontId="0" fillId="17" borderId="76" xfId="0" applyFill="1" applyBorder="1"/>
    <xf numFmtId="0" fontId="160" fillId="17" borderId="114" xfId="0" applyFont="1" applyFill="1" applyBorder="1" applyAlignment="1">
      <alignment horizontal="left" vertical="top"/>
    </xf>
    <xf numFmtId="0" fontId="160" fillId="17" borderId="76" xfId="0" applyFont="1" applyFill="1" applyBorder="1" applyAlignment="1">
      <alignment horizontal="left" vertical="top"/>
    </xf>
    <xf numFmtId="4" fontId="0" fillId="17" borderId="76" xfId="0" applyNumberFormat="1" applyFill="1" applyBorder="1"/>
    <xf numFmtId="2" fontId="0" fillId="17" borderId="0" xfId="0" applyNumberFormat="1" applyFill="1" applyAlignment="1">
      <alignment horizontal="center" vertical="center"/>
    </xf>
    <xf numFmtId="2" fontId="0" fillId="17" borderId="89" xfId="0" applyNumberFormat="1" applyFill="1" applyBorder="1" applyAlignment="1">
      <alignment horizontal="center" vertical="center"/>
    </xf>
    <xf numFmtId="0" fontId="162" fillId="17" borderId="76" xfId="0" applyFont="1" applyFill="1" applyBorder="1" applyAlignment="1">
      <alignment horizontal="left" vertical="top"/>
    </xf>
    <xf numFmtId="0" fontId="160" fillId="17" borderId="109" xfId="0" applyFont="1" applyFill="1" applyBorder="1" applyAlignment="1">
      <alignment horizontal="left" vertical="top"/>
    </xf>
    <xf numFmtId="4" fontId="0" fillId="17" borderId="109" xfId="0" applyNumberFormat="1" applyFill="1" applyBorder="1"/>
    <xf numFmtId="0" fontId="160" fillId="17" borderId="110" xfId="0" applyFont="1" applyFill="1" applyBorder="1" applyAlignment="1">
      <alignment horizontal="left" vertical="top"/>
    </xf>
    <xf numFmtId="4" fontId="0" fillId="17" borderId="110" xfId="0" applyNumberFormat="1" applyFill="1" applyBorder="1"/>
    <xf numFmtId="0" fontId="0" fillId="17" borderId="110" xfId="0" applyFill="1" applyBorder="1"/>
    <xf numFmtId="2" fontId="0" fillId="17" borderId="127" xfId="0" applyNumberFormat="1" applyFill="1" applyBorder="1" applyAlignment="1">
      <alignment horizontal="center" vertical="center"/>
    </xf>
    <xf numFmtId="2" fontId="0" fillId="17" borderId="129" xfId="0" applyNumberFormat="1" applyFill="1" applyBorder="1" applyAlignment="1">
      <alignment horizontal="center" vertical="center"/>
    </xf>
    <xf numFmtId="4" fontId="0" fillId="17" borderId="0" xfId="0" applyNumberFormat="1" applyFill="1"/>
    <xf numFmtId="2" fontId="0" fillId="17" borderId="35" xfId="0" applyNumberFormat="1" applyFill="1" applyBorder="1" applyAlignment="1">
      <alignment horizontal="center" vertical="center"/>
    </xf>
    <xf numFmtId="2" fontId="0" fillId="17" borderId="122" xfId="0" applyNumberFormat="1" applyFill="1" applyBorder="1" applyAlignment="1">
      <alignment horizontal="center" vertical="center"/>
    </xf>
    <xf numFmtId="0" fontId="160" fillId="17" borderId="125" xfId="0" applyFont="1" applyFill="1" applyBorder="1"/>
    <xf numFmtId="197" fontId="0" fillId="17" borderId="35" xfId="0" applyNumberFormat="1" applyFill="1" applyBorder="1" applyAlignment="1">
      <alignment horizontal="center" vertical="center"/>
    </xf>
    <xf numFmtId="197" fontId="0" fillId="17" borderId="0" xfId="0" applyNumberFormat="1" applyFill="1" applyAlignment="1">
      <alignment horizontal="center" vertical="center"/>
    </xf>
    <xf numFmtId="197" fontId="0" fillId="17" borderId="89" xfId="0" applyNumberFormat="1" applyFill="1" applyBorder="1" applyAlignment="1">
      <alignment horizontal="center" vertical="center"/>
    </xf>
    <xf numFmtId="0" fontId="160" fillId="17" borderId="131" xfId="0" applyFont="1" applyFill="1" applyBorder="1"/>
    <xf numFmtId="197" fontId="0" fillId="17" borderId="126" xfId="0" applyNumberFormat="1" applyFill="1" applyBorder="1" applyAlignment="1">
      <alignment horizontal="center" vertical="center"/>
    </xf>
    <xf numFmtId="197" fontId="0" fillId="17" borderId="127" xfId="0" applyNumberFormat="1" applyFill="1" applyBorder="1" applyAlignment="1">
      <alignment horizontal="center" vertical="center"/>
    </xf>
    <xf numFmtId="197" fontId="0" fillId="17" borderId="129" xfId="0" applyNumberFormat="1" applyFill="1" applyBorder="1" applyAlignment="1">
      <alignment horizontal="center" vertical="center"/>
    </xf>
    <xf numFmtId="197" fontId="0" fillId="17" borderId="187" xfId="0" applyNumberFormat="1" applyFill="1" applyBorder="1" applyAlignment="1">
      <alignment horizontal="center" vertical="center"/>
    </xf>
    <xf numFmtId="197" fontId="0" fillId="17" borderId="4" xfId="0" applyNumberFormat="1" applyFill="1" applyBorder="1" applyAlignment="1">
      <alignment horizontal="center" vertical="center"/>
    </xf>
    <xf numFmtId="197" fontId="0" fillId="17" borderId="73" xfId="0" applyNumberFormat="1" applyFill="1" applyBorder="1" applyAlignment="1">
      <alignment horizontal="center" vertical="center"/>
    </xf>
    <xf numFmtId="0" fontId="160" fillId="17" borderId="0" xfId="0" applyFont="1" applyFill="1"/>
    <xf numFmtId="0" fontId="160" fillId="17" borderId="127" xfId="0" applyFont="1" applyFill="1" applyBorder="1"/>
    <xf numFmtId="2" fontId="0" fillId="17" borderId="126" xfId="0" applyNumberFormat="1" applyFill="1" applyBorder="1" applyAlignment="1">
      <alignment horizontal="center" vertical="center"/>
    </xf>
    <xf numFmtId="0" fontId="0" fillId="17" borderId="35" xfId="0" applyFill="1" applyBorder="1" applyAlignment="1">
      <alignment horizontal="center" vertical="center"/>
    </xf>
    <xf numFmtId="0" fontId="0" fillId="17" borderId="122" xfId="0" applyFill="1" applyBorder="1" applyAlignment="1">
      <alignment horizontal="center" vertical="center"/>
    </xf>
    <xf numFmtId="9" fontId="0" fillId="17" borderId="71" xfId="0" applyNumberFormat="1" applyFill="1" applyBorder="1"/>
    <xf numFmtId="0" fontId="0" fillId="17" borderId="71" xfId="0" applyFill="1" applyBorder="1"/>
    <xf numFmtId="0" fontId="0" fillId="17" borderId="74" xfId="0" applyFill="1" applyBorder="1"/>
    <xf numFmtId="0" fontId="54" fillId="17" borderId="190" xfId="0" applyFont="1" applyFill="1" applyBorder="1" applyAlignment="1">
      <alignment horizontal="center" vertical="center"/>
    </xf>
    <xf numFmtId="0" fontId="0" fillId="17" borderId="60" xfId="0" applyFill="1" applyBorder="1" applyAlignment="1">
      <alignment horizontal="center"/>
    </xf>
    <xf numFmtId="9" fontId="0" fillId="17" borderId="60" xfId="0" applyNumberFormat="1" applyFill="1" applyBorder="1"/>
    <xf numFmtId="9" fontId="0" fillId="17" borderId="140" xfId="0" applyNumberFormat="1" applyFill="1" applyBorder="1"/>
    <xf numFmtId="0" fontId="54" fillId="13" borderId="2" xfId="0" applyFont="1" applyFill="1" applyBorder="1"/>
    <xf numFmtId="2" fontId="0" fillId="13" borderId="2" xfId="0" applyNumberFormat="1" applyFill="1" applyBorder="1"/>
    <xf numFmtId="172" fontId="0" fillId="17" borderId="78" xfId="0" applyNumberFormat="1" applyFill="1" applyBorder="1" applyAlignment="1">
      <alignment horizontal="right" vertical="center"/>
    </xf>
    <xf numFmtId="166" fontId="0" fillId="17" borderId="90" xfId="0" applyNumberFormat="1" applyFill="1" applyBorder="1"/>
    <xf numFmtId="166" fontId="0" fillId="17" borderId="132" xfId="0" applyNumberFormat="1" applyFill="1" applyBorder="1"/>
    <xf numFmtId="0" fontId="160" fillId="17" borderId="116" xfId="0" applyFont="1" applyFill="1" applyBorder="1" applyAlignment="1">
      <alignment horizontal="left" vertical="top"/>
    </xf>
    <xf numFmtId="0" fontId="15" fillId="17" borderId="123" xfId="0" applyFont="1" applyFill="1" applyBorder="1"/>
    <xf numFmtId="0" fontId="15" fillId="17" borderId="124" xfId="0" applyFont="1" applyFill="1" applyBorder="1"/>
    <xf numFmtId="0" fontId="15" fillId="17" borderId="87" xfId="0" applyFont="1" applyFill="1" applyBorder="1"/>
    <xf numFmtId="0" fontId="161" fillId="17" borderId="60" xfId="0" applyFont="1" applyFill="1" applyBorder="1" applyAlignment="1">
      <alignment vertical="center"/>
    </xf>
    <xf numFmtId="0" fontId="161" fillId="17" borderId="3" xfId="0" applyFont="1" applyFill="1" applyBorder="1" applyAlignment="1">
      <alignment vertical="center"/>
    </xf>
    <xf numFmtId="0" fontId="161" fillId="17" borderId="13" xfId="0" applyFont="1" applyFill="1" applyBorder="1" applyAlignment="1">
      <alignment vertical="center"/>
    </xf>
    <xf numFmtId="0" fontId="163" fillId="17" borderId="123" xfId="0" applyFont="1" applyFill="1" applyBorder="1"/>
    <xf numFmtId="0" fontId="163" fillId="17" borderId="124" xfId="0" applyFont="1" applyFill="1" applyBorder="1"/>
    <xf numFmtId="0" fontId="163" fillId="17" borderId="87" xfId="0" applyFont="1" applyFill="1" applyBorder="1"/>
    <xf numFmtId="0" fontId="161" fillId="17" borderId="145" xfId="0" applyFont="1" applyFill="1" applyBorder="1" applyAlignment="1">
      <alignment vertical="center"/>
    </xf>
    <xf numFmtId="0" fontId="161" fillId="17" borderId="146" xfId="0" applyFont="1" applyFill="1" applyBorder="1" applyAlignment="1">
      <alignment vertical="center"/>
    </xf>
    <xf numFmtId="0" fontId="160" fillId="17" borderId="12" xfId="0" applyFont="1" applyFill="1" applyBorder="1"/>
    <xf numFmtId="0" fontId="160" fillId="17" borderId="3" xfId="0" applyFont="1" applyFill="1" applyBorder="1"/>
    <xf numFmtId="0" fontId="160" fillId="17" borderId="13" xfId="0" applyFont="1" applyFill="1" applyBorder="1"/>
    <xf numFmtId="0" fontId="15" fillId="17" borderId="142" xfId="0" applyFont="1" applyFill="1" applyBorder="1"/>
    <xf numFmtId="0" fontId="15" fillId="17" borderId="143" xfId="0" applyFont="1" applyFill="1" applyBorder="1"/>
    <xf numFmtId="0" fontId="15" fillId="17" borderId="144" xfId="0" applyFont="1" applyFill="1" applyBorder="1"/>
    <xf numFmtId="0" fontId="155" fillId="17" borderId="123" xfId="0" applyFont="1" applyFill="1" applyBorder="1"/>
    <xf numFmtId="0" fontId="155" fillId="17" borderId="124" xfId="0" applyFont="1" applyFill="1" applyBorder="1"/>
    <xf numFmtId="0" fontId="155" fillId="17" borderId="87" xfId="0" applyFont="1" applyFill="1" applyBorder="1"/>
    <xf numFmtId="0" fontId="161" fillId="17" borderId="119" xfId="0" applyFont="1" applyFill="1" applyBorder="1" applyAlignment="1">
      <alignment vertical="center"/>
    </xf>
    <xf numFmtId="0" fontId="161" fillId="17" borderId="115" xfId="0" applyFont="1" applyFill="1" applyBorder="1" applyAlignment="1">
      <alignment vertical="center"/>
    </xf>
    <xf numFmtId="0" fontId="161" fillId="17" borderId="63" xfId="0" applyFont="1" applyFill="1" applyBorder="1" applyAlignment="1">
      <alignment vertical="center"/>
    </xf>
    <xf numFmtId="0" fontId="161" fillId="17" borderId="78" xfId="0" applyFont="1" applyFill="1" applyBorder="1" applyAlignment="1">
      <alignment vertical="center"/>
    </xf>
    <xf numFmtId="0" fontId="155" fillId="17" borderId="73" xfId="0" applyFont="1" applyFill="1" applyBorder="1" applyAlignment="1">
      <alignment horizontal="center"/>
    </xf>
    <xf numFmtId="0" fontId="155" fillId="17" borderId="70" xfId="0" applyFont="1" applyFill="1" applyBorder="1"/>
    <xf numFmtId="0" fontId="155" fillId="17" borderId="4" xfId="0" applyFont="1" applyFill="1" applyBorder="1"/>
    <xf numFmtId="0" fontId="155" fillId="17" borderId="73" xfId="0" applyFont="1" applyFill="1" applyBorder="1"/>
    <xf numFmtId="0" fontId="163" fillId="17" borderId="70" xfId="0" applyFont="1" applyFill="1" applyBorder="1"/>
    <xf numFmtId="0" fontId="163" fillId="17" borderId="4" xfId="0" applyFont="1" applyFill="1" applyBorder="1"/>
    <xf numFmtId="0" fontId="163" fillId="17" borderId="73" xfId="0" applyFont="1" applyFill="1" applyBorder="1"/>
    <xf numFmtId="0" fontId="0" fillId="17" borderId="187" xfId="0" applyFill="1" applyBorder="1"/>
    <xf numFmtId="166" fontId="0" fillId="13" borderId="0" xfId="0" applyNumberFormat="1" applyFill="1"/>
    <xf numFmtId="166" fontId="0" fillId="17" borderId="0" xfId="0" applyNumberFormat="1" applyFill="1"/>
    <xf numFmtId="166" fontId="15" fillId="17" borderId="15" xfId="0" applyNumberFormat="1" applyFont="1" applyFill="1" applyBorder="1"/>
    <xf numFmtId="166" fontId="15" fillId="17" borderId="0" xfId="0" applyNumberFormat="1" applyFont="1" applyFill="1"/>
    <xf numFmtId="166" fontId="15" fillId="17" borderId="183" xfId="0" applyNumberFormat="1" applyFont="1" applyFill="1" applyBorder="1"/>
    <xf numFmtId="166" fontId="15" fillId="13" borderId="0" xfId="0" applyNumberFormat="1" applyFont="1" applyFill="1"/>
    <xf numFmtId="166" fontId="0" fillId="13" borderId="183" xfId="0" applyNumberFormat="1" applyFill="1" applyBorder="1"/>
    <xf numFmtId="166" fontId="0" fillId="17" borderId="135" xfId="0" applyNumberFormat="1" applyFill="1" applyBorder="1"/>
    <xf numFmtId="0" fontId="167" fillId="17" borderId="111" xfId="0" applyFont="1" applyFill="1" applyBorder="1" applyAlignment="1">
      <alignment horizontal="center" vertical="center"/>
    </xf>
    <xf numFmtId="0" fontId="167" fillId="17" borderId="112" xfId="0" applyFont="1" applyFill="1" applyBorder="1" applyAlignment="1">
      <alignment horizontal="center" vertical="center"/>
    </xf>
    <xf numFmtId="0" fontId="167" fillId="17" borderId="113" xfId="0" applyFont="1" applyFill="1" applyBorder="1" applyAlignment="1">
      <alignment horizontal="center" vertical="center"/>
    </xf>
    <xf numFmtId="0" fontId="154" fillId="7" borderId="59" xfId="3" applyFont="1" applyFill="1" applyBorder="1" applyAlignment="1">
      <alignment horizontal="center" vertical="center" wrapText="1"/>
    </xf>
    <xf numFmtId="0" fontId="167" fillId="0" borderId="0" xfId="7" applyFont="1"/>
    <xf numFmtId="0" fontId="17" fillId="0" borderId="0" xfId="7" applyFont="1" applyAlignment="1">
      <alignment horizontal="center" vertical="center"/>
    </xf>
    <xf numFmtId="0" fontId="168" fillId="0" borderId="0" xfId="7" applyFont="1"/>
    <xf numFmtId="4" fontId="15" fillId="17" borderId="37" xfId="7" applyNumberFormat="1" applyFill="1" applyBorder="1"/>
    <xf numFmtId="4" fontId="15" fillId="17" borderId="2" xfId="7" applyNumberFormat="1" applyFill="1" applyBorder="1"/>
    <xf numFmtId="4" fontId="15" fillId="17" borderId="38" xfId="7" applyNumberFormat="1" applyFill="1" applyBorder="1"/>
    <xf numFmtId="4" fontId="15" fillId="13" borderId="40" xfId="7" applyNumberFormat="1" applyFill="1" applyBorder="1"/>
    <xf numFmtId="4" fontId="15" fillId="13" borderId="16" xfId="7" applyNumberFormat="1" applyFill="1" applyBorder="1"/>
    <xf numFmtId="4" fontId="15" fillId="13" borderId="41" xfId="7" applyNumberFormat="1" applyFill="1" applyBorder="1"/>
    <xf numFmtId="166" fontId="15" fillId="16" borderId="0" xfId="7" applyNumberFormat="1" applyFill="1"/>
    <xf numFmtId="0" fontId="17" fillId="0" borderId="76" xfId="0" applyFont="1" applyBorder="1" applyAlignment="1">
      <alignment horizontal="center" vertical="center"/>
    </xf>
    <xf numFmtId="172" fontId="0" fillId="0" borderId="76" xfId="0" applyNumberFormat="1" applyBorder="1"/>
    <xf numFmtId="0" fontId="15" fillId="0" borderId="78" xfId="0" applyFont="1" applyBorder="1"/>
    <xf numFmtId="172" fontId="0" fillId="0" borderId="78" xfId="0" applyNumberFormat="1" applyBorder="1"/>
    <xf numFmtId="172" fontId="0" fillId="0" borderId="110" xfId="0" applyNumberFormat="1" applyBorder="1"/>
    <xf numFmtId="172" fontId="0" fillId="0" borderId="0" xfId="0" applyNumberFormat="1"/>
    <xf numFmtId="0" fontId="17" fillId="13" borderId="76" xfId="0" applyFont="1" applyFill="1" applyBorder="1" applyAlignment="1">
      <alignment horizontal="center" vertical="center"/>
    </xf>
    <xf numFmtId="2" fontId="0" fillId="13" borderId="76" xfId="0" applyNumberFormat="1" applyFill="1" applyBorder="1"/>
    <xf numFmtId="0" fontId="0" fillId="13" borderId="110" xfId="0" applyFill="1" applyBorder="1"/>
    <xf numFmtId="2" fontId="0" fillId="13" borderId="110" xfId="0" applyNumberFormat="1" applyFill="1" applyBorder="1"/>
    <xf numFmtId="0" fontId="15" fillId="13" borderId="78" xfId="0" applyFont="1" applyFill="1" applyBorder="1"/>
    <xf numFmtId="2" fontId="0" fillId="13" borderId="78" xfId="0" applyNumberFormat="1" applyFill="1" applyBorder="1"/>
    <xf numFmtId="0" fontId="15" fillId="13" borderId="76" xfId="0" applyFont="1" applyFill="1" applyBorder="1"/>
    <xf numFmtId="0" fontId="15" fillId="13" borderId="16" xfId="0" applyFont="1" applyFill="1" applyBorder="1" applyAlignment="1">
      <alignment horizontal="center"/>
    </xf>
    <xf numFmtId="0" fontId="32" fillId="13" borderId="0" xfId="13" applyFont="1" applyFill="1" applyAlignment="1">
      <alignment horizontal="left"/>
    </xf>
    <xf numFmtId="0" fontId="3" fillId="13" borderId="0" xfId="13" applyFill="1" applyAlignment="1">
      <alignment horizontal="left" vertical="top" wrapText="1"/>
    </xf>
    <xf numFmtId="0" fontId="32" fillId="13" borderId="0" xfId="13" applyFont="1" applyFill="1" applyAlignment="1">
      <alignment horizontal="center"/>
    </xf>
    <xf numFmtId="0" fontId="151" fillId="71" borderId="59" xfId="1" applyFont="1" applyFill="1" applyBorder="1" applyAlignment="1">
      <alignment horizontal="center" wrapText="1"/>
    </xf>
    <xf numFmtId="0" fontId="15" fillId="13" borderId="67" xfId="7" applyFill="1" applyBorder="1"/>
    <xf numFmtId="0" fontId="15" fillId="13" borderId="68" xfId="7" applyFill="1" applyBorder="1" applyAlignment="1">
      <alignment wrapText="1"/>
    </xf>
    <xf numFmtId="0" fontId="154" fillId="13" borderId="106" xfId="7" applyFont="1" applyFill="1" applyBorder="1" applyAlignment="1">
      <alignment horizontal="center" wrapText="1"/>
    </xf>
    <xf numFmtId="0" fontId="154" fillId="13" borderId="59" xfId="7" applyFont="1" applyFill="1" applyBorder="1" applyAlignment="1">
      <alignment horizontal="center" wrapText="1"/>
    </xf>
    <xf numFmtId="0" fontId="154" fillId="13" borderId="107" xfId="7" applyFont="1" applyFill="1" applyBorder="1" applyAlignment="1">
      <alignment horizontal="center" wrapText="1"/>
    </xf>
    <xf numFmtId="0" fontId="155" fillId="0" borderId="106" xfId="7" applyFont="1" applyBorder="1" applyAlignment="1">
      <alignment horizontal="left"/>
    </xf>
    <xf numFmtId="0" fontId="155" fillId="0" borderId="59" xfId="7" applyFont="1" applyBorder="1" applyAlignment="1">
      <alignment horizontal="left"/>
    </xf>
    <xf numFmtId="0" fontId="155" fillId="0" borderId="108" xfId="7" applyFont="1" applyBorder="1" applyAlignment="1">
      <alignment horizontal="left"/>
    </xf>
    <xf numFmtId="0" fontId="155" fillId="13" borderId="106" xfId="7" applyFont="1" applyFill="1" applyBorder="1" applyAlignment="1">
      <alignment horizontal="left"/>
    </xf>
    <xf numFmtId="0" fontId="155" fillId="13" borderId="59" xfId="7" applyFont="1" applyFill="1" applyBorder="1" applyAlignment="1">
      <alignment horizontal="left"/>
    </xf>
    <xf numFmtId="0" fontId="155" fillId="13" borderId="108" xfId="7" applyFont="1" applyFill="1" applyBorder="1" applyAlignment="1">
      <alignment horizontal="left"/>
    </xf>
    <xf numFmtId="0" fontId="17" fillId="17" borderId="76" xfId="0" applyFont="1" applyFill="1" applyBorder="1" applyAlignment="1">
      <alignment horizontal="center"/>
    </xf>
    <xf numFmtId="0" fontId="155" fillId="17" borderId="194" xfId="0" applyFont="1" applyFill="1" applyBorder="1" applyAlignment="1">
      <alignment horizontal="center"/>
    </xf>
    <xf numFmtId="0" fontId="155" fillId="17" borderId="1" xfId="0" applyFont="1" applyFill="1" applyBorder="1" applyAlignment="1">
      <alignment horizontal="center"/>
    </xf>
    <xf numFmtId="0" fontId="155" fillId="17" borderId="195" xfId="0" applyFont="1" applyFill="1" applyBorder="1" applyAlignment="1">
      <alignment horizontal="center"/>
    </xf>
    <xf numFmtId="0" fontId="163" fillId="17" borderId="194" xfId="0" applyFont="1" applyFill="1" applyBorder="1" applyAlignment="1">
      <alignment horizontal="center"/>
    </xf>
    <xf numFmtId="0" fontId="163" fillId="17" borderId="1" xfId="0" applyFont="1" applyFill="1" applyBorder="1" applyAlignment="1">
      <alignment horizontal="center"/>
    </xf>
    <xf numFmtId="0" fontId="163" fillId="17" borderId="195" xfId="0" applyFont="1" applyFill="1" applyBorder="1" applyAlignment="1">
      <alignment horizontal="center"/>
    </xf>
    <xf numFmtId="0" fontId="161" fillId="13" borderId="60" xfId="0" applyFont="1" applyFill="1" applyBorder="1" applyAlignment="1">
      <alignment horizontal="center" vertical="center"/>
    </xf>
    <xf numFmtId="0" fontId="161" fillId="13" borderId="3" xfId="0" applyFont="1" applyFill="1" applyBorder="1" applyAlignment="1">
      <alignment horizontal="center" vertical="center"/>
    </xf>
    <xf numFmtId="0" fontId="161" fillId="13" borderId="164" xfId="0" applyFont="1" applyFill="1" applyBorder="1" applyAlignment="1">
      <alignment horizontal="center" vertical="center"/>
    </xf>
    <xf numFmtId="0" fontId="17" fillId="17" borderId="60" xfId="0" applyFont="1" applyFill="1" applyBorder="1" applyAlignment="1">
      <alignment horizontal="center"/>
    </xf>
    <xf numFmtId="0" fontId="17" fillId="17" borderId="3" xfId="0" applyFont="1" applyFill="1" applyBorder="1" applyAlignment="1">
      <alignment horizontal="center"/>
    </xf>
    <xf numFmtId="0" fontId="17" fillId="17" borderId="61" xfId="0" applyFont="1" applyFill="1" applyBorder="1" applyAlignment="1">
      <alignment horizontal="center"/>
    </xf>
    <xf numFmtId="0" fontId="155" fillId="17" borderId="70" xfId="0" applyFont="1" applyFill="1" applyBorder="1" applyAlignment="1">
      <alignment horizontal="center"/>
    </xf>
    <xf numFmtId="0" fontId="155" fillId="17" borderId="4" xfId="0" applyFont="1" applyFill="1" applyBorder="1" applyAlignment="1">
      <alignment horizontal="center"/>
    </xf>
    <xf numFmtId="0" fontId="155" fillId="17" borderId="73" xfId="0" applyFont="1" applyFill="1" applyBorder="1" applyAlignment="1">
      <alignment horizontal="center"/>
    </xf>
    <xf numFmtId="0" fontId="163" fillId="17" borderId="70" xfId="0" applyFont="1" applyFill="1" applyBorder="1" applyAlignment="1">
      <alignment horizontal="center"/>
    </xf>
    <xf numFmtId="0" fontId="163" fillId="17" borderId="4" xfId="0" applyFont="1" applyFill="1" applyBorder="1" applyAlignment="1">
      <alignment horizontal="center"/>
    </xf>
    <xf numFmtId="0" fontId="163" fillId="17" borderId="73" xfId="0" applyFont="1" applyFill="1" applyBorder="1" applyAlignment="1">
      <alignment horizontal="center"/>
    </xf>
    <xf numFmtId="0" fontId="160" fillId="17" borderId="12" xfId="0" applyFont="1" applyFill="1" applyBorder="1" applyAlignment="1">
      <alignment horizontal="center"/>
    </xf>
    <xf numFmtId="0" fontId="160" fillId="17" borderId="3" xfId="0" applyFont="1" applyFill="1" applyBorder="1" applyAlignment="1">
      <alignment horizontal="center"/>
    </xf>
    <xf numFmtId="0" fontId="160" fillId="17" borderId="13" xfId="0" applyFont="1" applyFill="1" applyBorder="1" applyAlignment="1">
      <alignment horizontal="center"/>
    </xf>
    <xf numFmtId="0" fontId="15" fillId="17" borderId="142" xfId="0" applyFont="1" applyFill="1" applyBorder="1" applyAlignment="1">
      <alignment horizontal="center"/>
    </xf>
    <xf numFmtId="0" fontId="15" fillId="17" borderId="143" xfId="0" applyFont="1" applyFill="1" applyBorder="1" applyAlignment="1">
      <alignment horizontal="center"/>
    </xf>
    <xf numFmtId="0" fontId="15" fillId="17" borderId="144" xfId="0" applyFont="1" applyFill="1" applyBorder="1" applyAlignment="1">
      <alignment horizontal="center"/>
    </xf>
    <xf numFmtId="0" fontId="17" fillId="0" borderId="15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61" fillId="17" borderId="145" xfId="0" applyFont="1" applyFill="1" applyBorder="1" applyAlignment="1">
      <alignment horizontal="center" vertical="center"/>
    </xf>
    <xf numFmtId="0" fontId="161" fillId="17" borderId="146" xfId="0" applyFont="1" applyFill="1" applyBorder="1" applyAlignment="1">
      <alignment horizontal="center" vertical="center"/>
    </xf>
    <xf numFmtId="0" fontId="163" fillId="74" borderId="123" xfId="0" applyFont="1" applyFill="1" applyBorder="1" applyAlignment="1">
      <alignment horizontal="center"/>
    </xf>
    <xf numFmtId="0" fontId="163" fillId="74" borderId="124" xfId="0" applyFont="1" applyFill="1" applyBorder="1" applyAlignment="1">
      <alignment horizontal="center"/>
    </xf>
    <xf numFmtId="0" fontId="163" fillId="74" borderId="87" xfId="0" applyFont="1" applyFill="1" applyBorder="1" applyAlignment="1">
      <alignment horizontal="center"/>
    </xf>
    <xf numFmtId="0" fontId="155" fillId="0" borderId="124" xfId="0" applyFont="1" applyBorder="1" applyAlignment="1">
      <alignment horizontal="center"/>
    </xf>
    <xf numFmtId="0" fontId="155" fillId="0" borderId="87" xfId="0" applyFont="1" applyBorder="1" applyAlignment="1">
      <alignment horizontal="center"/>
    </xf>
    <xf numFmtId="0" fontId="155" fillId="0" borderId="123" xfId="0" applyFont="1" applyBorder="1" applyAlignment="1">
      <alignment horizontal="center"/>
    </xf>
    <xf numFmtId="0" fontId="161" fillId="13" borderId="61" xfId="0" applyFont="1" applyFill="1" applyBorder="1" applyAlignment="1">
      <alignment horizontal="center" vertical="center"/>
    </xf>
    <xf numFmtId="0" fontId="161" fillId="13" borderId="13" xfId="0" applyFont="1" applyFill="1" applyBorder="1" applyAlignment="1">
      <alignment horizontal="center" vertical="center"/>
    </xf>
    <xf numFmtId="0" fontId="67" fillId="0" borderId="16" xfId="0" applyFont="1" applyBorder="1" applyAlignment="1">
      <alignment horizontal="center"/>
    </xf>
    <xf numFmtId="0" fontId="161" fillId="17" borderId="119" xfId="0" applyFont="1" applyFill="1" applyBorder="1" applyAlignment="1">
      <alignment horizontal="center" vertical="center"/>
    </xf>
    <xf numFmtId="0" fontId="161" fillId="17" borderId="115" xfId="0" applyFont="1" applyFill="1" applyBorder="1" applyAlignment="1">
      <alignment horizontal="center" vertical="center"/>
    </xf>
    <xf numFmtId="0" fontId="161" fillId="17" borderId="63" xfId="0" applyFont="1" applyFill="1" applyBorder="1" applyAlignment="1">
      <alignment horizontal="center" vertical="center"/>
    </xf>
    <xf numFmtId="0" fontId="161" fillId="17" borderId="78" xfId="0" applyFont="1" applyFill="1" applyBorder="1" applyAlignment="1">
      <alignment horizontal="center" vertical="center"/>
    </xf>
    <xf numFmtId="0" fontId="17" fillId="17" borderId="37" xfId="0" applyFont="1" applyFill="1" applyBorder="1" applyAlignment="1">
      <alignment horizontal="center"/>
    </xf>
    <xf numFmtId="0" fontId="17" fillId="17" borderId="2" xfId="0" applyFont="1" applyFill="1" applyBorder="1" applyAlignment="1">
      <alignment horizontal="center"/>
    </xf>
    <xf numFmtId="0" fontId="17" fillId="17" borderId="38" xfId="0" applyFont="1" applyFill="1" applyBorder="1" applyAlignment="1">
      <alignment horizontal="center"/>
    </xf>
    <xf numFmtId="0" fontId="155" fillId="17" borderId="123" xfId="0" applyFont="1" applyFill="1" applyBorder="1" applyAlignment="1">
      <alignment horizontal="center"/>
    </xf>
    <xf numFmtId="0" fontId="155" fillId="17" borderId="124" xfId="0" applyFont="1" applyFill="1" applyBorder="1" applyAlignment="1">
      <alignment horizontal="center"/>
    </xf>
    <xf numFmtId="0" fontId="155" fillId="17" borderId="87" xfId="0" applyFont="1" applyFill="1" applyBorder="1" applyAlignment="1">
      <alignment horizontal="center"/>
    </xf>
    <xf numFmtId="0" fontId="15" fillId="17" borderId="123" xfId="0" applyFont="1" applyFill="1" applyBorder="1" applyAlignment="1">
      <alignment horizontal="center"/>
    </xf>
    <xf numFmtId="0" fontId="15" fillId="17" borderId="124" xfId="0" applyFont="1" applyFill="1" applyBorder="1" applyAlignment="1">
      <alignment horizontal="center"/>
    </xf>
    <xf numFmtId="0" fontId="15" fillId="17" borderId="87" xfId="0" applyFont="1" applyFill="1" applyBorder="1" applyAlignment="1">
      <alignment horizontal="center"/>
    </xf>
    <xf numFmtId="0" fontId="15" fillId="73" borderId="191" xfId="0" applyFont="1" applyFill="1" applyBorder="1" applyAlignment="1">
      <alignment horizontal="center"/>
    </xf>
    <xf numFmtId="0" fontId="15" fillId="73" borderId="192" xfId="0" applyFont="1" applyFill="1" applyBorder="1" applyAlignment="1">
      <alignment horizontal="center"/>
    </xf>
    <xf numFmtId="0" fontId="15" fillId="73" borderId="193" xfId="0" applyFont="1" applyFill="1" applyBorder="1" applyAlignment="1">
      <alignment horizontal="center"/>
    </xf>
    <xf numFmtId="0" fontId="15" fillId="73" borderId="176" xfId="0" applyFont="1" applyFill="1" applyBorder="1" applyAlignment="1">
      <alignment horizontal="center"/>
    </xf>
    <xf numFmtId="0" fontId="15" fillId="73" borderId="177" xfId="0" applyFont="1" applyFill="1" applyBorder="1" applyAlignment="1">
      <alignment horizontal="center"/>
    </xf>
    <xf numFmtId="0" fontId="15" fillId="73" borderId="178" xfId="0" applyFont="1" applyFill="1" applyBorder="1" applyAlignment="1">
      <alignment horizontal="center"/>
    </xf>
    <xf numFmtId="0" fontId="163" fillId="17" borderId="123" xfId="0" applyFont="1" applyFill="1" applyBorder="1" applyAlignment="1">
      <alignment horizontal="center"/>
    </xf>
    <xf numFmtId="0" fontId="163" fillId="17" borderId="124" xfId="0" applyFont="1" applyFill="1" applyBorder="1" applyAlignment="1">
      <alignment horizontal="center"/>
    </xf>
    <xf numFmtId="0" fontId="163" fillId="17" borderId="87" xfId="0" applyFont="1" applyFill="1" applyBorder="1" applyAlignment="1">
      <alignment horizontal="center"/>
    </xf>
    <xf numFmtId="0" fontId="17" fillId="17" borderId="109" xfId="0" applyFont="1" applyFill="1" applyBorder="1" applyAlignment="1">
      <alignment horizontal="center"/>
    </xf>
    <xf numFmtId="0" fontId="17" fillId="8" borderId="8" xfId="5" applyFont="1" applyFill="1" applyBorder="1" applyAlignment="1">
      <alignment horizontal="center" vertical="center" wrapText="1"/>
    </xf>
    <xf numFmtId="0" fontId="17" fillId="8" borderId="16" xfId="5" applyFont="1" applyFill="1" applyBorder="1" applyAlignment="1">
      <alignment horizontal="center" vertical="center" wrapText="1"/>
    </xf>
    <xf numFmtId="0" fontId="22" fillId="13" borderId="0" xfId="8" applyFont="1" applyFill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38" fillId="75" borderId="0" xfId="7" applyFont="1" applyFill="1"/>
    <xf numFmtId="0" fontId="38" fillId="0" borderId="0" xfId="7" applyFont="1"/>
    <xf numFmtId="0" fontId="15" fillId="75" borderId="45" xfId="7" applyFill="1" applyBorder="1"/>
    <xf numFmtId="0" fontId="15" fillId="75" borderId="137" xfId="7" applyFill="1" applyBorder="1"/>
    <xf numFmtId="0" fontId="15" fillId="75" borderId="0" xfId="7" applyFill="1"/>
    <xf numFmtId="10" fontId="15" fillId="0" borderId="0" xfId="7" applyNumberFormat="1"/>
  </cellXfs>
  <cellStyles count="2321">
    <cellStyle name="20 % - Akzent1 2" xfId="62" xr:uid="{E32D3671-4C60-4F25-B2CC-022D944422E9}"/>
    <cellStyle name="20 % - Akzent2 2" xfId="28" xr:uid="{273841E4-548C-4D23-9E21-B9B41F5E4460}"/>
    <cellStyle name="20 % - Akzent3 2" xfId="63" xr:uid="{DF51CBE9-45A3-4667-B703-A40067DADDF8}"/>
    <cellStyle name="20 % - Akzent4 2" xfId="64" xr:uid="{8CA60D36-8A2B-4485-ADB8-C15894ECF745}"/>
    <cellStyle name="20 % - Akzent5 2" xfId="65" xr:uid="{D4728263-CD6C-4864-9D58-1345B041A662}"/>
    <cellStyle name="20 % - Akzent6 2" xfId="66" xr:uid="{A0C38577-CC86-4979-9AB0-E3585C99F5C1}"/>
    <cellStyle name="20% - Accent1 2" xfId="67" xr:uid="{6A8D4BF5-5148-4F4D-92B8-DB1FF016E7A6}"/>
    <cellStyle name="20% - Accent1 3" xfId="68" xr:uid="{DFF1894E-DB56-4DDD-BAB3-9653E6C41978}"/>
    <cellStyle name="20% - Accent2 2" xfId="69" xr:uid="{1392B9C3-EFB0-40F6-B893-BF124E5906A7}"/>
    <cellStyle name="20% - Accent2 3" xfId="70" xr:uid="{CEB49636-DE9A-42F7-940A-013CE2DC63B0}"/>
    <cellStyle name="20% - Accent3 2" xfId="71" xr:uid="{40DCAA3C-ACD6-4450-8C0D-9D3666BC8A7D}"/>
    <cellStyle name="20% - Accent3 3" xfId="72" xr:uid="{DC5A616E-2A12-4FC5-BC75-418333E047AB}"/>
    <cellStyle name="20% - Accent4 2" xfId="73" xr:uid="{DD40181C-EF4E-4233-A59A-449E48071B75}"/>
    <cellStyle name="20% - Accent4 3" xfId="74" xr:uid="{0880B4C0-F713-4802-8436-3B9F28199A67}"/>
    <cellStyle name="20% - Accent5 2" xfId="75" xr:uid="{3CF49385-D995-497E-B060-A2FCB7683EEA}"/>
    <cellStyle name="20% - Accent5 2 3" xfId="26" xr:uid="{597946B2-4330-4DB1-9B86-12AD48571797}"/>
    <cellStyle name="20% - Accent5 3" xfId="76" xr:uid="{F6D93270-0E44-482C-8953-620364688FDC}"/>
    <cellStyle name="20% - Accent6 2" xfId="77" xr:uid="{A783145C-D9EA-4D2D-AD36-BFBD87E94448}"/>
    <cellStyle name="20% - Accent6 3" xfId="78" xr:uid="{62199F0B-DD11-4703-88DB-4ADEA75BF749}"/>
    <cellStyle name="20% - akcent 1" xfId="79" xr:uid="{94656CF6-E28F-413E-8CAA-60DD76C5301B}"/>
    <cellStyle name="20% - akcent 1 10" xfId="80" xr:uid="{DC3C25B5-A60A-4E34-AE8E-3619CF437283}"/>
    <cellStyle name="20% - akcent 1 10 2" xfId="81" xr:uid="{A9A6E5B3-03F1-4A8C-BD64-4FED22C090EB}"/>
    <cellStyle name="20% - akcent 1 10 3" xfId="82" xr:uid="{0B141768-33FF-494B-987E-B2CA26166A65}"/>
    <cellStyle name="20% - akcent 1 10_COM_BND" xfId="83" xr:uid="{B699F374-C18C-48A6-B764-D7C3159D9ECB}"/>
    <cellStyle name="20% - akcent 1 11" xfId="84" xr:uid="{5294A4E4-C257-46DC-96C5-46DCF00E4226}"/>
    <cellStyle name="20% - akcent 1 11 2" xfId="85" xr:uid="{0BC384A8-4714-42B1-A6E0-2EB67E3C63D2}"/>
    <cellStyle name="20% - akcent 1 12" xfId="86" xr:uid="{28CB4C41-AEE5-4295-931E-61A8BED2670D}"/>
    <cellStyle name="20% - akcent 1 13" xfId="87" xr:uid="{25D4937E-23CD-49BF-8001-E663B234DC33}"/>
    <cellStyle name="20% - akcent 1 14" xfId="88" xr:uid="{1B8F24EA-20D6-4E7B-9D0B-98DDAD407FEC}"/>
    <cellStyle name="20% - akcent 1 15" xfId="89" xr:uid="{44B984D4-F214-404E-BA67-C517B84C60E4}"/>
    <cellStyle name="20% - akcent 1 2" xfId="90" xr:uid="{9D0668FA-C4AD-4D86-88DA-2D5C0D96FF71}"/>
    <cellStyle name="20% - akcent 1 3" xfId="91" xr:uid="{3EEF26D9-FB9B-44A7-A4E8-D96F7052BFC7}"/>
    <cellStyle name="20% - akcent 1 4" xfId="92" xr:uid="{B4B56295-4C53-456E-9D13-9081FDA2AD5C}"/>
    <cellStyle name="20% - akcent 1 5" xfId="93" xr:uid="{64985733-1E92-491F-92F8-48A7099138B6}"/>
    <cellStyle name="20% - akcent 1 6" xfId="94" xr:uid="{46AC9DC7-1F84-4841-9465-54639DE6A015}"/>
    <cellStyle name="20% - akcent 1 7" xfId="95" xr:uid="{4404DFBA-8E62-401F-BBE2-628F8755A813}"/>
    <cellStyle name="20% - akcent 1 8" xfId="96" xr:uid="{A2373D41-3163-44CA-A6ED-DB2439D54C1F}"/>
    <cellStyle name="20% - akcent 1 9" xfId="97" xr:uid="{F264F17D-CA6D-4694-A843-955BB3379BE6}"/>
    <cellStyle name="20% - akcent 1 9 2" xfId="98" xr:uid="{DE071033-0484-44DA-A0A8-AA164B8C1F37}"/>
    <cellStyle name="20% - akcent 1 9 3" xfId="99" xr:uid="{D3759112-841B-4FCC-B2D9-C471D824448F}"/>
    <cellStyle name="20% - akcent 1 9_COM_BND" xfId="100" xr:uid="{B0C2C3D7-E751-4062-A129-55B2D35DF4C1}"/>
    <cellStyle name="20% - akcent 1_CHP" xfId="101" xr:uid="{38CBD92C-C7A7-4442-AAC8-369292308E97}"/>
    <cellStyle name="20% - akcent 2" xfId="102" xr:uid="{CBD7E183-0FFD-4EAA-8E39-73C1BB073D97}"/>
    <cellStyle name="20% - akcent 2 10" xfId="103" xr:uid="{7AEF4AAF-C622-47BD-87F3-BE829D9E54A6}"/>
    <cellStyle name="20% - akcent 2 10 2" xfId="104" xr:uid="{A09F5C5A-07B8-40AD-A02B-1E784665BC87}"/>
    <cellStyle name="20% - akcent 2 10 3" xfId="105" xr:uid="{17FB43F0-602B-420E-A5E4-CEAC4C5EBCD4}"/>
    <cellStyle name="20% - akcent 2 10_COM_BND" xfId="106" xr:uid="{87B931B2-5918-4D26-AE1F-F00A086D4F8C}"/>
    <cellStyle name="20% - akcent 2 11" xfId="107" xr:uid="{3855A58F-9432-4948-B3BE-7642CD20EFD8}"/>
    <cellStyle name="20% - akcent 2 11 2" xfId="108" xr:uid="{B3FCAECF-773C-42AD-89A6-380D35F8E3C1}"/>
    <cellStyle name="20% - akcent 2 12" xfId="109" xr:uid="{D152FB7C-1829-48EE-85D8-1FE4E956AD9D}"/>
    <cellStyle name="20% - akcent 2 13" xfId="110" xr:uid="{6F21E71F-68C1-4EE2-8DCA-F2184AEBA3B8}"/>
    <cellStyle name="20% - akcent 2 14" xfId="111" xr:uid="{2426541A-6879-46F1-869A-58F53AD21BE8}"/>
    <cellStyle name="20% - akcent 2 15" xfId="112" xr:uid="{D83EBC7D-64E2-4AA9-8039-2BD278FC3CE4}"/>
    <cellStyle name="20% - akcent 2 2" xfId="113" xr:uid="{4E23E4E3-0B61-4BD5-BB25-705A67D9913D}"/>
    <cellStyle name="20% - akcent 2 3" xfId="114" xr:uid="{FBC8A9AA-6FAC-4BFD-BC68-8139999E00D2}"/>
    <cellStyle name="20% - akcent 2 4" xfId="115" xr:uid="{2BE5DDC1-5C32-43A4-99DF-5A8C6CCED243}"/>
    <cellStyle name="20% - akcent 2 5" xfId="116" xr:uid="{34851F21-F9B2-4E5D-8649-DA52B6ECDD77}"/>
    <cellStyle name="20% - akcent 2 6" xfId="117" xr:uid="{1CC922B6-B83E-4DED-B313-C78F170C3978}"/>
    <cellStyle name="20% - akcent 2 7" xfId="118" xr:uid="{963FF309-2ACC-45A1-BCDE-3EB15D3036C8}"/>
    <cellStyle name="20% - akcent 2 8" xfId="119" xr:uid="{38C69B01-300F-4B0B-9BE8-7C9749584429}"/>
    <cellStyle name="20% - akcent 2 9" xfId="120" xr:uid="{4CE26303-CBBE-4C56-AC68-1A3C1AAD5816}"/>
    <cellStyle name="20% - akcent 2 9 2" xfId="121" xr:uid="{D06B0DE8-CB98-4F90-8E5E-78B17F017BC3}"/>
    <cellStyle name="20% - akcent 2 9 3" xfId="122" xr:uid="{0DB918CE-006D-42FD-8339-D3F503D8789F}"/>
    <cellStyle name="20% - akcent 2 9_COM_BND" xfId="123" xr:uid="{C8B0BAB1-294D-4F85-818E-B3F4C8CBB2FF}"/>
    <cellStyle name="20% - akcent 2_CHP" xfId="124" xr:uid="{B16900ED-5062-411E-994E-3E18672C6B66}"/>
    <cellStyle name="20% - akcent 3" xfId="125" xr:uid="{45E27EF9-D52F-435C-AFE4-613BC81C7838}"/>
    <cellStyle name="20% - akcent 3 10" xfId="126" xr:uid="{7220B792-066F-44C6-A424-891DA0E6B3D0}"/>
    <cellStyle name="20% - akcent 3 10 2" xfId="127" xr:uid="{B09B65B7-C71A-48BC-9A43-06C13B633F75}"/>
    <cellStyle name="20% - akcent 3 10 3" xfId="128" xr:uid="{92D1E9B0-80E2-404D-A1BE-4AE8D408B381}"/>
    <cellStyle name="20% - akcent 3 10_COM_BND" xfId="129" xr:uid="{4800C085-006F-418F-B25E-5E0CE045FBD2}"/>
    <cellStyle name="20% - akcent 3 11" xfId="130" xr:uid="{ACE56E06-8339-45FA-BA83-A1658D2FED07}"/>
    <cellStyle name="20% - akcent 3 11 2" xfId="131" xr:uid="{CEE5F452-BF08-4F24-A465-AC6216C104B7}"/>
    <cellStyle name="20% - akcent 3 12" xfId="132" xr:uid="{21EE8387-90C4-4E7D-A126-90D0602E3590}"/>
    <cellStyle name="20% - akcent 3 13" xfId="133" xr:uid="{0B8DFFCD-7DC8-4D19-8775-108371DF18DD}"/>
    <cellStyle name="20% - akcent 3 14" xfId="134" xr:uid="{A7315501-A98D-4A6C-BD1E-339EFAEA18D6}"/>
    <cellStyle name="20% - akcent 3 15" xfId="135" xr:uid="{97D2A173-6843-4962-B215-2F169F111487}"/>
    <cellStyle name="20% - akcent 3 2" xfId="136" xr:uid="{B7ACB62A-C0CB-4F02-9FCE-EEC7E7970FD1}"/>
    <cellStyle name="20% - akcent 3 3" xfId="137" xr:uid="{96BB13AA-5A3D-4017-9578-5D9D41D187CF}"/>
    <cellStyle name="20% - akcent 3 4" xfId="138" xr:uid="{8CC44F1C-86C9-46ED-BAC5-DA964EC6AD2E}"/>
    <cellStyle name="20% - akcent 3 5" xfId="139" xr:uid="{B61DC3D0-DFAB-481C-9BEE-2C6508BCCE3B}"/>
    <cellStyle name="20% - akcent 3 6" xfId="140" xr:uid="{D3F87EF6-04B1-4AB7-B3D3-F87E05DCF59E}"/>
    <cellStyle name="20% - akcent 3 7" xfId="141" xr:uid="{0F6BA3FF-2A3E-4AFE-8A93-7CF954F644DA}"/>
    <cellStyle name="20% - akcent 3 8" xfId="142" xr:uid="{691DC8CA-89F2-4469-A958-74B15D258348}"/>
    <cellStyle name="20% - akcent 3 9" xfId="143" xr:uid="{4794B2FD-0DD1-4327-9A02-848A150AFFBF}"/>
    <cellStyle name="20% - akcent 3 9 2" xfId="144" xr:uid="{CB1897E1-E182-420E-967D-4F4831E82B45}"/>
    <cellStyle name="20% - akcent 3 9 3" xfId="145" xr:uid="{CBB475A8-B2C8-4CBF-A225-829EB5A08118}"/>
    <cellStyle name="20% - akcent 3 9_COM_BND" xfId="146" xr:uid="{D573F995-D441-4875-8DD6-8D0E8DA2B145}"/>
    <cellStyle name="20% - akcent 3_CHP" xfId="147" xr:uid="{AF86DF94-3EE6-4DC1-8E68-71F58FCFA20B}"/>
    <cellStyle name="20% - akcent 4" xfId="148" xr:uid="{6082DCA4-7F9E-482F-B107-D168C64C0313}"/>
    <cellStyle name="20% - akcent 4 10" xfId="149" xr:uid="{8F1663C0-78FC-454A-8973-A601F122EE1D}"/>
    <cellStyle name="20% - akcent 4 10 2" xfId="150" xr:uid="{ED8E422C-E46E-4390-AEA7-369EAB98DFD9}"/>
    <cellStyle name="20% - akcent 4 10 3" xfId="151" xr:uid="{B05AED23-FFC5-4F6A-B475-4EA5C8D2FB5C}"/>
    <cellStyle name="20% - akcent 4 10_COM_BND" xfId="152" xr:uid="{B76C69AD-1865-4841-9170-B5E300E3F775}"/>
    <cellStyle name="20% - akcent 4 11" xfId="153" xr:uid="{CF110E62-24FF-4F16-A04C-C64C32CC5262}"/>
    <cellStyle name="20% - akcent 4 11 2" xfId="154" xr:uid="{34F3C638-9DCA-4DC2-98C9-7FA56BC3B32B}"/>
    <cellStyle name="20% - akcent 4 12" xfId="155" xr:uid="{190339C7-B158-4C32-90E3-C046B90F7FF7}"/>
    <cellStyle name="20% - akcent 4 13" xfId="156" xr:uid="{254FB247-270C-4D54-A2E9-E593E3AA0E47}"/>
    <cellStyle name="20% - akcent 4 14" xfId="157" xr:uid="{22022254-8058-45B6-BA13-97280C4ECC3C}"/>
    <cellStyle name="20% - akcent 4 15" xfId="158" xr:uid="{29FC8A98-11D1-43BA-A5D8-63371A2AA253}"/>
    <cellStyle name="20% - akcent 4 2" xfId="159" xr:uid="{69978053-D856-4A8A-8378-3D58AC7E8E5F}"/>
    <cellStyle name="20% - akcent 4 3" xfId="160" xr:uid="{155664CC-AD6A-4EBF-903B-E1388C55E20F}"/>
    <cellStyle name="20% - akcent 4 4" xfId="161" xr:uid="{2A7CA4C7-F19A-4854-93CB-6B78C4784452}"/>
    <cellStyle name="20% - akcent 4 5" xfId="162" xr:uid="{5A63705B-9222-445F-B69F-80ABD83F7499}"/>
    <cellStyle name="20% - akcent 4 6" xfId="163" xr:uid="{930A9C06-8B69-49DC-A066-420F9F0F5F5B}"/>
    <cellStyle name="20% - akcent 4 7" xfId="164" xr:uid="{7A3BD6B2-53B0-4124-A743-A0090EB017EF}"/>
    <cellStyle name="20% - akcent 4 8" xfId="165" xr:uid="{F026DE5D-1324-41F4-A9E7-00CD59EB2059}"/>
    <cellStyle name="20% - akcent 4 9" xfId="166" xr:uid="{FADE60A2-FA48-46E3-B14C-28CB23BA2411}"/>
    <cellStyle name="20% - akcent 4 9 2" xfId="167" xr:uid="{87B9B4B2-6E22-4E37-A114-C335B58DE5E4}"/>
    <cellStyle name="20% - akcent 4 9 3" xfId="168" xr:uid="{FB5682DA-DDFF-4952-952B-6F6B96CF8690}"/>
    <cellStyle name="20% - akcent 4 9_COM_BND" xfId="169" xr:uid="{A8BEAD89-900D-45FC-AA65-43F1D213D12D}"/>
    <cellStyle name="20% - akcent 4_CHP" xfId="170" xr:uid="{4E047185-AFD0-493E-BC57-A405CCB9200F}"/>
    <cellStyle name="20% - akcent 5" xfId="171" xr:uid="{0C239333-B734-4773-B088-03640F896F75}"/>
    <cellStyle name="20% - akcent 5 10" xfId="172" xr:uid="{AA28131B-77F8-40BC-90E9-5C8286DE30FB}"/>
    <cellStyle name="20% - akcent 5 10 2" xfId="173" xr:uid="{DE92EB6C-807A-43C1-9DF3-DC6180AD998A}"/>
    <cellStyle name="20% - akcent 5 10 3" xfId="174" xr:uid="{F93560AF-0687-4053-945F-65A7C8B2D410}"/>
    <cellStyle name="20% - akcent 5 10_COM_BND" xfId="175" xr:uid="{6BD54434-C2FD-4D97-A843-76D47C2E4530}"/>
    <cellStyle name="20% - akcent 5 11" xfId="176" xr:uid="{5EF44723-83E9-4021-B45B-864BF753EB01}"/>
    <cellStyle name="20% - akcent 5 11 2" xfId="177" xr:uid="{BFAF2F77-48BA-45F2-82F5-C345EAE1CEA4}"/>
    <cellStyle name="20% - akcent 5 12" xfId="178" xr:uid="{8ECEF745-E9F5-4966-8BE6-99EEF9F5A726}"/>
    <cellStyle name="20% - akcent 5 13" xfId="179" xr:uid="{182F6C38-3D35-480A-8980-9B98512AA708}"/>
    <cellStyle name="20% - akcent 5 14" xfId="180" xr:uid="{5E68DB74-127C-42C0-B78C-D89B1C05AE00}"/>
    <cellStyle name="20% - akcent 5 15" xfId="181" xr:uid="{FE99EC8E-1A3A-49B6-B66E-562C8F7640F5}"/>
    <cellStyle name="20% - akcent 5 2" xfId="182" xr:uid="{866BAC1C-5FFF-4176-A2CD-E9BC0924F2F4}"/>
    <cellStyle name="20% - akcent 5 3" xfId="183" xr:uid="{46618501-14B9-4BE0-BB4A-A9CD2BFB57BB}"/>
    <cellStyle name="20% - akcent 5 4" xfId="184" xr:uid="{FDAAD4F2-EDCA-48B5-B360-CE925D3ED27C}"/>
    <cellStyle name="20% - akcent 5 5" xfId="185" xr:uid="{0D67AB11-B5D5-4DC9-97E1-F5079E0D98B4}"/>
    <cellStyle name="20% - akcent 5 6" xfId="186" xr:uid="{E4F26E65-DD02-4B0D-B36D-EAB6747AAB7D}"/>
    <cellStyle name="20% - akcent 5 7" xfId="187" xr:uid="{91632057-65BD-43A1-826B-57BFA2E5A896}"/>
    <cellStyle name="20% - akcent 5 8" xfId="188" xr:uid="{40C00C4A-74F4-4A9C-9DE9-619BF426DC3B}"/>
    <cellStyle name="20% - akcent 5 9" xfId="189" xr:uid="{82F6EBA8-0871-4186-83F1-1B51A51F3BF2}"/>
    <cellStyle name="20% - akcent 5 9 2" xfId="190" xr:uid="{A9135DA0-F4C7-4127-A517-8E7A5145F292}"/>
    <cellStyle name="20% - akcent 5 9 3" xfId="191" xr:uid="{551A24E3-A5DC-4A9F-BE6C-EFD1D164A2AE}"/>
    <cellStyle name="20% - akcent 5 9_COM_BND" xfId="192" xr:uid="{D7A92401-9003-4EB2-8C8C-A85A5B50493C}"/>
    <cellStyle name="20% - akcent 5_CHP" xfId="193" xr:uid="{4ED1583E-D43B-43FB-B301-9802539AF71C}"/>
    <cellStyle name="20% - akcent 6" xfId="194" xr:uid="{F52B45F4-2978-4F14-9F5A-492B16390B25}"/>
    <cellStyle name="20% - akcent 6 10" xfId="195" xr:uid="{CF73AECD-087E-4F53-9129-4041EB6EA685}"/>
    <cellStyle name="20% - akcent 6 10 2" xfId="196" xr:uid="{3EDFC61B-F541-4E4F-A057-2DEDFC0FED03}"/>
    <cellStyle name="20% - akcent 6 10 3" xfId="197" xr:uid="{D85F14C5-FF5F-4EB1-8126-3708CFE6953F}"/>
    <cellStyle name="20% - akcent 6 10_COM_BND" xfId="198" xr:uid="{C2139C25-F5F7-44E0-BF5A-191DB0742DBD}"/>
    <cellStyle name="20% - akcent 6 11" xfId="199" xr:uid="{58B69C64-D8E8-4237-93A4-FDD7064F3258}"/>
    <cellStyle name="20% - akcent 6 11 2" xfId="200" xr:uid="{58152BC8-63E6-4CAC-9239-C53EDC594EA7}"/>
    <cellStyle name="20% - akcent 6 12" xfId="201" xr:uid="{7A69F0EC-25A4-495C-93F3-29B482DE6388}"/>
    <cellStyle name="20% - akcent 6 13" xfId="202" xr:uid="{9A0222F3-3549-4121-AEED-A674C679A47E}"/>
    <cellStyle name="20% - akcent 6 14" xfId="203" xr:uid="{DD47CD2C-6E2F-48D7-8057-18E7CA4048B1}"/>
    <cellStyle name="20% - akcent 6 15" xfId="204" xr:uid="{C3A2B2F5-832D-4D92-8A35-62799A382D5A}"/>
    <cellStyle name="20% - akcent 6 2" xfId="205" xr:uid="{2DA7C638-E6B7-4CD3-A56A-F3346C47EDDF}"/>
    <cellStyle name="20% - akcent 6 3" xfId="206" xr:uid="{60D2D5DD-3B8F-4259-AF47-713BF6AC1F7B}"/>
    <cellStyle name="20% - akcent 6 4" xfId="207" xr:uid="{464865CC-C614-4F72-B5F5-E56D003957ED}"/>
    <cellStyle name="20% - akcent 6 5" xfId="208" xr:uid="{6A080DA1-8DF9-4C31-B4B1-6CAC3832C709}"/>
    <cellStyle name="20% - akcent 6 6" xfId="209" xr:uid="{AF6C14A7-D075-4E4C-AF86-55B1348F2552}"/>
    <cellStyle name="20% - akcent 6 7" xfId="210" xr:uid="{89AB3D3F-8597-4860-B948-0C17450FC43E}"/>
    <cellStyle name="20% - akcent 6 8" xfId="211" xr:uid="{923E0164-E269-4156-A6A2-F7B8CE2277FA}"/>
    <cellStyle name="20% - akcent 6 9" xfId="212" xr:uid="{57DD7560-99A6-49B3-B871-B9EFEEA792B3}"/>
    <cellStyle name="20% - akcent 6 9 2" xfId="213" xr:uid="{55C2C916-A1BC-4EB3-9B3A-AF0B3747F3A5}"/>
    <cellStyle name="20% - akcent 6 9 3" xfId="214" xr:uid="{85CFF438-E641-48DF-B97B-54B788750026}"/>
    <cellStyle name="20% - akcent 6 9_COM_BND" xfId="215" xr:uid="{4DD52DC4-BE5D-4C55-8153-A8D6CCE51805}"/>
    <cellStyle name="20% - akcent 6_CHP" xfId="216" xr:uid="{6273E62A-317A-43D8-991C-D7047CE194DA}"/>
    <cellStyle name="2x indented GHG Textfiels" xfId="217" xr:uid="{C515BA6A-FD59-4A52-80F7-551051E625B8}"/>
    <cellStyle name="2x indented GHG Textfiels 2" xfId="218" xr:uid="{E1FB2A9E-AE4D-4FC5-941D-3536EF76BE42}"/>
    <cellStyle name="40 % - Akzent1 2" xfId="219" xr:uid="{521D4CEF-E8AC-4373-A5F0-1B491B6916A7}"/>
    <cellStyle name="40 % - Akzent2 2" xfId="220" xr:uid="{FA69791B-81FC-47DA-BDCF-E73090D16E09}"/>
    <cellStyle name="40 % - Akzent3 2" xfId="221" xr:uid="{95E92009-61D6-42A4-B474-F1D16980A11B}"/>
    <cellStyle name="40 % - Akzent4 2" xfId="222" xr:uid="{1FB3B97F-0BAB-4B6B-AD1C-887901015E7B}"/>
    <cellStyle name="40 % - Akzent5 2" xfId="223" xr:uid="{F6E4F908-6DDC-477D-8E6C-DAD596C2D112}"/>
    <cellStyle name="40 % - Akzent6 2" xfId="224" xr:uid="{3346DD30-2A9B-4362-B1EC-B171029FF8E6}"/>
    <cellStyle name="40% - Accent1 2" xfId="225" xr:uid="{0AA34C53-2BF6-4668-AD33-BA5943736DE2}"/>
    <cellStyle name="40% - Accent1 3" xfId="226" xr:uid="{DFA78601-0EFC-410E-BCD7-23EFBD78B84C}"/>
    <cellStyle name="40% - Accent2 2" xfId="227" xr:uid="{CC4C4FB2-955A-4199-B4E6-FFE266548BC3}"/>
    <cellStyle name="40% - Accent2 3" xfId="228" xr:uid="{020B7909-3780-41EB-9D73-54BDF5C4D768}"/>
    <cellStyle name="40% - Accent3 2" xfId="229" xr:uid="{F86FE9A1-A4F1-4C7E-9828-6901CFC45079}"/>
    <cellStyle name="40% - Accent3 3" xfId="230" xr:uid="{2845C8A9-8EC6-42C8-B8C1-E1A92A24BD13}"/>
    <cellStyle name="40% - Accent4 2" xfId="231" xr:uid="{3ECC82AC-D960-4AC9-A34D-1340DC16EE9D}"/>
    <cellStyle name="40% - Accent4 3" xfId="232" xr:uid="{0A6AF2F1-329B-48B8-AA36-6C70EA89FECE}"/>
    <cellStyle name="40% - Accent5 2" xfId="233" xr:uid="{FAF7EC88-E1A1-4756-967F-A0A8168EFD56}"/>
    <cellStyle name="40% - Accent5 3" xfId="234" xr:uid="{EC102552-5BAB-422B-99BF-8CFAA2481245}"/>
    <cellStyle name="40% - Accent6 2" xfId="235" xr:uid="{AABBE8D3-770A-4492-A188-36F09CF18058}"/>
    <cellStyle name="40% - Accent6 3" xfId="236" xr:uid="{5D5C5CEF-47EE-425B-A161-2AF494D171DD}"/>
    <cellStyle name="40% - akcent 1" xfId="237" xr:uid="{7F920E01-22CF-4A64-85A2-EB777B652D5D}"/>
    <cellStyle name="40% - akcent 1 10" xfId="238" xr:uid="{3701DE8B-9F7D-419E-AF8B-7CF9E4C108A4}"/>
    <cellStyle name="40% - akcent 1 10 2" xfId="239" xr:uid="{61E28E02-A240-4E5D-A180-3FF9FE5A85DD}"/>
    <cellStyle name="40% - akcent 1 10 3" xfId="240" xr:uid="{E6231392-1950-4FDC-8A49-9E55498F401E}"/>
    <cellStyle name="40% - akcent 1 10_COM_BND" xfId="241" xr:uid="{44912190-8F4D-40C3-89F1-0B744810F60F}"/>
    <cellStyle name="40% - akcent 1 11" xfId="242" xr:uid="{EC619A14-B96C-49E2-AA70-ACC576711A25}"/>
    <cellStyle name="40% - akcent 1 11 2" xfId="243" xr:uid="{137BF40F-84AC-451E-A459-73612BD9B3C9}"/>
    <cellStyle name="40% - akcent 1 12" xfId="244" xr:uid="{8110421C-53DE-417D-A2C7-E0B098169690}"/>
    <cellStyle name="40% - akcent 1 13" xfId="245" xr:uid="{C90AEA86-2763-4B32-84E3-8D489E8A8AEA}"/>
    <cellStyle name="40% - akcent 1 14" xfId="246" xr:uid="{1BD5C76B-B011-4C3B-B601-8A489ED081A4}"/>
    <cellStyle name="40% - akcent 1 15" xfId="247" xr:uid="{7763FCA3-2B0E-40A2-8180-DF96B3913BCF}"/>
    <cellStyle name="40% - akcent 1 2" xfId="248" xr:uid="{595FC526-29E1-43D6-B2A5-51E3406E2E06}"/>
    <cellStyle name="40% - akcent 1 3" xfId="249" xr:uid="{F4995E99-BB74-41E9-91C8-C9CC8D15DC45}"/>
    <cellStyle name="40% - akcent 1 4" xfId="250" xr:uid="{3D57494E-7B28-4283-BE30-5871EC52BD66}"/>
    <cellStyle name="40% - akcent 1 5" xfId="251" xr:uid="{9FDA1EF8-DA5F-417D-A2A1-AC6DCCE95445}"/>
    <cellStyle name="40% - akcent 1 6" xfId="252" xr:uid="{1075358E-E8C6-45B4-A7D3-6D1BB5F2E333}"/>
    <cellStyle name="40% - akcent 1 7" xfId="253" xr:uid="{169BA0CC-FAED-4568-8268-E8CEC2FADB65}"/>
    <cellStyle name="40% - akcent 1 8" xfId="254" xr:uid="{1B14C5CB-1EAC-4C4D-BD3A-D05881774968}"/>
    <cellStyle name="40% - akcent 1 9" xfId="255" xr:uid="{9078D897-3D1B-4C57-A5B4-3CE9EF6B2103}"/>
    <cellStyle name="40% - akcent 1 9 2" xfId="256" xr:uid="{A7DF7292-4787-40C9-83E9-42AB6B05BECD}"/>
    <cellStyle name="40% - akcent 1 9 3" xfId="257" xr:uid="{1B931B7D-BF57-4DB5-9976-90187980E0D0}"/>
    <cellStyle name="40% - akcent 1 9_COM_BND" xfId="258" xr:uid="{19E186B7-7450-4534-9406-8E9D824E7585}"/>
    <cellStyle name="40% - akcent 1_CHP" xfId="259" xr:uid="{3047DD66-4DBC-487F-8859-C219DF385D41}"/>
    <cellStyle name="40% - akcent 2" xfId="260" xr:uid="{6BC2FB7A-12D3-469F-8564-CEBD267B6D01}"/>
    <cellStyle name="40% - akcent 2 10" xfId="261" xr:uid="{B6259D41-F990-4DF6-8649-4AAFE253340E}"/>
    <cellStyle name="40% - akcent 2 10 2" xfId="262" xr:uid="{9F419477-994B-42B5-892C-8D0C5799291A}"/>
    <cellStyle name="40% - akcent 2 10 3" xfId="263" xr:uid="{24D1D201-BCC9-4BB6-9B4B-7B081EF07595}"/>
    <cellStyle name="40% - akcent 2 10_COM_BND" xfId="264" xr:uid="{4D7F3930-CE04-466B-9CC7-469710990597}"/>
    <cellStyle name="40% - akcent 2 11" xfId="265" xr:uid="{858BA288-FD67-44D0-8E2E-77C5FE355ECF}"/>
    <cellStyle name="40% - akcent 2 11 2" xfId="266" xr:uid="{6DC51D27-525A-4A2A-A4B3-00ADEADB0854}"/>
    <cellStyle name="40% - akcent 2 12" xfId="267" xr:uid="{9FE1EBE5-9916-4475-82D9-38547CF54871}"/>
    <cellStyle name="40% - akcent 2 13" xfId="268" xr:uid="{7DE0B921-2683-4330-A9F6-6DBB2F7F8457}"/>
    <cellStyle name="40% - akcent 2 14" xfId="269" xr:uid="{2AF8B98B-5484-49EA-8A63-C72F73ACEB9A}"/>
    <cellStyle name="40% - akcent 2 15" xfId="270" xr:uid="{7E614B41-0D54-40AA-808A-9BF7D35A407B}"/>
    <cellStyle name="40% - akcent 2 2" xfId="271" xr:uid="{2C775670-18D8-4ED5-883B-129C4E72909A}"/>
    <cellStyle name="40% - akcent 2 3" xfId="272" xr:uid="{ABB922B4-3963-4403-A0A0-93797EE5C46E}"/>
    <cellStyle name="40% - akcent 2 4" xfId="273" xr:uid="{1858F99B-414E-4BAF-99CB-ACCAD845EDBC}"/>
    <cellStyle name="40% - akcent 2 5" xfId="274" xr:uid="{6431917C-2A40-4337-8AA6-A3A5C9E00B9F}"/>
    <cellStyle name="40% - akcent 2 6" xfId="275" xr:uid="{07A09ADF-7E44-47F7-A5FC-71B249970FB1}"/>
    <cellStyle name="40% - akcent 2 7" xfId="276" xr:uid="{56CA18C1-38CD-4968-9C9F-FCA618EC09B5}"/>
    <cellStyle name="40% - akcent 2 8" xfId="277" xr:uid="{83948AB1-D284-41D1-9856-1DACE3F482FE}"/>
    <cellStyle name="40% - akcent 2 9" xfId="278" xr:uid="{50D9FD4A-1562-4A4B-A34B-35C57B13AFC9}"/>
    <cellStyle name="40% - akcent 2 9 2" xfId="279" xr:uid="{74A0E995-298B-4C33-A2C3-CB4232228563}"/>
    <cellStyle name="40% - akcent 2 9 3" xfId="280" xr:uid="{3D0D16B8-A70E-44F3-B99B-0880802428D9}"/>
    <cellStyle name="40% - akcent 2 9_COM_BND" xfId="281" xr:uid="{E6D9C76B-B138-4BC9-893F-381B654801ED}"/>
    <cellStyle name="40% - akcent 2_CHP" xfId="282" xr:uid="{E45C9916-0C5A-445F-A8FA-B1856E257AE9}"/>
    <cellStyle name="40% - akcent 3" xfId="283" xr:uid="{1639805D-8E2E-46CA-A887-5A1161CF963F}"/>
    <cellStyle name="40% - akcent 3 10" xfId="284" xr:uid="{CDC70DF1-18E7-434E-B0A3-75056D50818C}"/>
    <cellStyle name="40% - akcent 3 10 2" xfId="285" xr:uid="{0CD8F5C1-6FB7-4E9C-B508-CA93AC5FC5DB}"/>
    <cellStyle name="40% - akcent 3 10 3" xfId="286" xr:uid="{388A58EF-C788-41B6-946E-0CEF8F55C423}"/>
    <cellStyle name="40% - akcent 3 10_COM_BND" xfId="287" xr:uid="{26E3F465-E608-44C1-AF53-BFB045EEF680}"/>
    <cellStyle name="40% - akcent 3 11" xfId="288" xr:uid="{93DC24CA-CBE9-46D7-B733-A7F90E9376CD}"/>
    <cellStyle name="40% - akcent 3 11 2" xfId="289" xr:uid="{3C541412-EAB1-420E-BDA4-463FC32204FE}"/>
    <cellStyle name="40% - akcent 3 12" xfId="290" xr:uid="{CC415775-878B-4AA5-A15F-CEC18D22B1B0}"/>
    <cellStyle name="40% - akcent 3 13" xfId="291" xr:uid="{1AA3C6CD-FD08-4E37-98EB-2B0E4566FF72}"/>
    <cellStyle name="40% - akcent 3 14" xfId="292" xr:uid="{F44CCF5A-DC0F-41A1-AD8F-C6E705AAE0C3}"/>
    <cellStyle name="40% - akcent 3 15" xfId="293" xr:uid="{39AF9861-4315-47D9-AA0D-2D37CF5091CA}"/>
    <cellStyle name="40% - akcent 3 2" xfId="294" xr:uid="{7FD5D311-7B31-42D7-BF0F-F773DE5CAEAE}"/>
    <cellStyle name="40% - akcent 3 3" xfId="295" xr:uid="{CDF053BF-62E5-4F28-9DDD-3AF1967653D0}"/>
    <cellStyle name="40% - akcent 3 4" xfId="296" xr:uid="{36DFD81D-1F3D-48E9-8DA3-7B9FD3EA823A}"/>
    <cellStyle name="40% - akcent 3 5" xfId="297" xr:uid="{40752E8B-98E0-411A-9070-82ADD5B902B2}"/>
    <cellStyle name="40% - akcent 3 6" xfId="298" xr:uid="{83CBC2D7-70C4-404D-8134-F1A4B4B2A1CF}"/>
    <cellStyle name="40% - akcent 3 7" xfId="299" xr:uid="{33FA5191-DD10-4EF7-B9AF-4ADC13EFF422}"/>
    <cellStyle name="40% - akcent 3 8" xfId="300" xr:uid="{EC20DD46-45D4-44A1-8C02-C30AA5827348}"/>
    <cellStyle name="40% - akcent 3 9" xfId="301" xr:uid="{B39C937B-387E-4DDB-AF40-1E35992E08F8}"/>
    <cellStyle name="40% - akcent 3 9 2" xfId="302" xr:uid="{9991CBAB-D7EB-46B1-858D-55A60B6B82E0}"/>
    <cellStyle name="40% - akcent 3 9 3" xfId="303" xr:uid="{D79FF930-8E82-4588-A2D8-6CD3C7A65469}"/>
    <cellStyle name="40% - akcent 3 9_COM_BND" xfId="304" xr:uid="{BA69EFB5-6BFD-472A-AB28-5677286E5A13}"/>
    <cellStyle name="40% - akcent 3_CHP" xfId="305" xr:uid="{221A53D4-BF18-405A-AF75-63724D260020}"/>
    <cellStyle name="40% - akcent 4" xfId="306" xr:uid="{9DB4FE7A-CBA6-472A-8F58-5E4D791D336E}"/>
    <cellStyle name="40% - akcent 4 10" xfId="307" xr:uid="{3C376693-DCB0-40F7-BED0-30C02267ACFB}"/>
    <cellStyle name="40% - akcent 4 10 2" xfId="308" xr:uid="{9166A50C-3940-4612-B151-8F672EB2E450}"/>
    <cellStyle name="40% - akcent 4 10 3" xfId="309" xr:uid="{5A4F0759-4713-4A3F-84B2-2396AC32F41A}"/>
    <cellStyle name="40% - akcent 4 10_COM_BND" xfId="310" xr:uid="{AFA15E37-CC4D-4156-A2ED-2A868D513544}"/>
    <cellStyle name="40% - akcent 4 11" xfId="311" xr:uid="{8ED67396-9DA2-442E-9585-341CEB9A37B7}"/>
    <cellStyle name="40% - akcent 4 11 2" xfId="312" xr:uid="{3B098BDA-9849-46BB-8E82-3B9831061491}"/>
    <cellStyle name="40% - akcent 4 12" xfId="313" xr:uid="{786CD59A-52E3-4952-89CA-72CB79F96C38}"/>
    <cellStyle name="40% - akcent 4 13" xfId="314" xr:uid="{820A03FD-52F6-4A2B-B7E1-014195B08E7D}"/>
    <cellStyle name="40% - akcent 4 14" xfId="315" xr:uid="{BA0E323C-47F5-4759-A095-ACEBD44CB3B4}"/>
    <cellStyle name="40% - akcent 4 15" xfId="316" xr:uid="{EBDEED07-DC34-46B0-BE1F-A313D0512D20}"/>
    <cellStyle name="40% - akcent 4 2" xfId="317" xr:uid="{F9028A0B-255B-4C35-BAE2-F4840ECF66D5}"/>
    <cellStyle name="40% - akcent 4 3" xfId="318" xr:uid="{0716F4E5-F69A-4F00-972D-F2EA9F5F9CE6}"/>
    <cellStyle name="40% - akcent 4 4" xfId="319" xr:uid="{A1FCD5DC-3636-47DD-A529-DF5BCF828C82}"/>
    <cellStyle name="40% - akcent 4 5" xfId="320" xr:uid="{BEA46535-C4E0-4C6F-AB53-5DC897E3CE49}"/>
    <cellStyle name="40% - akcent 4 6" xfId="321" xr:uid="{2B801F59-9BC7-4B56-AF16-C1D52FAB8F05}"/>
    <cellStyle name="40% - akcent 4 7" xfId="322" xr:uid="{A575679C-9DE5-4440-BEC8-694D08930BD6}"/>
    <cellStyle name="40% - akcent 4 8" xfId="323" xr:uid="{40AE74DD-6D3A-406A-8164-5710D35210F7}"/>
    <cellStyle name="40% - akcent 4 9" xfId="324" xr:uid="{2581332A-B4E5-4C4F-9802-BD8D4B15105C}"/>
    <cellStyle name="40% - akcent 4 9 2" xfId="325" xr:uid="{7AE9400E-4857-4196-9EA9-97C00CBBD2DE}"/>
    <cellStyle name="40% - akcent 4 9 3" xfId="326" xr:uid="{C107BE15-4DEE-4E6D-BD42-49B738D69EFD}"/>
    <cellStyle name="40% - akcent 4 9_COM_BND" xfId="327" xr:uid="{44605835-29D8-45C4-93D8-BE31F3689590}"/>
    <cellStyle name="40% - akcent 4_CHP" xfId="328" xr:uid="{E64C8DE1-E456-4C32-BE9C-3B2A9A4B47E9}"/>
    <cellStyle name="40% - akcent 5" xfId="329" xr:uid="{2401C66D-FFB4-4F27-A616-4A884ABFCBD0}"/>
    <cellStyle name="40% - akcent 5 10" xfId="330" xr:uid="{D682CC0D-CF5A-444E-B7ED-7361DAC318BA}"/>
    <cellStyle name="40% - akcent 5 10 2" xfId="331" xr:uid="{EA69D176-D860-4F90-A7CD-8EA759E73085}"/>
    <cellStyle name="40% - akcent 5 10 3" xfId="332" xr:uid="{DE165E6F-26DA-41AB-BCAC-6E1C5065147E}"/>
    <cellStyle name="40% - akcent 5 10_COM_BND" xfId="333" xr:uid="{A902DA4E-3065-4AF0-AF55-890B9615022B}"/>
    <cellStyle name="40% - akcent 5 11" xfId="334" xr:uid="{DAD5A7BF-F360-418B-8108-A1DA8373AF1B}"/>
    <cellStyle name="40% - akcent 5 11 2" xfId="335" xr:uid="{D280274A-1F6E-4B17-8849-C8B158D8E9A4}"/>
    <cellStyle name="40% - akcent 5 12" xfId="336" xr:uid="{8B100252-AA84-43E3-A4D4-8E8F302F226B}"/>
    <cellStyle name="40% - akcent 5 13" xfId="337" xr:uid="{5C734B3A-A690-4D37-9EDC-838A9F684781}"/>
    <cellStyle name="40% - akcent 5 14" xfId="338" xr:uid="{2BA96109-52D5-4EB8-9570-E21B13FF1044}"/>
    <cellStyle name="40% - akcent 5 15" xfId="339" xr:uid="{F3DB428E-F7A5-4D29-87FD-953186EE29B7}"/>
    <cellStyle name="40% - akcent 5 2" xfId="340" xr:uid="{3F460C1D-1D5A-40D6-9A18-C218665DF6B4}"/>
    <cellStyle name="40% - akcent 5 3" xfId="341" xr:uid="{DD7B4908-91C2-458E-932D-7C21B7E0907B}"/>
    <cellStyle name="40% - akcent 5 4" xfId="342" xr:uid="{1706464F-12A8-4244-B228-C0B06513BCDE}"/>
    <cellStyle name="40% - akcent 5 5" xfId="343" xr:uid="{C1ADC40D-69AC-4FCB-9F06-796E69C04866}"/>
    <cellStyle name="40% - akcent 5 6" xfId="344" xr:uid="{9908101B-3EEA-4C67-A80E-044E9AA3A12B}"/>
    <cellStyle name="40% - akcent 5 7" xfId="345" xr:uid="{B4A20408-6013-4318-9195-713C560F2EC1}"/>
    <cellStyle name="40% - akcent 5 8" xfId="346" xr:uid="{FE4349D4-ACC9-4938-86FA-C90250D83E4F}"/>
    <cellStyle name="40% - akcent 5 9" xfId="347" xr:uid="{BFCE77C0-9CA4-4E44-95AF-E0D3D684F8A6}"/>
    <cellStyle name="40% - akcent 5 9 2" xfId="348" xr:uid="{0B03ED94-1FA9-4308-A6E6-84B2A1548326}"/>
    <cellStyle name="40% - akcent 5 9 3" xfId="349" xr:uid="{B2AC05DF-DEDE-4871-A9C4-A478D6F5724D}"/>
    <cellStyle name="40% - akcent 5 9_COM_BND" xfId="350" xr:uid="{9CFB93BA-0119-43CB-8496-0618A60294CF}"/>
    <cellStyle name="40% - akcent 5_CHP" xfId="351" xr:uid="{1556D6E6-953C-4461-93AE-07C6499D49EB}"/>
    <cellStyle name="40% - akcent 6" xfId="352" xr:uid="{DD8E0E78-F68F-4E1A-812B-CD96155C553C}"/>
    <cellStyle name="40% - akcent 6 10" xfId="353" xr:uid="{0C3F7857-FC3C-4977-B48A-F6D34A7CD61F}"/>
    <cellStyle name="40% - akcent 6 10 2" xfId="354" xr:uid="{80E6CDCE-05FB-4F08-BFA9-7DE995F9E690}"/>
    <cellStyle name="40% - akcent 6 10 3" xfId="355" xr:uid="{998BCDEF-C9C7-496C-98D1-C1D4AFF7AA97}"/>
    <cellStyle name="40% - akcent 6 10_COM_BND" xfId="356" xr:uid="{598C9313-9651-4895-B68F-949D54AD9516}"/>
    <cellStyle name="40% - akcent 6 11" xfId="357" xr:uid="{E3FC9940-035A-4F84-9B9E-FD30D93DBF97}"/>
    <cellStyle name="40% - akcent 6 11 2" xfId="358" xr:uid="{B3157116-5947-4EF1-817C-11DCD1DA8C99}"/>
    <cellStyle name="40% - akcent 6 12" xfId="359" xr:uid="{CE7010BF-766D-44E5-A759-43C760CDDF37}"/>
    <cellStyle name="40% - akcent 6 13" xfId="360" xr:uid="{51BFD8B8-B77E-4226-8EB0-CA9DD2669ED7}"/>
    <cellStyle name="40% - akcent 6 14" xfId="361" xr:uid="{9A9D0F21-8B7D-4D73-9AB5-DE3FFE450C62}"/>
    <cellStyle name="40% - akcent 6 15" xfId="362" xr:uid="{6038A8F8-4211-43E5-8194-9FC7C30753EF}"/>
    <cellStyle name="40% - akcent 6 2" xfId="363" xr:uid="{61CAA9A2-3FBB-46B4-8351-D1EFEC53221F}"/>
    <cellStyle name="40% - akcent 6 3" xfId="364" xr:uid="{3064BA30-1BB9-456A-A6E8-6E5317CB4368}"/>
    <cellStyle name="40% - akcent 6 4" xfId="365" xr:uid="{5A6FD3F3-E051-4E4B-9BA7-E1B3B697FB87}"/>
    <cellStyle name="40% - akcent 6 5" xfId="366" xr:uid="{F70D93B5-4B19-4EA9-B2E3-58306283B301}"/>
    <cellStyle name="40% - akcent 6 6" xfId="367" xr:uid="{C6A75A7C-1BAD-4C46-9D15-0F192A3C9E79}"/>
    <cellStyle name="40% - akcent 6 7" xfId="368" xr:uid="{806D1171-D52D-43B7-BB7D-DA8712DB48B0}"/>
    <cellStyle name="40% - akcent 6 8" xfId="369" xr:uid="{7AAE047E-BD64-4F76-BB8E-18E520994D70}"/>
    <cellStyle name="40% - akcent 6 9" xfId="370" xr:uid="{048CF872-5560-433A-8676-72C28A6D8787}"/>
    <cellStyle name="40% - akcent 6 9 2" xfId="371" xr:uid="{C1681680-6CD3-4036-AE52-027160575050}"/>
    <cellStyle name="40% - akcent 6 9 3" xfId="372" xr:uid="{DAE524C2-2669-4AC0-BAF9-71ACF0C6AFF6}"/>
    <cellStyle name="40% - akcent 6 9_COM_BND" xfId="373" xr:uid="{2C12802C-9559-42B1-A2C0-7004CBAFBA56}"/>
    <cellStyle name="40% - akcent 6_CHP" xfId="374" xr:uid="{CB93BB20-1191-4E11-BA06-49CDA6D125F5}"/>
    <cellStyle name="5x indented GHG Textfiels" xfId="375" xr:uid="{C303B732-D6CE-4D0E-AC05-A82025BD5585}"/>
    <cellStyle name="5x indented GHG Textfiels 2" xfId="376" xr:uid="{13BC4E2B-021C-408B-B3E5-627863CA653C}"/>
    <cellStyle name="60 % - Akzent1 2" xfId="377" xr:uid="{7A5CFD77-51F8-40DB-9A0A-0086AD9EC815}"/>
    <cellStyle name="60 % - Akzent2 2" xfId="378" xr:uid="{647A0509-F964-4CCA-BEC1-ADF4CF6D877C}"/>
    <cellStyle name="60 % - Akzent3 2" xfId="379" xr:uid="{6EABA597-A04E-4954-A755-813CE31F6884}"/>
    <cellStyle name="60 % - Akzent4 2" xfId="380" xr:uid="{92D0E6AE-6D0B-415B-BF2C-0ADECB8EB2FE}"/>
    <cellStyle name="60 % - Akzent5 2" xfId="381" xr:uid="{DF9BCEC9-1A28-4491-B246-3EDB2884CA96}"/>
    <cellStyle name="60 % - Akzent6 2" xfId="382" xr:uid="{88D59A9A-49BF-4D15-9658-480F29C051F3}"/>
    <cellStyle name="60% - Accent1 2" xfId="383" xr:uid="{87FC4ED6-5106-4ADF-8748-3A0ED9DDEE9F}"/>
    <cellStyle name="60% - Accent1 3" xfId="384" xr:uid="{1DBC9938-65FC-4ADF-8460-2734D39EDF4D}"/>
    <cellStyle name="60% - Accent2 2" xfId="385" xr:uid="{0FB341B5-3C38-494C-BF1B-20581EBA8A11}"/>
    <cellStyle name="60% - Accent2 3" xfId="386" xr:uid="{595D844A-ECBB-42C1-A040-4D8C2322EB30}"/>
    <cellStyle name="60% - Accent3 2" xfId="387" xr:uid="{F28D1EBB-CE1B-4E01-9619-422D1175E01F}"/>
    <cellStyle name="60% - Accent3 3" xfId="388" xr:uid="{9F90DB82-363A-4761-8441-CD7849C67EC9}"/>
    <cellStyle name="60% - Accent4 2" xfId="389" xr:uid="{A5960776-9146-4CD2-B15A-84B814484696}"/>
    <cellStyle name="60% - Accent4 3" xfId="390" xr:uid="{F22A5511-6122-4CD7-A731-322B9B1DFF1A}"/>
    <cellStyle name="60% - Accent5 2" xfId="391" xr:uid="{7A56BBB6-68E9-48C5-A177-849349E2F2C3}"/>
    <cellStyle name="60% - Accent5 3" xfId="392" xr:uid="{A912E730-529B-4DC4-A26C-437BC78F23B2}"/>
    <cellStyle name="60% - Accent6 2" xfId="393" xr:uid="{7D7C19E6-FAEC-47A8-96A6-1B250075BCE1}"/>
    <cellStyle name="60% - Accent6 3" xfId="394" xr:uid="{4496A706-B224-4FC8-80E1-B94E1642A3E5}"/>
    <cellStyle name="60% - akcent 1" xfId="395" xr:uid="{ECF53044-D011-4928-9F71-A51ABBE71E27}"/>
    <cellStyle name="60% - akcent 1 10" xfId="396" xr:uid="{EAFFE912-C097-4C06-8E90-5744322066DD}"/>
    <cellStyle name="60% - akcent 1 10 2" xfId="397" xr:uid="{2D61224D-BEEA-43B5-B2F1-D170A827F216}"/>
    <cellStyle name="60% - akcent 1 10 3" xfId="398" xr:uid="{A8611D58-5334-4174-9CE2-A4F911997215}"/>
    <cellStyle name="60% - akcent 1 10_COM_BND" xfId="399" xr:uid="{8C6062A1-33AA-4AC3-A6BC-E2893AAFA8EB}"/>
    <cellStyle name="60% - akcent 1 11" xfId="400" xr:uid="{01A8417A-E38B-4CDF-A3CE-5C26FDA89B12}"/>
    <cellStyle name="60% - akcent 1 11 2" xfId="401" xr:uid="{E7282239-23C3-4B93-8659-32822CDEE9D4}"/>
    <cellStyle name="60% - akcent 1 12" xfId="402" xr:uid="{1C99E463-F3DF-4A5B-A845-3ED84ACA9501}"/>
    <cellStyle name="60% - akcent 1 13" xfId="403" xr:uid="{5EDA15DE-B91E-46BC-AA37-915D9D98F442}"/>
    <cellStyle name="60% - akcent 1 14" xfId="404" xr:uid="{56402116-3958-4630-9C3C-8D5C163ACEBA}"/>
    <cellStyle name="60% - akcent 1 15" xfId="405" xr:uid="{5B0753BC-0436-43EA-AF57-3FB19AE512CB}"/>
    <cellStyle name="60% - akcent 1 2" xfId="406" xr:uid="{A1ECEF1B-5849-45F9-BB5F-1FF51ADB41E4}"/>
    <cellStyle name="60% - akcent 1 3" xfId="407" xr:uid="{EAE72D89-B352-4FC7-B59C-77CB4356BB46}"/>
    <cellStyle name="60% - akcent 1 4" xfId="408" xr:uid="{3DA73514-1CB1-4F56-B0BF-4D961FD2B1A1}"/>
    <cellStyle name="60% - akcent 1 5" xfId="409" xr:uid="{642C8F37-C6C4-4BCB-B8DE-4B3014EBA369}"/>
    <cellStyle name="60% - akcent 1 6" xfId="410" xr:uid="{E477715A-5E3F-4856-B0D0-9FC8B6F2E5F2}"/>
    <cellStyle name="60% - akcent 1 7" xfId="411" xr:uid="{ABC4AD15-9820-4CF7-A04A-DB770C4244F1}"/>
    <cellStyle name="60% - akcent 1 8" xfId="412" xr:uid="{AFE9CC08-0B60-4959-A477-7711BD6B633F}"/>
    <cellStyle name="60% - akcent 1 9" xfId="413" xr:uid="{B04A1CEA-D3AE-4A38-A476-71E3240522E9}"/>
    <cellStyle name="60% - akcent 1 9 2" xfId="414" xr:uid="{219D4617-2054-4D60-9373-4F99B088475D}"/>
    <cellStyle name="60% - akcent 1 9 3" xfId="415" xr:uid="{586BA695-9520-4836-9470-D6A38A9591EB}"/>
    <cellStyle name="60% - akcent 1 9_COM_BND" xfId="416" xr:uid="{C439C950-B480-4ED9-8941-96FF7AA66D39}"/>
    <cellStyle name="60% - akcent 1_CHP" xfId="417" xr:uid="{5BC9A908-6C89-450E-8EDC-A565ECDA35F7}"/>
    <cellStyle name="60% - akcent 2" xfId="418" xr:uid="{6112A989-3F2C-43F7-B263-4C0A37B6C08B}"/>
    <cellStyle name="60% - akcent 2 10" xfId="419" xr:uid="{C6FCB47D-7A8F-4E4A-A27D-B9941AF9A963}"/>
    <cellStyle name="60% - akcent 2 10 2" xfId="420" xr:uid="{0AD4C167-A96F-4A11-9462-CFACF5DF407B}"/>
    <cellStyle name="60% - akcent 2 10 3" xfId="421" xr:uid="{44F95AC8-B9A0-4D89-8690-54E223EA0D1F}"/>
    <cellStyle name="60% - akcent 2 10_COM_BND" xfId="422" xr:uid="{12721116-E885-4ABC-9B93-320F7636FB8A}"/>
    <cellStyle name="60% - akcent 2 11" xfId="423" xr:uid="{9DB641C3-CF62-4F58-9B45-1260EDC21AAE}"/>
    <cellStyle name="60% - akcent 2 11 2" xfId="424" xr:uid="{4E2AFD96-3D95-4E2E-94F6-8CE3C0A0A20A}"/>
    <cellStyle name="60% - akcent 2 12" xfId="425" xr:uid="{6ED92136-51B0-4CD0-B811-5FAC18BA580E}"/>
    <cellStyle name="60% - akcent 2 13" xfId="426" xr:uid="{CD145E4A-73A5-4136-959F-E038D7D28221}"/>
    <cellStyle name="60% - akcent 2 14" xfId="427" xr:uid="{C01F2621-23A0-450E-AAB3-3E7F4C882CF4}"/>
    <cellStyle name="60% - akcent 2 15" xfId="428" xr:uid="{F938E9F2-D00B-4880-AABC-CEEE2C2AFCE3}"/>
    <cellStyle name="60% - akcent 2 2" xfId="429" xr:uid="{4A1EBF69-5973-4AAB-9461-A453095D218A}"/>
    <cellStyle name="60% - akcent 2 3" xfId="430" xr:uid="{830FB8C7-0210-45A1-9852-CDB977EE3360}"/>
    <cellStyle name="60% - akcent 2 4" xfId="431" xr:uid="{4CB9D8D4-ACC6-4B6B-AEDC-02C280BA567B}"/>
    <cellStyle name="60% - akcent 2 5" xfId="432" xr:uid="{983CF412-9741-40FF-9CBC-BF5373150FBE}"/>
    <cellStyle name="60% - akcent 2 6" xfId="433" xr:uid="{AFA227F7-62BE-43AB-88B4-9949D9D2099D}"/>
    <cellStyle name="60% - akcent 2 7" xfId="434" xr:uid="{51842E18-ACE8-48B8-BE39-E4F5DBDCC285}"/>
    <cellStyle name="60% - akcent 2 8" xfId="435" xr:uid="{D183421E-951A-4229-8EFE-433C341A5A2A}"/>
    <cellStyle name="60% - akcent 2 9" xfId="436" xr:uid="{AA43A0C0-3BD8-44E4-911D-6FD1E8472FC8}"/>
    <cellStyle name="60% - akcent 2 9 2" xfId="437" xr:uid="{6293AA05-F1ED-44EB-83E6-12D6B78FD78E}"/>
    <cellStyle name="60% - akcent 2 9 3" xfId="438" xr:uid="{BEE0854E-8950-4BB9-8731-45E24850741C}"/>
    <cellStyle name="60% - akcent 2 9_COM_BND" xfId="439" xr:uid="{90C72E5E-973A-47B8-87D0-BDCC188A5DC0}"/>
    <cellStyle name="60% - akcent 2_CHP" xfId="440" xr:uid="{615DE839-E14A-45B3-AB42-1185CD269A75}"/>
    <cellStyle name="60% - akcent 3" xfId="441" xr:uid="{1696E07F-36C0-41A7-BCDB-048511194243}"/>
    <cellStyle name="60% - akcent 3 10" xfId="442" xr:uid="{D320C142-6450-474D-824F-0DABC00DD98B}"/>
    <cellStyle name="60% - akcent 3 10 2" xfId="443" xr:uid="{92E4E1E3-A384-4BC1-933C-B52FDFF323FA}"/>
    <cellStyle name="60% - akcent 3 10 3" xfId="444" xr:uid="{C89FD780-A287-440C-9E45-327495ED84FA}"/>
    <cellStyle name="60% - akcent 3 10_COM_BND" xfId="445" xr:uid="{9495C7B0-6DFF-44CC-8C8F-6558665E8EFD}"/>
    <cellStyle name="60% - akcent 3 11" xfId="446" xr:uid="{36182BFD-8F76-41BC-89B1-DEBF102113E0}"/>
    <cellStyle name="60% - akcent 3 11 2" xfId="447" xr:uid="{D7664CFA-E566-4018-AC29-6C08E3FF8192}"/>
    <cellStyle name="60% - akcent 3 12" xfId="448" xr:uid="{BBDAFA92-10D4-4918-97F4-991AA187213E}"/>
    <cellStyle name="60% - akcent 3 13" xfId="449" xr:uid="{E0F45808-2DB8-4AD8-A888-2271C68D82FB}"/>
    <cellStyle name="60% - akcent 3 14" xfId="450" xr:uid="{05C60BC6-6159-4AFC-9303-BD3D9A7665C0}"/>
    <cellStyle name="60% - akcent 3 15" xfId="451" xr:uid="{6E4DD2C1-C9CB-4967-A573-8DEA6753BF69}"/>
    <cellStyle name="60% - akcent 3 2" xfId="452" xr:uid="{8EE81B44-46C1-4A57-94B8-42843DCCA195}"/>
    <cellStyle name="60% - akcent 3 3" xfId="453" xr:uid="{74AAA32D-7EEA-46C9-AA5A-103E19D6F993}"/>
    <cellStyle name="60% - akcent 3 4" xfId="454" xr:uid="{6C654CF2-2900-4FEA-829A-E2901A1E936A}"/>
    <cellStyle name="60% - akcent 3 5" xfId="455" xr:uid="{A49BD7DE-DF7C-4893-B8BF-990CD9A9BCC0}"/>
    <cellStyle name="60% - akcent 3 6" xfId="456" xr:uid="{9EF1EE14-ACF7-48A6-8429-BD3F079E8034}"/>
    <cellStyle name="60% - akcent 3 7" xfId="457" xr:uid="{4529C392-3962-4B33-82DE-19D630D2A7A8}"/>
    <cellStyle name="60% - akcent 3 8" xfId="458" xr:uid="{7A64DD61-B25A-4E6F-90E1-11BD554026A6}"/>
    <cellStyle name="60% - akcent 3 9" xfId="459" xr:uid="{572E4B73-A9FC-4888-8D48-5C6A148FB8E0}"/>
    <cellStyle name="60% - akcent 3 9 2" xfId="460" xr:uid="{157ECBC0-757C-4E8A-B4F9-4D1350F199E0}"/>
    <cellStyle name="60% - akcent 3 9 3" xfId="461" xr:uid="{06B6DA89-CE1B-4DD8-B20B-B73E019D2A34}"/>
    <cellStyle name="60% - akcent 3 9_COM_BND" xfId="462" xr:uid="{D4CDB1D3-BEF9-432E-833A-74307C356E49}"/>
    <cellStyle name="60% - akcent 3_CHP" xfId="463" xr:uid="{1B7C2E21-BC98-4CE4-BDD8-26B3D9D3E4F8}"/>
    <cellStyle name="60% - akcent 4" xfId="464" xr:uid="{2194340B-1745-4199-A71D-FD456F926574}"/>
    <cellStyle name="60% - akcent 4 10" xfId="465" xr:uid="{3D6E0BCE-D951-4FAF-A44D-6F4DDE178E9D}"/>
    <cellStyle name="60% - akcent 4 10 2" xfId="466" xr:uid="{273A2310-8B24-45A1-B2E2-5580C93DFCC1}"/>
    <cellStyle name="60% - akcent 4 10 3" xfId="467" xr:uid="{036DE04D-6609-4D23-902D-E20F55E8E490}"/>
    <cellStyle name="60% - akcent 4 10_COM_BND" xfId="468" xr:uid="{5D0C0667-F3BB-4A5E-9DEF-34AA797C69D0}"/>
    <cellStyle name="60% - akcent 4 11" xfId="469" xr:uid="{62224C44-D34A-4B76-A83F-99AFA73D5CBE}"/>
    <cellStyle name="60% - akcent 4 11 2" xfId="470" xr:uid="{6E45E4B2-8D48-4C6B-8E54-41D35C39DDB1}"/>
    <cellStyle name="60% - akcent 4 12" xfId="471" xr:uid="{B5FB2604-A916-43F2-B8FF-69E21F50901E}"/>
    <cellStyle name="60% - akcent 4 13" xfId="472" xr:uid="{C8AB2E86-236E-45FB-8DCD-B245A8FCA1BC}"/>
    <cellStyle name="60% - akcent 4 13 2" xfId="473" xr:uid="{EDF83AC0-D837-477D-A12D-8338712BFF6D}"/>
    <cellStyle name="60% - akcent 4 14" xfId="474" xr:uid="{3E6803B1-CAA1-4B39-902A-D89F1CC572A3}"/>
    <cellStyle name="60% - akcent 4 15" xfId="475" xr:uid="{A2F08D73-5743-4A04-AE33-E34681C574FC}"/>
    <cellStyle name="60% - akcent 4 2" xfId="476" xr:uid="{A785993D-D353-435F-8F80-19CE51892008}"/>
    <cellStyle name="60% - akcent 4 3" xfId="477" xr:uid="{E3C95C73-AB92-4D73-BA40-BAF7F89A53FC}"/>
    <cellStyle name="60% - akcent 4 4" xfId="478" xr:uid="{5CA9DAAC-1D91-4914-A390-676DE17CFE3B}"/>
    <cellStyle name="60% - akcent 4 5" xfId="479" xr:uid="{24E4DAE9-3A2F-4E93-A070-5B6AD27623EF}"/>
    <cellStyle name="60% - akcent 4 6" xfId="480" xr:uid="{EAF319FA-F20F-4F8D-A991-11767199AB3A}"/>
    <cellStyle name="60% - akcent 4 7" xfId="481" xr:uid="{260EB1FF-DDF1-4706-B55B-7EB5CC0E114B}"/>
    <cellStyle name="60% - akcent 4 8" xfId="482" xr:uid="{52858B10-FF65-4672-AB60-99BDA1F1BC6F}"/>
    <cellStyle name="60% - akcent 4 9" xfId="483" xr:uid="{EC952641-FB05-4071-8AE0-4DA0E478AA8A}"/>
    <cellStyle name="60% - akcent 4 9 2" xfId="484" xr:uid="{ECE7776F-4DC8-463F-AE23-D2F91FF570A4}"/>
    <cellStyle name="60% - akcent 4 9 3" xfId="485" xr:uid="{EA97D4CF-5512-410C-A12E-C9414F53FDB8}"/>
    <cellStyle name="60% - akcent 4 9_COM_BND" xfId="486" xr:uid="{0D8363C5-D429-4108-A107-89FA0BC13BC4}"/>
    <cellStyle name="60% - akcent 4_CHP" xfId="487" xr:uid="{FAF44DD5-162F-414B-B120-F830E91F3F0A}"/>
    <cellStyle name="60% - akcent 5" xfId="488" xr:uid="{84E8EC11-E3F6-49BB-959D-EE2C985CABBB}"/>
    <cellStyle name="60% - akcent 5 10" xfId="489" xr:uid="{411B44A7-4A0C-4889-A472-710F156E0DB2}"/>
    <cellStyle name="60% - akcent 5 10 2" xfId="490" xr:uid="{3CFF03A0-341B-465B-9224-B70A2F105791}"/>
    <cellStyle name="60% - akcent 5 10 3" xfId="491" xr:uid="{4F79E0E5-2126-44F3-87ED-388077DCCA18}"/>
    <cellStyle name="60% - akcent 5 10_COM_BND" xfId="492" xr:uid="{506099C8-A2FD-40CF-8003-EB70530B4F1A}"/>
    <cellStyle name="60% - akcent 5 11" xfId="493" xr:uid="{EBA387F1-2189-4400-A62D-58DAA60ADD85}"/>
    <cellStyle name="60% - akcent 5 11 2" xfId="494" xr:uid="{53E0129F-A527-4FDD-9788-AE75C537F37B}"/>
    <cellStyle name="60% - akcent 5 12" xfId="495" xr:uid="{8AE64A7E-86DC-44BF-B0F1-8BE808DBE822}"/>
    <cellStyle name="60% - akcent 5 13" xfId="496" xr:uid="{22959857-6E1A-4E71-B9E4-C3E61654C27F}"/>
    <cellStyle name="60% - akcent 5 14" xfId="497" xr:uid="{46C92B65-864C-480F-9ABA-D49D182F210B}"/>
    <cellStyle name="60% - akcent 5 15" xfId="498" xr:uid="{040CC64C-C165-469B-9F24-45B940AAC0B7}"/>
    <cellStyle name="60% - akcent 5 2" xfId="499" xr:uid="{8DC927DA-6B7D-488D-94C7-D2FF352490C9}"/>
    <cellStyle name="60% - akcent 5 3" xfId="500" xr:uid="{484547CE-8B4E-4F0A-9598-6BEDB5BE27A8}"/>
    <cellStyle name="60% - akcent 5 4" xfId="501" xr:uid="{99562260-61CC-4FC3-B6D8-6368E28356EC}"/>
    <cellStyle name="60% - akcent 5 5" xfId="502" xr:uid="{1B08AA46-B259-42EA-9793-C8E6D8BF1F0B}"/>
    <cellStyle name="60% - akcent 5 6" xfId="503" xr:uid="{BCBFF3C3-8C3A-4275-AB56-D5A8DE3EB5CC}"/>
    <cellStyle name="60% - akcent 5 7" xfId="504" xr:uid="{6EA10F14-7532-44AB-B268-B8869F501252}"/>
    <cellStyle name="60% - akcent 5 8" xfId="505" xr:uid="{4EA708E1-7ABC-4601-9D07-16CE917D146B}"/>
    <cellStyle name="60% - akcent 5 9" xfId="506" xr:uid="{C02CB575-A14D-4536-9210-88EF9F378F23}"/>
    <cellStyle name="60% - akcent 5 9 2" xfId="507" xr:uid="{0820C229-C24C-46FE-A7AA-F9DFB0BA8176}"/>
    <cellStyle name="60% - akcent 5 9 3" xfId="508" xr:uid="{73FD5B14-49F2-4BBC-BE7B-F76A28029565}"/>
    <cellStyle name="60% - akcent 5 9_COM_BND" xfId="509" xr:uid="{E85AE723-4299-4E01-84FF-A6802EA45F90}"/>
    <cellStyle name="60% - akcent 5_CHP" xfId="510" xr:uid="{21960A63-D3C3-4612-93F8-F835A527F0BB}"/>
    <cellStyle name="60% - akcent 6" xfId="511" xr:uid="{914D4CDB-CDF5-4203-A69C-07F0CA7D87EB}"/>
    <cellStyle name="60% - akcent 6 10" xfId="512" xr:uid="{03779EC5-81CC-4651-835E-D9989C7429BB}"/>
    <cellStyle name="60% - akcent 6 10 2" xfId="513" xr:uid="{D3063E3A-336E-4E68-8DDA-CB616B79C28D}"/>
    <cellStyle name="60% - akcent 6 10 3" xfId="514" xr:uid="{A25646AE-C177-440E-A8AE-1DACD34798A5}"/>
    <cellStyle name="60% - akcent 6 10_COM_BND" xfId="515" xr:uid="{C925EDE9-9D5E-49CC-A348-A57D7CA3741A}"/>
    <cellStyle name="60% - akcent 6 11" xfId="516" xr:uid="{62F344D8-D087-4A0F-86A1-E95D781E991E}"/>
    <cellStyle name="60% - akcent 6 11 2" xfId="517" xr:uid="{F13A606E-D9C4-43E9-B5EF-EA0C2BE44578}"/>
    <cellStyle name="60% - akcent 6 12" xfId="518" xr:uid="{5F1D7C87-C38C-42F5-B7B4-948097D3ABB9}"/>
    <cellStyle name="60% - akcent 6 13" xfId="519" xr:uid="{75F50DB6-244B-4DB9-9B2C-B208BB704F8A}"/>
    <cellStyle name="60% - akcent 6 14" xfId="520" xr:uid="{1A4BD0B5-B146-4C45-B5AB-BAF2ED02CF02}"/>
    <cellStyle name="60% - akcent 6 15" xfId="521" xr:uid="{07768078-C518-4EC6-BAAA-43DE923225DA}"/>
    <cellStyle name="60% - akcent 6 2" xfId="522" xr:uid="{218D0CF8-6CDA-46BC-B828-EB55617A8045}"/>
    <cellStyle name="60% - akcent 6 3" xfId="523" xr:uid="{BE00C25C-72D3-46EB-8091-E571F49E1217}"/>
    <cellStyle name="60% - akcent 6 4" xfId="524" xr:uid="{6A52904B-23AB-428B-B263-01A078DFBC30}"/>
    <cellStyle name="60% - akcent 6 5" xfId="525" xr:uid="{B1DA0E48-44D2-4738-9B2B-9C957DF951E9}"/>
    <cellStyle name="60% - akcent 6 6" xfId="526" xr:uid="{DE7F491F-007A-447E-BF14-08ACB31B34B3}"/>
    <cellStyle name="60% - akcent 6 7" xfId="527" xr:uid="{67D383B5-E0B6-474B-91A3-2E5BDD9BD4E6}"/>
    <cellStyle name="60% - akcent 6 8" xfId="528" xr:uid="{E50FFC0E-6CFC-45A6-BF30-E5DD6D44B801}"/>
    <cellStyle name="60% - akcent 6 9" xfId="529" xr:uid="{E69E2DA2-1F9B-45BC-BCEC-6919393C8CEA}"/>
    <cellStyle name="60% - akcent 6 9 2" xfId="530" xr:uid="{A90E633B-7E8A-4599-9B18-3353FBAFF825}"/>
    <cellStyle name="60% - akcent 6 9 3" xfId="531" xr:uid="{F5622B2C-A1C2-4196-A64B-D005FDB88E22}"/>
    <cellStyle name="60% - akcent 6 9_COM_BND" xfId="532" xr:uid="{890D760F-AA56-4D8C-9E92-8C286335C7D8}"/>
    <cellStyle name="60% - akcent 6_CHP" xfId="533" xr:uid="{74E4EAD1-39B3-4FAB-8301-A9D2BE5FC62E}"/>
    <cellStyle name="Accent1 2" xfId="534" xr:uid="{39CC8ED8-23CF-4C23-A8D7-3A72114C8325}"/>
    <cellStyle name="Accent1 3" xfId="535" xr:uid="{58C3D408-0B3E-4B79-8B94-B200C43B1B52}"/>
    <cellStyle name="Accent2 2" xfId="536" xr:uid="{78EF5310-9FFE-49EA-AC2B-969B2293B667}"/>
    <cellStyle name="Accent2 3" xfId="537" xr:uid="{14F32D28-9B90-4B6A-BBC8-91591ECC48E0}"/>
    <cellStyle name="Accent3 2" xfId="538" xr:uid="{2A4C2A5A-8DD3-4590-9EAC-02946BED7F2D}"/>
    <cellStyle name="Accent3 3" xfId="539" xr:uid="{8616EDC9-B649-4149-A70C-B821F12CE17D}"/>
    <cellStyle name="Accent4 2" xfId="540" xr:uid="{CC64626B-F7D9-4713-9E42-F16299B09829}"/>
    <cellStyle name="Accent4 3" xfId="541" xr:uid="{DCCBC0D0-28D1-4A90-9527-726E3773DC46}"/>
    <cellStyle name="Accent5 2" xfId="542" xr:uid="{E2229926-BD07-4C21-8449-CF53EC6E027C}"/>
    <cellStyle name="Accent5 3" xfId="543" xr:uid="{2BAA66FA-E340-4AD4-8F64-8C465D9A0774}"/>
    <cellStyle name="Accent6 2" xfId="544" xr:uid="{2F2B3520-581C-4E0D-A600-B8C0C9088B3F}"/>
    <cellStyle name="Accent6 3" xfId="545" xr:uid="{DA4C5020-9869-4516-9FAF-C2D08DCCD481}"/>
    <cellStyle name="Actual Date" xfId="546" xr:uid="{C233C9E7-52A0-4625-8684-49FA2CD89FD0}"/>
    <cellStyle name="Akcent 1 10" xfId="548" xr:uid="{94BBDEE8-D491-4BDE-89BE-006722EEE93D}"/>
    <cellStyle name="Akcent 1 10 2" xfId="549" xr:uid="{3C0099A7-62FF-4F93-9C76-99008805DC1A}"/>
    <cellStyle name="Akcent 1 10 3" xfId="550" xr:uid="{42D0B6EE-72C8-44E0-8C31-DC3DE8662A86}"/>
    <cellStyle name="Akcent 1 10_COM_BND" xfId="551" xr:uid="{62785A0F-B42C-40AB-96CE-C5E4A68627C4}"/>
    <cellStyle name="Akcent 1 11" xfId="552" xr:uid="{22370F98-A14C-4576-BDB1-48C1376D0E12}"/>
    <cellStyle name="Akcent 1 11 2" xfId="553" xr:uid="{C13AD612-BDA5-4871-B260-0039A4B31DC7}"/>
    <cellStyle name="Akcent 1 12" xfId="554" xr:uid="{D93757AF-5CA6-4DC3-A4B5-95B62C9573A0}"/>
    <cellStyle name="Akcent 1 13" xfId="555" xr:uid="{F10CA27F-02B2-4027-829B-C8879128B4C3}"/>
    <cellStyle name="Akcent 1 14" xfId="556" xr:uid="{AD5570C0-5C80-4722-8202-ED4F76399430}"/>
    <cellStyle name="Akcent 1 15" xfId="557" xr:uid="{AE493A98-D7C5-419F-BD73-0BE13F0280BE}"/>
    <cellStyle name="Akcent 1 16" xfId="547" xr:uid="{FED670F3-B9D3-4373-A742-84869E12AACE}"/>
    <cellStyle name="Akcent 1 2" xfId="558" xr:uid="{085EA3C3-626A-4308-9045-016088EDD075}"/>
    <cellStyle name="Akcent 1 3" xfId="559" xr:uid="{D31A0050-CC1C-4C5D-A3A3-EB0FE775CB21}"/>
    <cellStyle name="Akcent 1 4" xfId="560" xr:uid="{30CBC907-86E3-4268-B5AF-77B727DC62E2}"/>
    <cellStyle name="Akcent 1 5" xfId="561" xr:uid="{9EFC299C-0155-4F87-8E92-B814C2176F80}"/>
    <cellStyle name="Akcent 1 6" xfId="562" xr:uid="{E5D07500-7916-4370-A653-0BC23448F9C5}"/>
    <cellStyle name="Akcent 1 7" xfId="563" xr:uid="{4E408CB9-1DFE-4E56-8F40-0E60D846B885}"/>
    <cellStyle name="Akcent 1 8" xfId="564" xr:uid="{CDE7D2FF-DB0D-42E8-8EE3-7123DF8485DE}"/>
    <cellStyle name="Akcent 1 9" xfId="565" xr:uid="{7EA67348-3E2F-4CDC-93C0-7F86131EE7CC}"/>
    <cellStyle name="Akcent 1 9 2" xfId="566" xr:uid="{E77127AB-821D-49BE-BD60-3862A901F6DC}"/>
    <cellStyle name="Akcent 1 9 3" xfId="567" xr:uid="{F01442F9-4123-42EC-A801-F6A4BF2D0478}"/>
    <cellStyle name="Akcent 1 9_COM_BND" xfId="568" xr:uid="{353F1D02-40E7-4F3F-A588-39F2DE2C3D10}"/>
    <cellStyle name="Akcent 2 10" xfId="570" xr:uid="{76ACD955-C8E4-4190-B7AB-D7A3E12D9FB6}"/>
    <cellStyle name="Akcent 2 10 2" xfId="571" xr:uid="{D0287B0C-D18A-4839-AA15-AF309168B8A8}"/>
    <cellStyle name="Akcent 2 10 3" xfId="572" xr:uid="{EB32B15B-EA60-4B71-B02D-3A9DFDE8EDF4}"/>
    <cellStyle name="Akcent 2 10_COM_BND" xfId="573" xr:uid="{79DD6C4E-E698-4761-BB4B-C1E1BAFF4B97}"/>
    <cellStyle name="Akcent 2 11" xfId="574" xr:uid="{D8DAA9F6-59A0-43E3-A956-1F818E8F42F0}"/>
    <cellStyle name="Akcent 2 11 2" xfId="575" xr:uid="{4111C395-A001-4E4C-89B9-7A67D29660F3}"/>
    <cellStyle name="Akcent 2 12" xfId="576" xr:uid="{D91AF8A9-8EF9-499C-BC1D-F753C1BADFEC}"/>
    <cellStyle name="Akcent 2 13" xfId="577" xr:uid="{143D1E69-180B-4399-A608-9E9B219F7ECE}"/>
    <cellStyle name="Akcent 2 14" xfId="578" xr:uid="{B2197FFA-256F-4D45-8EF2-1D52E49003A9}"/>
    <cellStyle name="Akcent 2 15" xfId="579" xr:uid="{DBB710EC-5E76-4655-94EA-CEA4C7A0A800}"/>
    <cellStyle name="Akcent 2 16" xfId="569" xr:uid="{D9E124CA-033A-4922-8E2C-3207026B5D49}"/>
    <cellStyle name="Akcent 2 2" xfId="580" xr:uid="{71DC15C8-AF48-4E8C-B9E4-BCF6B1BB383F}"/>
    <cellStyle name="Akcent 2 3" xfId="581" xr:uid="{992A2E78-E25C-444A-8073-52E3C987AB15}"/>
    <cellStyle name="Akcent 2 4" xfId="582" xr:uid="{4CFD5DD9-B311-4BE8-9E78-E1580DB351A7}"/>
    <cellStyle name="Akcent 2 5" xfId="583" xr:uid="{6E68A152-7D11-4E2D-BFCB-AEAF0649E008}"/>
    <cellStyle name="Akcent 2 6" xfId="584" xr:uid="{F4785182-E441-4DDC-ADC0-0AD454A82DB0}"/>
    <cellStyle name="Akcent 2 7" xfId="585" xr:uid="{B24318D5-8FE2-4274-984B-A8815233E9BD}"/>
    <cellStyle name="Akcent 2 8" xfId="586" xr:uid="{7056B5C8-E337-49C2-86B5-1553E9714AA6}"/>
    <cellStyle name="Akcent 2 9" xfId="587" xr:uid="{1C71BC35-CC6F-49E3-88BD-EBF3D513D2C4}"/>
    <cellStyle name="Akcent 2 9 2" xfId="588" xr:uid="{2825D40E-E4DD-4386-8084-1A2731E13928}"/>
    <cellStyle name="Akcent 2 9 3" xfId="589" xr:uid="{F5C70C7A-3CF8-451F-BF33-3BFFC1274F5C}"/>
    <cellStyle name="Akcent 2 9_COM_BND" xfId="590" xr:uid="{615E8936-108C-48F7-A154-C6FC863AC6DB}"/>
    <cellStyle name="Akcent 3 10" xfId="592" xr:uid="{3F7E7B05-99A6-41BF-98C4-A810164C484D}"/>
    <cellStyle name="Akcent 3 10 2" xfId="593" xr:uid="{BF0EAABA-24F6-4E5D-B963-592BC5E205BC}"/>
    <cellStyle name="Akcent 3 10 3" xfId="594" xr:uid="{B9EA19F1-A472-41BE-A743-0C55DE4BB307}"/>
    <cellStyle name="Akcent 3 10_COM_BND" xfId="595" xr:uid="{95C23812-5CB4-41C1-BD3C-3F76371C7E3B}"/>
    <cellStyle name="Akcent 3 11" xfId="596" xr:uid="{EBF61126-EE24-4B84-9E45-0684C03AB59E}"/>
    <cellStyle name="Akcent 3 11 2" xfId="597" xr:uid="{9A92A82F-B5B7-4727-BEA8-DC4FEB97D674}"/>
    <cellStyle name="Akcent 3 12" xfId="598" xr:uid="{FED91274-9532-455E-B10A-3139C56CFBA0}"/>
    <cellStyle name="Akcent 3 13" xfId="599" xr:uid="{F1297F8A-E9F6-4907-BF6B-23F620C6F649}"/>
    <cellStyle name="Akcent 3 14" xfId="600" xr:uid="{8A907C36-3A84-4998-968E-C313B6993542}"/>
    <cellStyle name="Akcent 3 15" xfId="601" xr:uid="{E8D02C45-93BD-491F-A775-46372DB98FDD}"/>
    <cellStyle name="Akcent 3 16" xfId="591" xr:uid="{5EB8A165-00ED-400F-8064-07836EE63626}"/>
    <cellStyle name="Akcent 3 2" xfId="602" xr:uid="{8ACF416F-2785-4DA2-8AB1-9B69AA380CCD}"/>
    <cellStyle name="Akcent 3 3" xfId="603" xr:uid="{ACA31747-AC25-40DF-AE88-D2440D8628D0}"/>
    <cellStyle name="Akcent 3 4" xfId="604" xr:uid="{F6DBDF72-F94F-4C77-9569-376E76CD3D77}"/>
    <cellStyle name="Akcent 3 5" xfId="605" xr:uid="{7536FD2C-C8CA-4618-AEFC-323CCC9C727D}"/>
    <cellStyle name="Akcent 3 6" xfId="606" xr:uid="{9E2DB744-084D-4412-992C-C86C281D5FA4}"/>
    <cellStyle name="Akcent 3 7" xfId="607" xr:uid="{9A0D901B-49AE-4108-BF32-FD1F7E6C0195}"/>
    <cellStyle name="Akcent 3 8" xfId="608" xr:uid="{70C1EC78-DED7-45D2-BCDD-2490CA1E6ABB}"/>
    <cellStyle name="Akcent 3 9" xfId="609" xr:uid="{8E1B0CCA-AD30-47E5-86CD-185CE74F11F8}"/>
    <cellStyle name="Akcent 3 9 2" xfId="610" xr:uid="{0F59EFD1-B78B-45F2-A1CB-709F7C00F966}"/>
    <cellStyle name="Akcent 3 9 3" xfId="611" xr:uid="{B028BA95-44BF-4BCD-AC1F-D71149B0377B}"/>
    <cellStyle name="Akcent 3 9_COM_BND" xfId="612" xr:uid="{322BF73F-86EC-423C-877D-6F369E015F64}"/>
    <cellStyle name="Akcent 4 10" xfId="614" xr:uid="{D3A94E51-37A1-4634-939B-5A75FCBEA722}"/>
    <cellStyle name="Akcent 4 10 2" xfId="615" xr:uid="{86C1C199-7EEF-4C43-8E81-39A5A181D8E4}"/>
    <cellStyle name="Akcent 4 10 3" xfId="616" xr:uid="{3EEE23F3-EC5F-4F13-9B6F-553E7E709F7C}"/>
    <cellStyle name="Akcent 4 10_COM_BND" xfId="617" xr:uid="{A1B8024A-18C9-4A1F-96EB-778B7CA87DB1}"/>
    <cellStyle name="Akcent 4 11" xfId="618" xr:uid="{7BF78C00-2D08-4E9B-98F6-4AAF5B39EDAB}"/>
    <cellStyle name="Akcent 4 11 2" xfId="619" xr:uid="{A7505560-8C1A-44F6-9645-9D4BE5EDA55E}"/>
    <cellStyle name="Akcent 4 12" xfId="620" xr:uid="{D9AA2BD3-0690-4E64-BEEB-1B899FC53833}"/>
    <cellStyle name="Akcent 4 13" xfId="621" xr:uid="{00830F17-5185-4F30-8B1A-36AB513650DF}"/>
    <cellStyle name="Akcent 4 14" xfId="622" xr:uid="{ED542598-3427-434C-8E22-0E57BA56998B}"/>
    <cellStyle name="Akcent 4 15" xfId="623" xr:uid="{97BDF20A-A887-44D3-8CDF-1C05268B1D59}"/>
    <cellStyle name="Akcent 4 16" xfId="613" xr:uid="{842E1824-9990-492B-B71F-727EC6E3A670}"/>
    <cellStyle name="Akcent 4 2" xfId="624" xr:uid="{E045C073-AD55-4407-8DAE-0614A8577B81}"/>
    <cellStyle name="Akcent 4 3" xfId="625" xr:uid="{D9DEFD17-2559-4A98-BFD9-1770CA5A4003}"/>
    <cellStyle name="Akcent 4 4" xfId="626" xr:uid="{63AF888D-DC3C-4F07-A2BF-8C19AAF23816}"/>
    <cellStyle name="Akcent 4 5" xfId="627" xr:uid="{64B6E147-A2DF-432C-B3EB-5EB87667F93E}"/>
    <cellStyle name="Akcent 4 6" xfId="628" xr:uid="{AD2EDC2B-FDC0-44F4-8E5C-93EEF82FF7A0}"/>
    <cellStyle name="Akcent 4 7" xfId="629" xr:uid="{9CDF1A1D-052E-4E07-8161-0C1F2413B349}"/>
    <cellStyle name="Akcent 4 8" xfId="630" xr:uid="{9A2DA02B-D228-4720-8176-991A0FC4762A}"/>
    <cellStyle name="Akcent 4 9" xfId="631" xr:uid="{897A6EF2-245C-4399-822E-567752F442B8}"/>
    <cellStyle name="Akcent 4 9 2" xfId="632" xr:uid="{FA362578-9BCB-46BB-9A2A-F5279D9E00F1}"/>
    <cellStyle name="Akcent 4 9 3" xfId="633" xr:uid="{A5E27A9D-9A76-48BA-8D11-2F80B53A0DAA}"/>
    <cellStyle name="Akcent 4 9_COM_BND" xfId="634" xr:uid="{4AE1824F-0573-4AE8-A140-600B47C3ADE7}"/>
    <cellStyle name="Akcent 5 10" xfId="636" xr:uid="{C5107FD5-D7FD-4DD0-BDD8-C7C54ED76B04}"/>
    <cellStyle name="Akcent 5 10 2" xfId="637" xr:uid="{79B16497-E492-4D85-BF76-CF5C92299D34}"/>
    <cellStyle name="Akcent 5 10 3" xfId="638" xr:uid="{2D40EB1C-7A89-4545-A1A5-48216997A7B8}"/>
    <cellStyle name="Akcent 5 10_COM_BND" xfId="639" xr:uid="{4BF01A3A-D2B2-4713-9271-87A324E69B20}"/>
    <cellStyle name="Akcent 5 11" xfId="640" xr:uid="{4912923A-4248-404A-8BBE-7678B17A4D8F}"/>
    <cellStyle name="Akcent 5 11 2" xfId="641" xr:uid="{F5F1E549-8600-4F0B-92D2-A63CE4377BA9}"/>
    <cellStyle name="Akcent 5 12" xfId="642" xr:uid="{3CDC28DC-20B4-4F9A-99FD-25F190B147F7}"/>
    <cellStyle name="Akcent 5 13" xfId="643" xr:uid="{1703BCEC-6472-4216-970F-4D9CE8C45103}"/>
    <cellStyle name="Akcent 5 14" xfId="644" xr:uid="{CDB13637-6AB9-4580-BB5F-392FFE858C86}"/>
    <cellStyle name="Akcent 5 15" xfId="645" xr:uid="{2CFE8F44-D716-4F19-9EDF-18DBF5A6ADB6}"/>
    <cellStyle name="Akcent 5 16" xfId="635" xr:uid="{F8F97F0A-C0E5-4748-8E11-EE1D33AF5891}"/>
    <cellStyle name="Akcent 5 2" xfId="646" xr:uid="{136F7E17-5A3F-4DE1-9C8B-CCC7DA16CFA8}"/>
    <cellStyle name="Akcent 5 3" xfId="647" xr:uid="{22BB9F67-CD31-4CF0-A4F7-4D52FBDB9CFA}"/>
    <cellStyle name="Akcent 5 4" xfId="648" xr:uid="{DE85FD59-FB05-4D6A-B5B9-A7F7CF5924C5}"/>
    <cellStyle name="Akcent 5 5" xfId="649" xr:uid="{F3D6829C-29FE-4AC8-BA94-B6BE0CB2B2FA}"/>
    <cellStyle name="Akcent 5 6" xfId="650" xr:uid="{6847D8DA-8B28-4981-A5B5-4654FBE3C685}"/>
    <cellStyle name="Akcent 5 7" xfId="651" xr:uid="{7A7339B3-7E8B-4870-8CC1-6CBA40E72FA3}"/>
    <cellStyle name="Akcent 5 8" xfId="652" xr:uid="{8A990382-FC2E-4B9B-A2B8-04BEBC035C02}"/>
    <cellStyle name="Akcent 5 9" xfId="653" xr:uid="{10CE5F0A-8CDF-40BC-B608-0184082E3CB1}"/>
    <cellStyle name="Akcent 5 9 2" xfId="654" xr:uid="{D2D04394-ECF6-4F67-887C-016C394F9FFA}"/>
    <cellStyle name="Akcent 5 9 3" xfId="655" xr:uid="{6DB4168B-B7A2-4385-A87B-CF0B7E20B8A9}"/>
    <cellStyle name="Akcent 5 9_COM_BND" xfId="656" xr:uid="{FD0D27D7-B922-41BB-8DC7-71813654738A}"/>
    <cellStyle name="Akcent 6 10" xfId="658" xr:uid="{920629BD-C603-40F1-974D-39280A9C5AB6}"/>
    <cellStyle name="Akcent 6 10 2" xfId="659" xr:uid="{8DDA058A-96FE-4129-8F64-83CB9FE174E8}"/>
    <cellStyle name="Akcent 6 10 3" xfId="660" xr:uid="{738DA7C7-DC2F-4F8E-998E-E9ED98ABC5C5}"/>
    <cellStyle name="Akcent 6 10_COM_BND" xfId="661" xr:uid="{209CBC2F-4E6F-4D31-B8DD-230442695377}"/>
    <cellStyle name="Akcent 6 11" xfId="662" xr:uid="{3EBD12FE-0911-4595-99A3-7E05FB4EB78D}"/>
    <cellStyle name="Akcent 6 11 2" xfId="663" xr:uid="{79279137-89A2-4047-BAFF-DC823EDE110C}"/>
    <cellStyle name="Akcent 6 12" xfId="664" xr:uid="{DE3B15D9-ED6F-4CE0-9ECA-E656622DDA6B}"/>
    <cellStyle name="Akcent 6 13" xfId="665" xr:uid="{63E15729-A1B0-46B1-9909-9CCDF211C8E1}"/>
    <cellStyle name="Akcent 6 14" xfId="666" xr:uid="{D9203A12-78A9-4A93-9CA3-73FFACE22A80}"/>
    <cellStyle name="Akcent 6 15" xfId="667" xr:uid="{0E98F540-DE0D-4335-B243-1E564EE171D9}"/>
    <cellStyle name="Akcent 6 16" xfId="657" xr:uid="{EA3A8519-5D86-442C-BE69-93C40A04EA28}"/>
    <cellStyle name="Akcent 6 2" xfId="668" xr:uid="{12C321F6-8FBF-46D1-A181-09B33D462454}"/>
    <cellStyle name="Akcent 6 3" xfId="669" xr:uid="{D268E3E6-8B07-45EE-A30E-DD1AE96F1659}"/>
    <cellStyle name="Akcent 6 4" xfId="670" xr:uid="{E7DE3D79-1150-412E-BADC-B1A36C4A1E01}"/>
    <cellStyle name="Akcent 6 5" xfId="671" xr:uid="{297B116E-4890-46C8-A961-8FEB937F4D89}"/>
    <cellStyle name="Akcent 6 6" xfId="672" xr:uid="{FED55E57-944A-449E-A67A-5D413C70372E}"/>
    <cellStyle name="Akcent 6 7" xfId="673" xr:uid="{911B7266-8904-4AED-9EEC-340E39204B74}"/>
    <cellStyle name="Akcent 6 8" xfId="674" xr:uid="{B9D3DDDF-2229-46F1-A41B-D67BC283B8C5}"/>
    <cellStyle name="Akcent 6 9" xfId="675" xr:uid="{0761159C-2B44-476D-8B37-28CCAEC1D7F1}"/>
    <cellStyle name="Akcent 6 9 2" xfId="676" xr:uid="{AB577A2D-AFFA-4FE5-BD6A-9143CDA0167A}"/>
    <cellStyle name="Akcent 6 9 3" xfId="677" xr:uid="{2754349E-2EC9-416C-8FF6-84CFC8FB7E38}"/>
    <cellStyle name="Akcent 6 9_COM_BND" xfId="678" xr:uid="{290D7967-2F08-43B6-9540-52C4D770C312}"/>
    <cellStyle name="Akzent1 2" xfId="679" xr:uid="{EECF0615-01AB-4ABB-B2B3-61CA32D6496D}"/>
    <cellStyle name="Akzent2 2" xfId="680" xr:uid="{94B5DAC5-BEFF-4E1A-96D5-2816C8A08B6B}"/>
    <cellStyle name="Akzent3 2" xfId="681" xr:uid="{2F9275F4-901B-4254-9D74-0EB007542042}"/>
    <cellStyle name="Akzent4 2" xfId="682" xr:uid="{B50F8B8A-3838-43C3-897F-B3EA2981CA10}"/>
    <cellStyle name="Akzent5 2" xfId="683" xr:uid="{78EB792F-765A-469B-8B64-BECFF2E9C7E3}"/>
    <cellStyle name="Akzent6 2" xfId="684" xr:uid="{E8D3E8C8-762E-46BE-ACB4-89E5BDEDFD48}"/>
    <cellStyle name="Ausgabe 2" xfId="685" xr:uid="{CB4D5794-DBAB-4576-8FE6-A1AEF2AD5B2D}"/>
    <cellStyle name="Bad 2" xfId="686" xr:uid="{1928EFEB-D52F-4B26-8FB1-0F83AD424175}"/>
    <cellStyle name="Bad 3" xfId="687" xr:uid="{E1ADEA8B-2E48-48DF-8B43-AA47ACEB8AF0}"/>
    <cellStyle name="Berechnung 2" xfId="688" xr:uid="{21018F21-4987-4D09-9CC6-E9E6DDF5F38F}"/>
    <cellStyle name="Calculation 2" xfId="689" xr:uid="{234A5E06-1798-47C2-B7E4-D069C9B1146B}"/>
    <cellStyle name="Calculation 3" xfId="690" xr:uid="{FCB8542F-CD18-437F-BF3E-6465734D6565}"/>
    <cellStyle name="Check Cell 2" xfId="691" xr:uid="{B21B6950-267B-4E11-A5B1-4EAD939B080A}"/>
    <cellStyle name="Check Cell 3" xfId="692" xr:uid="{22DC269A-77C0-42B1-A3AC-B99376E34CD7}"/>
    <cellStyle name="ColLevel_" xfId="693" xr:uid="{D6113202-7E86-48AA-B397-E7C0C4227FE2}"/>
    <cellStyle name="Comma0" xfId="694" xr:uid="{AC42D8A9-97F8-4D3B-85C1-D4738B959E1B}"/>
    <cellStyle name="Comma0 - Style1" xfId="695" xr:uid="{B8746BE2-2B05-4333-B2E6-7A3CCE16B029}"/>
    <cellStyle name="Comma0 - Style2" xfId="696" xr:uid="{92CAF419-0FF9-4B53-BE2C-DB967517D6B4}"/>
    <cellStyle name="Comma0_Input" xfId="697" xr:uid="{F8236C4B-23BE-4717-91F6-287BA7B03827}"/>
    <cellStyle name="Currency0" xfId="698" xr:uid="{C97D41FA-00F5-4D03-B749-8B3426AD31D5}"/>
    <cellStyle name="Dane wejściowe 10" xfId="700" xr:uid="{68659FEB-B115-40DC-B5E7-6B1679557548}"/>
    <cellStyle name="Dane wejściowe 10 2" xfId="701" xr:uid="{39616667-D329-48A4-8058-B791A45AC41D}"/>
    <cellStyle name="Dane wejściowe 10 3" xfId="702" xr:uid="{0A4EDD2B-9F4B-4769-9D93-BAEE83D96328}"/>
    <cellStyle name="Dane wejściowe 10_CHP" xfId="703" xr:uid="{BB4DE2DB-DC85-437D-8D8B-91C065A9E046}"/>
    <cellStyle name="Dane wejściowe 11" xfId="704" xr:uid="{42BEDF11-E576-4F9C-B61C-C8E283D6A3EE}"/>
    <cellStyle name="Dane wejściowe 11 2" xfId="705" xr:uid="{7E460B37-FA87-4B7D-855A-049B118615F7}"/>
    <cellStyle name="Dane wejściowe 11_CHP" xfId="706" xr:uid="{69DCE9E9-CE7E-4E25-978F-4EB443F7E43C}"/>
    <cellStyle name="Dane wejściowe 12" xfId="707" xr:uid="{78D4837B-4B6D-4FA5-AECB-22B861EABD56}"/>
    <cellStyle name="Dane wejściowe 13" xfId="708" xr:uid="{03E03992-F540-4F1B-B9E4-150C38A1FA7D}"/>
    <cellStyle name="Dane wejściowe 14" xfId="709" xr:uid="{E1CCF9A2-F9AC-4372-8DE4-99F4DDD1A2E3}"/>
    <cellStyle name="Dane wejściowe 15" xfId="710" xr:uid="{E3DD91A0-9CBD-410F-8395-358A220BCA9E}"/>
    <cellStyle name="Dane wejściowe 16" xfId="699" xr:uid="{095AFC22-8477-4C7D-B807-2143F698C768}"/>
    <cellStyle name="Dane wejściowe 2" xfId="711" xr:uid="{034ED5A1-26B3-4FA4-9DFE-8801616362E8}"/>
    <cellStyle name="Dane wejściowe 3" xfId="712" xr:uid="{A86DA23E-8458-4ECA-8AD4-4C5FF98CB721}"/>
    <cellStyle name="Dane wejściowe 4" xfId="713" xr:uid="{91B86932-98B9-4243-A19B-87E1B00DB1A1}"/>
    <cellStyle name="Dane wejściowe 5" xfId="714" xr:uid="{EF532769-423A-48AC-93B8-9E1F83092DF4}"/>
    <cellStyle name="Dane wejściowe 6" xfId="715" xr:uid="{48A5FE0F-FE0D-4D98-993C-F1A38F5ED657}"/>
    <cellStyle name="Dane wejściowe 7" xfId="716" xr:uid="{EE5CB24C-10B8-4A6D-BD00-8C86E574802A}"/>
    <cellStyle name="Dane wejściowe 8" xfId="717" xr:uid="{B25073FB-4E16-4909-9D32-D74E850C8756}"/>
    <cellStyle name="Dane wejściowe 9" xfId="718" xr:uid="{CA3EE01A-495E-476E-9FAE-A0C6DC216077}"/>
    <cellStyle name="Dane wejściowe 9 2" xfId="719" xr:uid="{6C5B0AE0-404C-489D-8175-14037EDF3297}"/>
    <cellStyle name="Dane wejściowe 9 3" xfId="720" xr:uid="{EA2F221A-593D-44C9-96FD-B95DA7EB5B4A}"/>
    <cellStyle name="Dane wejściowe 9_CHP" xfId="721" xr:uid="{CF678462-4FFB-4CA9-8DFF-764F235D5940}"/>
    <cellStyle name="Dane wyjściowe 10" xfId="723" xr:uid="{F8CF2BF0-F2C1-48DD-86E2-7B6A4E51D441}"/>
    <cellStyle name="Dane wyjściowe 10 2" xfId="724" xr:uid="{B335C437-4564-4B39-B666-049E9D7BF0F3}"/>
    <cellStyle name="Dane wyjściowe 10 3" xfId="725" xr:uid="{43CC483F-DCB8-4A4F-9295-9A28875CF47B}"/>
    <cellStyle name="Dane wyjściowe 10_CHP" xfId="726" xr:uid="{00648C97-4DD0-4F92-99E1-93DD98360F0D}"/>
    <cellStyle name="Dane wyjściowe 11" xfId="727" xr:uid="{CA70DB94-442C-4D43-8F44-5163B21BA343}"/>
    <cellStyle name="Dane wyjściowe 11 2" xfId="728" xr:uid="{FEC13B8A-4FE8-484D-B759-B6B05BA1D8BD}"/>
    <cellStyle name="Dane wyjściowe 11_CHP" xfId="729" xr:uid="{F8F9C7AA-A4EB-4ADE-BADE-65CEB26DF94C}"/>
    <cellStyle name="Dane wyjściowe 12" xfId="730" xr:uid="{2CEC3336-BDAD-4542-A46E-7D6D8B5635DE}"/>
    <cellStyle name="Dane wyjściowe 13" xfId="731" xr:uid="{485F8990-46F0-41FF-AE1B-FE2D3C48054B}"/>
    <cellStyle name="Dane wyjściowe 14" xfId="732" xr:uid="{CEBFE003-C5F4-4A94-A8E2-F96D1FE972EF}"/>
    <cellStyle name="Dane wyjściowe 15" xfId="733" xr:uid="{E0F17F58-1BC4-4415-B92C-4BF93680CB66}"/>
    <cellStyle name="Dane wyjściowe 16" xfId="722" xr:uid="{179473F8-504A-4ADA-B16E-9C822A7CA8B6}"/>
    <cellStyle name="Dane wyjściowe 2" xfId="734" xr:uid="{4EDC03C8-7047-4BBA-9540-7337B7B1B388}"/>
    <cellStyle name="Dane wyjściowe 3" xfId="735" xr:uid="{4CBD0CDC-ABA3-40B9-B032-CC7BD504D3A2}"/>
    <cellStyle name="Dane wyjściowe 4" xfId="736" xr:uid="{C1AE0E2B-D9C2-4375-93D3-4FBD150096D4}"/>
    <cellStyle name="Dane wyjściowe 5" xfId="737" xr:uid="{3CB38330-E2C6-45CC-99C4-2803FD46BBD9}"/>
    <cellStyle name="Dane wyjściowe 6" xfId="738" xr:uid="{0CD2F9B9-8B0A-4720-88EE-F936929FEB03}"/>
    <cellStyle name="Dane wyjściowe 7" xfId="739" xr:uid="{49343BAB-A2AB-4985-931A-2C4B3F79BC47}"/>
    <cellStyle name="Dane wyjściowe 8" xfId="740" xr:uid="{1175F933-D328-4528-92B7-047406AC86E2}"/>
    <cellStyle name="Dane wyjściowe 9" xfId="741" xr:uid="{5E5CA342-88A8-4068-9472-2830B3E75D4A}"/>
    <cellStyle name="Dane wyjściowe 9 2" xfId="742" xr:uid="{03B38E5A-C0FB-44CA-901C-C472E6BE79C5}"/>
    <cellStyle name="Dane wyjściowe 9 3" xfId="743" xr:uid="{5962000C-67F5-4B2C-AB1E-E2A04A95DB5F}"/>
    <cellStyle name="Dane wyjściowe 9_CHP" xfId="744" xr:uid="{5AA79BD8-92FA-4179-959B-1339C76429FC}"/>
    <cellStyle name="Date" xfId="745" xr:uid="{159D7F77-CCEB-416E-956E-A2234B495154}"/>
    <cellStyle name="DateTime" xfId="746" xr:uid="{DD498D3C-F792-4E1D-AFB4-BEBFFB5C7FC9}"/>
    <cellStyle name="Dezimal [0] 2" xfId="747" xr:uid="{296B0FA1-B8E9-4CF9-BA01-364DB5B563C5}"/>
    <cellStyle name="Dezimal [0] 2 2" xfId="748" xr:uid="{9C4BA462-802E-4D2B-8DEF-32C4FB131453}"/>
    <cellStyle name="Dezimal [0] 2 3" xfId="2190" xr:uid="{0FD4DBD2-DC5C-4500-9802-0468831F1EDD}"/>
    <cellStyle name="Dezimal 2" xfId="749" xr:uid="{8AD6EAF7-7662-4246-8C66-ABE0888B6BB3}"/>
    <cellStyle name="Dezimal 3" xfId="750" xr:uid="{4C24FD52-4854-461E-80A9-2CB66B7394A5}"/>
    <cellStyle name="Dezimal 3 2" xfId="751" xr:uid="{24901B4F-7E07-4BE6-AE71-FF0B3A5CC966}"/>
    <cellStyle name="Dezimal 3 3" xfId="752" xr:uid="{B6EEAFD2-574D-4079-B18E-8C342F06B32B}"/>
    <cellStyle name="Dezimal_Results_Pan_EU_OLGA_NUC" xfId="753" xr:uid="{9B7DE9F0-8C22-4BF9-96A6-76FE8BBD04ED}"/>
    <cellStyle name="Dobre" xfId="754" xr:uid="{F0EBD741-D918-4892-B16B-5C859B41FE72}"/>
    <cellStyle name="Dobre 10" xfId="755" xr:uid="{30FF5A6B-F472-4D5C-AC5F-60F2900329BC}"/>
    <cellStyle name="Dobre 10 2" xfId="756" xr:uid="{0F524D15-65DB-4264-83BE-A983D5576FEF}"/>
    <cellStyle name="Dobre 10 3" xfId="757" xr:uid="{24D9F2B0-ECF4-479B-B412-650D6E1E4EA3}"/>
    <cellStyle name="Dobre 10_COM_BND" xfId="758" xr:uid="{60EC700B-DF4F-4B2B-90A6-7E4CDE890557}"/>
    <cellStyle name="Dobre 11" xfId="759" xr:uid="{F540FF5D-8362-4039-8703-0B562A7697CF}"/>
    <cellStyle name="Dobre 11 2" xfId="760" xr:uid="{234BD1D4-F52D-407F-8B54-5691912B0125}"/>
    <cellStyle name="Dobre 12" xfId="761" xr:uid="{681DD35B-7D4F-4F83-ADDB-4C343E446C65}"/>
    <cellStyle name="Dobre 13" xfId="762" xr:uid="{B7FC47E7-7329-4A42-8DA7-72C5B678FA0D}"/>
    <cellStyle name="Dobre 13 2" xfId="763" xr:uid="{F6ABE020-357A-4B26-B9F1-8CFDD04036B2}"/>
    <cellStyle name="Dobre 14" xfId="764" xr:uid="{A799C1FE-7EF7-4394-A6AE-6801D1EC5623}"/>
    <cellStyle name="Dobre 15" xfId="765" xr:uid="{B499017D-C4FF-43FE-B027-EC87E81F6A3A}"/>
    <cellStyle name="Dobre 2" xfId="766" xr:uid="{CF8E9FCD-CDA4-45D9-B54F-7D043EED9343}"/>
    <cellStyle name="Dobre 3" xfId="767" xr:uid="{33CAD22B-A76B-4C3D-BBA9-811B498C97AB}"/>
    <cellStyle name="Dobre 4" xfId="768" xr:uid="{E920759D-A0E9-468E-A13B-6973172C0D7C}"/>
    <cellStyle name="Dobre 5" xfId="769" xr:uid="{2D7A7A23-91DF-4755-9806-0C42C29C3037}"/>
    <cellStyle name="Dobre 6" xfId="770" xr:uid="{B041F1CB-949A-4987-85E3-49E7894D6823}"/>
    <cellStyle name="Dobre 7" xfId="771" xr:uid="{6C742D9F-ADA1-4425-A409-D147F49EBF75}"/>
    <cellStyle name="Dobre 8" xfId="772" xr:uid="{94759856-DE29-4FFD-8896-10CB6234B288}"/>
    <cellStyle name="Dobre 9" xfId="773" xr:uid="{191476DC-BA07-48FB-8F6D-A897016AB954}"/>
    <cellStyle name="Dobre 9 2" xfId="774" xr:uid="{DE588598-B0B6-47A1-801B-EA609DFB7447}"/>
    <cellStyle name="Dobre 9 3" xfId="775" xr:uid="{FB897D92-3F15-44C3-9214-87627DF59AEE}"/>
    <cellStyle name="Dobre 9_COM_BND" xfId="776" xr:uid="{2653B804-116D-4148-9DDD-790FDE3516BA}"/>
    <cellStyle name="Dobre_CHP" xfId="777" xr:uid="{85B8262E-10E4-4617-8E32-026062B4ECEA}"/>
    <cellStyle name="Dziesiętny 2" xfId="778" xr:uid="{33CE6C8F-DC48-4C9D-8FD6-88B922190D25}"/>
    <cellStyle name="Dziesiętny 3" xfId="14" xr:uid="{87C1AB9C-466C-4BCC-B431-1E04859FBA62}"/>
    <cellStyle name="Dziesiętny 3 2" xfId="49" xr:uid="{7FF5321F-AB5E-4AD2-B118-7728274A53F8}"/>
    <cellStyle name="Dziesiętny 3 2 2" xfId="2176" xr:uid="{E1632B52-996D-4437-8F5D-FDFEE3627B71}"/>
    <cellStyle name="Dziesiętny 3 3" xfId="22" xr:uid="{0502B7EB-EDA5-4D4E-9C44-181F812FB0B8}"/>
    <cellStyle name="Dziesiętny 4" xfId="59" xr:uid="{FE0EC95D-71CE-4378-A0AD-CF89D97A8648}"/>
    <cellStyle name="Dziesiętny 4 2" xfId="2189" xr:uid="{37D61C3C-664E-4E50-9943-F215E640BF38}"/>
    <cellStyle name="Eingabe 2" xfId="779" xr:uid="{877C0234-F814-435B-9F18-AF1497B5AC81}"/>
    <cellStyle name="Ergebnis 2" xfId="780" xr:uid="{E0FF3CEA-DD45-4488-8867-7C8063AC8ACA}"/>
    <cellStyle name="Erklärender Text 2" xfId="781" xr:uid="{3DD8C2C2-5F88-4C36-A8B2-B49AAB981838}"/>
    <cellStyle name="Euro" xfId="782" xr:uid="{C1DCA42D-BC2C-4CC8-AE81-ADC7D6564D5C}"/>
    <cellStyle name="Euro 2" xfId="783" xr:uid="{7A1C58CB-C521-43FE-8877-F02344046C07}"/>
    <cellStyle name="Euro 2 2" xfId="784" xr:uid="{61E115A5-6787-4C6C-AB46-50053EDEDFB4}"/>
    <cellStyle name="Euro 2 3" xfId="785" xr:uid="{CD586EEE-C5CC-4113-83EB-3EA909F7F2A2}"/>
    <cellStyle name="Euro 2 4" xfId="786" xr:uid="{CFECA167-EC81-4FCA-A5E8-8965B9E9B3D2}"/>
    <cellStyle name="Euro 2 5" xfId="787" xr:uid="{80BA2C76-7A68-48EF-A931-F47C457C63EB}"/>
    <cellStyle name="Euro 2 6" xfId="788" xr:uid="{47A15EBC-0933-445C-9C18-B79C29A0D2D3}"/>
    <cellStyle name="Euro 3" xfId="789" xr:uid="{A6459FB9-CD8C-4545-A1AE-E4A7CF309E89}"/>
    <cellStyle name="Euro 3 2" xfId="790" xr:uid="{0117CA0C-51A5-4002-885A-F74BC595CD41}"/>
    <cellStyle name="Euro 3 3" xfId="791" xr:uid="{312F58D4-5DF9-42B8-91FD-0132A218DA83}"/>
    <cellStyle name="Euro 3_COM_BND" xfId="792" xr:uid="{3BFFF6AA-CDC8-415E-A9DA-6386B4785BB6}"/>
    <cellStyle name="Euro 4" xfId="793" xr:uid="{9149830A-8B0C-4442-8ECC-158D2A7783E1}"/>
    <cellStyle name="Euro_COM_BND" xfId="794" xr:uid="{9F2A7D35-DAB8-4DAE-AAEE-F0F1602FF5D2}"/>
    <cellStyle name="Explanatory Text 2" xfId="795" xr:uid="{F615DF87-8C70-4543-BBB0-BE93AB005E5D}"/>
    <cellStyle name="Explanatory Text 3" xfId="796" xr:uid="{EFEDB192-D6C4-4C06-BE24-2F0E622E92B0}"/>
    <cellStyle name="Fixed" xfId="797" xr:uid="{8ADED368-FF54-4CAD-91EF-8D2E98CEAE46}"/>
    <cellStyle name="Fixed1 - Style1" xfId="798" xr:uid="{EDD14977-4D3F-4086-8392-6A62E9A01A5C}"/>
    <cellStyle name="Float" xfId="799" xr:uid="{30E05D7B-4D2A-47A5-97BF-675CC4C77ABB}"/>
    <cellStyle name="Float 2" xfId="800" xr:uid="{9C7EB7CB-224F-4AB0-9AFF-4C9F5040F72F}"/>
    <cellStyle name="Good 2" xfId="801" xr:uid="{B3D8088A-6033-4048-B1D7-328C5F620DC8}"/>
    <cellStyle name="Good 3" xfId="802" xr:uid="{68FD6840-0BF8-4C56-821D-298C0DF55037}"/>
    <cellStyle name="Grey" xfId="803" xr:uid="{942C58CA-6F5D-4CA2-AAD6-6361EE6539F9}"/>
    <cellStyle name="Gut 2" xfId="804" xr:uid="{907EC929-B2BC-4BA4-81AB-A70944228362}"/>
    <cellStyle name="HEADER" xfId="805" xr:uid="{0F90AC4D-CA2B-493F-8C7A-0324583AD670}"/>
    <cellStyle name="Heading 1 10" xfId="806" xr:uid="{BD0DDABB-0E15-44F0-8F45-87DAE5C03E2E}"/>
    <cellStyle name="Heading 1 11" xfId="807" xr:uid="{865B9B2F-634E-46B0-A56B-64F1DDF7929F}"/>
    <cellStyle name="Heading 1 12" xfId="808" xr:uid="{78721234-25B8-478F-BD47-22759D99AD0E}"/>
    <cellStyle name="Heading 1 13" xfId="809" xr:uid="{5628576F-FC21-48A9-BAE6-E561E84F1A77}"/>
    <cellStyle name="Heading 1 14" xfId="810" xr:uid="{9743E525-B605-4C15-A6AD-A4E0FF0030B4}"/>
    <cellStyle name="Heading 1 15" xfId="811" xr:uid="{0345DCAB-6E4C-4A4E-B085-2BFC43651BEC}"/>
    <cellStyle name="Heading 1 16" xfId="812" xr:uid="{A6AF18DE-E016-442D-8E6E-94FF0A3E38D6}"/>
    <cellStyle name="Heading 1 17" xfId="813" xr:uid="{70792D0F-4C01-4C0E-B014-8BE52DA1D48C}"/>
    <cellStyle name="Heading 1 18" xfId="814" xr:uid="{EB2778F2-1D31-48BD-BAC8-A440D67E3B71}"/>
    <cellStyle name="Heading 1 19" xfId="815" xr:uid="{FE108E4B-EF7A-49D7-87F8-DA1D1B78FB04}"/>
    <cellStyle name="Heading 1 2" xfId="816" xr:uid="{004E16D9-450A-4868-B44C-D8EC3011BEDF}"/>
    <cellStyle name="Heading 1 2 2" xfId="817" xr:uid="{C0817E70-2253-4A07-B465-A8854747F112}"/>
    <cellStyle name="Heading 1 2_CHP" xfId="818" xr:uid="{9FD63F20-795E-4450-99D6-CA17CE4A54C7}"/>
    <cellStyle name="Heading 1 20" xfId="819" xr:uid="{46B61EED-0185-4454-B60F-7D6A5CF09B58}"/>
    <cellStyle name="Heading 1 3" xfId="820" xr:uid="{48037230-2B1B-4154-87B0-5AB4EAFCEBC7}"/>
    <cellStyle name="Heading 1 4" xfId="821" xr:uid="{CCD91BA9-41E0-44F3-8A7E-12D2EDBBD595}"/>
    <cellStyle name="Heading 1 5" xfId="822" xr:uid="{1A483CD0-DAEE-41C1-8356-88CF6E5B7C9D}"/>
    <cellStyle name="Heading 1 6" xfId="823" xr:uid="{D481E0D6-0E7A-4011-98B2-25AD3337F9A1}"/>
    <cellStyle name="Heading 1 7" xfId="824" xr:uid="{210C3647-69EF-480B-9F0B-FC569B8DA761}"/>
    <cellStyle name="Heading 1 8" xfId="825" xr:uid="{9B68200A-53F5-42BB-96A9-A3AE201F5ADE}"/>
    <cellStyle name="Heading 1 9" xfId="826" xr:uid="{04344FDA-F40C-462D-92FD-E4518CECAC77}"/>
    <cellStyle name="Heading 2 10" xfId="827" xr:uid="{D9425087-0175-4683-9605-8254DDC33B3C}"/>
    <cellStyle name="Heading 2 11" xfId="828" xr:uid="{4CCB6389-D42D-4F6A-8020-32DA3A3B40FC}"/>
    <cellStyle name="Heading 2 12" xfId="829" xr:uid="{3F8B80A9-E01F-4F63-82EF-59DBD4B832FB}"/>
    <cellStyle name="Heading 2 13" xfId="830" xr:uid="{3ADA4F53-BF74-4468-B35C-497031F8BAE1}"/>
    <cellStyle name="Heading 2 14" xfId="831" xr:uid="{3FE40B96-3682-4D0C-9460-AF2891A087EB}"/>
    <cellStyle name="Heading 2 15" xfId="832" xr:uid="{3AE6C316-DD42-4C39-B125-1D0E5865A497}"/>
    <cellStyle name="Heading 2 16" xfId="833" xr:uid="{03CB49C2-BF3E-4670-B838-59A266E28546}"/>
    <cellStyle name="Heading 2 17" xfId="834" xr:uid="{DDFC7712-5644-49EF-8EDC-D70F6C8C6809}"/>
    <cellStyle name="Heading 2 18" xfId="835" xr:uid="{C4E7DF6D-D868-4A27-BFA1-5385820B089B}"/>
    <cellStyle name="Heading 2 19" xfId="836" xr:uid="{A9FF4F4E-FA2D-42C2-B00C-D4AECA7235AF}"/>
    <cellStyle name="Heading 2 2" xfId="837" xr:uid="{0531735E-158D-42A4-AC93-7D081ED8BC54}"/>
    <cellStyle name="Heading 2 2 2" xfId="838" xr:uid="{3FC93506-D184-42A8-BB27-452606A3E0A2}"/>
    <cellStyle name="Heading 2 2_CHP" xfId="839" xr:uid="{64BB2F9B-B7AB-4ED2-8B74-7262D6AFB868}"/>
    <cellStyle name="Heading 2 20" xfId="840" xr:uid="{2E236322-3C3C-4112-B135-45FCA984D08E}"/>
    <cellStyle name="Heading 2 3" xfId="841" xr:uid="{5D261636-4961-436A-876F-ADFBC148E57E}"/>
    <cellStyle name="Heading 2 4" xfId="842" xr:uid="{0601964C-ECC2-4B4A-9A31-ED3EBC202935}"/>
    <cellStyle name="Heading 2 5" xfId="843" xr:uid="{39B9C47A-810D-46A4-A77D-5885A74F7C89}"/>
    <cellStyle name="Heading 2 6" xfId="844" xr:uid="{FDC3DC2C-3034-4DFC-9810-C8B0B5850CC6}"/>
    <cellStyle name="Heading 2 7" xfId="845" xr:uid="{83357983-9936-4C47-BE61-4B0CDA7D22CC}"/>
    <cellStyle name="Heading 2 8" xfId="846" xr:uid="{FCD047DF-5421-4DFD-A0D8-CADE9B12E491}"/>
    <cellStyle name="Heading 2 9" xfId="847" xr:uid="{240E64D2-05A0-436B-9F55-7745E0BEEEA6}"/>
    <cellStyle name="Heading 3 2" xfId="848" xr:uid="{93F8126D-7281-4A2E-93E6-17D8C9DDB32A}"/>
    <cellStyle name="Heading 3 3" xfId="849" xr:uid="{2CD1E1F8-1A76-4656-BDD1-633DD17BE9FB}"/>
    <cellStyle name="Heading 4 2" xfId="850" xr:uid="{C599C863-DC7C-469B-A856-A40FB9DBD304}"/>
    <cellStyle name="Heading 4 3" xfId="851" xr:uid="{17AAE715-419C-4BEC-BE90-86C6557A50F6}"/>
    <cellStyle name="Heading1" xfId="852" xr:uid="{80FF0450-6A28-460F-9112-37C8FF2C1DBB}"/>
    <cellStyle name="Heading2" xfId="853" xr:uid="{61636FB2-14D1-40F6-A0F5-94E9589FD867}"/>
    <cellStyle name="Headline" xfId="854" xr:uid="{33382F9E-09E1-4B10-9AEB-D61B652CB681}"/>
    <cellStyle name="HIGHLIGHT" xfId="855" xr:uid="{01C78ECD-26F5-4394-B0C3-7C447FDEA789}"/>
    <cellStyle name="Hiperłącze" xfId="19" builtinId="8"/>
    <cellStyle name="Hiperłącze 10" xfId="856" xr:uid="{BB355300-2CC5-43DC-ACF1-947F3A516962}"/>
    <cellStyle name="Hiperłącze 11" xfId="60" xr:uid="{03184AF9-0E39-4B48-95A5-C74FC22C712A}"/>
    <cellStyle name="Hiperłącze 11 2" xfId="857" xr:uid="{ABDAE9EE-3B99-461C-B49B-1FD267C33AD0}"/>
    <cellStyle name="Hiperłącze 2" xfId="51" xr:uid="{A4FD40D6-75AB-4F8F-BB42-491FB7F76CA2}"/>
    <cellStyle name="Hiperłącze 2 2" xfId="859" xr:uid="{FD3FE1DA-A1F7-4436-B150-01029999DF89}"/>
    <cellStyle name="Hiperłącze 2 2 2" xfId="860" xr:uid="{890BCE9A-C4E1-44CF-B732-FB2FFA778A11}"/>
    <cellStyle name="Hiperłącze 2 2 3" xfId="861" xr:uid="{2E5220CF-4FEC-4424-88DC-86B856F1C9F5}"/>
    <cellStyle name="Hiperłącze 2 3" xfId="862" xr:uid="{1ABF52B8-10C2-45FC-B317-D5B2F4E61309}"/>
    <cellStyle name="Hiperłącze 2 4" xfId="863" xr:uid="{8C6889E7-5225-4945-ACFF-C0EB85A4E3DE}"/>
    <cellStyle name="Hiperłącze 2 4 2" xfId="17" xr:uid="{A0CEEC63-A083-4456-B266-E0B429C4C794}"/>
    <cellStyle name="Hiperłącze 2 5" xfId="858" xr:uid="{B756D75E-506B-4DAC-9680-A0C16213B6D6}"/>
    <cellStyle name="Hiperłącze 2_CHP" xfId="864" xr:uid="{88EA85F5-8FD1-4973-A3FA-E0AAE8AE1A45}"/>
    <cellStyle name="Hiperłącze 3" xfId="865" xr:uid="{3888929C-BC06-4CAD-9E5F-3CC5417D9007}"/>
    <cellStyle name="Hiperłącze 4" xfId="866" xr:uid="{30757BC0-A12E-493C-A630-B5AAAEC9E980}"/>
    <cellStyle name="Hiperłącze 5" xfId="867" xr:uid="{91576BD6-C3F7-40F2-A8FE-CF2224962B05}"/>
    <cellStyle name="Hiperłącze 6" xfId="868" xr:uid="{911420E1-AD8B-4CFA-B6EC-31FAE2347D48}"/>
    <cellStyle name="Hiperłącze 7" xfId="869" xr:uid="{03428E06-FAA2-4512-B210-0610B5D94824}"/>
    <cellStyle name="Hiperłącze 8" xfId="870" xr:uid="{D0F4B7B6-4308-4D3F-B7D3-0B55B7C680A4}"/>
    <cellStyle name="Hiperłącze 9" xfId="871" xr:uid="{90B86F89-92D9-43BD-B459-9EDFC3D21196}"/>
    <cellStyle name="Hyperlink 2" xfId="872" xr:uid="{5C2D2761-B6DE-40F4-9F1F-0B59894331DF}"/>
    <cellStyle name="Hyperlink 3" xfId="873" xr:uid="{1079F05F-6242-45A9-9788-54F82AF6AB06}"/>
    <cellStyle name="Hyperlink 3 2" xfId="874" xr:uid="{1D075829-5DB2-49AA-8386-2DDE311F08F1}"/>
    <cellStyle name="Hyperlink 3 2 2" xfId="875" xr:uid="{5CF173B3-1EE5-4852-B77C-9D33DA9EF885}"/>
    <cellStyle name="Hyperlink 3 2 3" xfId="876" xr:uid="{86CFA6D3-A80C-4613-94BB-507A19947342}"/>
    <cellStyle name="Hyperlink 3 3" xfId="877" xr:uid="{60CFEEF8-651E-4066-967B-8DC39927E461}"/>
    <cellStyle name="Hyperlink 3 4" xfId="878" xr:uid="{D615F484-2ACF-4719-B544-46602EBA03B3}"/>
    <cellStyle name="Hyperlink 3_CHP" xfId="879" xr:uid="{D38A9079-63D3-432F-9E3E-0B3B4E4EDC97}"/>
    <cellStyle name="Hyperlink 4" xfId="880" xr:uid="{C539C5BA-7FEE-4CD5-A7F5-4C8A5F0F33F1}"/>
    <cellStyle name="Input [yellow]" xfId="881" xr:uid="{2157402B-F9DF-4E1B-831B-04718047077D}"/>
    <cellStyle name="Input 10" xfId="882" xr:uid="{DAE524CD-3FAA-414D-8E0B-6DDD656CD178}"/>
    <cellStyle name="Input 11" xfId="883" xr:uid="{ACB0275C-6CF5-4FA2-9A93-4ADAF92A044D}"/>
    <cellStyle name="Input 12" xfId="884" xr:uid="{16D2437C-A6E0-4822-90CC-6C24BB7D4E51}"/>
    <cellStyle name="Input 13" xfId="885" xr:uid="{40DF6ED0-F991-4A22-AE28-269BC99C9FA8}"/>
    <cellStyle name="Input 14" xfId="886" xr:uid="{4DD3CACB-0D45-46F6-A1DA-58C30A18E0EB}"/>
    <cellStyle name="Input 15" xfId="887" xr:uid="{F1D0B946-E7DA-4F30-8F06-788C2762E970}"/>
    <cellStyle name="Input 16" xfId="888" xr:uid="{048C5FEC-A66D-494B-9AD8-6F13E2F6D87B}"/>
    <cellStyle name="Input 17" xfId="889" xr:uid="{9176D411-0D2B-4631-B79A-7006BD051E45}"/>
    <cellStyle name="Input 18" xfId="890" xr:uid="{C7626811-4276-4644-ABBA-7B802B2F0292}"/>
    <cellStyle name="Input 19" xfId="891" xr:uid="{82EA1E22-671E-4F22-896A-0C55B48ACD88}"/>
    <cellStyle name="Input 2" xfId="892" xr:uid="{9763643A-EA72-459E-BE64-084E5D5AB0F6}"/>
    <cellStyle name="Input 20" xfId="893" xr:uid="{F128BB26-A2AD-46D8-B337-044236D6BE29}"/>
    <cellStyle name="Input 21" xfId="894" xr:uid="{1B7E0FB0-9FC5-40A8-AEB3-5DBA29046BF0}"/>
    <cellStyle name="Input 22" xfId="895" xr:uid="{0930A816-1ECA-4EAC-B4EB-CC779A5A08DB}"/>
    <cellStyle name="Input 23" xfId="896" xr:uid="{A0372015-D584-4251-B492-F7BE9A77CF30}"/>
    <cellStyle name="Input 24" xfId="897" xr:uid="{2096F171-ACDA-4C9E-A78D-4F77A64705CC}"/>
    <cellStyle name="Input 25" xfId="898" xr:uid="{68749208-9110-4CA2-B0C2-433A2C9EC287}"/>
    <cellStyle name="Input 26" xfId="899" xr:uid="{241234FE-9897-44AE-932E-2223ACBBC0CA}"/>
    <cellStyle name="Input 27" xfId="900" xr:uid="{B3C49038-B900-4997-ACDF-6F73B65E3DF8}"/>
    <cellStyle name="Input 28" xfId="901" xr:uid="{A61CC1BB-C229-48B3-960B-40B4E8839827}"/>
    <cellStyle name="Input 29" xfId="902" xr:uid="{FD39938C-FE9F-449C-9989-1B90C80A9ACA}"/>
    <cellStyle name="Input 3" xfId="903" xr:uid="{442FA3C3-0F43-418F-8882-2CF83AEB52C3}"/>
    <cellStyle name="Input 30" xfId="904" xr:uid="{B07F898A-9243-4D90-9D0A-635BD1C3FB12}"/>
    <cellStyle name="Input 31" xfId="905" xr:uid="{33348C5A-1CA7-4A1D-BAE8-F0607F84AD18}"/>
    <cellStyle name="Input 32" xfId="906" xr:uid="{7B5ABA2C-077E-4A0A-9A49-E44339CD7618}"/>
    <cellStyle name="Input 33" xfId="907" xr:uid="{6E02AE51-2EF2-424F-BA5A-E3013994E317}"/>
    <cellStyle name="Input 34" xfId="908" xr:uid="{A33CC9C1-CBB5-4CB7-892C-DF4A224372F8}"/>
    <cellStyle name="Input 35" xfId="909" xr:uid="{195B0A71-F0E9-4AF1-8819-C480021BA821}"/>
    <cellStyle name="Input 36" xfId="910" xr:uid="{CD2CF550-E637-4712-87F7-2E47A8C76804}"/>
    <cellStyle name="Input 37" xfId="911" xr:uid="{E346D56E-5CA8-4798-A5C0-825F7F848659}"/>
    <cellStyle name="Input 38" xfId="912" xr:uid="{DE6A48E5-7377-4F79-8D57-15E94372FE9D}"/>
    <cellStyle name="Input 39" xfId="913" xr:uid="{AEF2D09B-57E8-4330-A6CA-7884A3CCCAC5}"/>
    <cellStyle name="Input 4" xfId="914" xr:uid="{946A1F8B-32DD-47C6-9FF6-CB830ECF8455}"/>
    <cellStyle name="Input 40" xfId="915" xr:uid="{6ACE4821-4B6D-4C05-9BEF-7D299A4DBE91}"/>
    <cellStyle name="Input 41" xfId="916" xr:uid="{5020E88C-3C56-484F-9ECA-6EA615EFFD99}"/>
    <cellStyle name="Input 42" xfId="917" xr:uid="{5A24E3E6-6E32-483A-AB06-26B7CC2923AF}"/>
    <cellStyle name="Input 43" xfId="918" xr:uid="{16F6DC5F-E623-4ABB-A2B3-D5B201EDE9D2}"/>
    <cellStyle name="Input 44" xfId="919" xr:uid="{589DB9B6-046A-4617-8BA8-99CE3FB28D27}"/>
    <cellStyle name="Input 45" xfId="920" xr:uid="{1137FDEF-13E9-4CF2-AE7B-99834A5BA2A3}"/>
    <cellStyle name="Input 46" xfId="921" xr:uid="{54E22449-DFDC-47C5-8982-B8B6CEFF1D68}"/>
    <cellStyle name="Input 47" xfId="922" xr:uid="{7B08FC5F-6652-4720-B8DD-65445C3B5C08}"/>
    <cellStyle name="Input 48" xfId="923" xr:uid="{61504E8A-55ED-417F-AF21-93718A335CF4}"/>
    <cellStyle name="Input 49" xfId="924" xr:uid="{207B2C5B-6187-49ED-A131-9CD77F53A734}"/>
    <cellStyle name="Input 5" xfId="925" xr:uid="{E6796686-B110-4134-A0A8-B02BA8B4322E}"/>
    <cellStyle name="Input 50" xfId="926" xr:uid="{282FD975-6CF9-49C6-932D-46D9878B6F11}"/>
    <cellStyle name="Input 51" xfId="927" xr:uid="{CB07A752-72E5-434C-98CE-71B7D658C8F8}"/>
    <cellStyle name="Input 6" xfId="928" xr:uid="{2708E119-414C-4CFF-8773-BBC847891831}"/>
    <cellStyle name="Input 7" xfId="929" xr:uid="{74BF4AF6-9101-44A4-9C24-DB4EA42E09A7}"/>
    <cellStyle name="Input 8" xfId="930" xr:uid="{6DD2BB6A-E321-4998-80A0-08626102DA73}"/>
    <cellStyle name="Input 9" xfId="931" xr:uid="{36CABDA9-99B4-46F1-9315-C0F1404C3F3E}"/>
    <cellStyle name="InputCells" xfId="932" xr:uid="{E11CB4F0-DA38-4E1C-937B-5C2F92725BE2}"/>
    <cellStyle name="InputCells12_BBorder_CRFReport-template" xfId="933" xr:uid="{32DCA207-5971-4F6C-9AD4-819B90A8B0FD}"/>
    <cellStyle name="Komma 2" xfId="934" xr:uid="{A4ABC442-0EBD-4119-A84B-D5DD52FC26C6}"/>
    <cellStyle name="Komma 3" xfId="935" xr:uid="{435449CB-2387-475A-9067-CD16D628F393}"/>
    <cellStyle name="Komma 3 2" xfId="2191" xr:uid="{D01E091D-FA8B-4F41-A0D0-A9E2CFF20337}"/>
    <cellStyle name="Komma 4" xfId="936" xr:uid="{47193794-FE21-4255-B4B2-702ED817E363}"/>
    <cellStyle name="Komórka połączona 10" xfId="938" xr:uid="{2847583D-6530-4FEA-8129-21408A75A0B0}"/>
    <cellStyle name="Komórka połączona 10 2" xfId="939" xr:uid="{C4705273-294E-4BB1-A89A-F41BD4B4BDB5}"/>
    <cellStyle name="Komórka połączona 10 3" xfId="940" xr:uid="{FC7E4AB5-6776-4A91-A3F4-3F49ABF342FA}"/>
    <cellStyle name="Komórka połączona 10_CHP" xfId="941" xr:uid="{88D31CDB-25EF-4BFB-8D8E-E7F3A840AC53}"/>
    <cellStyle name="Komórka połączona 11" xfId="942" xr:uid="{CBA21E78-58FD-4622-B176-EC1BA464361C}"/>
    <cellStyle name="Komórka połączona 11 2" xfId="943" xr:uid="{10AEF96F-1694-4C4F-97C5-356F72E52A2C}"/>
    <cellStyle name="Komórka połączona 11_CHP" xfId="944" xr:uid="{E5346989-DC0A-4E82-9C1F-676C0FFF3D7B}"/>
    <cellStyle name="Komórka połączona 12" xfId="945" xr:uid="{AAA53EDC-353A-44E6-903F-C30C8D898B40}"/>
    <cellStyle name="Komórka połączona 13" xfId="946" xr:uid="{F9DF0FC6-4BD7-454A-9BB8-33FB84291BAA}"/>
    <cellStyle name="Komórka połączona 14" xfId="947" xr:uid="{1D1987FE-C92E-40D3-AB68-C5F856AF1FFB}"/>
    <cellStyle name="Komórka połączona 15" xfId="948" xr:uid="{6AA39D08-9424-421F-99E2-761EF72846F3}"/>
    <cellStyle name="Komórka połączona 16" xfId="937" xr:uid="{6B94F777-C887-4E0B-9012-4B12A41C064E}"/>
    <cellStyle name="Komórka połączona 2" xfId="949" xr:uid="{40B2B171-7FCB-48F5-B4C1-F1423BB5BB98}"/>
    <cellStyle name="Komórka połączona 3" xfId="950" xr:uid="{BDBBD50F-46C5-4CFB-9B4D-74C7A989F4E7}"/>
    <cellStyle name="Komórka połączona 4" xfId="951" xr:uid="{BE393F12-0941-4265-B871-018CE8C3F87F}"/>
    <cellStyle name="Komórka połączona 5" xfId="952" xr:uid="{7CBABFA7-E721-4017-A5A8-F2473148B0B0}"/>
    <cellStyle name="Komórka połączona 6" xfId="953" xr:uid="{9896368D-656C-4D7F-9955-75FD44705B2C}"/>
    <cellStyle name="Komórka połączona 7" xfId="954" xr:uid="{451C5852-F574-4A7F-B787-A7DB956DF67F}"/>
    <cellStyle name="Komórka połączona 8" xfId="955" xr:uid="{3135CC5B-326D-4964-8A4A-9A411139A3E0}"/>
    <cellStyle name="Komórka połączona 9" xfId="956" xr:uid="{CBEDF053-E82D-405D-B829-77D4D27DC9C4}"/>
    <cellStyle name="Komórka połączona 9 2" xfId="957" xr:uid="{B70B5421-A55D-43DE-B0AF-C0E8D6A3EDEB}"/>
    <cellStyle name="Komórka połączona 9 3" xfId="958" xr:uid="{38685FB0-1AF1-4160-83AE-9DD5B72F3B91}"/>
    <cellStyle name="Komórka połączona 9_CHP" xfId="959" xr:uid="{528751C4-B50C-4890-B04A-06348CB24835}"/>
    <cellStyle name="Komórka zaznaczona 10" xfId="961" xr:uid="{D4940995-1ED7-4B22-9277-00B0253C15D5}"/>
    <cellStyle name="Komórka zaznaczona 10 2" xfId="962" xr:uid="{7ABD9FF9-06A6-4EE1-96DC-B3CA76938099}"/>
    <cellStyle name="Komórka zaznaczona 10 3" xfId="963" xr:uid="{60FF5E50-2D1E-4EEA-9572-FCB0D623EC8A}"/>
    <cellStyle name="Komórka zaznaczona 10_CHP" xfId="964" xr:uid="{3ACE9149-BC55-43A9-BF3F-8E8170EAA48F}"/>
    <cellStyle name="Komórka zaznaczona 11" xfId="965" xr:uid="{F47CF1C5-25EC-4965-845D-43F51B3FF37D}"/>
    <cellStyle name="Komórka zaznaczona 11 2" xfId="966" xr:uid="{88F29761-F4C3-4E2C-9D1F-A358EC9F8514}"/>
    <cellStyle name="Komórka zaznaczona 11_CHP" xfId="967" xr:uid="{1151445E-31C9-4FE4-8660-9AEF224DC90E}"/>
    <cellStyle name="Komórka zaznaczona 12" xfId="968" xr:uid="{5EC60B1E-E006-4897-BA34-AA7FA8094A9D}"/>
    <cellStyle name="Komórka zaznaczona 13" xfId="969" xr:uid="{D99C394D-6797-4E57-B4D5-9D7BE50724FB}"/>
    <cellStyle name="Komórka zaznaczona 14" xfId="970" xr:uid="{9D0B9AC2-D295-4BAB-A50F-1B3F0FAB3E4A}"/>
    <cellStyle name="Komórka zaznaczona 15" xfId="971" xr:uid="{51D5DB3F-EB47-4F95-838D-E5F2AA92EB27}"/>
    <cellStyle name="Komórka zaznaczona 16" xfId="960" xr:uid="{A0E0191A-775F-4BBC-890A-362A60B1C806}"/>
    <cellStyle name="Komórka zaznaczona 2" xfId="972" xr:uid="{3341C735-8710-4F5D-9798-52ACB8518782}"/>
    <cellStyle name="Komórka zaznaczona 3" xfId="973" xr:uid="{7C9C35EE-8A26-463F-BD8C-9E8D278A684E}"/>
    <cellStyle name="Komórka zaznaczona 4" xfId="974" xr:uid="{008674FD-6735-42D3-93DB-D65EDD33B762}"/>
    <cellStyle name="Komórka zaznaczona 5" xfId="975" xr:uid="{9BFEEFA2-A2BA-41C5-8916-0D30E498DDB0}"/>
    <cellStyle name="Komórka zaznaczona 6" xfId="976" xr:uid="{F8BE8A18-236D-4B09-B635-D15922BFE73C}"/>
    <cellStyle name="Komórka zaznaczona 7" xfId="977" xr:uid="{3AE7F059-1AFB-40F2-9FFF-4CAF4E21FC98}"/>
    <cellStyle name="Komórka zaznaczona 8" xfId="978" xr:uid="{9D67B753-F5A4-4377-B26D-9CA6B57CBC7C}"/>
    <cellStyle name="Komórka zaznaczona 9" xfId="979" xr:uid="{18518BE9-41AB-4FCD-B1EA-3507E21D5905}"/>
    <cellStyle name="Komórka zaznaczona 9 2" xfId="980" xr:uid="{E4CAAFE8-6CCD-4667-A5A7-890A2AA9481E}"/>
    <cellStyle name="Komórka zaznaczona 9 3" xfId="981" xr:uid="{7C388F01-63C1-4676-9BAC-DC2FD6ED4E90}"/>
    <cellStyle name="Komórka zaznaczona 9_CHP" xfId="982" xr:uid="{250F3D3C-594D-413A-8A75-33EC93B2190C}"/>
    <cellStyle name="Linked Cell 2" xfId="983" xr:uid="{9ABB1A62-A4A6-4C5C-9B6A-D0845C1D458C}"/>
    <cellStyle name="Linked Cell 3" xfId="984" xr:uid="{FCD5A519-C816-44DD-9DAC-5E9771818A8D}"/>
    <cellStyle name="Nagłówek 1 10" xfId="986" xr:uid="{8A2756A8-FBDE-4E46-93B4-B5C78AE923A9}"/>
    <cellStyle name="Nagłówek 1 10 2" xfId="987" xr:uid="{6D085ADB-00E4-475C-8BC0-4EC8E608609A}"/>
    <cellStyle name="Nagłówek 1 10 3" xfId="988" xr:uid="{3D2221E5-711A-495F-B0FC-61D80681837B}"/>
    <cellStyle name="Nagłówek 1 10_CHP" xfId="989" xr:uid="{E72E0162-7E31-4643-8D1B-BA1BEB6DE80A}"/>
    <cellStyle name="Nagłówek 1 11" xfId="990" xr:uid="{17DA33E7-5889-4C4D-85A3-18C26651AD00}"/>
    <cellStyle name="Nagłówek 1 11 2" xfId="991" xr:uid="{D151D3DA-5200-4D86-80E3-D6F987B69F93}"/>
    <cellStyle name="Nagłówek 1 11_CHP" xfId="992" xr:uid="{D7322309-5C95-4A7E-9A4B-7020A6FED926}"/>
    <cellStyle name="Nagłówek 1 12" xfId="993" xr:uid="{68609FBC-475A-40CB-8FF2-06C9DBE0B58B}"/>
    <cellStyle name="Nagłówek 1 13" xfId="994" xr:uid="{A4A44D38-5F3C-4118-8A3A-273DA117CFDF}"/>
    <cellStyle name="Nagłówek 1 14" xfId="995" xr:uid="{47FF332A-55FF-48C2-B640-25892A3ABCF3}"/>
    <cellStyle name="Nagłówek 1 15" xfId="996" xr:uid="{49D5A3F8-0B73-4D4C-B183-5FEB742FE535}"/>
    <cellStyle name="Nagłówek 1 16" xfId="985" xr:uid="{EEA94922-ACE1-493E-A243-322D93DBE393}"/>
    <cellStyle name="Nagłówek 1 2" xfId="997" xr:uid="{D3D280D4-BD2D-4754-8B10-2A8263AA2678}"/>
    <cellStyle name="Nagłówek 1 3" xfId="998" xr:uid="{45F21F90-2F31-420E-B543-CB77D943B464}"/>
    <cellStyle name="Nagłówek 1 4" xfId="999" xr:uid="{BBA6E7D9-AE08-4901-8015-6FCD31622C61}"/>
    <cellStyle name="Nagłówek 1 5" xfId="1000" xr:uid="{3CF22219-571D-4250-A562-BDEC88860381}"/>
    <cellStyle name="Nagłówek 1 6" xfId="1001" xr:uid="{A3635C4A-7810-4122-9443-9DDCDA6009C5}"/>
    <cellStyle name="Nagłówek 1 7" xfId="1002" xr:uid="{A1F5919B-13FD-48A4-B7B4-510F3496FAA1}"/>
    <cellStyle name="Nagłówek 1 8" xfId="1003" xr:uid="{65B0A586-8DE7-44AA-BEB2-EA80CAC12FA8}"/>
    <cellStyle name="Nagłówek 1 9" xfId="1004" xr:uid="{D81E553E-3B53-4DEB-BF9D-130775C4DB33}"/>
    <cellStyle name="Nagłówek 1 9 2" xfId="1005" xr:uid="{F5348CEC-FC73-41E9-9ADF-0DD8D8D29BC5}"/>
    <cellStyle name="Nagłówek 1 9 3" xfId="1006" xr:uid="{FD273DA1-5764-44C0-A7F9-0F89A605A24E}"/>
    <cellStyle name="Nagłówek 1 9_CHP" xfId="1007" xr:uid="{A10FEC41-0C2F-406D-BA38-3C443B56547C}"/>
    <cellStyle name="Nagłówek 2 10" xfId="1009" xr:uid="{6B58F584-701F-42BA-B935-84BDA2D995B4}"/>
    <cellStyle name="Nagłówek 2 10 2" xfId="1010" xr:uid="{6BB67BFB-189F-4B61-B065-9672F6F9431A}"/>
    <cellStyle name="Nagłówek 2 10 3" xfId="1011" xr:uid="{66E8D2AF-08E8-4FC9-999E-0994193F52AD}"/>
    <cellStyle name="Nagłówek 2 10_CHP" xfId="1012" xr:uid="{EA6E2799-6ED8-4F27-A778-9006D3D3F0E4}"/>
    <cellStyle name="Nagłówek 2 11" xfId="1013" xr:uid="{E88676D7-589E-44B1-9FD6-36CB362D33F8}"/>
    <cellStyle name="Nagłówek 2 11 2" xfId="1014" xr:uid="{49E12921-D4FF-40C7-BB03-D4D65D26EE5A}"/>
    <cellStyle name="Nagłówek 2 11_CHP" xfId="1015" xr:uid="{66962CA7-DE78-4033-8DCB-8057A9473E4B}"/>
    <cellStyle name="Nagłówek 2 12" xfId="1016" xr:uid="{6F911B31-318A-41B9-AAD5-36A43A37B4A4}"/>
    <cellStyle name="Nagłówek 2 13" xfId="1017" xr:uid="{0256C5CB-9A70-4E5C-9900-1C6767211FAB}"/>
    <cellStyle name="Nagłówek 2 14" xfId="1018" xr:uid="{731F1734-3117-45DD-A7B9-39003A6B8C71}"/>
    <cellStyle name="Nagłówek 2 15" xfId="1019" xr:uid="{BEFABE47-648C-463A-9064-0AEB47F75BC0}"/>
    <cellStyle name="Nagłówek 2 16" xfId="1008" xr:uid="{8E27DBFA-AC17-449B-B9D3-A6AFA2CD6CF8}"/>
    <cellStyle name="Nagłówek 2 2" xfId="1020" xr:uid="{513B6BC0-C514-4B04-B7C8-A74F0E39ED07}"/>
    <cellStyle name="Nagłówek 2 3" xfId="1021" xr:uid="{EFF91204-D561-4AE7-A882-D01AB64A2C2E}"/>
    <cellStyle name="Nagłówek 2 4" xfId="1022" xr:uid="{1CC25F83-9E9A-4844-9291-073BE2286BA9}"/>
    <cellStyle name="Nagłówek 2 5" xfId="1023" xr:uid="{5353F751-BAA2-4BD5-AA02-4487773C4040}"/>
    <cellStyle name="Nagłówek 2 6" xfId="1024" xr:uid="{2E725477-0948-46DE-8678-E31BE1EA9E47}"/>
    <cellStyle name="Nagłówek 2 7" xfId="1025" xr:uid="{4E6E2725-A886-4827-BA97-9B4B09F2DDB9}"/>
    <cellStyle name="Nagłówek 2 8" xfId="1026" xr:uid="{305B0870-E5E8-412D-B4EF-8AE716A4ADE2}"/>
    <cellStyle name="Nagłówek 2 9" xfId="1027" xr:uid="{D5F55F8B-F0D0-4F39-B3D9-146B1BA0D78B}"/>
    <cellStyle name="Nagłówek 2 9 2" xfId="1028" xr:uid="{F4809E8D-D488-470A-80BE-55D043AF57AB}"/>
    <cellStyle name="Nagłówek 2 9 3" xfId="1029" xr:uid="{31508D5E-5595-4AC9-8337-5A600A5956B2}"/>
    <cellStyle name="Nagłówek 2 9_CHP" xfId="1030" xr:uid="{26C409ED-6704-4A2D-925C-44A8D22851B8}"/>
    <cellStyle name="Nagłówek 3 10" xfId="1032" xr:uid="{E5F05A97-3AA5-453A-8EC6-95CAFBBF7AFE}"/>
    <cellStyle name="Nagłówek 3 10 2" xfId="1033" xr:uid="{4F32DCFA-DF59-4474-8709-77B71DE5D91C}"/>
    <cellStyle name="Nagłówek 3 10 3" xfId="1034" xr:uid="{43E8305E-CDA8-405B-A798-DB6E658F9D60}"/>
    <cellStyle name="Nagłówek 3 10_CHP" xfId="1035" xr:uid="{71954ADA-6930-4CB1-A0FB-4EC93C7BC07C}"/>
    <cellStyle name="Nagłówek 3 11" xfId="1036" xr:uid="{C89F79FC-8340-4814-BC14-E1FC447B2447}"/>
    <cellStyle name="Nagłówek 3 11 2" xfId="1037" xr:uid="{FCE5EB44-88AA-4BC5-9DFF-F25A5CBCB50B}"/>
    <cellStyle name="Nagłówek 3 11_CHP" xfId="1038" xr:uid="{18CBA7E3-F4D6-4658-9803-28A8780FA1B9}"/>
    <cellStyle name="Nagłówek 3 12" xfId="1039" xr:uid="{2211CC36-0371-4F9E-848E-94E4FC1BF0A3}"/>
    <cellStyle name="Nagłówek 3 13" xfId="1040" xr:uid="{A66C63F7-6F4B-4A89-B252-285EB5B9D9FD}"/>
    <cellStyle name="Nagłówek 3 14" xfId="1041" xr:uid="{CCDF3476-2A30-4DD7-BDFD-E6885EF2F932}"/>
    <cellStyle name="Nagłówek 3 15" xfId="1042" xr:uid="{90F57CF5-D2A3-44AD-9396-D54F5AF6B4B3}"/>
    <cellStyle name="Nagłówek 3 16" xfId="1031" xr:uid="{4958D97D-7B78-4C6A-B426-7259F135CD38}"/>
    <cellStyle name="Nagłówek 3 2" xfId="1043" xr:uid="{6B8DE970-757A-466F-AF59-95341E66F511}"/>
    <cellStyle name="Nagłówek 3 3" xfId="1044" xr:uid="{21D55CC0-9322-4733-A3DC-775E512A7FEB}"/>
    <cellStyle name="Nagłówek 3 4" xfId="1045" xr:uid="{B8CC3DF5-FA13-4CAD-AF3F-CB6086E77A3A}"/>
    <cellStyle name="Nagłówek 3 5" xfId="1046" xr:uid="{84E9DB97-D967-43E3-A1E2-2329DBADBA25}"/>
    <cellStyle name="Nagłówek 3 6" xfId="1047" xr:uid="{A95AB3B2-52C6-460D-A906-1A1237533DB7}"/>
    <cellStyle name="Nagłówek 3 7" xfId="1048" xr:uid="{C53C9EED-CB0D-4243-B435-16A8441C05A8}"/>
    <cellStyle name="Nagłówek 3 8" xfId="1049" xr:uid="{25B2DBFA-7DDD-4B0C-85BB-1A98D473B5CB}"/>
    <cellStyle name="Nagłówek 3 9" xfId="1050" xr:uid="{D4FAF0A8-671F-419C-952C-82161F588E10}"/>
    <cellStyle name="Nagłówek 3 9 2" xfId="1051" xr:uid="{8EF49C39-BC74-4D29-A140-E1FE5B66AD20}"/>
    <cellStyle name="Nagłówek 3 9 3" xfId="1052" xr:uid="{9768D220-2E90-40E6-BB53-1E803FFFFDF5}"/>
    <cellStyle name="Nagłówek 3 9_CHP" xfId="1053" xr:uid="{4DA57722-8D33-4606-87F5-B28303170151}"/>
    <cellStyle name="Nagłówek 4 10" xfId="1055" xr:uid="{565E39C9-6861-429D-B348-99144D728AB7}"/>
    <cellStyle name="Nagłówek 4 10 2" xfId="1056" xr:uid="{C12486A1-47B0-4FDD-B574-53F38A1DA534}"/>
    <cellStyle name="Nagłówek 4 10 3" xfId="1057" xr:uid="{58D2C226-99F0-4DF6-8DAC-5B1884D975BC}"/>
    <cellStyle name="Nagłówek 4 10_COM_BND" xfId="1058" xr:uid="{B6305D95-DE72-4216-A9D6-B95B00ED57E1}"/>
    <cellStyle name="Nagłówek 4 11" xfId="1059" xr:uid="{4DC24C18-F134-479F-80DF-1242C2A6619B}"/>
    <cellStyle name="Nagłówek 4 11 2" xfId="1060" xr:uid="{98D7F481-BA7E-417F-8085-29C118A5EBE7}"/>
    <cellStyle name="Nagłówek 4 12" xfId="1061" xr:uid="{A787652A-5AB0-4200-AA9B-C9F209A8D04E}"/>
    <cellStyle name="Nagłówek 4 13" xfId="1062" xr:uid="{1F2C1FC4-FA1C-4595-81D3-CE8258540F9E}"/>
    <cellStyle name="Nagłówek 4 14" xfId="1063" xr:uid="{F7D9F381-34EE-4136-A7F4-7E8F6B245748}"/>
    <cellStyle name="Nagłówek 4 15" xfId="1064" xr:uid="{2E92C6AC-1793-41DF-ACC9-46EC13E532AD}"/>
    <cellStyle name="Nagłówek 4 16" xfId="1054" xr:uid="{55F5E378-6774-44FB-B163-3910A2BCDB30}"/>
    <cellStyle name="Nagłówek 4 2" xfId="1065" xr:uid="{6EEB9D2E-D437-47F0-B02E-9E90FC89F18D}"/>
    <cellStyle name="Nagłówek 4 3" xfId="1066" xr:uid="{68DCEA6C-B176-4D3E-81E1-6C3015997BEC}"/>
    <cellStyle name="Nagłówek 4 4" xfId="1067" xr:uid="{EC8EBA20-98A9-4BDA-9DBA-300FBFCC5427}"/>
    <cellStyle name="Nagłówek 4 5" xfId="1068" xr:uid="{6ED54534-E018-4681-AAD8-803B763E22E9}"/>
    <cellStyle name="Nagłówek 4 6" xfId="1069" xr:uid="{E8BA8E78-5658-4916-AE00-5B622389A2D8}"/>
    <cellStyle name="Nagłówek 4 7" xfId="1070" xr:uid="{27D2184D-6325-4C78-B3C8-6981403872CF}"/>
    <cellStyle name="Nagłówek 4 8" xfId="1071" xr:uid="{B3198217-D650-4BA5-AB1E-76F2E2D2C0B9}"/>
    <cellStyle name="Nagłówek 4 9" xfId="1072" xr:uid="{1E384011-7CF5-493A-AC66-A7D8C93D955B}"/>
    <cellStyle name="Nagłówek 4 9 2" xfId="1073" xr:uid="{5A3ADE58-51D2-4C29-ACBC-3BEDC559FC67}"/>
    <cellStyle name="Nagłówek 4 9 3" xfId="1074" xr:uid="{C02BE372-17E9-48B3-8985-EC05B42C23C8}"/>
    <cellStyle name="Nagłówek 4 9_COM_BND" xfId="1075" xr:uid="{841A8E93-D969-4EB8-8B32-4AF18FCC3010}"/>
    <cellStyle name="Neutral 2" xfId="1076" xr:uid="{7D6404F2-0864-4D91-A932-EB5B1D75869F}"/>
    <cellStyle name="Neutral 3" xfId="1077" xr:uid="{E309FFE7-19FD-4E3A-A60F-ADDE5142037B}"/>
    <cellStyle name="Neutralne" xfId="1078" xr:uid="{FA56CF0B-6943-4318-8E2C-6DF8BFBBCCEE}"/>
    <cellStyle name="Neutralne 10" xfId="1079" xr:uid="{E6ADD29B-21E6-401B-B0AC-C277D0AC7B3F}"/>
    <cellStyle name="Neutralne 10 2" xfId="1080" xr:uid="{766AEE0E-A669-463D-BCE8-8F15EFC1E1CA}"/>
    <cellStyle name="Neutralne 10 3" xfId="1081" xr:uid="{1E0F7747-9015-4142-8B3B-CDEE973EFC31}"/>
    <cellStyle name="Neutralne 10_COM_BND" xfId="1082" xr:uid="{5768E54E-F8C9-40C2-B84B-3B87E703FDD6}"/>
    <cellStyle name="Neutralne 11" xfId="1083" xr:uid="{058E1DA4-2496-4C9D-BECB-D01F5C30464B}"/>
    <cellStyle name="Neutralne 11 2" xfId="1084" xr:uid="{45A449BC-5FCE-4F75-B5A3-999292837FED}"/>
    <cellStyle name="Neutralne 12" xfId="1085" xr:uid="{DEAA2284-3F14-4588-BC5A-F07350C094E5}"/>
    <cellStyle name="Neutralne 13" xfId="1086" xr:uid="{2F02DF54-D6EE-4DB1-A651-E31704D1DF19}"/>
    <cellStyle name="Neutralne 13 2" xfId="1087" xr:uid="{91CD52DB-8B1E-4B8E-8C58-8026DBD921AD}"/>
    <cellStyle name="Neutralne 13 3" xfId="1088" xr:uid="{4FF38693-E813-43CE-9AD9-43CA229DF0B2}"/>
    <cellStyle name="Neutralne 14" xfId="1089" xr:uid="{8D290288-0553-4F75-95E9-46D2042CB6D5}"/>
    <cellStyle name="Neutralne 15" xfId="1090" xr:uid="{A1C07296-02A6-4226-9D92-20F667CDD462}"/>
    <cellStyle name="Neutralne 16" xfId="1091" xr:uid="{670D5529-6CFC-4D9A-87D5-6FBBB6943D56}"/>
    <cellStyle name="Neutralne 2" xfId="1092" xr:uid="{5E423F52-E90D-4217-A21E-A374A214BADD}"/>
    <cellStyle name="Neutralne 3" xfId="1093" xr:uid="{796C7F8A-7154-4C31-BE08-A4573EF57872}"/>
    <cellStyle name="Neutralne 4" xfId="1094" xr:uid="{33558456-4F3B-405C-B9D7-40BFC42218ED}"/>
    <cellStyle name="Neutralne 5" xfId="1095" xr:uid="{D88A485F-2030-4664-83FF-F8737E35C6B8}"/>
    <cellStyle name="Neutralne 6" xfId="1096" xr:uid="{22375C95-FD9D-4803-BDFA-12BC6FC96161}"/>
    <cellStyle name="Neutralne 7" xfId="1097" xr:uid="{8A8561A8-94E5-4721-AEC2-1A13119B6298}"/>
    <cellStyle name="Neutralne 8" xfId="1098" xr:uid="{C8E810FD-3C6E-4523-AA71-52533ECB9184}"/>
    <cellStyle name="Neutralne 9" xfId="1099" xr:uid="{15914848-1615-4F50-81D5-8D6FD0D81A26}"/>
    <cellStyle name="Neutralne 9 2" xfId="1100" xr:uid="{D1B80447-4812-49E7-9A48-BEF3466C2328}"/>
    <cellStyle name="Neutralne 9 3" xfId="1101" xr:uid="{CE1B8322-0B22-46FE-9091-F2BC7D7E73F7}"/>
    <cellStyle name="Neutralne 9_COM_BND" xfId="1102" xr:uid="{5A19097E-A2D3-4492-9BCA-19F7A63B5098}"/>
    <cellStyle name="Neutralne_CHP" xfId="1103" xr:uid="{1AD954A2-AA2A-470E-B23D-920B23E4F88F}"/>
    <cellStyle name="no dec" xfId="1104" xr:uid="{BDDD614C-3E37-4A5C-B221-96FD4FA81247}"/>
    <cellStyle name="Normal - Style1" xfId="1105" xr:uid="{1539A460-40B9-4E9C-855A-921AEC5DB95B}"/>
    <cellStyle name="Normal - Style1 2" xfId="2192" xr:uid="{5EBAAA00-0C90-4BE2-80CB-C56F37BE3FFE}"/>
    <cellStyle name="Normal - Style1 2 2 3" xfId="10" xr:uid="{E16E8035-7906-41CF-9CEA-6F8DAA1C40ED}"/>
    <cellStyle name="Normal 10" xfId="1" xr:uid="{00000000-0005-0000-0000-000016030000}"/>
    <cellStyle name="Normal 10 15 2" xfId="6" xr:uid="{E5A914AA-3C51-4575-A411-D47338308B02}"/>
    <cellStyle name="Normal 11" xfId="1106" xr:uid="{1A6E0D04-B784-42B5-BB35-A6D3E03E8371}"/>
    <cellStyle name="Normal 12" xfId="1107" xr:uid="{BDCE5135-E65D-4E47-BF4E-91458295E1F4}"/>
    <cellStyle name="Normal 13" xfId="1108" xr:uid="{62153514-033B-4158-8093-44E59E5EE4A0}"/>
    <cellStyle name="Normal 14" xfId="1109" xr:uid="{ED1060A4-99DF-4204-ABF5-CDC631C6E89F}"/>
    <cellStyle name="Normal 15" xfId="61" xr:uid="{C7E5D66D-AB9E-4A14-8CFF-FA4EFA2CE212}"/>
    <cellStyle name="Normal 2" xfId="46" xr:uid="{18D09758-D38F-4983-B697-C2E55615AE37}"/>
    <cellStyle name="Normal 2 2" xfId="43" xr:uid="{65ADF684-1641-4220-8832-10B34350D326}"/>
    <cellStyle name="Normal 2 2 14" xfId="8" xr:uid="{310A4E09-9102-40A7-97E0-3C0F0578F790}"/>
    <cellStyle name="Normal 2 2 2" xfId="1112" xr:uid="{5D2F5A73-62B2-4AF1-809B-314CD406BE3B}"/>
    <cellStyle name="Normal 2 2 3" xfId="1113" xr:uid="{82DB02C1-8B9A-464E-8BC7-5C66A3688327}"/>
    <cellStyle name="Normal 2 2 4" xfId="1111" xr:uid="{AD543AD0-C922-4D9B-8D6D-1D7D48D0DA09}"/>
    <cellStyle name="Normal 2 3" xfId="11" xr:uid="{8AECB732-D0D4-417D-BA8A-B5F7DBF043E8}"/>
    <cellStyle name="Normal 2 3 2" xfId="1114" xr:uid="{932FDC53-833E-46FE-B302-B117FEA56178}"/>
    <cellStyle name="Normal 2 4" xfId="1110" xr:uid="{B536C12A-105F-4A93-ADEF-B59294B0791D}"/>
    <cellStyle name="Normal 2 7" xfId="1115" xr:uid="{316FDFB0-6A30-4689-9C2E-2CE616C41385}"/>
    <cellStyle name="Normal 2 7 2" xfId="1116" xr:uid="{797241B8-22F5-4C5F-BC1D-6403A01EB186}"/>
    <cellStyle name="Normal 2 7 2 2" xfId="1117" xr:uid="{2FADA439-4144-41B7-8F7A-25557CA6771A}"/>
    <cellStyle name="Normal 2 7 2 3" xfId="1118" xr:uid="{58619D3D-35E9-4D25-8F9D-F1F4143185B4}"/>
    <cellStyle name="Normal 2 7 2_CHP" xfId="1119" xr:uid="{B294C9CA-6FD1-443A-88A0-04866CCF9480}"/>
    <cellStyle name="Normal 2 7 3" xfId="1120" xr:uid="{AB011C37-F941-4A6F-9E85-92F3A2670CC0}"/>
    <cellStyle name="Normal 2 7 4" xfId="1121" xr:uid="{53206CEE-F921-4F21-84C9-25CB5CEC5395}"/>
    <cellStyle name="Normal 2 7_CHP" xfId="1122" xr:uid="{DD9AB143-A1C1-4BFB-8BF4-043D6C757AB7}"/>
    <cellStyle name="Normal 20" xfId="1123" xr:uid="{69B9A2D3-ECAE-452D-9560-732777988473}"/>
    <cellStyle name="Normal 21" xfId="1124" xr:uid="{006122D2-4731-461F-8A21-E6AE9273DB02}"/>
    <cellStyle name="Normal 3" xfId="2" xr:uid="{00000000-0005-0000-0000-00001B030000}"/>
    <cellStyle name="Normal 3 2" xfId="1125" xr:uid="{D29EF1AF-D487-44FA-95FF-378F3786322C}"/>
    <cellStyle name="Normal 3 2 2" xfId="1126" xr:uid="{DFFD4B54-1713-4B22-8480-E4CE90662461}"/>
    <cellStyle name="Normal 3 2 2 2" xfId="1127" xr:uid="{0F3E3AC7-6A8D-4BFB-885D-733ECB36911F}"/>
    <cellStyle name="Normal 3 2 2 3" xfId="1128" xr:uid="{18AD1F43-E6EC-4CBF-A061-D6F6ABD94719}"/>
    <cellStyle name="Normal 3 2 3" xfId="1129" xr:uid="{E8E61E4A-1060-4464-9293-BA663831BF64}"/>
    <cellStyle name="Normal 3 2 4" xfId="1130" xr:uid="{ABD923D9-037B-478A-8F9B-8EE068C7BDA2}"/>
    <cellStyle name="Normal 3 2 4 2" xfId="1131" xr:uid="{F77C62B4-C0CA-449E-84ED-CA86A260F886}"/>
    <cellStyle name="Normal 3 2 4 3" xfId="1132" xr:uid="{AFBA3CC4-F897-4D87-B3A6-FAADFED9955D}"/>
    <cellStyle name="Normal 3 3" xfId="1133" xr:uid="{519031B8-2C36-46A2-9BF8-4DC71881DE57}"/>
    <cellStyle name="Normal 3 4" xfId="1134" xr:uid="{DB2E163B-3816-4F4F-BF55-E16CA12589C9}"/>
    <cellStyle name="Normal 39 2 2" xfId="5" xr:uid="{261CD9A1-A4B7-44BA-9569-F7EE94A0D0DC}"/>
    <cellStyle name="Normal 4" xfId="3" xr:uid="{00000000-0005-0000-0000-00001F030000}"/>
    <cellStyle name="Normal 4 2" xfId="31" xr:uid="{F54CE401-6E6D-4EAA-9647-7835162FD30D}"/>
    <cellStyle name="Normal 4 2 2" xfId="1135" xr:uid="{5DD0BF97-C226-4A0D-84B1-8CB1CC06515E}"/>
    <cellStyle name="Normal 4 2 2 2" xfId="1136" xr:uid="{9B627203-5433-4769-ACC5-5E7DFC08529C}"/>
    <cellStyle name="Normal 4 2 2 3" xfId="1137" xr:uid="{5849F24A-49BE-4FC4-9085-42C7155D7299}"/>
    <cellStyle name="Normal 4 2 3" xfId="1138" xr:uid="{7CE32CC5-87A7-40E5-A420-7DF2E737DA11}"/>
    <cellStyle name="Normal 4 2 4" xfId="1139" xr:uid="{F06E82E7-6C3A-4554-B0E0-935AC353FB6E}"/>
    <cellStyle name="Normal 4 2 4 2" xfId="1140" xr:uid="{25C3B90E-73F8-4156-99D4-807848661AE1}"/>
    <cellStyle name="Normal 4 2 4 3" xfId="1141" xr:uid="{851C4FAA-B724-446F-945E-1E596D5B4702}"/>
    <cellStyle name="Normal 4 2 5" xfId="44" xr:uid="{0DF53491-508F-4862-9E04-B55A56FE6EA4}"/>
    <cellStyle name="Normal 4 3" xfId="2182" xr:uid="{02D0E2F6-273D-4B02-B9C5-679C0C903A1D}"/>
    <cellStyle name="Normal 41" xfId="47" xr:uid="{85DBA43A-F54C-4317-A7B7-0ED89A29E0F0}"/>
    <cellStyle name="Normal 47" xfId="56" xr:uid="{F101CA0C-6F7B-436D-9611-6E6688296871}"/>
    <cellStyle name="Normal 47 2" xfId="2186" xr:uid="{6B516539-0C1D-44E6-A4A9-2432E9931959}"/>
    <cellStyle name="Normal 5" xfId="21" xr:uid="{A7E88594-8683-4C00-B979-23527B67EC2C}"/>
    <cellStyle name="Normal 5 10 2" xfId="9" xr:uid="{6F94C9BF-24A8-4873-87B6-BDB164E6CACC}"/>
    <cellStyle name="Normal 5 10 2 2" xfId="18" xr:uid="{D259575D-6E38-44B4-A13D-1DF5E4DD956B}"/>
    <cellStyle name="Normal 5 2" xfId="1142" xr:uid="{4F2EAA06-C410-4E64-AD6C-C2B5F775B4BD}"/>
    <cellStyle name="Normal 56" xfId="57" xr:uid="{08741E9E-FBCE-4983-BA11-0B85DC0DA945}"/>
    <cellStyle name="Normal 56 2" xfId="2187" xr:uid="{1B218500-4117-4249-9B97-4703F958E0F1}"/>
    <cellStyle name="Normal 58" xfId="58" xr:uid="{2EF72A2C-B1EC-4725-8A36-A21D2B1320D6}"/>
    <cellStyle name="Normal 58 2" xfId="2188" xr:uid="{8A015A72-C581-4A24-9B91-0297E24BF52D}"/>
    <cellStyle name="Normal 6" xfId="1143" xr:uid="{CC858744-A4D4-4F8A-BA8C-93977CA04C96}"/>
    <cellStyle name="Normal 6 2" xfId="1144" xr:uid="{935102AF-B00D-4818-8C26-1EA9BC562B5B}"/>
    <cellStyle name="Normal 7" xfId="23" xr:uid="{7F932F86-4FF3-4381-B536-E93B215FBBD0}"/>
    <cellStyle name="Normal 7 2" xfId="30" xr:uid="{B1BE1326-4861-4AE0-A4C1-BC2D008AC3C1}"/>
    <cellStyle name="Normal 7 2 2" xfId="1146" xr:uid="{45D57E16-85BF-4599-B930-F5CEDDA5B5D8}"/>
    <cellStyle name="Normal 7 3" xfId="1145" xr:uid="{F13FDD89-A097-439A-A255-16DE084366AF}"/>
    <cellStyle name="Normal 7 4" xfId="38" xr:uid="{48898B81-93F9-486D-8E95-70F48FB83956}"/>
    <cellStyle name="Normal 7 5" xfId="2181" xr:uid="{F5036B2D-397F-43BC-B5E3-DBC713B600AA}"/>
    <cellStyle name="Normal 74" xfId="12" xr:uid="{70817D90-4BE1-4843-BBB8-7263791096E7}"/>
    <cellStyle name="Normal 8" xfId="1147" xr:uid="{675B7CD9-FECC-4E71-B05B-6EBE4ECAA589}"/>
    <cellStyle name="Normal 8 2" xfId="1148" xr:uid="{3A479CCB-B3C0-45D0-BC1F-3CCC7EE83807}"/>
    <cellStyle name="Normal 9" xfId="1149" xr:uid="{031CCA3D-4CE7-4221-A37C-8D8C7B0FC961}"/>
    <cellStyle name="Normal 93" xfId="37" xr:uid="{B11AABFB-6C5C-4639-ABC2-E7412C86E03D}"/>
    <cellStyle name="Normal 93 2" xfId="42" xr:uid="{CE23DA9F-E0FE-49C8-9773-ACDE2B6A99D1}"/>
    <cellStyle name="Normal 93 2 2" xfId="2185" xr:uid="{678C23C0-A6FD-4633-8916-B872169AC0EA}"/>
    <cellStyle name="Normal 93 3" xfId="2180" xr:uid="{61241B1E-6739-40A5-A3CA-BA0B17D3EE1C}"/>
    <cellStyle name="Normal 96" xfId="32" xr:uid="{105ACC34-9093-4AEC-BC4F-9C693DA375CE}"/>
    <cellStyle name="Normal GHG Textfiels Bold" xfId="1150" xr:uid="{1F4BD071-84F9-4A25-9A17-38CD5949C66F}"/>
    <cellStyle name="Normal GHG-Shade" xfId="1151" xr:uid="{3F376951-7344-48E9-8D2F-EB30B6ED8726}"/>
    <cellStyle name="Normal GHG-Shade 2" xfId="1152" xr:uid="{481BDAC4-801A-4B97-B268-B6D38F038FAF}"/>
    <cellStyle name="Normale_B2020" xfId="1153" xr:uid="{99552EE9-5288-4C69-B480-E8AD0E0769DC}"/>
    <cellStyle name="Normalny" xfId="0" builtinId="0"/>
    <cellStyle name="Normalny 10" xfId="1154" xr:uid="{5DEA5CCA-2FC5-47C7-83C5-3D300A32D5EA}"/>
    <cellStyle name="Normalny 10 10" xfId="7" xr:uid="{24F48ED7-0AF5-49D0-B1FB-A89A50D6946E}"/>
    <cellStyle name="Normalny 10 2" xfId="1155" xr:uid="{60E2650C-FF5F-4D54-B916-FC60FCDBF64C}"/>
    <cellStyle name="Normalny 10 2 2" xfId="1156" xr:uid="{900DB579-25CB-44AD-A511-1DAA9C3A6E6E}"/>
    <cellStyle name="Normalny 10 2 2 2" xfId="1157" xr:uid="{A2CC857C-E6F9-4CA0-BB72-CD02401CFB5F}"/>
    <cellStyle name="Normalny 10 2 2 3" xfId="1158" xr:uid="{A858ED55-BE3A-45F5-BF27-F2A73980FE67}"/>
    <cellStyle name="Normalny 10 2 3" xfId="4" xr:uid="{00000000-0005-0000-0000-00002D030000}"/>
    <cellStyle name="Normalny 10 2 3 2" xfId="1159" xr:uid="{2F8A7CD9-7B9E-4AE1-9E77-6EA386769229}"/>
    <cellStyle name="Normalny 10 2 3 2 2 2" xfId="27" xr:uid="{8D639005-C4D1-4FD0-84A3-23A3598D3EBE}"/>
    <cellStyle name="Normalny 10 2 3 3" xfId="1160" xr:uid="{2455F540-85E6-49DD-B71A-A30B245F5A90}"/>
    <cellStyle name="Normalny 10 2 4" xfId="1161" xr:uid="{F2B9DD9B-5907-46F1-9405-4870D4AEF312}"/>
    <cellStyle name="Normalny 10 2 4 2" xfId="1162" xr:uid="{29312B68-C2D3-4060-9983-70B24C6F8913}"/>
    <cellStyle name="Normalny 10 2 5" xfId="1163" xr:uid="{719F47CA-52DA-4CA9-BAB7-73CAC5F16D26}"/>
    <cellStyle name="Normalny 10 2 5 2" xfId="1164" xr:uid="{19C2A510-5B52-4FC0-AEFE-22AEA312DAC2}"/>
    <cellStyle name="Normalny 10 2 6" xfId="1165" xr:uid="{656453AD-331A-46A5-AD83-83B44C93633A}"/>
    <cellStyle name="Normalny 10 2_CHP" xfId="1166" xr:uid="{D6EEB4E5-F585-4FFA-B8A2-7D87A5B5214D}"/>
    <cellStyle name="Normalny 10 3" xfId="1167" xr:uid="{C984F7B9-8E09-4195-A043-E943DA2D8721}"/>
    <cellStyle name="Normalny 10 3 2" xfId="1168" xr:uid="{3EBDB4C1-670C-492F-8F84-DC95FE8C627D}"/>
    <cellStyle name="Normalny 10 3 2 2" xfId="1169" xr:uid="{14FC83DD-8FBB-498F-9C5F-323D1B30D872}"/>
    <cellStyle name="Normalny 10 3 2 3" xfId="1170" xr:uid="{066B9BFF-1011-4AF4-A1EE-3D239848424F}"/>
    <cellStyle name="Normalny 10 3 3" xfId="1171" xr:uid="{502A0C5F-F492-49F8-A8F5-13F6D78B0161}"/>
    <cellStyle name="Normalny 10 3 4" xfId="1172" xr:uid="{E91A2C81-965F-4923-9104-614A75E5902E}"/>
    <cellStyle name="Normalny 10 3 4 2" xfId="1173" xr:uid="{8BF51EC6-F0C7-4E46-B009-D55BB0854FF8}"/>
    <cellStyle name="Normalny 10 3_CHP" xfId="1174" xr:uid="{96420D78-39DF-4E3A-B5A5-BE4A30D697B3}"/>
    <cellStyle name="Normalny 10 4" xfId="1175" xr:uid="{56F97D13-98EA-4834-A328-3778BE54F155}"/>
    <cellStyle name="Normalny 11" xfId="1176" xr:uid="{5BA79C36-CED6-4781-B565-D20ADCB8AC2E}"/>
    <cellStyle name="Normalny 11 2" xfId="1177" xr:uid="{4A34D7C2-EDDA-478A-AA84-EDB6C7F3FD11}"/>
    <cellStyle name="Normalny 11 2 2" xfId="1178" xr:uid="{EE32D0A8-533D-4740-BBDE-4518257EA675}"/>
    <cellStyle name="Normalny 11 2 2 2" xfId="1179" xr:uid="{FCB7415B-3931-470D-A3AB-924BEC86947B}"/>
    <cellStyle name="Normalny 11 2 2 3" xfId="1180" xr:uid="{487E0B1D-EF9A-4C79-9A7B-DC8DBD26CC03}"/>
    <cellStyle name="Normalny 11 2 3" xfId="1181" xr:uid="{B31867FD-1636-4F7B-A2D7-BAD31B0A903C}"/>
    <cellStyle name="Normalny 11 2 3 2" xfId="1182" xr:uid="{71EFBFD2-90B7-47B4-98E3-5AA4BE48476A}"/>
    <cellStyle name="Normalny 11 2 3 3" xfId="1183" xr:uid="{98CF4CC6-D09D-4F2E-914F-CA15BA212816}"/>
    <cellStyle name="Normalny 11 2 4" xfId="1184" xr:uid="{F22F4150-0A85-4AF3-8555-DFBB08383C52}"/>
    <cellStyle name="Normalny 11 2 5" xfId="1185" xr:uid="{5995F1C0-5467-434F-9315-1D6793520305}"/>
    <cellStyle name="Normalny 11 2_COM_BND" xfId="1186" xr:uid="{25340C0B-0494-4C45-9F89-7BD9B4D99FE8}"/>
    <cellStyle name="Normalny 11 3" xfId="1187" xr:uid="{DD0411E3-2274-4FBF-A0F7-3842E9A2F6D4}"/>
    <cellStyle name="Normalny 11 3 2" xfId="1188" xr:uid="{D7106C2C-7E8A-4B73-86EB-3D5434395A66}"/>
    <cellStyle name="Normalny 11 3 2 2" xfId="1189" xr:uid="{70E0870E-85DC-43F2-8D36-5E7A6CC0A861}"/>
    <cellStyle name="Normalny 11 3 2 2 2" xfId="1190" xr:uid="{7FAF330E-396A-46D1-BA88-9E8A3FEE6CA1}"/>
    <cellStyle name="Normalny 11 3 2 2 3" xfId="1191" xr:uid="{5B040561-AAA9-4775-9AA7-B39057DF748E}"/>
    <cellStyle name="Normalny 11 3 2 3" xfId="1192" xr:uid="{503623EF-CF8A-44BA-9227-4FE1E541B564}"/>
    <cellStyle name="Normalny 11 3 2 3 2" xfId="1193" xr:uid="{7CB809FC-328A-4758-BBB4-B444DE884558}"/>
    <cellStyle name="Normalny 11 3 2 4" xfId="1194" xr:uid="{7ECED1BC-4F9B-4E2E-BF47-69B3C6CD9519}"/>
    <cellStyle name="Normalny 11 3 2 4 2" xfId="1195" xr:uid="{E950C3B9-23F8-4A1B-92C2-7052094BBECA}"/>
    <cellStyle name="Normalny 11 3 2 5" xfId="1196" xr:uid="{D7D8FFCE-4925-417D-A861-712AC3B47C2A}"/>
    <cellStyle name="Normalny 11 3 2_CHP" xfId="1197" xr:uid="{37ED8DB7-0DC9-43B2-A0BA-B6483959A354}"/>
    <cellStyle name="Normalny 11 3 3" xfId="1198" xr:uid="{254CAC28-89A0-4160-A0C8-E852A97DAFA9}"/>
    <cellStyle name="Normalny 11 3 3 2" xfId="1199" xr:uid="{2AB14FCE-6CFB-48ED-BE40-C4C8D22DBE50}"/>
    <cellStyle name="Normalny 11 3 3 3" xfId="1200" xr:uid="{00E06538-44A0-4F38-B034-11F47FADBC5B}"/>
    <cellStyle name="Normalny 11 3 4" xfId="1201" xr:uid="{99B687A1-A396-4AD3-BA58-EE31D52A735B}"/>
    <cellStyle name="Normalny 11 3_COM_BND" xfId="1202" xr:uid="{BC68B0A4-CB3F-4AF0-96EA-79666CADFE35}"/>
    <cellStyle name="Normalny 11 4" xfId="1203" xr:uid="{C9D7662F-A92D-4231-B494-91FE0ADD10DA}"/>
    <cellStyle name="Normalny 11 4 2" xfId="1204" xr:uid="{74AFA713-93E3-4F30-9610-AF43D31319CE}"/>
    <cellStyle name="Normalny 11 4 2 2" xfId="1205" xr:uid="{06DC9CD0-2D15-435C-A0D9-7204FC341018}"/>
    <cellStyle name="Normalny 11 4 2 3" xfId="1206" xr:uid="{FD10B249-C964-4C38-820C-330A2260C446}"/>
    <cellStyle name="Normalny 11 4 3" xfId="1207" xr:uid="{32645ED1-CBDB-44B3-9ABE-BF8AB43C8DFC}"/>
    <cellStyle name="Normalny 11 4 3 2" xfId="1208" xr:uid="{F44CBDFF-7485-4F2B-A22E-A773FEA373C0}"/>
    <cellStyle name="Normalny 11 4 4" xfId="1209" xr:uid="{E3A84A30-7AC6-4514-AA2B-FE7ACB83E967}"/>
    <cellStyle name="Normalny 11 4 4 2" xfId="1210" xr:uid="{FBE398F1-F624-4D44-9DC7-FB240F4823E8}"/>
    <cellStyle name="Normalny 11 4 5" xfId="1211" xr:uid="{474014EE-E6E8-4A48-BDA5-56DB19E3233F}"/>
    <cellStyle name="Normalny 11 4_CHP" xfId="1212" xr:uid="{27BC8C2A-C265-4011-B356-641177CBAC9C}"/>
    <cellStyle name="Normalny 11 5" xfId="1213" xr:uid="{1A4E8FAC-36DA-479D-AFAB-46CD340CB8A2}"/>
    <cellStyle name="Normalny 11 5 2" xfId="1214" xr:uid="{9550D172-859F-4899-8380-13D700775BE2}"/>
    <cellStyle name="Normalny 11 5 2 2" xfId="1215" xr:uid="{6A381A85-E027-4412-9D61-B9C39DB3FF5A}"/>
    <cellStyle name="Normalny 11 5 2 3" xfId="1216" xr:uid="{5A2CB338-C866-4A19-93DB-E0D53D3D6E44}"/>
    <cellStyle name="Normalny 11 5 3" xfId="1217" xr:uid="{E64448B0-13F8-480E-AB2E-572737C9C2E8}"/>
    <cellStyle name="Normalny 11 5 3 2" xfId="1218" xr:uid="{2E97462A-7AFF-49A9-8E19-15D453A7E55A}"/>
    <cellStyle name="Normalny 11 5 4" xfId="1219" xr:uid="{F8DE3F40-45E9-4AFF-A2A6-870DD7FEBA7B}"/>
    <cellStyle name="Normalny 11 5 4 2" xfId="1220" xr:uid="{C979057D-4D93-4F45-A1F8-B7FA167A023A}"/>
    <cellStyle name="Normalny 11 5 5" xfId="1221" xr:uid="{327050B9-F5B8-497E-8453-45D893F3B9B7}"/>
    <cellStyle name="Normalny 11 5 6" xfId="1222" xr:uid="{1929A1CD-907D-4FF4-844F-67F2EF6FCDE7}"/>
    <cellStyle name="Normalny 11 5_CHP" xfId="1223" xr:uid="{16B8A45A-2CCF-412E-9701-5536FD7F3B1B}"/>
    <cellStyle name="Normalny 11 6" xfId="1224" xr:uid="{89AD393D-53B1-4F31-8586-D1CB27D94457}"/>
    <cellStyle name="Normalny 11 6 2" xfId="1225" xr:uid="{96A238B5-612A-4434-9BF2-B611B9361457}"/>
    <cellStyle name="Normalny 11 6 2 2" xfId="1226" xr:uid="{3E267480-8090-43E6-9721-64B15C3F0FA6}"/>
    <cellStyle name="Normalny 11 6 3" xfId="1227" xr:uid="{BBF89FFA-13F5-41E7-A0A7-3E60F760D555}"/>
    <cellStyle name="Normalny 11 6 3 2" xfId="1228" xr:uid="{2E4CD338-8CA0-49D1-9B70-1BFCF69510B2}"/>
    <cellStyle name="Normalny 11 6 4" xfId="1229" xr:uid="{06A373F8-E1A9-432D-9D9A-688ADE54A50D}"/>
    <cellStyle name="Normalny 11 6_CHP" xfId="1230" xr:uid="{E7316317-DF76-4CF7-A66A-EFF0EF6CB65F}"/>
    <cellStyle name="Normalny 11 7" xfId="1231" xr:uid="{AC0E3FB5-EAA7-42B2-8FCA-7278DA3FE6A3}"/>
    <cellStyle name="Normalny 11 7 2" xfId="1232" xr:uid="{0114CF04-63E0-4CC4-87D7-6730757A53B3}"/>
    <cellStyle name="Normalny 11 8" xfId="1233" xr:uid="{A4540F23-3A42-41B6-B6AF-1C0636F07C5D}"/>
    <cellStyle name="Normalny 11 8 2" xfId="1234" xr:uid="{08DD70BB-3968-4F67-8068-9291DF533E5F}"/>
    <cellStyle name="Normalny 11 9" xfId="1235" xr:uid="{78F344F3-CA4A-4B61-8311-1040FC015FF4}"/>
    <cellStyle name="Normalny 11_CHP" xfId="1236" xr:uid="{43767282-1579-4A82-91AF-6903AB76BB22}"/>
    <cellStyle name="Normalny 12" xfId="1237" xr:uid="{6B021E51-76C3-4A45-9FB2-09F74A3FAEA6}"/>
    <cellStyle name="Normalny 12 2" xfId="1238" xr:uid="{FB8DB646-4FE8-4433-BF57-CCCE470A00AB}"/>
    <cellStyle name="Normalny 12 3" xfId="1239" xr:uid="{43A7895C-B0ED-48BB-8D6C-A4F54EB7A338}"/>
    <cellStyle name="Normalny 13" xfId="1240" xr:uid="{8B453B65-E9C0-40F2-95E4-F5294F2F0FA0}"/>
    <cellStyle name="Normalny 13 10" xfId="1241" xr:uid="{9BF3EEAB-1F81-446B-98F4-F2B7B41819D9}"/>
    <cellStyle name="Normalny 13 10 2" xfId="1242" xr:uid="{99FD3617-9C51-4A48-B87A-34B88B1D8F59}"/>
    <cellStyle name="Normalny 13 10 3" xfId="1243" xr:uid="{BCA9EDD7-6E7E-4D76-A3C9-0721D1456DA2}"/>
    <cellStyle name="Normalny 13 10 3 2" xfId="1244" xr:uid="{6B89E2C9-6A38-428C-9F99-4173E7451E37}"/>
    <cellStyle name="Normalny 13 10 4" xfId="1245" xr:uid="{50B5E9B5-C09C-415C-ABB9-CF7C58A5E040}"/>
    <cellStyle name="Normalny 13 10_CHP" xfId="1246" xr:uid="{C3B11737-4EEB-4705-B9FC-0306E4622FDC}"/>
    <cellStyle name="Normalny 13 11" xfId="1247" xr:uid="{C8A235F8-4E59-4FCA-B565-41758F1E825E}"/>
    <cellStyle name="Normalny 13 12" xfId="1248" xr:uid="{F883F408-21EB-478C-A07B-167599D85ECD}"/>
    <cellStyle name="Normalny 13 12 2" xfId="1249" xr:uid="{DD7F8673-EC03-4D9A-BA30-E47B19661484}"/>
    <cellStyle name="Normalny 13 12 2 2" xfId="2193" xr:uid="{A2D240DE-0810-4B7B-82D0-12B4CAF23F2B}"/>
    <cellStyle name="Normalny 13 12 3" xfId="1250" xr:uid="{E19FF40F-BC1A-411A-A3EC-DEE9794AE942}"/>
    <cellStyle name="Normalny 13 13" xfId="1251" xr:uid="{1F9DEC8B-21CE-4E40-9061-4F690BF9F10C}"/>
    <cellStyle name="Normalny 13 13 2" xfId="1252" xr:uid="{2A8BF394-64B9-48B3-B447-19D016990228}"/>
    <cellStyle name="Normalny 13 13 2 2" xfId="2194" xr:uid="{ACC11053-3EA9-43F5-B49C-B1CB44173785}"/>
    <cellStyle name="Normalny 13 13 3" xfId="1253" xr:uid="{74824B02-0E0D-4FBE-B7C7-285ECCF42C22}"/>
    <cellStyle name="Normalny 13 14" xfId="1254" xr:uid="{2BE4A32D-A3A8-4612-BF2A-CDDECA987732}"/>
    <cellStyle name="Normalny 13 14 2" xfId="2195" xr:uid="{D2C53609-C807-4DCB-A575-966B937AE457}"/>
    <cellStyle name="Normalny 13 15" xfId="1255" xr:uid="{39D5C2CF-CF5F-4134-B4A9-659800D54009}"/>
    <cellStyle name="Normalny 13 15 2" xfId="1256" xr:uid="{1BC77E1A-4C00-40BD-B563-D642BE29FC8E}"/>
    <cellStyle name="Normalny 13 15 2 2" xfId="2196" xr:uid="{902FEB41-6788-4998-985A-46F071FC2B6A}"/>
    <cellStyle name="Normalny 13 15 3" xfId="1257" xr:uid="{2A5D39A6-D688-467D-B854-BD0A6BE927C0}"/>
    <cellStyle name="Normalny 13 16" xfId="1258" xr:uid="{04015BE9-49F4-4F40-9F59-1182CCFECA59}"/>
    <cellStyle name="Normalny 13 16 2" xfId="1259" xr:uid="{4AE0BDB0-AED8-4345-BED9-9CC4DE40DF70}"/>
    <cellStyle name="Normalny 13 16 2 2" xfId="2197" xr:uid="{CDAF4A87-6E92-4897-9DDD-5D5CF86FA9E7}"/>
    <cellStyle name="Normalny 13 16 3" xfId="1260" xr:uid="{AF1FD64D-FC91-4720-ABB5-7717073A42C6}"/>
    <cellStyle name="Normalny 13 17" xfId="1261" xr:uid="{59468FD0-EFF1-4ABF-8B6A-B5B8901E0800}"/>
    <cellStyle name="Normalny 13 17 2" xfId="1262" xr:uid="{5F60BA6A-6AFB-4102-B6A0-45B9FC027664}"/>
    <cellStyle name="Normalny 13 17 2 2" xfId="2198" xr:uid="{782AE111-987D-4899-9A22-66B3A9A5B4D1}"/>
    <cellStyle name="Normalny 13 17 3" xfId="1263" xr:uid="{09C0C474-3DF8-4C86-B52C-32A6BD83DC86}"/>
    <cellStyle name="Normalny 13 18" xfId="1264" xr:uid="{F1985866-37EF-4F3A-B118-43B469F7C097}"/>
    <cellStyle name="Normalny 13 18 2" xfId="1265" xr:uid="{E5F0E0CD-C4B2-4FE3-B6FF-ECCD53728BE2}"/>
    <cellStyle name="Normalny 13 18 2 2" xfId="2199" xr:uid="{E3D08793-A7B7-4499-A00B-929CD36ABA0E}"/>
    <cellStyle name="Normalny 13 18 3" xfId="1266" xr:uid="{A1A11006-F4DD-485D-BA91-BEDDAB75309F}"/>
    <cellStyle name="Normalny 13 19" xfId="1267" xr:uid="{D6BFA653-9914-4D26-9C28-6E9A1A455D8C}"/>
    <cellStyle name="Normalny 13 2" xfId="1268" xr:uid="{1C9017D5-DAFD-4FFE-84F6-677E8BA8F990}"/>
    <cellStyle name="Normalny 13 2 10" xfId="2200" xr:uid="{1A633264-1859-48E5-9037-C8B9D512BF85}"/>
    <cellStyle name="Normalny 13 2 2" xfId="1269" xr:uid="{2FA95EC7-47F7-4302-9780-A2D458F7AE07}"/>
    <cellStyle name="Normalny 13 2 2 2" xfId="1270" xr:uid="{A7CF3DA8-2131-4974-AD3B-C2EC84C5EE37}"/>
    <cellStyle name="Normalny 13 2 2 2 2" xfId="1271" xr:uid="{7F980BD3-F9C7-469C-8358-A8D203EA576B}"/>
    <cellStyle name="Normalny 13 2 2 2 2 2" xfId="1272" xr:uid="{33641124-193E-4957-B588-366C2D8FCBFE}"/>
    <cellStyle name="Normalny 13 2 2 2 2 2 2" xfId="1273" xr:uid="{730C07BC-27C4-4869-B0B9-D49AC4886E59}"/>
    <cellStyle name="Normalny 13 2 2 2 2 2 2 2" xfId="1274" xr:uid="{D5ADF606-FE12-41CA-AA99-33A153DEAF13}"/>
    <cellStyle name="Normalny 13 2 2 2 2 2 2 2 2" xfId="2205" xr:uid="{B4A261D4-C914-4C4A-8B0E-C17A0DA9C87F}"/>
    <cellStyle name="Normalny 13 2 2 2 2 2 2 3" xfId="1275" xr:uid="{1FE1E100-2C24-4121-8861-4C2AA0F27E17}"/>
    <cellStyle name="Normalny 13 2 2 2 2 2 3" xfId="1276" xr:uid="{61489ACC-D201-49D8-8DAB-2C68BD53FEC8}"/>
    <cellStyle name="Normalny 13 2 2 2 2 2 3 2" xfId="2206" xr:uid="{1EC465C0-B132-4515-A7A0-297ECA91183E}"/>
    <cellStyle name="Normalny 13 2 2 2 2 2 4" xfId="2204" xr:uid="{E6111BB0-E92A-4EC3-9C9A-E7760C8F71C7}"/>
    <cellStyle name="Normalny 13 2 2 2 2 3" xfId="1277" xr:uid="{734C80B6-781C-482F-A7A9-BBFC9CB5537F}"/>
    <cellStyle name="Normalny 13 2 2 2 2 4" xfId="1278" xr:uid="{F0D2E80A-B5DA-49BF-A1C5-1291B53208C0}"/>
    <cellStyle name="Normalny 13 2 2 2 2 4 2" xfId="2207" xr:uid="{B8E8BB1D-BE69-46AD-98C2-AB743DD70486}"/>
    <cellStyle name="Normalny 13 2 2 2 2 5" xfId="2203" xr:uid="{4E8B9D95-91A2-432A-B49B-237BEF48E6B5}"/>
    <cellStyle name="Normalny 13 2 2 2 2_CHP" xfId="1279" xr:uid="{9DBC20A7-0AA5-42B9-835E-28773DD716A7}"/>
    <cellStyle name="Normalny 13 2 2 2 3" xfId="1280" xr:uid="{39103FD1-5FA7-4B4D-8F08-30A20D476C64}"/>
    <cellStyle name="Normalny 13 2 2 2 3 2" xfId="1281" xr:uid="{A0AF5469-1FE1-4153-BBD5-0E1F1056EE70}"/>
    <cellStyle name="Normalny 13 2 2 2 3 2 2" xfId="1282" xr:uid="{2ECDF013-029E-4AE7-A2E5-D5533210AE6D}"/>
    <cellStyle name="Normalny 13 2 2 2 3 2 2 2" xfId="1283" xr:uid="{92E52974-D148-4FC5-B80E-FA0F746A6991}"/>
    <cellStyle name="Normalny 13 2 2 2 3 2 2 2 2" xfId="2210" xr:uid="{FE75F3FE-8786-4431-B771-EBAE4E6B9460}"/>
    <cellStyle name="Normalny 13 2 2 2 3 2 2 3" xfId="1284" xr:uid="{20D6A1FE-6B4C-4B3A-A17E-00D02565A76F}"/>
    <cellStyle name="Normalny 13 2 2 2 3 2 3" xfId="1285" xr:uid="{9944ABD7-4730-42D5-9390-241E1DDFAC60}"/>
    <cellStyle name="Normalny 13 2 2 2 3 2 3 2" xfId="2211" xr:uid="{EE6465F0-4265-4547-86A4-53AA422A800B}"/>
    <cellStyle name="Normalny 13 2 2 2 3 2 4" xfId="2209" xr:uid="{0636DC86-670D-490F-BC4E-DB57F39A8764}"/>
    <cellStyle name="Normalny 13 2 2 2 3 3" xfId="1286" xr:uid="{AA076387-0354-45C9-8F70-DB5EA45AB2DD}"/>
    <cellStyle name="Normalny 13 2 2 2 3 4" xfId="1287" xr:uid="{F8AA343D-C99C-47D1-BEB7-9901BF96AF56}"/>
    <cellStyle name="Normalny 13 2 2 2 3 4 2" xfId="2212" xr:uid="{F6C55280-05C4-4564-B19A-CB8E111C937E}"/>
    <cellStyle name="Normalny 13 2 2 2 3 5" xfId="2208" xr:uid="{88F99DC3-649D-4315-AFA3-5682DD54FD20}"/>
    <cellStyle name="Normalny 13 2 2 2 3_CHP" xfId="1288" xr:uid="{A771DAD1-A533-47F4-8301-6B62776DF710}"/>
    <cellStyle name="Normalny 13 2 2 2 4" xfId="1289" xr:uid="{809890AD-AF03-49AB-9D95-2E215D25B1F6}"/>
    <cellStyle name="Normalny 13 2 2 2 4 2" xfId="1290" xr:uid="{77FF6856-AFC2-4413-87D1-24769518817C}"/>
    <cellStyle name="Normalny 13 2 2 2 4 2 2" xfId="1291" xr:uid="{AAF6010B-F6E7-4A24-9802-5332F29633DC}"/>
    <cellStyle name="Normalny 13 2 2 2 4 2 2 2" xfId="2214" xr:uid="{CE45A6A1-F61A-4EDF-A019-CA1293734410}"/>
    <cellStyle name="Normalny 13 2 2 2 4 2 3" xfId="1292" xr:uid="{B7AA87BE-0900-4777-AC1D-7543D7CF1BDA}"/>
    <cellStyle name="Normalny 13 2 2 2 4 3" xfId="1293" xr:uid="{E38F6726-8D8C-426A-BB7C-7BAE3E5A4E22}"/>
    <cellStyle name="Normalny 13 2 2 2 4 3 2" xfId="2215" xr:uid="{3AFE5F5F-0160-44BE-A737-79BDAAD6C4BA}"/>
    <cellStyle name="Normalny 13 2 2 2 4 4" xfId="2213" xr:uid="{26EA227A-566F-4FCA-A9AE-BC180EB46662}"/>
    <cellStyle name="Normalny 13 2 2 2 5" xfId="1294" xr:uid="{E2D521F3-A000-4C4B-8B6D-34678BF49061}"/>
    <cellStyle name="Normalny 13 2 2 2 5 2" xfId="1295" xr:uid="{605F8665-AD5B-48E7-AA06-450B7B6B44C2}"/>
    <cellStyle name="Normalny 13 2 2 2 5 2 2" xfId="1296" xr:uid="{6E1231CA-7B75-40B8-AA63-679B8730D80A}"/>
    <cellStyle name="Normalny 13 2 2 2 5 2 2 2" xfId="2217" xr:uid="{FA92F2DD-4C2F-40E5-8E77-79161D6532B6}"/>
    <cellStyle name="Normalny 13 2 2 2 5 2 3" xfId="1297" xr:uid="{276D082B-6783-4248-AF23-EAF9E3139106}"/>
    <cellStyle name="Normalny 13 2 2 2 5 3" xfId="1298" xr:uid="{F930FC3C-F399-44CE-8993-C08115D31FBC}"/>
    <cellStyle name="Normalny 13 2 2 2 5 3 2" xfId="2218" xr:uid="{727BF764-CFF8-47B7-90E9-A8B81BF9932F}"/>
    <cellStyle name="Normalny 13 2 2 2 5 4" xfId="2216" xr:uid="{D81F346F-57A7-4FB5-8F80-2409F3C36D88}"/>
    <cellStyle name="Normalny 13 2 2 2 6" xfId="1299" xr:uid="{D6388BC3-84FB-4A7D-B57C-7F7A8BAE4064}"/>
    <cellStyle name="Normalny 13 2 2 2 7" xfId="1300" xr:uid="{3C3F3B32-10C0-40AF-9969-D811B37BF4B3}"/>
    <cellStyle name="Normalny 13 2 2 2 7 2" xfId="2219" xr:uid="{3710DCA3-A818-4002-9912-F953BFFDFA20}"/>
    <cellStyle name="Normalny 13 2 2 2 8" xfId="2202" xr:uid="{E30F755E-32E4-45FF-BB62-E9D1AC97D469}"/>
    <cellStyle name="Normalny 13 2 2 2_CHP" xfId="1301" xr:uid="{76613804-5CA9-4AF8-B82B-94E5E644F755}"/>
    <cellStyle name="Normalny 13 2 2 3" xfId="1302" xr:uid="{E9473974-C8F2-4FB2-A76B-A91AD62AF230}"/>
    <cellStyle name="Normalny 13 2 2 3 2" xfId="1303" xr:uid="{C673CC9D-E17E-4960-9A16-42C36B830269}"/>
    <cellStyle name="Normalny 13 2 2 3 2 2" xfId="1304" xr:uid="{DCD4F800-838F-46A5-9AD8-B231A27AFA95}"/>
    <cellStyle name="Normalny 13 2 2 3 2 2 2" xfId="1305" xr:uid="{64F2DD68-CE54-4DFB-AB68-97A1FBBF1D84}"/>
    <cellStyle name="Normalny 13 2 2 3 2 2 2 2" xfId="2222" xr:uid="{8FEE057F-3377-48D8-A06B-94F24D94E9DC}"/>
    <cellStyle name="Normalny 13 2 2 3 2 2 3" xfId="1306" xr:uid="{83B0524D-898D-4732-885C-E7249CF6F4A6}"/>
    <cellStyle name="Normalny 13 2 2 3 2 3" xfId="1307" xr:uid="{4712EF50-00E1-4E44-A437-B017D2BB6335}"/>
    <cellStyle name="Normalny 13 2 2 3 2 3 2" xfId="2223" xr:uid="{570C36D1-6C21-42EC-9753-F1233453F011}"/>
    <cellStyle name="Normalny 13 2 2 3 2 4" xfId="2221" xr:uid="{3D8DC3E2-2A79-446A-9577-07361A30FB91}"/>
    <cellStyle name="Normalny 13 2 2 3 3" xfId="1308" xr:uid="{215CB0D9-0CD3-4218-9D75-0C3860AB508D}"/>
    <cellStyle name="Normalny 13 2 2 3 4" xfId="1309" xr:uid="{2AE207F5-9B58-4B60-B45E-8D259ACFF296}"/>
    <cellStyle name="Normalny 13 2 2 3 4 2" xfId="2224" xr:uid="{D9B99EF7-4A9B-41A8-9229-07934339F64A}"/>
    <cellStyle name="Normalny 13 2 2 3 5" xfId="2220" xr:uid="{B10D67F4-05AC-4906-BB69-2EDBA65D19B6}"/>
    <cellStyle name="Normalny 13 2 2 3_CHP" xfId="1310" xr:uid="{D831C275-5953-416A-8D47-3FD2E8191D9D}"/>
    <cellStyle name="Normalny 13 2 2 4" xfId="1311" xr:uid="{9917069B-929B-4E12-B4FB-2546440A92A8}"/>
    <cellStyle name="Normalny 13 2 2 4 2" xfId="1312" xr:uid="{19814121-3227-44FE-B138-A6E8668830A9}"/>
    <cellStyle name="Normalny 13 2 2 4 2 2" xfId="1313" xr:uid="{7671CCE2-C912-4648-8DC9-020CB1F7A08E}"/>
    <cellStyle name="Normalny 13 2 2 4 2 2 2" xfId="1314" xr:uid="{7DE20FC4-7CDB-49A1-9095-48798AA69D58}"/>
    <cellStyle name="Normalny 13 2 2 4 2 2 2 2" xfId="2227" xr:uid="{142F208E-1DEB-4C33-877F-03651DE80819}"/>
    <cellStyle name="Normalny 13 2 2 4 2 2 3" xfId="1315" xr:uid="{3DB268BD-2000-412F-B294-BD5020934BFF}"/>
    <cellStyle name="Normalny 13 2 2 4 2 3" xfId="1316" xr:uid="{C58B4E21-0E61-4AD1-9C66-ACBAB75843DF}"/>
    <cellStyle name="Normalny 13 2 2 4 2 3 2" xfId="2228" xr:uid="{B1119951-66F3-4739-9821-7A11FCA18B6F}"/>
    <cellStyle name="Normalny 13 2 2 4 2 4" xfId="2226" xr:uid="{6BDBFDD1-ED7E-4FC2-B9A1-16EF8010AB50}"/>
    <cellStyle name="Normalny 13 2 2 4 3" xfId="1317" xr:uid="{2D13363F-716F-467D-8291-677DF2371293}"/>
    <cellStyle name="Normalny 13 2 2 4 4" xfId="1318" xr:uid="{E7957ED6-81BC-4C5A-BBBD-D76A9D833163}"/>
    <cellStyle name="Normalny 13 2 2 4 4 2" xfId="2229" xr:uid="{F98A6DD5-EC0E-43FE-A7F5-5F9F2EBD15A7}"/>
    <cellStyle name="Normalny 13 2 2 4 5" xfId="2225" xr:uid="{A3580615-3ED3-42EC-8437-1A0F7FE5D030}"/>
    <cellStyle name="Normalny 13 2 2 4_CHP" xfId="1319" xr:uid="{9CA4CA29-C288-44A3-BF9D-E9BFBF04137B}"/>
    <cellStyle name="Normalny 13 2 2 5" xfId="1320" xr:uid="{26CDDA84-92B8-4BB2-87FD-385A5DD4C237}"/>
    <cellStyle name="Normalny 13 2 2 5 2" xfId="1321" xr:uid="{73BA43F6-7DBB-4928-B211-D443A5803552}"/>
    <cellStyle name="Normalny 13 2 2 5 2 2" xfId="1322" xr:uid="{C3322D65-A779-4408-8A54-C15F62CFB194}"/>
    <cellStyle name="Normalny 13 2 2 5 2 2 2" xfId="2231" xr:uid="{B1DE0347-A4BD-4419-B63B-4C48102D2E16}"/>
    <cellStyle name="Normalny 13 2 2 5 2 3" xfId="1323" xr:uid="{629813C2-BCBE-493E-B8EA-699A267A1592}"/>
    <cellStyle name="Normalny 13 2 2 5 3" xfId="1324" xr:uid="{2F01CCFC-AF6B-4E60-B8B1-1BA3678734BE}"/>
    <cellStyle name="Normalny 13 2 2 5 3 2" xfId="2232" xr:uid="{6E3329FE-74F5-4CBD-862D-F5F3C61AF46D}"/>
    <cellStyle name="Normalny 13 2 2 5 4" xfId="2230" xr:uid="{E80B3F45-6343-4B2B-AD7A-8A0E1F567540}"/>
    <cellStyle name="Normalny 13 2 2 6" xfId="1325" xr:uid="{F49B45D0-C2C7-420E-B1BA-F8FF9834EA19}"/>
    <cellStyle name="Normalny 13 2 2 6 2" xfId="1326" xr:uid="{52080DF5-3547-42C1-9197-EE25F6A6C293}"/>
    <cellStyle name="Normalny 13 2 2 6 2 2" xfId="1327" xr:uid="{4A6FFD2C-4EF7-44C9-B0A9-4E32FBBD5C00}"/>
    <cellStyle name="Normalny 13 2 2 6 2 2 2" xfId="2234" xr:uid="{54089CB4-8FD1-44C3-92C9-A2684415ED42}"/>
    <cellStyle name="Normalny 13 2 2 6 2 3" xfId="1328" xr:uid="{84CC5EAC-51F5-4BE8-A0B7-E6B079085590}"/>
    <cellStyle name="Normalny 13 2 2 6 3" xfId="1329" xr:uid="{45796D53-35C9-4DD9-ABB4-6E252B83A4ED}"/>
    <cellStyle name="Normalny 13 2 2 6 3 2" xfId="2235" xr:uid="{D325AD5F-CAB0-47AF-9CB5-90F6B8985DED}"/>
    <cellStyle name="Normalny 13 2 2 6 4" xfId="2233" xr:uid="{2086BE35-FA2C-45DA-BB34-32274A5D235B}"/>
    <cellStyle name="Normalny 13 2 2 7" xfId="1330" xr:uid="{A5EFC1A2-D50B-494F-A1C5-4951B53DD866}"/>
    <cellStyle name="Normalny 13 2 2 8" xfId="1331" xr:uid="{E448AA74-0C61-4DB6-9B1D-6D807D6847E8}"/>
    <cellStyle name="Normalny 13 2 2 8 2" xfId="2236" xr:uid="{9ED7F4FB-2C32-40A6-9A73-1CF9C6BA9C3A}"/>
    <cellStyle name="Normalny 13 2 2 9" xfId="2201" xr:uid="{2B1665CD-7C3F-42DC-AC96-F42E2284BFC5}"/>
    <cellStyle name="Normalny 13 2 2_CHP" xfId="1332" xr:uid="{351D7890-EAD4-490E-B058-82218FEAA524}"/>
    <cellStyle name="Normalny 13 2 3" xfId="1333" xr:uid="{7EE47CBD-09B1-4BDC-A77B-944B33C9C424}"/>
    <cellStyle name="Normalny 13 2 3 2" xfId="1334" xr:uid="{2E6B2A29-14A1-4E83-89DD-4970946CD94C}"/>
    <cellStyle name="Normalny 13 2 3 2 2" xfId="1335" xr:uid="{45742E30-EDAC-495B-BACF-647F169C6334}"/>
    <cellStyle name="Normalny 13 2 3 2 2 2" xfId="1336" xr:uid="{9ED06C5C-93A5-4B41-9378-9C8DA6C7FE7D}"/>
    <cellStyle name="Normalny 13 2 3 2 2 2 2" xfId="1337" xr:uid="{6B600665-2C0B-420E-BF6D-2AEA9BAE26B4}"/>
    <cellStyle name="Normalny 13 2 3 2 2 2 2 2" xfId="2240" xr:uid="{DEC82078-8956-4425-8DD6-9B1A1C7CB3A8}"/>
    <cellStyle name="Normalny 13 2 3 2 2 2 3" xfId="1338" xr:uid="{977A62DA-B6F4-4A37-8B94-41105BCCE143}"/>
    <cellStyle name="Normalny 13 2 3 2 2 3" xfId="1339" xr:uid="{9E11FA65-30FF-4E9A-A578-A2918F4DE8DD}"/>
    <cellStyle name="Normalny 13 2 3 2 2 3 2" xfId="2241" xr:uid="{88E352F6-4877-4435-B853-B9C4D789DEC4}"/>
    <cellStyle name="Normalny 13 2 3 2 2 4" xfId="2239" xr:uid="{6B3B4EDE-2569-4C41-99EC-237D75046CE9}"/>
    <cellStyle name="Normalny 13 2 3 2 3" xfId="1340" xr:uid="{D6038681-8268-4269-A8EB-5D08F3E2976C}"/>
    <cellStyle name="Normalny 13 2 3 2 4" xfId="1341" xr:uid="{93EAF7D0-6E1F-48D8-B718-40162F9BB9AE}"/>
    <cellStyle name="Normalny 13 2 3 2 4 2" xfId="2242" xr:uid="{9AF693E5-4A69-4570-9339-9540C459644A}"/>
    <cellStyle name="Normalny 13 2 3 2 5" xfId="2238" xr:uid="{1BAF5636-44F1-4061-A43F-18CB47544733}"/>
    <cellStyle name="Normalny 13 2 3 2_CHP" xfId="1342" xr:uid="{67B22920-3C7D-4658-8782-2D3391CDE48C}"/>
    <cellStyle name="Normalny 13 2 3 3" xfId="1343" xr:uid="{7D2C50F3-10AF-41A5-BECA-96797F17224F}"/>
    <cellStyle name="Normalny 13 2 3 3 2" xfId="1344" xr:uid="{D049CE90-9ADE-4CE7-801A-B31722A35198}"/>
    <cellStyle name="Normalny 13 2 3 3 2 2" xfId="1345" xr:uid="{A16916DE-9901-4A97-ABE2-12BC9B415233}"/>
    <cellStyle name="Normalny 13 2 3 3 2 2 2" xfId="1346" xr:uid="{F3BC88D2-5072-4C39-B96C-AE1BBD4BBDD2}"/>
    <cellStyle name="Normalny 13 2 3 3 2 2 2 2" xfId="2245" xr:uid="{8DFFBE91-E291-490E-A0C7-B11C5E850211}"/>
    <cellStyle name="Normalny 13 2 3 3 2 2 3" xfId="1347" xr:uid="{A55FC57E-4743-46AD-826C-4236CA6B3C2B}"/>
    <cellStyle name="Normalny 13 2 3 3 2 3" xfId="1348" xr:uid="{B95DD71E-CCAE-4902-84B9-4E86A93F5C74}"/>
    <cellStyle name="Normalny 13 2 3 3 2 3 2" xfId="2246" xr:uid="{72B29C04-5A68-4A3C-8006-9E5DBF361923}"/>
    <cellStyle name="Normalny 13 2 3 3 2 4" xfId="2244" xr:uid="{3DC4CDDA-464F-4CB0-A349-CA2C25F7B443}"/>
    <cellStyle name="Normalny 13 2 3 3 3" xfId="1349" xr:uid="{91480930-8E0C-405C-8A12-DE92B667467C}"/>
    <cellStyle name="Normalny 13 2 3 3 4" xfId="1350" xr:uid="{3ED87291-FCF5-4672-B1D0-748178D99447}"/>
    <cellStyle name="Normalny 13 2 3 3 4 2" xfId="2247" xr:uid="{924EDE61-CAD6-405A-A393-5085E6348A0A}"/>
    <cellStyle name="Normalny 13 2 3 3 5" xfId="2243" xr:uid="{9E5F6251-5828-4DAD-B232-4A63FD49E0A8}"/>
    <cellStyle name="Normalny 13 2 3 3_CHP" xfId="1351" xr:uid="{66439DF1-A14B-4B05-8067-1E6AC8774648}"/>
    <cellStyle name="Normalny 13 2 3 4" xfId="1352" xr:uid="{F1BC6415-68E7-4965-A70F-429BD037BFAB}"/>
    <cellStyle name="Normalny 13 2 3 4 2" xfId="1353" xr:uid="{1E7DDE5B-DB03-41BB-8298-28E553854D07}"/>
    <cellStyle name="Normalny 13 2 3 4 2 2" xfId="1354" xr:uid="{AC53BAAD-4F8B-4FC1-8DF3-A7F1F67F966A}"/>
    <cellStyle name="Normalny 13 2 3 4 2 2 2" xfId="2249" xr:uid="{B29FA891-59C2-46D6-B9DE-2D0F5DBF466C}"/>
    <cellStyle name="Normalny 13 2 3 4 2 3" xfId="1355" xr:uid="{13CCD489-4E49-44C8-A659-EA70A7EF55FC}"/>
    <cellStyle name="Normalny 13 2 3 4 3" xfId="1356" xr:uid="{12A5D232-3FB3-4331-B96E-7BCE41E9777A}"/>
    <cellStyle name="Normalny 13 2 3 4 3 2" xfId="2250" xr:uid="{7AA3BE3A-822D-470B-BE39-9F261891A517}"/>
    <cellStyle name="Normalny 13 2 3 4 4" xfId="2248" xr:uid="{BA2F784B-ADDF-436F-9EAD-CDDF79F1E5FD}"/>
    <cellStyle name="Normalny 13 2 3 5" xfId="1357" xr:uid="{1164C020-03A6-4023-8FFB-16CF7A361FDA}"/>
    <cellStyle name="Normalny 13 2 3 5 2" xfId="1358" xr:uid="{13E5AD61-B273-465F-8D60-1EE17ACB5728}"/>
    <cellStyle name="Normalny 13 2 3 5 2 2" xfId="1359" xr:uid="{2266484A-7D03-4EE7-93C4-C2B4FDE42BD9}"/>
    <cellStyle name="Normalny 13 2 3 5 2 2 2" xfId="2252" xr:uid="{FF6AA552-5CEB-44B7-8F22-0061755E1A7B}"/>
    <cellStyle name="Normalny 13 2 3 5 2 3" xfId="1360" xr:uid="{160AED03-C68F-4EF2-8B14-165796D1F608}"/>
    <cellStyle name="Normalny 13 2 3 5 3" xfId="1361" xr:uid="{93E9DD7B-3CE1-47D3-9E87-16E177DA737C}"/>
    <cellStyle name="Normalny 13 2 3 5 3 2" xfId="2253" xr:uid="{42B6700C-D6DC-4683-B259-BA3E3822C81F}"/>
    <cellStyle name="Normalny 13 2 3 5 4" xfId="2251" xr:uid="{51DD0A31-2A5B-4A64-9D63-817E02596415}"/>
    <cellStyle name="Normalny 13 2 3 6" xfId="1362" xr:uid="{BD94E5CA-7DDC-411D-8F0A-2029F4666610}"/>
    <cellStyle name="Normalny 13 2 3 7" xfId="1363" xr:uid="{9045F3E0-E84F-49F9-96F6-EBA544304DAE}"/>
    <cellStyle name="Normalny 13 2 3 7 2" xfId="2254" xr:uid="{45B9552C-9B41-407A-9ABF-E1B7F7A3B40A}"/>
    <cellStyle name="Normalny 13 2 3 8" xfId="2237" xr:uid="{8568A8F3-C8E8-4F1B-90C7-D611288E6C69}"/>
    <cellStyle name="Normalny 13 2 3_CHP" xfId="1364" xr:uid="{1B1D67DF-65EA-401C-A0FF-F6B150A0BC87}"/>
    <cellStyle name="Normalny 13 2 4" xfId="1365" xr:uid="{6AC967CF-1819-4BC5-ABFA-6EC88DDD473E}"/>
    <cellStyle name="Normalny 13 2 4 2" xfId="1366" xr:uid="{1D49C59E-E129-4186-AD5F-531ADAB89E22}"/>
    <cellStyle name="Normalny 13 2 4 2 2" xfId="1367" xr:uid="{EE32D426-6BB4-4F81-854A-C8505D24D751}"/>
    <cellStyle name="Normalny 13 2 4 2 2 2" xfId="1368" xr:uid="{76B8A7B3-3825-43CA-9BBD-F62C6571CE40}"/>
    <cellStyle name="Normalny 13 2 4 2 2 2 2" xfId="2257" xr:uid="{C6520EC8-8A32-4299-9FE1-1DF86790ABDD}"/>
    <cellStyle name="Normalny 13 2 4 2 2 3" xfId="1369" xr:uid="{1A846D5A-E6D5-44B5-AA8C-CAD942A127F5}"/>
    <cellStyle name="Normalny 13 2 4 2 3" xfId="1370" xr:uid="{73C21524-4316-41ED-A271-389C2E2D411C}"/>
    <cellStyle name="Normalny 13 2 4 2 3 2" xfId="2258" xr:uid="{0C89828E-7901-4551-A2B4-C56E00A25465}"/>
    <cellStyle name="Normalny 13 2 4 2 4" xfId="2256" xr:uid="{C0B604EC-87EE-4C33-94E1-9FCDBC454BEB}"/>
    <cellStyle name="Normalny 13 2 4 3" xfId="1371" xr:uid="{649DDABB-4F0D-48B9-9822-E5B756FD3D79}"/>
    <cellStyle name="Normalny 13 2 4 4" xfId="1372" xr:uid="{98291825-C88D-43D7-B9ED-34C4077BCB46}"/>
    <cellStyle name="Normalny 13 2 4 4 2" xfId="2259" xr:uid="{AE83BDFE-E2A4-4C22-947E-0471080E9060}"/>
    <cellStyle name="Normalny 13 2 4 5" xfId="2255" xr:uid="{084F7A6A-172D-412B-BCDF-B3D4FB1793AA}"/>
    <cellStyle name="Normalny 13 2 4_CHP" xfId="1373" xr:uid="{B16A3206-6C3D-4460-BA00-A31C8446B4E9}"/>
    <cellStyle name="Normalny 13 2 5" xfId="1374" xr:uid="{00A3B22D-CD91-4484-BA8D-25661D8234C9}"/>
    <cellStyle name="Normalny 13 2 5 2" xfId="1375" xr:uid="{549009D3-7655-4D38-B628-7F0303F37FF1}"/>
    <cellStyle name="Normalny 13 2 5 2 2" xfId="1376" xr:uid="{BFB71543-4DEC-49C6-83EC-FAB5D128358A}"/>
    <cellStyle name="Normalny 13 2 5 2 2 2" xfId="1377" xr:uid="{C0F37B09-B1C0-46AD-8EEE-75841298A83D}"/>
    <cellStyle name="Normalny 13 2 5 2 2 2 2" xfId="2262" xr:uid="{E5D90AF9-3860-4937-BE5F-B966E2273C64}"/>
    <cellStyle name="Normalny 13 2 5 2 2 3" xfId="1378" xr:uid="{956FBB36-E54F-40B8-82EE-AEC6CC2C7D98}"/>
    <cellStyle name="Normalny 13 2 5 2 3" xfId="1379" xr:uid="{332CD515-DA58-45F8-A8B0-CFD69A5EB5BE}"/>
    <cellStyle name="Normalny 13 2 5 2 3 2" xfId="2263" xr:uid="{088408D0-8234-4B8C-9328-68646DB2E4F9}"/>
    <cellStyle name="Normalny 13 2 5 2 4" xfId="2261" xr:uid="{1D69B601-9FA6-46A9-9768-FD0232E11676}"/>
    <cellStyle name="Normalny 13 2 5 3" xfId="1380" xr:uid="{0AD62AEB-E9AB-41E7-B06A-1F6DA13077C1}"/>
    <cellStyle name="Normalny 13 2 5 4" xfId="1381" xr:uid="{EF0DCA85-DC43-43B6-BEF6-8A18A247D1CD}"/>
    <cellStyle name="Normalny 13 2 5 4 2" xfId="2264" xr:uid="{E12EA2E7-A7E7-4A77-B1AC-C09057F9C1EC}"/>
    <cellStyle name="Normalny 13 2 5 5" xfId="2260" xr:uid="{9A2FB0C8-40BE-40CA-B442-057BF9B6B10B}"/>
    <cellStyle name="Normalny 13 2 5_CHP" xfId="1382" xr:uid="{1F0EE841-C5BA-4418-83B9-22F45B68DD1F}"/>
    <cellStyle name="Normalny 13 2 6" xfId="1383" xr:uid="{697809C5-9FD1-4CC3-B473-24DE6901BB2D}"/>
    <cellStyle name="Normalny 13 2 6 2" xfId="1384" xr:uid="{C8ECCA56-029D-42BE-AA8C-D3A815378A47}"/>
    <cellStyle name="Normalny 13 2 6 2 2" xfId="1385" xr:uid="{949D08E0-432B-465A-9E5F-4177B288EE91}"/>
    <cellStyle name="Normalny 13 2 6 2 2 2" xfId="2266" xr:uid="{BAAB3060-E5CB-49EC-9EB6-DD9662A6E42D}"/>
    <cellStyle name="Normalny 13 2 6 2 3" xfId="1386" xr:uid="{C657C6BE-BC7D-451C-A45B-FB8CFEA797EB}"/>
    <cellStyle name="Normalny 13 2 6 3" xfId="1387" xr:uid="{B8120C8D-56AE-47F7-88B2-687E144E5BE4}"/>
    <cellStyle name="Normalny 13 2 6 3 2" xfId="2267" xr:uid="{993BD608-923F-4F53-8F8D-D22E15CDE22A}"/>
    <cellStyle name="Normalny 13 2 6 4" xfId="2265" xr:uid="{B76375EF-36E3-4A9E-B9A5-D7B414DB8E7D}"/>
    <cellStyle name="Normalny 13 2 7" xfId="1388" xr:uid="{BF2CA1C5-25F8-4668-9326-3C81FF28EEE5}"/>
    <cellStyle name="Normalny 13 2 7 2" xfId="1389" xr:uid="{D1EB2607-603A-40B4-A346-48317F8572EC}"/>
    <cellStyle name="Normalny 13 2 7 2 2" xfId="1390" xr:uid="{03759ABB-9477-4F0B-A7D1-DA707F1844B4}"/>
    <cellStyle name="Normalny 13 2 7 2 2 2" xfId="2269" xr:uid="{8DD4ECEF-FC59-4455-9488-92AD9903B903}"/>
    <cellStyle name="Normalny 13 2 7 2 3" xfId="1391" xr:uid="{1CDF17A1-C390-46E9-93E4-E43FF1D63445}"/>
    <cellStyle name="Normalny 13 2 7 3" xfId="1392" xr:uid="{843BB878-D5AE-4706-B090-C13FDBACFC19}"/>
    <cellStyle name="Normalny 13 2 7 3 2" xfId="2270" xr:uid="{7EC5C1C8-A096-4A2F-8D10-8DA024D359AE}"/>
    <cellStyle name="Normalny 13 2 7 4" xfId="2268" xr:uid="{1DE757E2-EC7C-4C1B-B295-41691EC3C90B}"/>
    <cellStyle name="Normalny 13 2 8" xfId="1393" xr:uid="{9CC1E536-8E7D-4CE9-9E67-EB8B320EF739}"/>
    <cellStyle name="Normalny 13 2 9" xfId="1394" xr:uid="{BB619E02-A6D3-44C1-B7B1-42E47C224F6B}"/>
    <cellStyle name="Normalny 13 2 9 2" xfId="2271" xr:uid="{A3129E74-BBC9-40E0-AE05-744394F2EEDB}"/>
    <cellStyle name="Normalny 13 2_CHP" xfId="1395" xr:uid="{3FA29F1E-099A-40C0-A1A1-18E14B5C3983}"/>
    <cellStyle name="Normalny 13 20" xfId="1396" xr:uid="{B5306E9E-1E31-4AC6-9D98-CBBEA919A429}"/>
    <cellStyle name="Normalny 13 20 2" xfId="2272" xr:uid="{634EC75F-A056-4096-B3A8-05F6BEC774BD}"/>
    <cellStyle name="Normalny 13 21" xfId="1397" xr:uid="{103242E7-255D-43DD-9926-B94474A914D0}"/>
    <cellStyle name="Normalny 13 21 2" xfId="2273" xr:uid="{68F0DEAC-513E-4B87-B32D-A8208DEF6DC7}"/>
    <cellStyle name="Normalny 13 22" xfId="1398" xr:uid="{DFE4D0D5-B7CC-40D6-805D-CADA0EF07D10}"/>
    <cellStyle name="Normalny 13 22 2" xfId="2274" xr:uid="{9729DB5C-AF18-40E6-968D-3D8F0C9B086F}"/>
    <cellStyle name="Normalny 13 23" xfId="1399" xr:uid="{C85FB8A1-DAC4-40DE-BED9-47F74041DD0B}"/>
    <cellStyle name="Normalny 13 23 2" xfId="2275" xr:uid="{0F500F75-C439-49B7-A4B9-905189B51B38}"/>
    <cellStyle name="Normalny 13 24" xfId="1400" xr:uid="{111D7636-84D2-41C2-B662-F05F155B0456}"/>
    <cellStyle name="Normalny 13 24 2" xfId="2276" xr:uid="{17CD2DD0-846D-461E-ACD7-1D99D4A34838}"/>
    <cellStyle name="Normalny 13 25" xfId="1401" xr:uid="{48AC3B08-6D99-4C26-B0FC-5BD61C7FC226}"/>
    <cellStyle name="Normalny 13 25 2" xfId="2277" xr:uid="{4DEFF929-14C8-4CD8-A7EA-7C98624A8C1C}"/>
    <cellStyle name="Normalny 13 3" xfId="1402" xr:uid="{7526ADD8-A686-4087-9242-99C7DFA79F07}"/>
    <cellStyle name="Normalny 13 3 2" xfId="1403" xr:uid="{7F51EB01-DF77-4705-9D45-BCABC519518B}"/>
    <cellStyle name="Normalny 13 3 2 2" xfId="1404" xr:uid="{E2BB3629-3110-4143-B2C8-3268F1371DA9}"/>
    <cellStyle name="Normalny 13 3 2 2 2" xfId="1405" xr:uid="{3070C5F6-5403-4073-8FDA-9800DCA1B1E6}"/>
    <cellStyle name="Normalny 13 3 2 2 2 2" xfId="1406" xr:uid="{F86F27F8-8DD2-435D-B18C-55EB9210F7D4}"/>
    <cellStyle name="Normalny 13 3 2 2 2 3" xfId="1407" xr:uid="{802FD8DB-0010-498F-8607-98815D60A804}"/>
    <cellStyle name="Normalny 13 3 2 2 3" xfId="1408" xr:uid="{EC73ED7D-8AA7-4602-B819-E105943812A0}"/>
    <cellStyle name="Normalny 13 3 2 2 4" xfId="1409" xr:uid="{6EF557E2-2378-4CF2-A20A-B79123F57042}"/>
    <cellStyle name="Normalny 13 3 2 2 4 2" xfId="1410" xr:uid="{67CFB515-5CFC-4211-89AB-243CDB52BB9A}"/>
    <cellStyle name="Normalny 13 3 2 2_CHP" xfId="1411" xr:uid="{66D5E135-F112-4063-A414-C72EA2ABA688}"/>
    <cellStyle name="Normalny 13 3 2 3" xfId="1412" xr:uid="{2D91BAD6-9953-471D-A64D-12908C65DCAF}"/>
    <cellStyle name="Normalny 13 3 2 3 2" xfId="1413" xr:uid="{5D904937-8468-48A0-8203-840E7AF85B1B}"/>
    <cellStyle name="Normalny 13 3 2 3 3" xfId="1414" xr:uid="{4AF7CD3C-0BAA-439A-8FD6-9CBA1CB4A9EE}"/>
    <cellStyle name="Normalny 13 3 2 4" xfId="1415" xr:uid="{7076284F-F04C-48EC-88B0-40C50CA39460}"/>
    <cellStyle name="Normalny 13 3 2 4 2" xfId="1416" xr:uid="{E57509B3-0DEE-4DBA-94A8-9DB2BF085E03}"/>
    <cellStyle name="Normalny 13 3 2 4 3" xfId="1417" xr:uid="{C78230D7-87E5-4B13-8FC5-15637893E8DE}"/>
    <cellStyle name="Normalny 13 3 3" xfId="1418" xr:uid="{C19D523D-12C9-44F8-AE52-37027B70BC68}"/>
    <cellStyle name="Normalny 13 3 3 2" xfId="1419" xr:uid="{6921C6E6-40FB-4F06-B207-4AD02C49D47F}"/>
    <cellStyle name="Normalny 13 3 3 3" xfId="1420" xr:uid="{CED2E536-638E-445A-B8C7-A8145CF7E3BE}"/>
    <cellStyle name="Normalny 13 3 4" xfId="1421" xr:uid="{6DBD3D6F-B915-4911-8D5F-0F338B77E863}"/>
    <cellStyle name="Normalny 13 3 4 2" xfId="1422" xr:uid="{96FAF6D6-666D-4504-924F-D50258E99E02}"/>
    <cellStyle name="Normalny 13 3 4 3" xfId="1423" xr:uid="{99762551-5690-45DB-AA29-280E566FBA9C}"/>
    <cellStyle name="Normalny 13 3 5" xfId="1424" xr:uid="{7DE977CF-9288-4038-B08B-578FD60EACC8}"/>
    <cellStyle name="Normalny 13 3 5 2" xfId="1425" xr:uid="{034580B6-B2E1-4311-AEA0-061DB2EECFE6}"/>
    <cellStyle name="Normalny 13 3 5 3" xfId="1426" xr:uid="{74213C27-24AD-4FDD-89AF-EC74B18978BE}"/>
    <cellStyle name="Normalny 13 3 5 3 2" xfId="1427" xr:uid="{520411C0-082C-444A-8FD4-2C1500B2D45C}"/>
    <cellStyle name="Normalny 13 3 5 4" xfId="1428" xr:uid="{16ACEA45-EAEC-4D39-8EA8-53A14FFDD828}"/>
    <cellStyle name="Normalny 13 3 5_CHP" xfId="1429" xr:uid="{8F3A4F0D-13D5-4AAD-9D0F-C7F14F5B09E1}"/>
    <cellStyle name="Normalny 13 3 6" xfId="1430" xr:uid="{401F7F18-3B0A-4E75-919C-DCB52F574639}"/>
    <cellStyle name="Normalny 13 3 6 2" xfId="1431" xr:uid="{F71A9A42-67FA-416E-AABC-E81ADBF814C8}"/>
    <cellStyle name="Normalny 13 3 7" xfId="1432" xr:uid="{66681D54-D335-4DC6-BF99-775278F868FA}"/>
    <cellStyle name="Normalny 13 3 7 2" xfId="1433" xr:uid="{B5BADC31-B548-4B07-BB3C-E5863AC8287A}"/>
    <cellStyle name="Normalny 13 3_CHP" xfId="1434" xr:uid="{94AABA28-180D-45C1-AA65-5C7223483E78}"/>
    <cellStyle name="Normalny 13 4" xfId="1435" xr:uid="{A831F1B8-EFCC-4FAC-812F-DBD438AB652F}"/>
    <cellStyle name="Normalny 13 4 2" xfId="1436" xr:uid="{77CC525F-8885-48B0-9EAB-091BFF108A5F}"/>
    <cellStyle name="Normalny 13 4 2 2" xfId="1437" xr:uid="{F48F7844-0637-4E97-A931-51F19BA4CD6F}"/>
    <cellStyle name="Normalny 13 4 2 3" xfId="1438" xr:uid="{40735B0D-59A5-4AE1-92EB-78B29308891A}"/>
    <cellStyle name="Normalny 13 4 3" xfId="1439" xr:uid="{9162BBAC-072E-4C18-BB43-A1410971872C}"/>
    <cellStyle name="Normalny 13 4 4" xfId="1440" xr:uid="{F42FC036-7267-4E37-8AA8-A6ADB99CC3FE}"/>
    <cellStyle name="Normalny 13 4 4 2" xfId="1441" xr:uid="{C23FD23B-D7C5-4D72-932F-76EE77886FC8}"/>
    <cellStyle name="Normalny 13 4_CHP" xfId="1442" xr:uid="{CA623C9A-205C-4D1C-B174-DD2A7A96F402}"/>
    <cellStyle name="Normalny 13 5" xfId="1443" xr:uid="{8AF46D1E-0F96-4918-88B0-38743F116B80}"/>
    <cellStyle name="Normalny 13 5 2" xfId="1444" xr:uid="{6DA6A25E-8E4A-47CD-8781-2D15A8D408F3}"/>
    <cellStyle name="Normalny 13 5 2 2" xfId="1445" xr:uid="{7DAB6115-2F69-4AD0-90B8-9C5347E05CEC}"/>
    <cellStyle name="Normalny 13 5 2 3" xfId="1446" xr:uid="{FADE6FDD-12D9-4E7D-A05F-0B3FB69AB493}"/>
    <cellStyle name="Normalny 13 5 3" xfId="1447" xr:uid="{EF581F87-E022-45FC-AAB7-4549D94EEE53}"/>
    <cellStyle name="Normalny 13 5 4" xfId="1448" xr:uid="{BFE65573-85C7-4FBC-933C-30BE406D5238}"/>
    <cellStyle name="Normalny 13 5 4 2" xfId="1449" xr:uid="{49A6F992-6AF6-4A22-B168-781508D552BC}"/>
    <cellStyle name="Normalny 13 5_CHP" xfId="1450" xr:uid="{B6A257C3-0366-4103-8533-B2057336BDCB}"/>
    <cellStyle name="Normalny 13 6" xfId="1451" xr:uid="{078C2FC7-C3AA-484F-BAEF-0D6EA1118A6B}"/>
    <cellStyle name="Normalny 13 6 2" xfId="1452" xr:uid="{357014E0-9308-410D-B8B8-2AB7AE3898E6}"/>
    <cellStyle name="Normalny 13 6 2 2" xfId="1453" xr:uid="{D1D87E3E-4289-4F92-B4D5-4E264EF9B785}"/>
    <cellStyle name="Normalny 13 6 2 2 2" xfId="1454" xr:uid="{90D4B13A-7E96-480B-AF67-80E57C83DB27}"/>
    <cellStyle name="Normalny 13 6 2 2 2 2" xfId="1455" xr:uid="{6DF121F0-7929-4F04-A800-1AC2A25428FE}"/>
    <cellStyle name="Normalny 13 6 2 2 2 2 2" xfId="2281" xr:uid="{26CFD0EE-0CAF-46D0-800F-3000889E77DD}"/>
    <cellStyle name="Normalny 13 6 2 2 2 3" xfId="1456" xr:uid="{3D4EAB73-527D-46CA-98D4-4A6EFE5F69E9}"/>
    <cellStyle name="Normalny 13 6 2 2 3" xfId="1457" xr:uid="{B478386A-02B8-40B3-9C23-B95072E9B64E}"/>
    <cellStyle name="Normalny 13 6 2 2 3 2" xfId="2282" xr:uid="{BF9C15B6-3654-4123-963C-02FC8D65E0F5}"/>
    <cellStyle name="Normalny 13 6 2 2 4" xfId="2280" xr:uid="{02FEE6DB-0B28-4301-96C6-6ABADF9DDF86}"/>
    <cellStyle name="Normalny 13 6 2 3" xfId="1458" xr:uid="{646DB79C-E6B6-4543-A9D4-805E4B23CF12}"/>
    <cellStyle name="Normalny 13 6 2 4" xfId="1459" xr:uid="{BEDF744D-71D3-484D-B6FC-0D51A7313925}"/>
    <cellStyle name="Normalny 13 6 2 4 2" xfId="2283" xr:uid="{88B6168C-1A70-4C81-AC94-AD7E58085E9D}"/>
    <cellStyle name="Normalny 13 6 2 5" xfId="2279" xr:uid="{F578AD08-3B96-4F86-B5F9-8797013721A6}"/>
    <cellStyle name="Normalny 13 6 2_CHP" xfId="1460" xr:uid="{1D4A9AC7-ABE7-4F32-AEF3-F7DBC61F5D8D}"/>
    <cellStyle name="Normalny 13 6 3" xfId="1461" xr:uid="{6C2D8ABD-8B50-4139-9561-84F3F2725C51}"/>
    <cellStyle name="Normalny 13 6 3 2" xfId="1462" xr:uid="{DF4F555B-D138-4908-8BCE-93E029FD93E7}"/>
    <cellStyle name="Normalny 13 6 3 2 2" xfId="1463" xr:uid="{56A5931C-E590-468E-8716-FD0290F3D8E9}"/>
    <cellStyle name="Normalny 13 6 3 2 2 2" xfId="1464" xr:uid="{1FA01AD9-ED49-4739-979C-96F463258250}"/>
    <cellStyle name="Normalny 13 6 3 2 2 2 2" xfId="2286" xr:uid="{C1BDD801-48CB-404C-AF6F-4AA360033C84}"/>
    <cellStyle name="Normalny 13 6 3 2 2 3" xfId="1465" xr:uid="{E30FC945-9666-41D3-BB69-2578CB47491E}"/>
    <cellStyle name="Normalny 13 6 3 2 3" xfId="1466" xr:uid="{D0F509E0-F79A-4294-B39E-D748D5AD267A}"/>
    <cellStyle name="Normalny 13 6 3 2 3 2" xfId="2287" xr:uid="{F51C97DC-1F8A-40E6-AB95-DFA37709D58E}"/>
    <cellStyle name="Normalny 13 6 3 2 4" xfId="2285" xr:uid="{6C2124EF-07A2-492C-89A7-42B003C4005C}"/>
    <cellStyle name="Normalny 13 6 3 3" xfId="1467" xr:uid="{631E4114-8191-4ED2-986D-FB904CE5C26E}"/>
    <cellStyle name="Normalny 13 6 3 4" xfId="1468" xr:uid="{165F114C-0C6D-4133-B302-02FC5B6326BF}"/>
    <cellStyle name="Normalny 13 6 3 4 2" xfId="2288" xr:uid="{A2BCAC4E-6068-4F02-A61E-155235BDD599}"/>
    <cellStyle name="Normalny 13 6 3 5" xfId="2284" xr:uid="{FF78C585-2576-4D63-B508-C59924C7162E}"/>
    <cellStyle name="Normalny 13 6 3_CHP" xfId="1469" xr:uid="{F0E4586C-D8CD-474E-A58A-364F31FB5DD0}"/>
    <cellStyle name="Normalny 13 6 4" xfId="1470" xr:uid="{7CB295CF-3F56-4D4B-9197-F935944F91D7}"/>
    <cellStyle name="Normalny 13 6 4 2" xfId="1471" xr:uid="{B4E26D9C-BDC9-4688-9B06-4AE5DC2B2D23}"/>
    <cellStyle name="Normalny 13 6 4 2 2" xfId="1472" xr:uid="{166BE76B-1402-40A3-8513-90F2AA96C9CF}"/>
    <cellStyle name="Normalny 13 6 4 2 2 2" xfId="2290" xr:uid="{6BE69704-4D9F-400D-AC94-82101EA325D7}"/>
    <cellStyle name="Normalny 13 6 4 2 3" xfId="1473" xr:uid="{8F65EF64-90B1-484C-BB1E-E7A7F093EFCA}"/>
    <cellStyle name="Normalny 13 6 4 3" xfId="1474" xr:uid="{40831B49-AA33-4A6D-B4F4-98BCEDC0D294}"/>
    <cellStyle name="Normalny 13 6 4 3 2" xfId="2291" xr:uid="{A72CA67D-F056-46A0-B892-A23509EF27D2}"/>
    <cellStyle name="Normalny 13 6 4 4" xfId="2289" xr:uid="{749ACC20-1F5C-44BC-A17D-7F6FBAED0EBD}"/>
    <cellStyle name="Normalny 13 6 5" xfId="1475" xr:uid="{7F6FD272-62AD-474C-9093-861AB2141E29}"/>
    <cellStyle name="Normalny 13 6 5 2" xfId="1476" xr:uid="{EBACE8FD-AF32-4A46-AEFE-5C3AFAAE27D6}"/>
    <cellStyle name="Normalny 13 6 5 2 2" xfId="1477" xr:uid="{0B989A4C-1F78-48C3-B891-517D1854B1E8}"/>
    <cellStyle name="Normalny 13 6 5 2 2 2" xfId="2293" xr:uid="{03695C79-BAC3-47EF-AB0D-060920FAF54B}"/>
    <cellStyle name="Normalny 13 6 5 2 3" xfId="1478" xr:uid="{BF1AC723-C89E-40F3-AF4F-584FBEB5C053}"/>
    <cellStyle name="Normalny 13 6 5 3" xfId="1479" xr:uid="{FE32D77A-9B19-445F-9952-AB8BD3D05781}"/>
    <cellStyle name="Normalny 13 6 5 3 2" xfId="2294" xr:uid="{CBDEE561-E677-49FF-B4D6-4168AC6B35BD}"/>
    <cellStyle name="Normalny 13 6 5 4" xfId="2292" xr:uid="{7B02FE24-037C-4851-A144-B3826E33D44D}"/>
    <cellStyle name="Normalny 13 6 6" xfId="1480" xr:uid="{7D104977-7543-4F42-AA28-3F96A5D773D3}"/>
    <cellStyle name="Normalny 13 6 7" xfId="1481" xr:uid="{28CE09E1-A0DD-4492-8BC7-F0AA9FEB2761}"/>
    <cellStyle name="Normalny 13 6 7 2" xfId="2295" xr:uid="{ECA74110-51EB-4D27-B7E6-686214E7CEA6}"/>
    <cellStyle name="Normalny 13 6 8" xfId="2278" xr:uid="{BFA9C4D2-DA7A-47D8-9084-D4C9D745717D}"/>
    <cellStyle name="Normalny 13 6_CHP" xfId="1482" xr:uid="{83CD05A2-722E-49C1-AC2A-525DFE4CA4A2}"/>
    <cellStyle name="Normalny 13 7" xfId="1483" xr:uid="{B432CD92-6C5B-4C2B-904B-D59A2DD8C3A8}"/>
    <cellStyle name="Normalny 13 7 2" xfId="1484" xr:uid="{0A0CC910-207A-457B-84A3-BB48E06D8A05}"/>
    <cellStyle name="Normalny 13 7 2 2" xfId="1485" xr:uid="{72635221-6D54-4E18-8D7E-F129B9E77C00}"/>
    <cellStyle name="Normalny 13 7 2 2 2" xfId="1486" xr:uid="{A100E09A-8F9D-41C1-B436-680D9AA56190}"/>
    <cellStyle name="Normalny 13 7 2 2 2 2" xfId="2298" xr:uid="{AD316468-516C-4F4A-B93B-24D1E5394DA3}"/>
    <cellStyle name="Normalny 13 7 2 2 3" xfId="1487" xr:uid="{E0F12042-5CBA-43D1-9770-38F8F8D7E46A}"/>
    <cellStyle name="Normalny 13 7 2 3" xfId="1488" xr:uid="{97F0C897-592E-4980-A20C-AD8C3328F925}"/>
    <cellStyle name="Normalny 13 7 2 3 2" xfId="2299" xr:uid="{0A0B5331-7EB1-463D-9891-BB8056A00715}"/>
    <cellStyle name="Normalny 13 7 2 4" xfId="2297" xr:uid="{DD763E49-6DC4-4E64-918F-64AB0CD3E9CB}"/>
    <cellStyle name="Normalny 13 7 3" xfId="1489" xr:uid="{5FB83AAC-DC35-4CC4-A3D7-10F3858F9B00}"/>
    <cellStyle name="Normalny 13 7 4" xfId="1490" xr:uid="{213515A7-FAB7-477B-B59F-AE0036CBC189}"/>
    <cellStyle name="Normalny 13 7 4 2" xfId="2300" xr:uid="{C0FC00FA-93ED-4A64-9924-E050FB0DCC56}"/>
    <cellStyle name="Normalny 13 7 5" xfId="2296" xr:uid="{82E0CD1B-9B90-4084-9848-8550F9C30D4B}"/>
    <cellStyle name="Normalny 13 7_CHP" xfId="1491" xr:uid="{B5F1E320-A9A1-4445-AE24-E98B84068A50}"/>
    <cellStyle name="Normalny 13 8" xfId="1492" xr:uid="{BB8C5C05-987C-4640-B679-7AC0E9F7FACD}"/>
    <cellStyle name="Normalny 13 8 2" xfId="1493" xr:uid="{E2888D10-7AFA-401E-910C-B5CB3DF8C33C}"/>
    <cellStyle name="Normalny 13 8 2 2" xfId="1494" xr:uid="{0BD95F50-4B14-4B02-A72C-AD6EC7A823C6}"/>
    <cellStyle name="Normalny 13 8 2 2 2" xfId="1495" xr:uid="{84D9F9DC-DA3A-4A1A-83B9-39FEE5362664}"/>
    <cellStyle name="Normalny 13 8 2 2 2 2" xfId="2303" xr:uid="{B929A82F-991D-4D5C-B099-F6F58590A2DC}"/>
    <cellStyle name="Normalny 13 8 2 2 3" xfId="1496" xr:uid="{FA1ACDC5-0E21-4120-AD2A-1BABF2AE0DC9}"/>
    <cellStyle name="Normalny 13 8 2 3" xfId="1497" xr:uid="{7BE7B72D-6203-47A6-B869-A7D911864F64}"/>
    <cellStyle name="Normalny 13 8 2 3 2" xfId="2304" xr:uid="{5FCBF3B9-BD4B-4C06-A4D5-C19D975A51BC}"/>
    <cellStyle name="Normalny 13 8 2 4" xfId="2302" xr:uid="{ACA8F95E-8635-4E62-B507-98A8BA9E824B}"/>
    <cellStyle name="Normalny 13 8 3" xfId="1498" xr:uid="{376FE409-CEB2-4C48-8DB2-026EDF176C1F}"/>
    <cellStyle name="Normalny 13 8 4" xfId="1499" xr:uid="{2D1BE1A7-D265-4F4E-884A-F1ACB1D3954A}"/>
    <cellStyle name="Normalny 13 8 4 2" xfId="2305" xr:uid="{11676F4F-29EB-4D06-B20C-6E06C252B7E0}"/>
    <cellStyle name="Normalny 13 8 5" xfId="2301" xr:uid="{B765D8E2-0FC9-4A8B-8B93-6DC8D747CC78}"/>
    <cellStyle name="Normalny 13 8_CHP" xfId="1500" xr:uid="{E404068F-CAF0-4BC1-A285-546351DA5E08}"/>
    <cellStyle name="Normalny 13 9" xfId="1501" xr:uid="{79B1D2F1-5E00-4A66-93D8-33797DFE23FE}"/>
    <cellStyle name="Normalny 13 9 2" xfId="1502" xr:uid="{A90D773B-79BC-432B-81F0-259F2F3DF468}"/>
    <cellStyle name="Normalny 13 9 2 2" xfId="1503" xr:uid="{2BCF6DB4-E27C-4C4D-9048-35F849183156}"/>
    <cellStyle name="Normalny 13 9 2 2 2" xfId="2307" xr:uid="{F8F0423A-6EAC-46B6-B712-EE409D387F26}"/>
    <cellStyle name="Normalny 13 9 2 3" xfId="1504" xr:uid="{580433A2-0090-4DEE-AD0F-B87BE7CD8110}"/>
    <cellStyle name="Normalny 13 9 3" xfId="1505" xr:uid="{3C3E4897-6702-4698-B61A-42EE65BC2263}"/>
    <cellStyle name="Normalny 13 9 3 2" xfId="2308" xr:uid="{AE6E8687-24C8-4271-BD24-C83ED45E4E42}"/>
    <cellStyle name="Normalny 13 9 4" xfId="2306" xr:uid="{286AE614-E588-4BB5-9EA2-1B9C10F98709}"/>
    <cellStyle name="Normalny 13_CHP" xfId="1506" xr:uid="{0F8F98BC-1E1D-4C82-80B6-4593B3552977}"/>
    <cellStyle name="Normalny 14" xfId="1507" xr:uid="{EF543D71-781F-4F34-B45E-620CA6EEE3B1}"/>
    <cellStyle name="Normalny 14 2" xfId="1508" xr:uid="{4AA743AC-F66B-49C4-B33C-1BB0A0FB6220}"/>
    <cellStyle name="Normalny 14 2 2" xfId="1509" xr:uid="{355561DC-F7A9-48FC-8202-06C2FBFAE0F6}"/>
    <cellStyle name="Normalny 14 2 2 2" xfId="1510" xr:uid="{4240652C-596A-49AA-AD9D-5FED8BDC2398}"/>
    <cellStyle name="Normalny 14 2 2 2 2" xfId="1511" xr:uid="{8D5EC41E-67AE-46E7-96E5-68625BC93A49}"/>
    <cellStyle name="Normalny 14 2 2 2 3" xfId="1512" xr:uid="{6787BD7F-861E-4544-AE1F-62F8C18C6E54}"/>
    <cellStyle name="Normalny 14 2 2 3" xfId="1513" xr:uid="{D0D32192-1D5F-42FC-8C5A-45C91F3B2074}"/>
    <cellStyle name="Normalny 14 2 2 3 2" xfId="1514" xr:uid="{BF292988-A6E8-4E8E-8B03-CC39A5F48401}"/>
    <cellStyle name="Normalny 14 2 2 4" xfId="1515" xr:uid="{F662EEDF-F710-48C5-832F-F00003A74735}"/>
    <cellStyle name="Normalny 14 2 2 4 2" xfId="1516" xr:uid="{0B568F1A-F6FC-4C8D-AFC8-70CA18E6B22E}"/>
    <cellStyle name="Normalny 14 2 2 5" xfId="1517" xr:uid="{3FFED694-8C43-4D3A-B8E4-0FCC3A802B60}"/>
    <cellStyle name="Normalny 14 2 2_CHP" xfId="1518" xr:uid="{C2073513-E97B-4551-8595-010D2144CB45}"/>
    <cellStyle name="Normalny 14 2 3" xfId="1519" xr:uid="{EB4A7550-F315-4747-8E61-BC11F440D9B0}"/>
    <cellStyle name="Normalny 14 2 3 2" xfId="1520" xr:uid="{ECB2C6BE-4361-4466-8DF6-A5BA2DE02E9B}"/>
    <cellStyle name="Normalny 14 2 3 3" xfId="1521" xr:uid="{F185CFB2-5CA7-41AD-AD10-12E37B67FA7D}"/>
    <cellStyle name="Normalny 14 2 4" xfId="1522" xr:uid="{B8F41FBA-C8F4-4787-9C24-16DF38827BDB}"/>
    <cellStyle name="Normalny 14 2 4 2" xfId="1523" xr:uid="{FF4EDF63-1E11-4F42-AB62-B986DB7B2AED}"/>
    <cellStyle name="Normalny 14 2 4 3" xfId="1524" xr:uid="{857835F9-187C-4989-A872-96C43B9F820F}"/>
    <cellStyle name="Normalny 14 2 5" xfId="1525" xr:uid="{1382472E-B944-43C3-A5A2-37592E50EB7F}"/>
    <cellStyle name="Normalny 14 2_MocNettoER" xfId="1526" xr:uid="{4FAB428E-1F32-4AB4-9DC6-D90763032533}"/>
    <cellStyle name="Normalny 14 3" xfId="1527" xr:uid="{C7CEC982-FE93-4DE4-9EFA-DB019D6CCB0F}"/>
    <cellStyle name="Normalny 14 3 2" xfId="1528" xr:uid="{763DC6DF-33E0-4D56-8F59-DD49B2D36E0A}"/>
    <cellStyle name="Normalny 14 3 3" xfId="1529" xr:uid="{917A37A0-3608-4EE1-AD14-933C0D4ABC44}"/>
    <cellStyle name="Normalny 14 4" xfId="1530" xr:uid="{A8A62658-A38F-4E79-878E-F63445C483A9}"/>
    <cellStyle name="Normalny 14 4 2" xfId="1531" xr:uid="{81AF821B-5C89-4265-B5B0-FAB50877C747}"/>
    <cellStyle name="Normalny 14 4 3" xfId="1532" xr:uid="{BB0DCDE9-AF0C-4F51-B4C1-3753DBD9007A}"/>
    <cellStyle name="Normalny 14 5" xfId="1533" xr:uid="{FC99F564-6E93-4649-B93C-B93D18832B1F}"/>
    <cellStyle name="Normalny 14 5 2" xfId="1534" xr:uid="{574C1423-2FF7-439F-8523-D59AE605092B}"/>
    <cellStyle name="Normalny 14 6" xfId="1535" xr:uid="{0D787A54-1CB2-4CDC-AB99-A97F220B7E41}"/>
    <cellStyle name="Normalny 14 6 2" xfId="1536" xr:uid="{29529E76-ADF4-4B08-ABAF-85127EC2CB25}"/>
    <cellStyle name="Normalny 14 7" xfId="1537" xr:uid="{2DF28C03-52AA-4E11-983D-9DB882E9B6B9}"/>
    <cellStyle name="Normalny 14_CHP" xfId="1538" xr:uid="{8DF62E1B-526A-44DC-B6C4-B4C3E9BC494F}"/>
    <cellStyle name="Normalny 15" xfId="1539" xr:uid="{0EAB72EB-5D1F-44EE-8DCB-98F3AE06CEBB}"/>
    <cellStyle name="Normalny 15 2" xfId="1540" xr:uid="{AE5D6E96-1834-4664-8EA1-452EF3615DD8}"/>
    <cellStyle name="Normalny 15 2 2" xfId="1541" xr:uid="{57C6B8EB-AD17-4A2C-9887-1F2CDF369A08}"/>
    <cellStyle name="Normalny 15 2 3" xfId="1542" xr:uid="{5FA4EB79-8966-4262-A2AD-A18AB1CEF5D1}"/>
    <cellStyle name="Normalny 15 3" xfId="1543" xr:uid="{0B321176-D6A4-40D7-8C78-E6AE37AF0C47}"/>
    <cellStyle name="Normalny 15 4" xfId="1544" xr:uid="{BCBF8097-1E5A-44F3-B264-95028B92028D}"/>
    <cellStyle name="Normalny 15_COM_BND" xfId="1545" xr:uid="{E0C5DE33-68E8-4A9F-9006-011095465A99}"/>
    <cellStyle name="Normalny 16" xfId="1546" xr:uid="{8E5B0CA6-0CBF-4DB9-872E-BC13A40043F3}"/>
    <cellStyle name="Normalny 16 2" xfId="1547" xr:uid="{20D10C5C-20DC-43D8-9016-DA08C4994170}"/>
    <cellStyle name="Normalny 16 2 2" xfId="1548" xr:uid="{F706B68C-E4B1-4490-89C4-FC0B0FBFED2C}"/>
    <cellStyle name="Normalny 16 2 3" xfId="1549" xr:uid="{16D93212-99AC-4B0B-8BBA-3D696899F187}"/>
    <cellStyle name="Normalny 16 3" xfId="1550" xr:uid="{251E005D-7775-4720-99C0-93B916290E03}"/>
    <cellStyle name="Normalny 16 3 2" xfId="1551" xr:uid="{CA28CFF9-305A-469B-AE4A-5B225625DE02}"/>
    <cellStyle name="Normalny 16 4" xfId="1552" xr:uid="{4DB3BF28-D7AC-470F-AA9D-D26C41CC8A38}"/>
    <cellStyle name="Normalny 16 4 2" xfId="1553" xr:uid="{A3DE3B4A-CA11-4AEC-85F1-3B3CE8D0AFE1}"/>
    <cellStyle name="Normalny 16 5" xfId="1554" xr:uid="{2664DD8C-F4D6-42FB-9EED-793FA4C88F60}"/>
    <cellStyle name="Normalny 16_CHP" xfId="1555" xr:uid="{50F797CD-60CA-4D33-BA48-2AC26BD84039}"/>
    <cellStyle name="Normalny 17" xfId="1556" xr:uid="{0675F1E5-DD1C-4BDB-85FE-7B02D5BB7D7D}"/>
    <cellStyle name="Normalny 17 2" xfId="1557" xr:uid="{ABB1611C-E31B-45C8-BC1D-524AFF9088EC}"/>
    <cellStyle name="Normalny 18" xfId="1558" xr:uid="{F6AB6882-9BB0-40D2-96B2-75F3C4D5D2F3}"/>
    <cellStyle name="Normalny 18 2" xfId="1559" xr:uid="{CCCA88E1-B8D1-4BFA-8842-23334445D91D}"/>
    <cellStyle name="Normalny 18 2 2" xfId="1560" xr:uid="{69AA0C1A-596D-4B06-BBC9-08A50E01B821}"/>
    <cellStyle name="Normalny 18 3" xfId="1561" xr:uid="{CBC594BE-E212-4159-AA39-B84877811BF4}"/>
    <cellStyle name="Normalny 18 3 2" xfId="1562" xr:uid="{C8B4F50D-6C94-4E5D-AF38-A46863347960}"/>
    <cellStyle name="Normalny 18 4" xfId="1563" xr:uid="{98364555-C9DC-4A67-84C1-D91842C712E1}"/>
    <cellStyle name="Normalny 18_CHP" xfId="1564" xr:uid="{09124194-E5BB-447E-9E87-E156B470F891}"/>
    <cellStyle name="Normalny 19" xfId="1565" xr:uid="{1AEE9DF6-2505-4E65-BF1D-BC3CB65AECF3}"/>
    <cellStyle name="Normalny 2" xfId="29" xr:uid="{3E474BBD-8995-46FE-96F8-3CA7FA1FF306}"/>
    <cellStyle name="Normalny 2 10" xfId="52" xr:uid="{C7B70577-D8ED-4E7E-A88F-3A0184512F28}"/>
    <cellStyle name="Normalny 2 11" xfId="35" xr:uid="{232EF561-3F59-4DB8-8381-5D527674006B}"/>
    <cellStyle name="Normalny 2 2" xfId="1567" xr:uid="{06E7A02E-FD58-4953-B5B2-4978FD8EBAD8}"/>
    <cellStyle name="Normalny 2 2 2" xfId="1568" xr:uid="{338B0AFF-59D3-422D-A79C-058A3032563C}"/>
    <cellStyle name="Normalny 2 2 3" xfId="1569" xr:uid="{7217D9AE-E424-4BD0-982F-7E40EE051F55}"/>
    <cellStyle name="Normalny 2 3" xfId="1570" xr:uid="{47A2CF1E-99BF-4562-A03D-BC2A7F4FD007}"/>
    <cellStyle name="Normalny 2 3 2" xfId="1571" xr:uid="{F847A149-225B-40EC-B4E0-DD6016051B92}"/>
    <cellStyle name="Normalny 2 3 3" xfId="1572" xr:uid="{BDB33734-5FA1-4D75-9DBA-127466DC8F51}"/>
    <cellStyle name="Normalny 2 4" xfId="1573" xr:uid="{5E7CA40F-ED16-4C93-9BEE-31A47F0EAEE3}"/>
    <cellStyle name="Normalny 2 5" xfId="1574" xr:uid="{D1753D22-C512-43C8-AD18-89EEA5374BB1}"/>
    <cellStyle name="Normalny 2 6" xfId="1566" xr:uid="{EAE51067-8328-42D9-9B14-D895990E11C0}"/>
    <cellStyle name="Normalny 2_COM_BND" xfId="1575" xr:uid="{8CE79E66-15C5-4BE5-B6FC-CB83C9B6C48C}"/>
    <cellStyle name="Normalny 20" xfId="1576" xr:uid="{7FEAF6EB-EC5A-443A-B8C1-93E132EC5AFB}"/>
    <cellStyle name="Normalny 20 2" xfId="1577" xr:uid="{D7BE79EC-272B-43C6-9B28-1E01F74B5144}"/>
    <cellStyle name="Normalny 20 3" xfId="1578" xr:uid="{F0EDE007-22AC-4D81-9C23-2D5D01FD7864}"/>
    <cellStyle name="Normalny 20 4" xfId="1579" xr:uid="{372E4256-B699-4554-BE03-9A42D9648197}"/>
    <cellStyle name="Normalny 20_CHP" xfId="1580" xr:uid="{396796D5-0E16-4337-AC66-B4621AB3F01A}"/>
    <cellStyle name="Normalny 21" xfId="1581" xr:uid="{0E4AE35C-246A-4C13-9135-72BF2B643B45}"/>
    <cellStyle name="Normalny 21 2" xfId="1582" xr:uid="{37564A9F-7814-4781-B752-B5456B1E9AFE}"/>
    <cellStyle name="Normalny 21 3" xfId="1583" xr:uid="{87897E1A-84AF-4847-8A81-7CA67D88CB0A}"/>
    <cellStyle name="Normalny 21 3 2" xfId="2310" xr:uid="{7A69F88B-9519-476B-A4C7-EEB0EEDA0539}"/>
    <cellStyle name="Normalny 21 4" xfId="2309" xr:uid="{CB7FE54C-A027-4043-AE3C-EAFD9AAA89D6}"/>
    <cellStyle name="Normalny 22" xfId="1584" xr:uid="{06474E18-05D6-47C1-8E93-C4B99414D7B7}"/>
    <cellStyle name="Normalny 23" xfId="1585" xr:uid="{D6009289-45F4-4A66-B367-6ACAC963CC87}"/>
    <cellStyle name="Normalny 24" xfId="1586" xr:uid="{C36AA4F3-7044-416E-A400-5E0701471C3C}"/>
    <cellStyle name="Normalny 24 2" xfId="1587" xr:uid="{63C2E3D0-6336-4CE4-8811-2654FE17E564}"/>
    <cellStyle name="Normalny 25" xfId="1588" xr:uid="{AC52CD78-CE08-4AA7-8B2D-7A70D3F2E66E}"/>
    <cellStyle name="Normalny 26" xfId="1589" xr:uid="{1A7AF66C-174D-4C12-BF0C-86D910C7907A}"/>
    <cellStyle name="Normalny 26 2" xfId="1590" xr:uid="{0A8E417D-00DC-40ED-8F24-DD7797107F35}"/>
    <cellStyle name="Normalny 26 2 2" xfId="2312" xr:uid="{AE9336D9-758A-4A60-9721-1BC8692EA67E}"/>
    <cellStyle name="Normalny 26 3" xfId="1591" xr:uid="{3FB37514-1684-45B8-9C94-23D2930AF04E}"/>
    <cellStyle name="Normalny 26 4" xfId="2311" xr:uid="{43A24F8E-361E-4649-8A70-17C54F9A0E55}"/>
    <cellStyle name="Normalny 27" xfId="1592" xr:uid="{50F10AE6-4401-4D1D-BB03-79ADC31D99D7}"/>
    <cellStyle name="Normalny 27 2" xfId="2313" xr:uid="{86A62287-C7F3-442B-A7B6-35E2730AAC1F}"/>
    <cellStyle name="Normalny 28" xfId="1593" xr:uid="{873508C2-A7E6-4D26-8613-1C4ED393F0CE}"/>
    <cellStyle name="Normalny 29" xfId="1594" xr:uid="{E6FED595-C623-408C-A0E3-23868DFF0FC5}"/>
    <cellStyle name="Normalny 29 2" xfId="2314" xr:uid="{5A8BDAAA-0D42-4255-84C4-659A9A917E6B}"/>
    <cellStyle name="Normalny 3" xfId="53" xr:uid="{909A4ED3-A835-4317-B83E-03DDA8F71188}"/>
    <cellStyle name="Normalny 3 2" xfId="54" xr:uid="{C2C3A840-58F0-4C54-85EF-FA956BA1FEB5}"/>
    <cellStyle name="Normalny 30" xfId="1595" xr:uid="{786D154E-BC89-4DA6-9F60-233C85FB08DF}"/>
    <cellStyle name="Normalny 30 2" xfId="2315" xr:uid="{C12774AD-ACAE-4F1C-A4FC-9CA87F0A4D72}"/>
    <cellStyle name="Normalny 31" xfId="1596" xr:uid="{A906D0A6-334C-4215-A25F-B6AEFDCDC635}"/>
    <cellStyle name="Normalny 31 2" xfId="2316" xr:uid="{AD4F318B-C169-4918-B930-C1136C4249C0}"/>
    <cellStyle name="Normalny 32" xfId="1597" xr:uid="{DE7E400D-59DF-4ABD-B48A-9204377745AA}"/>
    <cellStyle name="Normalny 32 2" xfId="2317" xr:uid="{013A38F3-5CF6-4273-9063-78B504DFC99E}"/>
    <cellStyle name="Normalny 33" xfId="1598" xr:uid="{24C44539-A40A-4D20-BCB7-61D48C191C28}"/>
    <cellStyle name="Normalny 33 2" xfId="2318" xr:uid="{16B6D16B-4AA8-4ACF-B47C-2583EE65F0EC}"/>
    <cellStyle name="Normalny 34" xfId="1599" xr:uid="{3AA9E8C0-3419-452E-8B89-6677DEF63EA9}"/>
    <cellStyle name="Normalny 34 2" xfId="2319" xr:uid="{A272FD82-E7A2-4BBE-B1A8-60D63AF6AC92}"/>
    <cellStyle name="Normalny 35" xfId="2174" xr:uid="{CA088D28-6A81-4982-B062-7CEFBC1F1F12}"/>
    <cellStyle name="Normalny 36" xfId="50" xr:uid="{14550F87-9DDA-436F-921E-841F7D73E624}"/>
    <cellStyle name="Normalny 4" xfId="1600" xr:uid="{703C6A57-BC13-40AE-AD86-95DFB47D38A9}"/>
    <cellStyle name="Normalny 4 2" xfId="20" xr:uid="{DEC73F1F-24D8-4678-86E4-47035F21B43F}"/>
    <cellStyle name="Normalny 43" xfId="24" xr:uid="{04CBB1B5-0B58-4B85-9CF1-541B65770ED2}"/>
    <cellStyle name="Normalny 43 2" xfId="16" xr:uid="{3BA838BF-FFFB-490F-A571-68F12F8E0DA8}"/>
    <cellStyle name="Normalny 43 2 2" xfId="13" xr:uid="{4410C660-3309-4C7E-80E0-CA6EC9A67144}"/>
    <cellStyle name="Normalny 43 3" xfId="34" xr:uid="{AC9D15C0-5AA2-4921-8BC0-F6436E91C31E}"/>
    <cellStyle name="Normalny 43 3 2" xfId="40" xr:uid="{989FAE4A-14C8-489A-930B-0036E9F153F7}"/>
    <cellStyle name="Normalny 43 3 3" xfId="2183" xr:uid="{912ACF87-AC19-4A29-9B09-6C3B210DF900}"/>
    <cellStyle name="Normalny 43 4" xfId="2178" xr:uid="{1A0067A5-61DE-481F-ADB0-4E032EF62F6A}"/>
    <cellStyle name="Normalny 46" xfId="2320" xr:uid="{C8AAC78F-BADE-4087-B8E0-10573607B9B9}"/>
    <cellStyle name="Normalny 5" xfId="1601" xr:uid="{782EAF5D-4189-4114-9D17-F94A18B1B7CD}"/>
    <cellStyle name="Normalny 6" xfId="1602" xr:uid="{997061FC-670E-46C1-8352-27D670521884}"/>
    <cellStyle name="Normalny 7" xfId="1603" xr:uid="{B12A8A4B-B3C7-45DE-9B79-D6E81B4ABBD0}"/>
    <cellStyle name="Normalny 8" xfId="1604" xr:uid="{329715CD-75CA-4D9D-A4B4-80BF180E8DBF}"/>
    <cellStyle name="Normalny 9" xfId="1605" xr:uid="{E47E8561-42AB-4511-9A59-0C8D9038ED42}"/>
    <cellStyle name="Note 2" xfId="1606" xr:uid="{7009E559-6468-4F8A-8BA1-575245443AAC}"/>
    <cellStyle name="Note 2 2" xfId="1607" xr:uid="{A7AD454B-3D36-462B-8851-2C20959DC0E4}"/>
    <cellStyle name="Note 2 3" xfId="1608" xr:uid="{01E20556-506C-4AD8-810C-EB9805586F37}"/>
    <cellStyle name="Note 2 4" xfId="1609" xr:uid="{4BBECFD0-D642-42D4-B62B-DA7536C2B936}"/>
    <cellStyle name="Note 2_CHP" xfId="1610" xr:uid="{E7951DA4-7BB2-488C-9F83-6B95D45FD3ED}"/>
    <cellStyle name="Note 3" xfId="1611" xr:uid="{68A88C0F-9D74-4A95-823A-5EDF3026132A}"/>
    <cellStyle name="Notiz 2" xfId="1612" xr:uid="{E84E5352-965A-4948-9392-240FB83C563D}"/>
    <cellStyle name="NumberCellStyle" xfId="48" xr:uid="{A6659730-1A83-4D59-8A32-0082E393DFDC}"/>
    <cellStyle name="NumberCellStyle 2" xfId="55" xr:uid="{6CA7F429-DE49-42D6-98FC-9652BBDABB79}"/>
    <cellStyle name="Obliczenia 10" xfId="1614" xr:uid="{774B198E-1C04-48E3-814A-DAB03B679860}"/>
    <cellStyle name="Obliczenia 10 2" xfId="1615" xr:uid="{0F63177E-EE83-45C7-8A9A-25433DEA85D7}"/>
    <cellStyle name="Obliczenia 10 3" xfId="1616" xr:uid="{3D8ECEF0-F43D-43E8-9663-9A291811D04F}"/>
    <cellStyle name="Obliczenia 10_CHP" xfId="1617" xr:uid="{DE8EEBF0-8579-4693-A150-9130ED14325B}"/>
    <cellStyle name="Obliczenia 11" xfId="1618" xr:uid="{C89C5D5C-EA14-4117-BA53-28E37E179073}"/>
    <cellStyle name="Obliczenia 11 2" xfId="1619" xr:uid="{8E403D68-664E-4C74-ADEE-E9D54BDD4A4F}"/>
    <cellStyle name="Obliczenia 11_CHP" xfId="1620" xr:uid="{65134A9B-DC61-48CD-9F0D-6263EC3A74CF}"/>
    <cellStyle name="Obliczenia 12" xfId="1621" xr:uid="{F5B5C4AF-1EDC-4F09-BCDE-AB1F56C7EE6A}"/>
    <cellStyle name="Obliczenia 13" xfId="1622" xr:uid="{1CF6792F-EB9B-4E36-810D-43AE4DA29B50}"/>
    <cellStyle name="Obliczenia 14" xfId="1623" xr:uid="{011ACDD2-4B2B-4B79-8828-3C9C7889C609}"/>
    <cellStyle name="Obliczenia 15" xfId="1624" xr:uid="{C270DA06-2B58-4A67-A1B3-DB9DCD494149}"/>
    <cellStyle name="Obliczenia 16" xfId="1613" xr:uid="{C3AEEA29-59A1-4F52-8160-71458084ECB5}"/>
    <cellStyle name="Obliczenia 2" xfId="1625" xr:uid="{64849704-69B1-4F9E-A0EA-46597D31D8E4}"/>
    <cellStyle name="Obliczenia 3" xfId="1626" xr:uid="{FCAF3027-B6B9-40E3-869F-0D2B7660940A}"/>
    <cellStyle name="Obliczenia 4" xfId="1627" xr:uid="{288FF8DD-1A8A-4721-9DE0-7481ABA89A8A}"/>
    <cellStyle name="Obliczenia 5" xfId="1628" xr:uid="{62E47ADE-6AF9-4703-8815-680EC353B3C5}"/>
    <cellStyle name="Obliczenia 6" xfId="1629" xr:uid="{A303D88D-A26C-49CB-911D-14EA6F58DAAC}"/>
    <cellStyle name="Obliczenia 7" xfId="1630" xr:uid="{289A1A2B-1AB2-4625-B50E-297D4F688BD5}"/>
    <cellStyle name="Obliczenia 8" xfId="1631" xr:uid="{C75FC5A7-C882-41EE-BBC2-B8DDE526E02E}"/>
    <cellStyle name="Obliczenia 9" xfId="1632" xr:uid="{CD2EE200-D9DB-400F-AB47-AD644B84BBF1}"/>
    <cellStyle name="Obliczenia 9 2" xfId="1633" xr:uid="{33391176-AA49-4B05-97CC-D141B7EA494F}"/>
    <cellStyle name="Obliczenia 9 3" xfId="1634" xr:uid="{3FC30CB7-58B7-4F90-A9C9-652DE07E512C}"/>
    <cellStyle name="Obliczenia 9_CHP" xfId="1635" xr:uid="{1CE39072-1E76-4BDD-81F9-A82FCAFCC2A2}"/>
    <cellStyle name="Output 2" xfId="1636" xr:uid="{62517193-9C15-4A02-804D-1A4E1744F0DD}"/>
    <cellStyle name="Output 3" xfId="1637" xr:uid="{051FC457-791D-4A64-88AE-BB12778B7F83}"/>
    <cellStyle name="Percent [2]" xfId="1638" xr:uid="{709702AB-9809-4E29-994A-51825B98A9E8}"/>
    <cellStyle name="Percent 2" xfId="33" xr:uid="{328FB549-2AAB-489F-AE26-823C86D09743}"/>
    <cellStyle name="Percent 2 2" xfId="1639" xr:uid="{0A74245E-F3E5-4393-9141-40C9236989CE}"/>
    <cellStyle name="Percent 2 3" xfId="1640" xr:uid="{51B2DAA2-457B-4669-A2E7-D78BC87DF683}"/>
    <cellStyle name="Percent 2 4" xfId="1641" xr:uid="{B71B6715-BE47-4641-8832-62DA24F3EFA5}"/>
    <cellStyle name="Percent 3 2" xfId="1642" xr:uid="{F2B9C429-9E53-49E1-A292-47F0E9D82A42}"/>
    <cellStyle name="Pilkku_Layo9704" xfId="1643" xr:uid="{D950347E-B01A-4CC2-ABA8-29F8A1498D2A}"/>
    <cellStyle name="Procentowy 10" xfId="25" xr:uid="{5A43E253-717F-4E8C-BB85-9A3FA63241C6}"/>
    <cellStyle name="Procentowy 2" xfId="1644" xr:uid="{64E41918-E1B2-412F-B667-4D6D94BD4933}"/>
    <cellStyle name="Procentowy 2 10" xfId="1645" xr:uid="{FCF7A31C-40D0-4BFD-9C18-600D2AC9D0DC}"/>
    <cellStyle name="Procentowy 2 2" xfId="1646" xr:uid="{CF2E4EAD-55FE-4840-8FF2-F3D224DE10C0}"/>
    <cellStyle name="Procentowy 2 2 2" xfId="1647" xr:uid="{D250A188-28DB-454A-8DF0-238423321930}"/>
    <cellStyle name="Procentowy 2 2 2 2" xfId="1648" xr:uid="{8AD8048A-961A-4846-96E7-307C643330C1}"/>
    <cellStyle name="Procentowy 2 2 2 3" xfId="1649" xr:uid="{8020F8FB-F91F-4716-9DF2-2B11B08513AD}"/>
    <cellStyle name="Procentowy 2 2 3" xfId="1650" xr:uid="{D5405329-6E7D-4DAC-888B-378891F8B62C}"/>
    <cellStyle name="Procentowy 2 2 3 2" xfId="1651" xr:uid="{41B2558D-4185-41FD-A14B-385D05ACD33E}"/>
    <cellStyle name="Procentowy 2 2 3 3" xfId="1652" xr:uid="{4DC2491B-E4D2-4A5D-8D5C-3435A6AAF15C}"/>
    <cellStyle name="Procentowy 2 2 4" xfId="1653" xr:uid="{403B6583-3EF4-4F20-8EF8-7CA82AA5E767}"/>
    <cellStyle name="Procentowy 2 2 5" xfId="1654" xr:uid="{9FF50634-ACD1-4D44-B370-2D874C44B643}"/>
    <cellStyle name="Procentowy 2 3" xfId="1655" xr:uid="{A657CFF3-63EC-49A1-A0D6-17212C9A0101}"/>
    <cellStyle name="Procentowy 2 3 2" xfId="1656" xr:uid="{9744CD6A-9AC9-4B90-A83D-55589ED2B4D4}"/>
    <cellStyle name="Procentowy 2 3 2 2" xfId="1657" xr:uid="{BEF50D3F-6138-4584-AA48-675B3137D632}"/>
    <cellStyle name="Procentowy 2 3 2 2 2" xfId="1658" xr:uid="{C2D58555-3B8D-4E29-8429-210D76948509}"/>
    <cellStyle name="Procentowy 2 3 2 2 3" xfId="1659" xr:uid="{07804222-555C-4193-AAAA-9BC9DB3B29FF}"/>
    <cellStyle name="Procentowy 2 3 2 3" xfId="1660" xr:uid="{2AF4FD12-AB20-45F5-B3D0-5D252299D5C1}"/>
    <cellStyle name="Procentowy 2 3 2 3 2" xfId="1661" xr:uid="{9429E481-8D5F-4DF3-B5A6-CC54A8E586EB}"/>
    <cellStyle name="Procentowy 2 3 2 4" xfId="1662" xr:uid="{496CC513-178B-4C14-84DD-BEC5074A027E}"/>
    <cellStyle name="Procentowy 2 3 2 4 2" xfId="1663" xr:uid="{355ED48C-621A-4AC5-8674-4F81EC4B83DD}"/>
    <cellStyle name="Procentowy 2 3 2 5" xfId="1664" xr:uid="{695A3211-52AC-41E6-830B-491595A8EB89}"/>
    <cellStyle name="Procentowy 2 3 3" xfId="1665" xr:uid="{931776FA-67B8-491F-B4A8-56E6ADADC024}"/>
    <cellStyle name="Procentowy 2 3 3 2" xfId="1666" xr:uid="{3F95B56C-5BF1-487E-9E59-D9A8FA1DB20B}"/>
    <cellStyle name="Procentowy 2 3 3 3" xfId="1667" xr:uid="{B4677988-32C5-4392-84AA-E4E44CCB334B}"/>
    <cellStyle name="Procentowy 2 3 4" xfId="1668" xr:uid="{872E9A99-92F5-4316-B202-A1F72E34796D}"/>
    <cellStyle name="Procentowy 2 4" xfId="1669" xr:uid="{84AC979F-7CDD-4570-A4BA-534DDD2957B5}"/>
    <cellStyle name="Procentowy 2 4 2" xfId="1670" xr:uid="{3E79A1F8-44F9-4536-8DA6-416EE3C4FAD4}"/>
    <cellStyle name="Procentowy 2 4 2 2" xfId="1671" xr:uid="{853AB312-6305-4378-B903-B9B08E682214}"/>
    <cellStyle name="Procentowy 2 4 2 3" xfId="1672" xr:uid="{90A02727-4739-4526-8119-34F7F9122B13}"/>
    <cellStyle name="Procentowy 2 4 3" xfId="1673" xr:uid="{845CB91E-4274-4212-921E-5CD34A6C88A8}"/>
    <cellStyle name="Procentowy 2 4 3 2" xfId="1674" xr:uid="{07352FE6-7D26-4C01-A897-B8000F82C1A9}"/>
    <cellStyle name="Procentowy 2 4 4" xfId="1675" xr:uid="{E1566539-7C97-4CE7-87BC-6C0335798B4C}"/>
    <cellStyle name="Procentowy 2 4 4 2" xfId="1676" xr:uid="{EA80B8AC-0803-4C3F-A93F-FF27B5328C92}"/>
    <cellStyle name="Procentowy 2 4 5" xfId="1677" xr:uid="{CDFAAB77-11E6-4F30-B4B4-F2195DF47E08}"/>
    <cellStyle name="Procentowy 2 5" xfId="1678" xr:uid="{47AA0E4D-A317-426E-AB7C-AF8B2244E35C}"/>
    <cellStyle name="Procentowy 2 6" xfId="1679" xr:uid="{3265B08B-7CAB-496C-826D-01CA85F59BD6}"/>
    <cellStyle name="Procentowy 2 6 2" xfId="1680" xr:uid="{75EC8807-501B-47AD-A138-9CEF26B28353}"/>
    <cellStyle name="Procentowy 2 6 2 2" xfId="1681" xr:uid="{370752D2-5CAA-4A2A-AE04-DB281AF6772A}"/>
    <cellStyle name="Procentowy 2 6 3" xfId="1682" xr:uid="{37A2424B-9520-4259-9F8E-22AEB4F8C64C}"/>
    <cellStyle name="Procentowy 2 6 3 2" xfId="1683" xr:uid="{CFE203A4-3841-4226-92AD-479250199D9B}"/>
    <cellStyle name="Procentowy 2 6 4" xfId="1684" xr:uid="{520F1342-EBBE-42B2-A289-D9EAA73DD3B5}"/>
    <cellStyle name="Procentowy 2 7" xfId="1685" xr:uid="{AF958648-3E52-4BA7-862E-3171C892FDCA}"/>
    <cellStyle name="Procentowy 2 7 2" xfId="1686" xr:uid="{37609292-6178-426C-847B-8FD1A1817BED}"/>
    <cellStyle name="Procentowy 2 8" xfId="1687" xr:uid="{14C5F5E9-AF8D-4A5B-953B-7D5811212079}"/>
    <cellStyle name="Procentowy 2 8 2" xfId="1688" xr:uid="{2624D391-BA84-4892-8998-1475138360B0}"/>
    <cellStyle name="Procentowy 2 8 3" xfId="1689" xr:uid="{B5C0FEF4-E520-4D14-BCB8-646DFAC50F37}"/>
    <cellStyle name="Procentowy 2 9" xfId="1690" xr:uid="{1C4F057F-B65A-49E2-8AC2-834FB35397CF}"/>
    <cellStyle name="Procentowy 2 9 2" xfId="1691" xr:uid="{249D59C4-E842-4FA1-A3B8-B79C2E3B4E38}"/>
    <cellStyle name="Procentowy 3" xfId="1692" xr:uid="{F2356C83-E338-4BD4-8434-43DF77EDC7CA}"/>
    <cellStyle name="Procentowy 4" xfId="1693" xr:uid="{992F8B30-AADB-420F-BE66-4FB894F44D68}"/>
    <cellStyle name="Procentowy 4 2" xfId="1694" xr:uid="{19E6091B-9BC7-47DA-875B-5815EA92097F}"/>
    <cellStyle name="Procentowy 4 3" xfId="1695" xr:uid="{130D02B3-BD43-4295-828C-86B208796183}"/>
    <cellStyle name="Procentowy 4 4" xfId="1696" xr:uid="{C28829C6-66D5-4EED-9F8E-076DD5F1F0DD}"/>
    <cellStyle name="Procentowy 5" xfId="15" xr:uid="{D7D9B2B5-3844-467B-970A-FB10098AC32A}"/>
    <cellStyle name="Procentowy 5 2" xfId="1698" xr:uid="{1ED0D1D7-35B5-4449-8C45-53A6C9CEF9F4}"/>
    <cellStyle name="Procentowy 5 3" xfId="2175" xr:uid="{A4C8C91D-0A10-4A97-8E06-53821C179397}"/>
    <cellStyle name="Procentowy 5 4" xfId="1697" xr:uid="{6E934182-40C9-40CC-923B-7965F197CB3F}"/>
    <cellStyle name="Procentowy 6" xfId="45" xr:uid="{1F2713EF-B7A9-40AD-8390-DF14AF18CF7D}"/>
    <cellStyle name="Procentowy 7" xfId="36" xr:uid="{5C47EC16-2836-4CBE-8B41-F1BECCD54744}"/>
    <cellStyle name="Procentowy 7 2" xfId="41" xr:uid="{DA64649A-C228-4738-B469-D7DDEA773C90}"/>
    <cellStyle name="Procentowy 7 2 2" xfId="2184" xr:uid="{4B0193E5-8812-4693-AEE1-64919D9C8647}"/>
    <cellStyle name="Procentowy 7 3" xfId="2179" xr:uid="{01C79D23-2B63-4CE0-8DDD-46C23609335E}"/>
    <cellStyle name="Procentowy 8" xfId="39" xr:uid="{9ACD33DE-53F5-40B2-88ED-5607B7AAD0D2}"/>
    <cellStyle name="Procentowy 9" xfId="2177" xr:uid="{523799DA-5382-4DA6-8B7E-C300346EBE6C}"/>
    <cellStyle name="Prozent 2" xfId="1699" xr:uid="{762250DC-C604-4311-9D32-8D82FF7526E4}"/>
    <cellStyle name="Prozent 2 2" xfId="1700" xr:uid="{E3289043-0707-4C66-B391-138758E10281}"/>
    <cellStyle name="Prozent 3" xfId="1701" xr:uid="{28ED8553-C9CC-4B94-B030-E98ABBF8DEEF}"/>
    <cellStyle name="Prozent 4" xfId="1702" xr:uid="{626FB313-A091-44E7-9C15-DD9A39F3F2BA}"/>
    <cellStyle name="Prozent 5" xfId="1703" xr:uid="{842AEE47-A64C-4C56-B73B-B7E4CA3BD60A}"/>
    <cellStyle name="Prozent 5 2" xfId="1704" xr:uid="{BBCFDC40-2D76-4D44-AF90-4750807C70B9}"/>
    <cellStyle name="Prozent 5 2 2" xfId="1705" xr:uid="{0CD7378F-CA16-465C-A7F6-D938B767C9D7}"/>
    <cellStyle name="Prozent 5 2 3" xfId="1706" xr:uid="{C4853BAC-24C2-4564-BD58-1A1AA008D70C}"/>
    <cellStyle name="Prozent 5 2 3 2" xfId="1707" xr:uid="{C3F24C98-DBFD-4D65-9117-02A8444CAEAD}"/>
    <cellStyle name="Prozent 5 2 3 3" xfId="1708" xr:uid="{45727E15-884E-4E4C-925F-89C953968AAA}"/>
    <cellStyle name="Prozent 5 2 3 4" xfId="1709" xr:uid="{F0EC7769-EA53-4BD9-95D9-D64208DD5EB8}"/>
    <cellStyle name="Prozent 5 3" xfId="1710" xr:uid="{126FB676-1657-461C-B013-FD0AD5B3FDE4}"/>
    <cellStyle name="Prozent 5 3 2" xfId="1711" xr:uid="{24969F0F-C4E6-40CE-9EDB-6BD04087AF51}"/>
    <cellStyle name="Prozent 5 3 3" xfId="1712" xr:uid="{FBC97FB6-1760-4044-A09B-22C49559A5E3}"/>
    <cellStyle name="Prozent 5 3 4" xfId="1713" xr:uid="{AB9F57E7-4E2B-46FC-AB41-34F78D99F84A}"/>
    <cellStyle name="Prozent 5 4" xfId="1714" xr:uid="{AA944052-E685-4B97-BD51-8B0C600861C4}"/>
    <cellStyle name="Prozent 6" xfId="1715" xr:uid="{04B9D7C8-7BEE-45E8-BED5-B42ABD900FBC}"/>
    <cellStyle name="Prozent 6 2" xfId="1716" xr:uid="{7E29ECD9-DD72-40D9-A321-2693DA25600D}"/>
    <cellStyle name="Prozent 6 2 2" xfId="1717" xr:uid="{AE3CEB0B-8B0B-461B-95B4-796210502E8C}"/>
    <cellStyle name="Prozent 6 2 3" xfId="1718" xr:uid="{9BFFE315-E5B2-45EF-A02E-DBAA75205332}"/>
    <cellStyle name="Prozent 6 2 3 2" xfId="1719" xr:uid="{96E5CA46-23B5-4527-9A4D-12F6030E965F}"/>
    <cellStyle name="Prozent 6 2 3 3" xfId="1720" xr:uid="{5B012E44-7691-4E91-AE72-00428A37DA5D}"/>
    <cellStyle name="Prozent 6 2 3 4" xfId="1721" xr:uid="{C62AF695-18E7-48A1-BDCB-3BC2F9ACF0FE}"/>
    <cellStyle name="Prozent 6 3" xfId="1722" xr:uid="{F656E242-A89A-4370-A352-BC411A2778FA}"/>
    <cellStyle name="Prozent 6 3 2" xfId="1723" xr:uid="{41D5E079-9516-4892-B5CF-6A38B8752016}"/>
    <cellStyle name="Prozent 6 3 3" xfId="1724" xr:uid="{0B34EDD6-AF29-4DF8-BB49-408C5257BD33}"/>
    <cellStyle name="Prozent 6 3 4" xfId="1725" xr:uid="{0C8F526D-9F8E-4515-BAFD-D8F022D252A3}"/>
    <cellStyle name="Prozent 6 4" xfId="1726" xr:uid="{0D65576F-FEE7-47E6-B50E-DE299AAACB84}"/>
    <cellStyle name="Prozent 7" xfId="1727" xr:uid="{5EEA530C-0F78-44B5-BF3B-31D83714280C}"/>
    <cellStyle name="Prozent 8" xfId="1728" xr:uid="{3D58F012-F60C-47D7-BB4A-F12567A0D8C3}"/>
    <cellStyle name="Prozent 8 2" xfId="1729" xr:uid="{44BEE53D-4249-4A70-B849-4FD1D1020381}"/>
    <cellStyle name="Prozent 8 2 2" xfId="1730" xr:uid="{50E28A70-7A80-43DD-AD40-50876360F1FE}"/>
    <cellStyle name="Prozent 8 2 3" xfId="1731" xr:uid="{2B510A9D-5E5F-4246-97CA-2EBF5DE06135}"/>
    <cellStyle name="Prozent 8 3" xfId="1732" xr:uid="{C4DB46B8-266F-42C1-A459-7296D9D6CB3E}"/>
    <cellStyle name="Prozent 8 4" xfId="1733" xr:uid="{D3864A5C-5604-498D-9E5B-C631EF7BE41A}"/>
    <cellStyle name="Pyör. luku_Layo9704" xfId="1734" xr:uid="{57BE23C8-3AEF-4A67-8832-8D6CC29DD689}"/>
    <cellStyle name="Pyör. valuutta_Layo9704" xfId="1735" xr:uid="{8B97FF01-10FA-401C-9B43-1024C3906FDB}"/>
    <cellStyle name="RangeName" xfId="1736" xr:uid="{5B1520C3-CB15-46D0-A9F4-730455E03949}"/>
    <cellStyle name="SAPBEXaggData" xfId="1737" xr:uid="{77D63190-D38E-49C1-B6DE-51B2A4556930}"/>
    <cellStyle name="SAPBEXaggDataEmph" xfId="1738" xr:uid="{A60CDBDB-59C5-472C-B378-AECA48EAF62A}"/>
    <cellStyle name="SAPBEXaggItem" xfId="1739" xr:uid="{B24C30E3-972C-4649-9ADB-071E5276DCFF}"/>
    <cellStyle name="SAPBEXaggItemX" xfId="1740" xr:uid="{E1BE6A54-1C87-4F49-A5CC-7CEBFBA5AD0B}"/>
    <cellStyle name="SAPBEXchaText" xfId="1741" xr:uid="{981A31F2-C0BE-40E9-B17A-A18F9D3DC103}"/>
    <cellStyle name="SAPBEXexcBad7" xfId="1742" xr:uid="{1DD7F593-A359-4FA7-9A35-3815226CB21A}"/>
    <cellStyle name="SAPBEXexcBad8" xfId="1743" xr:uid="{005C2D06-845C-443A-9CA9-B824D52AD893}"/>
    <cellStyle name="SAPBEXexcBad9" xfId="1744" xr:uid="{2879C633-BD9B-45A7-A936-D97F743AB51E}"/>
    <cellStyle name="SAPBEXexcCritical4" xfId="1745" xr:uid="{8994425F-EF15-4E92-8825-1DBB2EF0A642}"/>
    <cellStyle name="SAPBEXexcCritical5" xfId="1746" xr:uid="{0AF370B4-9065-4AE3-9800-B697679B329A}"/>
    <cellStyle name="SAPBEXexcCritical6" xfId="1747" xr:uid="{69D2C9A0-493A-4561-BC58-74C7F0272109}"/>
    <cellStyle name="SAPBEXexcGood1" xfId="1748" xr:uid="{D43F5E39-DC6F-4B29-A605-4410516A3454}"/>
    <cellStyle name="SAPBEXexcGood2" xfId="1749" xr:uid="{80F1EAB2-72B6-44C3-8C19-641DBA27EA84}"/>
    <cellStyle name="SAPBEXexcGood3" xfId="1750" xr:uid="{3F3A9BBC-CC13-4FF2-A54B-C4143B80FEEC}"/>
    <cellStyle name="SAPBEXfilterDrill" xfId="1751" xr:uid="{D5174867-945C-48FF-89D9-FD53CA4E218F}"/>
    <cellStyle name="SAPBEXfilterItem" xfId="1752" xr:uid="{7379834C-5AB3-474C-93DE-EC4A162CABE9}"/>
    <cellStyle name="SAPBEXfilterText" xfId="1753" xr:uid="{F36DF099-1108-4B2E-AEA5-798669435116}"/>
    <cellStyle name="SAPBEXformats" xfId="1754" xr:uid="{5B36BAA3-7451-490E-94EE-3099816FC3A1}"/>
    <cellStyle name="SAPBEXheaderItem" xfId="1755" xr:uid="{456982A3-BDCB-4624-81B0-C2A8AE2AE836}"/>
    <cellStyle name="SAPBEXheaderText" xfId="1756" xr:uid="{92D2B491-A192-4FF1-A8A5-B37266D6FBC1}"/>
    <cellStyle name="SAPBEXHLevel0" xfId="1757" xr:uid="{ECA95380-AB44-41F4-9E04-4FA07E120A78}"/>
    <cellStyle name="SAPBEXHLevel0X" xfId="1758" xr:uid="{861906E5-09E9-4356-B79E-EF91DBFBC368}"/>
    <cellStyle name="SAPBEXHLevel1" xfId="1759" xr:uid="{FD92FBE5-5509-4E34-8D0C-1BF248290578}"/>
    <cellStyle name="SAPBEXHLevel1X" xfId="1760" xr:uid="{1A795583-BAC4-4A7A-967E-71AFBBBCE6DE}"/>
    <cellStyle name="SAPBEXHLevel2" xfId="1761" xr:uid="{ACBB41C3-C8E1-4471-B8CB-E480FB70A0C6}"/>
    <cellStyle name="SAPBEXHLevel2X" xfId="1762" xr:uid="{B7EA0871-EFC5-4EEB-A5E4-29B2DF3B8845}"/>
    <cellStyle name="SAPBEXHLevel3" xfId="1763" xr:uid="{BE38E1AB-273B-42AB-8B6A-9A83A3513453}"/>
    <cellStyle name="SAPBEXHLevel3X" xfId="1764" xr:uid="{40B38BB9-9758-4E96-81E5-04290134170A}"/>
    <cellStyle name="SAPBEXresData" xfId="1765" xr:uid="{D178F0AF-96A5-4B68-9FA8-B21056AA9EAC}"/>
    <cellStyle name="SAPBEXresDataEmph" xfId="1766" xr:uid="{ED874052-2352-4A8A-ACA8-26DB537184FE}"/>
    <cellStyle name="SAPBEXresItem" xfId="1767" xr:uid="{8D3AB4B9-D3C4-4247-B5E8-F904AA6F5FEA}"/>
    <cellStyle name="SAPBEXresItemX" xfId="1768" xr:uid="{AB6B172E-76A3-4ED1-B43F-571EF9663738}"/>
    <cellStyle name="SAPBEXstdData" xfId="1769" xr:uid="{F8455FEB-5B96-4020-9551-0132A64049C5}"/>
    <cellStyle name="SAPBEXstdDataEmph" xfId="1770" xr:uid="{3DF2123D-CFE4-47F3-AFB0-7B17415CB926}"/>
    <cellStyle name="SAPBEXstdItem" xfId="1771" xr:uid="{41BB9B6C-40F3-4C89-BC66-A8707C4F35CF}"/>
    <cellStyle name="SAPBEXstdItemX" xfId="1772" xr:uid="{B5529C84-9749-4677-9F30-4B5503FFDE06}"/>
    <cellStyle name="SAPBEXtitle" xfId="1773" xr:uid="{A2A6915F-AC4B-4781-80C2-D851B507AE27}"/>
    <cellStyle name="SAPBEXundefined" xfId="1774" xr:uid="{7F00A608-C6FA-4F37-9F1E-CF6E6BF235E2}"/>
    <cellStyle name="Schlecht 2" xfId="1775" xr:uid="{7920E5D3-4B92-4E74-9D43-13C3203C1391}"/>
    <cellStyle name="Shade" xfId="1776" xr:uid="{67C16518-EEF2-4F78-B10D-2682943B53AE}"/>
    <cellStyle name="Standaard_Blad1" xfId="1777" xr:uid="{130852B5-4B13-4626-90F7-EF50F813089C}"/>
    <cellStyle name="Standard 10" xfId="1778" xr:uid="{A2293B06-5578-450C-A2F5-5B90363016BD}"/>
    <cellStyle name="Standard 10 2" xfId="1779" xr:uid="{C645B04C-819F-4BF7-8502-CCD47B5AC4B6}"/>
    <cellStyle name="Standard 11" xfId="1780" xr:uid="{51E80E1E-FB05-495B-8BF6-1ED9A3D9DA67}"/>
    <cellStyle name="Standard 11 2" xfId="1781" xr:uid="{D39A4751-29BE-4E3B-8EA4-7477C0C42965}"/>
    <cellStyle name="Standard 11 2 2" xfId="1782" xr:uid="{4FA4D989-3929-4404-8674-0DFE4F147D23}"/>
    <cellStyle name="Standard 11 2 3" xfId="1783" xr:uid="{200C660A-501F-477A-9514-F2A0D7400000}"/>
    <cellStyle name="Standard 11 2 4" xfId="1784" xr:uid="{1C1DE410-F250-4723-83A4-718162427B9A}"/>
    <cellStyle name="Standard 11 2_CHP" xfId="1785" xr:uid="{C011408B-277E-4263-856D-1366B95B8627}"/>
    <cellStyle name="Standard 11 3" xfId="1786" xr:uid="{7CF5A437-52E1-4DB0-AFF7-E93EC5786089}"/>
    <cellStyle name="Standard 11 3 2" xfId="1787" xr:uid="{361839FE-CB16-4E49-998F-C7170671A1B9}"/>
    <cellStyle name="Standard 11 3 3" xfId="1788" xr:uid="{E46FA746-FF3F-4E6B-AA3B-2EC51EE180B8}"/>
    <cellStyle name="Standard 11 3 4" xfId="1789" xr:uid="{791CF0AA-CA82-4D70-B65B-D8C9DDA46730}"/>
    <cellStyle name="Standard 11 3_CHP" xfId="1790" xr:uid="{CAA7EE27-2311-450D-AA25-D97AB9E538EF}"/>
    <cellStyle name="Standard 11 4" xfId="1791" xr:uid="{2DF1BA90-582E-45A9-B45A-71728B44AB9D}"/>
    <cellStyle name="Standard 11 4 2" xfId="1792" xr:uid="{CA699CA3-8F78-4674-B3C2-5ABD0D204DB5}"/>
    <cellStyle name="Standard 11 5" xfId="1793" xr:uid="{F9D300CA-D22D-42A0-909A-EDA1584705AC}"/>
    <cellStyle name="Standard 11 5 2" xfId="1794" xr:uid="{2AB32A48-C0EF-4D4B-9A48-7CAB3BC1802F}"/>
    <cellStyle name="Standard 11 5 3" xfId="1795" xr:uid="{BF42F536-59B2-409B-B520-B081E904DC3D}"/>
    <cellStyle name="Standard 11 6" xfId="1796" xr:uid="{4B714B99-B511-4D88-BC16-E7FB03E536C0}"/>
    <cellStyle name="Standard 12" xfId="1797" xr:uid="{6937705F-FADD-4BFB-B229-E4722D3DAD09}"/>
    <cellStyle name="Standard 12 10" xfId="1798" xr:uid="{9E3BEF0C-7413-4859-B6DA-791CFE645CE0}"/>
    <cellStyle name="Standard 12 10 2" xfId="1799" xr:uid="{FDD3C8F3-8A1F-48A9-869B-7BAB31D11A3E}"/>
    <cellStyle name="Standard 12 10 3" xfId="1800" xr:uid="{A8917769-F263-4B4C-999F-B585A9D631B5}"/>
    <cellStyle name="Standard 12 2" xfId="1801" xr:uid="{D11964C6-DEEE-4A56-8280-3C1B22F48091}"/>
    <cellStyle name="Standard 12 2 2" xfId="1802" xr:uid="{951F97FE-CD98-446C-8BAA-641CD1D2320E}"/>
    <cellStyle name="Standard 12 2 2 2" xfId="1803" xr:uid="{9F8251BD-5743-492A-9E6F-E40C5A14CCC2}"/>
    <cellStyle name="Standard 12 2 2 2 2" xfId="1804" xr:uid="{72439141-669E-4F81-A66F-9AEB66DA982D}"/>
    <cellStyle name="Standard 12 2 2 2 2 2" xfId="1805" xr:uid="{27456E03-8DCE-4577-AFB0-E78C3F2350EB}"/>
    <cellStyle name="Standard 12 2 2 2 2 3" xfId="1806" xr:uid="{E0664B3C-2CFF-4973-8244-D05C651A008C}"/>
    <cellStyle name="Standard 12 2 2 2 3" xfId="1807" xr:uid="{D133349B-2F7B-4AF1-ACA0-9CEA36EB5BC6}"/>
    <cellStyle name="Standard 12 2 2 3" xfId="1808" xr:uid="{1DD5206E-C16D-4577-B9DC-C4ABC302260F}"/>
    <cellStyle name="Standard 12 2 2 4" xfId="1809" xr:uid="{FB05DA3F-F1A5-44CA-8A25-A1A55AB8A1B9}"/>
    <cellStyle name="Standard 12 2 2_CHP" xfId="1810" xr:uid="{C599ED57-C7BB-4C23-BE4F-F6E427C70606}"/>
    <cellStyle name="Standard 12 2 3" xfId="1811" xr:uid="{BB781511-E701-4F00-A63A-D52AD76031AA}"/>
    <cellStyle name="Standard 12 2 3 2" xfId="1812" xr:uid="{6EFD6A07-9AE9-4601-B27E-F4DC79E4EE61}"/>
    <cellStyle name="Standard 12 2 4" xfId="1813" xr:uid="{BFA876EF-01EA-4337-B83E-01501AC3AB06}"/>
    <cellStyle name="Standard 12 2 4 2" xfId="1814" xr:uid="{F9845823-92C9-4333-88DA-250C6692A888}"/>
    <cellStyle name="Standard 12 2 5" xfId="1815" xr:uid="{32B79060-9E9A-4412-B642-22F672F722C3}"/>
    <cellStyle name="Standard 12 2 6" xfId="1816" xr:uid="{34EF83BA-0920-4C88-B906-0F86CE976BE4}"/>
    <cellStyle name="Standard 12 2_CHP" xfId="1817" xr:uid="{AEFB67F9-C147-4E10-A4C7-A779DB453D1F}"/>
    <cellStyle name="Standard 12 3" xfId="1818" xr:uid="{369BF935-EFB2-4B14-8D6F-D59CE66CFA8E}"/>
    <cellStyle name="Standard 12 3 2" xfId="1819" xr:uid="{A4E87336-950F-4278-A077-0D4B39534B03}"/>
    <cellStyle name="Standard 12 3 3" xfId="1820" xr:uid="{7CA21633-C99A-472D-B788-B244BDDA02D8}"/>
    <cellStyle name="Standard 12 4" xfId="1821" xr:uid="{18AA9189-BF25-47DE-9826-178A0D8DC79D}"/>
    <cellStyle name="Standard 12 4 2" xfId="1822" xr:uid="{56AEC44B-1643-4F62-8A31-3BF2BEC200DB}"/>
    <cellStyle name="Standard 12 4 3" xfId="1823" xr:uid="{212A2B65-AE06-43F8-8EC8-400FD91D800C}"/>
    <cellStyle name="Standard 12 5" xfId="1824" xr:uid="{E986C510-CC84-4269-A33B-5FFA0A913962}"/>
    <cellStyle name="Standard 12 6" xfId="1825" xr:uid="{95863E00-1BBE-4DCB-91FB-CF4F96F76EC9}"/>
    <cellStyle name="Standard 12 6 2" xfId="1826" xr:uid="{776E3A0B-D27E-406D-9D71-982B9B702535}"/>
    <cellStyle name="Standard 12 6 3" xfId="1827" xr:uid="{C012EA04-A42A-4AA9-9248-190A6697044D}"/>
    <cellStyle name="Standard 12 7" xfId="1828" xr:uid="{279B719F-D1A7-478A-9089-248EED5AF318}"/>
    <cellStyle name="Standard 12 7 2" xfId="1829" xr:uid="{69F30B37-5A07-405A-A2A2-4FE7BC7BD2D0}"/>
    <cellStyle name="Standard 12 7 3" xfId="1830" xr:uid="{1126D180-E9BE-45F8-9CF3-C32016FFBD08}"/>
    <cellStyle name="Standard 12 8" xfId="1831" xr:uid="{01F5C394-4B3C-478A-8ED8-8037C406AAA9}"/>
    <cellStyle name="Standard 12 9" xfId="1832" xr:uid="{4E450722-411F-40F3-B7E8-E5F30BE9936B}"/>
    <cellStyle name="Standard 12 9 2" xfId="1833" xr:uid="{D876CA10-E717-4B6A-92E4-2D02690E5311}"/>
    <cellStyle name="Standard 12 9 3" xfId="1834" xr:uid="{23C5C561-9D67-45CC-AA33-81F1712AE1D6}"/>
    <cellStyle name="Standard 12_CHP" xfId="1835" xr:uid="{9B3B83C6-0C2C-4671-8948-58B81AC726E4}"/>
    <cellStyle name="Standard 13" xfId="1836" xr:uid="{A7632AA7-ADE3-4E93-A9F7-53E976827857}"/>
    <cellStyle name="Standard 13 2" xfId="1837" xr:uid="{59DB3FE8-F56B-47BF-A9C6-471F67948B20}"/>
    <cellStyle name="Standard 13 3" xfId="1838" xr:uid="{203955C0-962F-4540-B64D-6403DEC2A295}"/>
    <cellStyle name="Standard 13 4" xfId="1839" xr:uid="{4AF11A28-DAB2-4728-AE2E-407EB894B002}"/>
    <cellStyle name="Standard 13_CHP" xfId="1840" xr:uid="{7D25C7DC-048A-44A5-A79E-359CA1F74422}"/>
    <cellStyle name="Standard 14" xfId="1841" xr:uid="{61D112AF-06C8-414E-928E-1DFC91475372}"/>
    <cellStyle name="Standard 15" xfId="1842" xr:uid="{DCDC5DFD-B837-499A-9977-2CF0FAFE7AE0}"/>
    <cellStyle name="Standard 2" xfId="1843" xr:uid="{1B140358-542B-4E73-83BD-7B719174F8BD}"/>
    <cellStyle name="Standard 2 2" xfId="1844" xr:uid="{7BD01B59-8CDA-4FB7-8E2F-161FD078E53A}"/>
    <cellStyle name="Standard 2 3" xfId="1845" xr:uid="{E9502F8A-7B3A-45E8-91AB-8A3FC573F51B}"/>
    <cellStyle name="Standard 2 3 2" xfId="1846" xr:uid="{3BFF6EE2-467C-44AD-9860-FC8C925A1F1F}"/>
    <cellStyle name="Standard 2 3 2 2" xfId="1847" xr:uid="{55DB58FC-A11A-497D-8BEC-8DCF5BBB60F3}"/>
    <cellStyle name="Standard 2 3 2 3" xfId="1848" xr:uid="{BC3544ED-38EE-43B8-A54D-F599876CAB5E}"/>
    <cellStyle name="Standard 2 3 2_CHP" xfId="1849" xr:uid="{B2156F22-C24A-40AA-9E09-BFF1E1131690}"/>
    <cellStyle name="Standard 2 3 3" xfId="1850" xr:uid="{118D5D6C-76BD-4019-A0C1-062F1D1263D8}"/>
    <cellStyle name="Standard 2 3 4" xfId="1851" xr:uid="{6DEE82AB-0785-45D8-94D4-D704F03CF583}"/>
    <cellStyle name="Standard 2 3_CHP" xfId="1852" xr:uid="{EB22735D-2056-4AA5-9D67-E0EAD2EEF435}"/>
    <cellStyle name="Standard 2 4" xfId="1853" xr:uid="{F7FB00E6-8C2D-4FD0-BB00-9C0C80D3536E}"/>
    <cellStyle name="Standard 2 4 2" xfId="1854" xr:uid="{E0FCC2DB-8AC2-4239-81B2-62EAD8141793}"/>
    <cellStyle name="Standard 2 4 2 2" xfId="1855" xr:uid="{22637426-36D1-4719-9FE7-A405D805EA0A}"/>
    <cellStyle name="Standard 2 4 2 3" xfId="1856" xr:uid="{4BD2DF97-CB4D-43CD-9D32-7447B5412E28}"/>
    <cellStyle name="Standard 2 4 2_CHP" xfId="1857" xr:uid="{3E526FEC-ED3F-4B50-92C8-7DDB6DC44567}"/>
    <cellStyle name="Standard 2 4 3" xfId="1858" xr:uid="{4076A241-0F46-420A-BBD9-20A268FC81F9}"/>
    <cellStyle name="Standard 2 4 4" xfId="1859" xr:uid="{0D4F6CBC-FF94-4CEB-80CA-C036CB5CC90C}"/>
    <cellStyle name="Standard 2 4_CHP" xfId="1860" xr:uid="{5459783C-7059-4B6A-A063-BB0D6DC475E2}"/>
    <cellStyle name="Standard 2 5" xfId="1861" xr:uid="{DEEA84AE-2D9B-46F4-8A66-6E7238EA0489}"/>
    <cellStyle name="Standard 3" xfId="1862" xr:uid="{E2ED9B67-60D4-459A-96C2-0EB500F9ED4D}"/>
    <cellStyle name="Standard 3 2" xfId="1863" xr:uid="{557C2EF0-CED9-49E4-869D-EB00D3A7D59C}"/>
    <cellStyle name="Standard 3_PL" xfId="1864" xr:uid="{C02B5D57-5678-4711-B174-8D97DD6C9725}"/>
    <cellStyle name="Standard 4" xfId="1865" xr:uid="{580D3E00-1093-4489-A3B2-A11181E02381}"/>
    <cellStyle name="Standard 4 2" xfId="1866" xr:uid="{C63626CB-2DC7-492F-BB31-DBC8E13F55DE}"/>
    <cellStyle name="Standard 4_PL" xfId="1867" xr:uid="{A10153E4-7AC0-4797-A57F-77861F313FA4}"/>
    <cellStyle name="Standard 5" xfId="1868" xr:uid="{C283AF57-D843-4BBC-BF6E-7735B465E171}"/>
    <cellStyle name="Standard 5 2" xfId="1869" xr:uid="{9CD2442A-D4B1-4DF3-B5E0-DCEE05CA80A6}"/>
    <cellStyle name="Standard 5 2 2" xfId="1870" xr:uid="{1ECAED39-D6FA-4108-9034-D80B5766C705}"/>
    <cellStyle name="Standard 5 2 2 2" xfId="1871" xr:uid="{A2F96EF5-6229-4681-9F57-3E41FC854AC6}"/>
    <cellStyle name="Standard 5 2 2 2 2" xfId="1872" xr:uid="{25DAA8E7-9F0F-40B3-B3B0-A1AB56A9360C}"/>
    <cellStyle name="Standard 5 2 2 2 3" xfId="1873" xr:uid="{B5DF673F-B5A2-41C0-99D0-F8322C87B44E}"/>
    <cellStyle name="Standard 5 2 2 2_CHP" xfId="1874" xr:uid="{C47A32D0-593F-4FE3-93DD-7819FC893BF5}"/>
    <cellStyle name="Standard 5 2 2 3" xfId="1875" xr:uid="{374366E0-9797-4171-9D25-C8251259F06F}"/>
    <cellStyle name="Standard 5 2 2 4" xfId="1876" xr:uid="{CB2D0A1C-9621-4DE8-8B6D-128ACC8B731C}"/>
    <cellStyle name="Standard 5 2 2_CHP" xfId="1877" xr:uid="{3D376A43-5ABD-4C4F-A203-149D18D133FB}"/>
    <cellStyle name="Standard 5 2 3" xfId="1878" xr:uid="{525CD593-F3E4-4E01-91C9-959E7E0D934C}"/>
    <cellStyle name="Standard 5 2 3 2" xfId="1879" xr:uid="{872F5606-DA56-4D82-99ED-893D4F8171EB}"/>
    <cellStyle name="Standard 5 2 3 2 2" xfId="1880" xr:uid="{BBD603D5-FC16-4E4E-B4F6-C8ACDBBF8B79}"/>
    <cellStyle name="Standard 5 2 3 2 3" xfId="1881" xr:uid="{5A4B14A5-F17E-46E6-AD31-63293A25D44B}"/>
    <cellStyle name="Standard 5 2 3 2_CHP" xfId="1882" xr:uid="{F2AA6411-6BDE-47AF-AA93-A72308043254}"/>
    <cellStyle name="Standard 5 2 3 3" xfId="1883" xr:uid="{A06F52F0-F5D7-4800-914F-A62EBDB21C4C}"/>
    <cellStyle name="Standard 5 2 3 4" xfId="1884" xr:uid="{9AD0FBA1-CDC1-4E76-B2C4-88789B008937}"/>
    <cellStyle name="Standard 5 2 3_CHP" xfId="1885" xr:uid="{A5961D0C-8035-4A2C-AED2-C5F58810819D}"/>
    <cellStyle name="Standard 5 2 4" xfId="1886" xr:uid="{9AF533BA-7DA4-4388-92BC-189AF2EDC8F2}"/>
    <cellStyle name="Standard 5 2 4 2" xfId="1887" xr:uid="{429E84CF-4BAF-421B-BE9F-8D9619C2A37E}"/>
    <cellStyle name="Standard 5 2 4 3" xfId="1888" xr:uid="{953BB306-CB0E-4129-B906-D7D00AFCCD4B}"/>
    <cellStyle name="Standard 5 2 4_CHP" xfId="1889" xr:uid="{753A6BC9-DBDD-4872-9226-E5E29CB2A622}"/>
    <cellStyle name="Standard 5 2 5" xfId="1890" xr:uid="{E8083B86-346D-4462-AEE1-B85478BA2A62}"/>
    <cellStyle name="Standard 5 2 6" xfId="1891" xr:uid="{6CC2FA43-BE5E-4DBB-832B-DEFE2E12BDD0}"/>
    <cellStyle name="Standard 5 2_CHP" xfId="1892" xr:uid="{A4974ACE-AAB9-4754-AD64-CDF122205E09}"/>
    <cellStyle name="Standard 5 3" xfId="1893" xr:uid="{F1EFF932-7BA1-449A-9C48-3A93FC2D171C}"/>
    <cellStyle name="Standard 5 3 2" xfId="1894" xr:uid="{88A141A8-A8E0-488B-B5EC-2E89157F4BA6}"/>
    <cellStyle name="Standard 5 3 2 2" xfId="1895" xr:uid="{279B16CF-2F62-4FEC-8246-8980A4261A3E}"/>
    <cellStyle name="Standard 5 3 2 3" xfId="1896" xr:uid="{392FE572-9E32-4BD6-A295-43B5CBB24E66}"/>
    <cellStyle name="Standard 5 3 2_CHP" xfId="1897" xr:uid="{55F79FDE-8614-4853-BB66-88BAF84F04A0}"/>
    <cellStyle name="Standard 5 3 3" xfId="1898" xr:uid="{9EA305D9-162A-4617-BC08-34B58F7B42F0}"/>
    <cellStyle name="Standard 5 3 4" xfId="1899" xr:uid="{6EFF8D7C-723C-43F7-AC14-F29EA8DAAC6C}"/>
    <cellStyle name="Standard 5 3_CHP" xfId="1900" xr:uid="{19D0D884-7B56-4DD2-82FB-3F06BCA0C16F}"/>
    <cellStyle name="Standard 5 4" xfId="1901" xr:uid="{06BA7A96-003A-47CE-8A2C-95C2DA864007}"/>
    <cellStyle name="Standard 5 4 2" xfId="1902" xr:uid="{31A195B8-0CE4-4983-8B25-38A3C8DAE14B}"/>
    <cellStyle name="Standard 5 4 2 2" xfId="1903" xr:uid="{0E0226E7-4584-426C-9F46-168AD44FD0B8}"/>
    <cellStyle name="Standard 5 4 2 3" xfId="1904" xr:uid="{13204779-A1CE-4993-9F4C-E816FE33FD72}"/>
    <cellStyle name="Standard 5 4 2_CHP" xfId="1905" xr:uid="{A5567859-22C0-4F18-89FA-2B49EDBE5EE0}"/>
    <cellStyle name="Standard 5 4 3" xfId="1906" xr:uid="{4DDBF4E7-3FDE-4E67-9A0B-31DF24EA9C3F}"/>
    <cellStyle name="Standard 5 4 4" xfId="1907" xr:uid="{3909266E-171A-443D-A064-B1120778B176}"/>
    <cellStyle name="Standard 5 4_CHP" xfId="1908" xr:uid="{C22ADCDA-A957-4296-94E4-718071768E1B}"/>
    <cellStyle name="Standard 5 5" xfId="1909" xr:uid="{45EC934F-06B2-4F02-9FF6-F74CC91EB459}"/>
    <cellStyle name="Standard 5 5 2" xfId="1910" xr:uid="{8FB3E943-29EA-4FB2-934B-34B6DF03C014}"/>
    <cellStyle name="Standard 5 5 2 2" xfId="1911" xr:uid="{9618ECD0-D5E4-4A25-A068-BECEED1A2CFA}"/>
    <cellStyle name="Standard 5 5 2 3" xfId="1912" xr:uid="{C17E430A-E587-49C0-855A-F61867F03738}"/>
    <cellStyle name="Standard 5 5 2_CHP" xfId="1913" xr:uid="{0914FC57-412D-4209-9EE8-5E8CFB1AC79F}"/>
    <cellStyle name="Standard 5 5 3" xfId="1914" xr:uid="{FE57F1C7-069B-4C22-8E29-91AB01EDABE1}"/>
    <cellStyle name="Standard 5 5 4" xfId="1915" xr:uid="{F8495B6F-81AC-4B55-B0FB-28E6B9FD4AAB}"/>
    <cellStyle name="Standard 5 5_CHP" xfId="1916" xr:uid="{1C96E8D2-4E0F-421F-947B-25DAB76CA8AA}"/>
    <cellStyle name="Standard 5 6" xfId="1917" xr:uid="{1C773F24-A9E2-467C-8EA5-A7FD7F131653}"/>
    <cellStyle name="Standard 5 6 2" xfId="1918" xr:uid="{18B8E8BB-372A-4151-A2FA-720BFDB88C41}"/>
    <cellStyle name="Standard 5 6 3" xfId="1919" xr:uid="{D0B6EE7A-B618-4E96-A78E-D72DB7A70478}"/>
    <cellStyle name="Standard 5 6_CHP" xfId="1920" xr:uid="{69EBE5EA-B658-4027-96C5-13DE5B4928EB}"/>
    <cellStyle name="Standard 5 7" xfId="1921" xr:uid="{896C7B04-1AA1-43C6-9546-2DCE4BF2778B}"/>
    <cellStyle name="Standard 5 8" xfId="1922" xr:uid="{AE9BFE51-4FB5-4A68-8472-93FD9F9F5EDF}"/>
    <cellStyle name="Standard 5_CHP" xfId="1923" xr:uid="{C94D26FA-ED81-442F-A8B3-09E10AA56250}"/>
    <cellStyle name="Standard 6" xfId="1924" xr:uid="{CF7E2ED9-08BC-4F0B-80BE-55EC01C24445}"/>
    <cellStyle name="Standard 6 2" xfId="1925" xr:uid="{F00C5147-0481-4125-8B9C-39CC37C469E7}"/>
    <cellStyle name="Standard 6 2 2" xfId="1926" xr:uid="{BF74B5C9-1B1B-4FC7-B42A-7DE7DC5C2623}"/>
    <cellStyle name="Standard 6 2 3" xfId="1927" xr:uid="{333586F0-EF38-491C-9638-4C1D3AD2FBF1}"/>
    <cellStyle name="Standard 6 2 4" xfId="1928" xr:uid="{C4C12ABA-D2B0-465B-9FE8-B1727D64D180}"/>
    <cellStyle name="Standard 6 2_CHP" xfId="1929" xr:uid="{CFB6A018-31F5-43AB-87D0-D79B245AA3FD}"/>
    <cellStyle name="Standard 7" xfId="1930" xr:uid="{4957BD19-F530-4BAE-B351-228417ECBD14}"/>
    <cellStyle name="Standard 8" xfId="1931" xr:uid="{7D786ABE-8725-49B7-91B2-C5C2C9CD4BCA}"/>
    <cellStyle name="Standard 8 2" xfId="1932" xr:uid="{EC80D909-6A5C-40A0-B03C-9E71CB7B5E31}"/>
    <cellStyle name="Standard 8 2 2" xfId="1933" xr:uid="{76FCDA1C-F6C9-4E32-B7EC-DA5210E57024}"/>
    <cellStyle name="Standard 8 2 3" xfId="1934" xr:uid="{621D0805-5BFA-4454-8355-58415C6336D0}"/>
    <cellStyle name="Standard 8 2_CHP" xfId="1935" xr:uid="{9D19525A-9A45-4A07-80A4-250F09DC0098}"/>
    <cellStyle name="Standard 8 3" xfId="1936" xr:uid="{1DA45A24-0913-4300-82D6-8AD5E7A722E0}"/>
    <cellStyle name="Standard 8 4" xfId="1937" xr:uid="{B7E3D7C0-F8DF-463B-B9C6-664BA0C2954F}"/>
    <cellStyle name="Standard 8_CHP" xfId="1938" xr:uid="{B48B6CF1-7A5B-46F9-811F-2BEFDC66F29D}"/>
    <cellStyle name="Standard 9" xfId="1939" xr:uid="{E1B35D3C-F687-4373-AE7E-048FA430D31B}"/>
    <cellStyle name="Standard 9 2" xfId="1940" xr:uid="{2E1F4DE4-27F7-43A5-AE5D-6C84E6DC1AF2}"/>
    <cellStyle name="Standard 9 2 2" xfId="1941" xr:uid="{8F2EF4E3-47B7-45FE-8086-A6F562DC524E}"/>
    <cellStyle name="Standard 9 2 3" xfId="1942" xr:uid="{04BFF343-37FE-450E-B3E1-51AC2391BEE9}"/>
    <cellStyle name="Standard 9 2_CHP" xfId="1943" xr:uid="{A3BAF08D-5D87-45ED-9016-D53BA04ABB35}"/>
    <cellStyle name="Standard 9 3" xfId="1944" xr:uid="{80F1326C-4D1A-4FF1-B7AB-ECE13E471351}"/>
    <cellStyle name="Standard 9 4" xfId="1945" xr:uid="{24319825-5832-4976-A4DD-CBC64031F1DF}"/>
    <cellStyle name="Standard 9_CHP" xfId="1946" xr:uid="{7FF41F11-DC38-430F-9B0E-3336F9F86297}"/>
    <cellStyle name="Standard_Results_Pan_EU_OLGA_NUC" xfId="1947" xr:uid="{F2D9C4EF-E83E-4735-BEA7-2B9719E39390}"/>
    <cellStyle name="Style 21" xfId="1948" xr:uid="{4EE4EEF1-51DC-46A0-ADD1-3D606D3CA55C}"/>
    <cellStyle name="Style 21 2" xfId="1949" xr:uid="{AE0AACB3-0405-4A49-852C-6447D99B0A26}"/>
    <cellStyle name="Style 21 3" xfId="1950" xr:uid="{BEDD532E-3D35-4C32-BD85-77CDD5E3D7E3}"/>
    <cellStyle name="Style 21 4" xfId="1951" xr:uid="{B8BF52E8-ACEA-4767-B4BA-444BCD6938F3}"/>
    <cellStyle name="Style 21 5" xfId="1952" xr:uid="{07588CF6-55DB-4143-BB3F-5B41E212219D}"/>
    <cellStyle name="Style 22" xfId="1953" xr:uid="{747F237D-AE70-4B1A-BC70-F617C3295C74}"/>
    <cellStyle name="Style 22 2" xfId="1954" xr:uid="{418C3428-0C33-4761-A07B-9C16908EF894}"/>
    <cellStyle name="Style 22 3" xfId="1955" xr:uid="{47950ADC-7C9F-4928-A4E1-7D548DFB6C9E}"/>
    <cellStyle name="Style 22 4" xfId="1956" xr:uid="{DD7725F3-1C1B-472F-AE74-944D2C25E9DE}"/>
    <cellStyle name="Style 23" xfId="1957" xr:uid="{5CFA2DFC-2B15-458B-AADB-23919EC2370E}"/>
    <cellStyle name="Style 23 2" xfId="1958" xr:uid="{E10E2D29-7653-4D4F-A8D1-26B8B4460A4F}"/>
    <cellStyle name="Style 23 3" xfId="1959" xr:uid="{C83DC74E-81D2-4C06-BFFA-DFDA9C5395D9}"/>
    <cellStyle name="Style 23 4" xfId="1960" xr:uid="{036D59EF-22A7-4352-BA5D-A503ED2240D9}"/>
    <cellStyle name="Style 24" xfId="1961" xr:uid="{410ED6AB-D9AA-4348-810F-95CEC23EA88C}"/>
    <cellStyle name="Style 24 2" xfId="1962" xr:uid="{F80EDB4F-010B-40E9-9D4B-632C536FF740}"/>
    <cellStyle name="Style 24 3" xfId="1963" xr:uid="{F26766CA-2004-4BFF-8363-4555F57C7D1C}"/>
    <cellStyle name="Style 24 4" xfId="1964" xr:uid="{2A4F8F0E-29EA-4FCA-AFC0-B1525DCF7B45}"/>
    <cellStyle name="Style 25" xfId="1965" xr:uid="{8447E9A2-11C3-43F6-905B-42D53DDA39E7}"/>
    <cellStyle name="Style 25 2" xfId="1966" xr:uid="{EDB8D7A9-1DB8-4CDE-B059-375C834A7B06}"/>
    <cellStyle name="Style 25 3" xfId="1967" xr:uid="{214C8EC9-FB95-49FE-B887-499796EB81D5}"/>
    <cellStyle name="Style 25 4" xfId="1968" xr:uid="{4C8BFEE6-1159-4614-8757-309FC8F9348A}"/>
    <cellStyle name="Style 25 5" xfId="1969" xr:uid="{CABB10DD-6AE4-4213-8078-E371EB267F42}"/>
    <cellStyle name="Style 26" xfId="1970" xr:uid="{B2536F45-1114-40A4-8067-49848C9C7C1C}"/>
    <cellStyle name="Style 26 2" xfId="1971" xr:uid="{34A9AD9A-580F-4528-93B2-130534FAADB2}"/>
    <cellStyle name="Style 26 3" xfId="1972" xr:uid="{2B5116FD-AAF2-47F0-B273-E63ADB0F0CE9}"/>
    <cellStyle name="Style 26 4" xfId="1973" xr:uid="{80A37067-12D5-4A3D-AFB8-973431C4993E}"/>
    <cellStyle name="Style 27" xfId="1974" xr:uid="{2BD013D7-4D3E-4C25-8EC0-48E0E201F880}"/>
    <cellStyle name="Style 28" xfId="1975" xr:uid="{0E6541B8-619D-4843-B5F1-92A41F805252}"/>
    <cellStyle name="Style 29" xfId="1976" xr:uid="{A56886D3-6E3F-4E1B-B10F-B9777C5D3E35}"/>
    <cellStyle name="Style 30" xfId="1977" xr:uid="{E065099F-1338-4375-BC6C-08A4ADCD6686}"/>
    <cellStyle name="Style 31" xfId="1978" xr:uid="{40F7F402-DBE8-4FA8-85E6-47556C90ECDF}"/>
    <cellStyle name="Style 32" xfId="1979" xr:uid="{42D0C6A0-4AAB-40DD-A8FF-BDE7A7490C0A}"/>
    <cellStyle name="Style 33" xfId="1980" xr:uid="{D6D3662A-C7B9-48A9-B800-D6318BC73FC0}"/>
    <cellStyle name="Style 34" xfId="1981" xr:uid="{307B24D9-AB38-4CDA-B860-DDED68EC1D83}"/>
    <cellStyle name="Style 35" xfId="1982" xr:uid="{66DB07FD-266E-4DA4-A480-ED5903FD0F0D}"/>
    <cellStyle name="Suma 10" xfId="1984" xr:uid="{9B60E260-74AA-42B5-97FD-98F57AC3291C}"/>
    <cellStyle name="Suma 10 2" xfId="1985" xr:uid="{BA01ACB4-D632-4AC9-94C1-712FDA90E2CB}"/>
    <cellStyle name="Suma 10 3" xfId="1986" xr:uid="{4C8E8D36-1C48-421A-87D4-85E6AD1BD47C}"/>
    <cellStyle name="Suma 10_CHP" xfId="1987" xr:uid="{4D1600EF-935E-4377-9105-705357CA1317}"/>
    <cellStyle name="Suma 11" xfId="1988" xr:uid="{D961DC61-4F4E-4ED8-999D-9A5E453A1DA1}"/>
    <cellStyle name="Suma 11 2" xfId="1989" xr:uid="{688BE79B-F5E2-4C70-A2EE-88E9CDB3FA7C}"/>
    <cellStyle name="Suma 11_CHP" xfId="1990" xr:uid="{78C92893-2D6D-4599-8EAB-DBBC589448A9}"/>
    <cellStyle name="Suma 12" xfId="1991" xr:uid="{D04F7E45-A01F-4654-8345-A9EB7C83F649}"/>
    <cellStyle name="Suma 13" xfId="1992" xr:uid="{13436BAE-A5E3-4277-BBD8-BDDDB638AB97}"/>
    <cellStyle name="Suma 14" xfId="1993" xr:uid="{0544DEE8-D16D-4AEE-99BC-77E61D3C14A9}"/>
    <cellStyle name="Suma 15" xfId="1994" xr:uid="{BBE2FE13-0197-4673-AAA9-FDB05F9697E8}"/>
    <cellStyle name="Suma 16" xfId="1983" xr:uid="{29C7CF38-0749-499F-94DE-6C4B3DD33409}"/>
    <cellStyle name="Suma 2" xfId="1995" xr:uid="{118B47ED-886D-49E0-B4F8-9464100B2CF9}"/>
    <cellStyle name="Suma 3" xfId="1996" xr:uid="{21855394-0ADF-4D2F-8913-6034A451BBFA}"/>
    <cellStyle name="Suma 4" xfId="1997" xr:uid="{4EDAF880-F4E9-4424-9A98-5B7333D6856A}"/>
    <cellStyle name="Suma 5" xfId="1998" xr:uid="{CE72C02A-06A9-4FF7-ABE0-4F40F4EE6694}"/>
    <cellStyle name="Suma 6" xfId="1999" xr:uid="{1E4F4A09-96E8-47CA-A9DE-BB08ACFF40EA}"/>
    <cellStyle name="Suma 7" xfId="2000" xr:uid="{011BA1BD-0CD1-4A63-80D2-4B477D458024}"/>
    <cellStyle name="Suma 8" xfId="2001" xr:uid="{1B0F6AE5-9689-4A80-8675-07F8C7A2BACE}"/>
    <cellStyle name="Suma 9" xfId="2002" xr:uid="{922311C4-55AD-456A-B422-2AFE67AFC5CA}"/>
    <cellStyle name="Suma 9 2" xfId="2003" xr:uid="{BB88348B-BD86-4E56-B159-C319774DDED3}"/>
    <cellStyle name="Suma 9 3" xfId="2004" xr:uid="{972EE90C-3CE6-4B91-BA1D-DFE4E4E73009}"/>
    <cellStyle name="Suma 9_CHP" xfId="2005" xr:uid="{392A2FFE-7692-4CFA-8947-145A97BB84A7}"/>
    <cellStyle name="Tekst objaśnienia 10" xfId="2007" xr:uid="{74FB3813-01F8-4A94-B160-35E6D7934E63}"/>
    <cellStyle name="Tekst objaśnienia 10 2" xfId="2008" xr:uid="{9B48E82A-F6B2-49C4-8BEA-205AA3E9B0E9}"/>
    <cellStyle name="Tekst objaśnienia 10 3" xfId="2009" xr:uid="{E3228930-2A9F-4A90-80C8-6DD076D2188D}"/>
    <cellStyle name="Tekst objaśnienia 10_COM_BND" xfId="2010" xr:uid="{35C93A0E-0782-4B8F-8E69-C4FACCC9F92F}"/>
    <cellStyle name="Tekst objaśnienia 11" xfId="2011" xr:uid="{61E271B9-D025-4E25-9DD0-F13602FB114A}"/>
    <cellStyle name="Tekst objaśnienia 11 2" xfId="2012" xr:uid="{7ED5CF1B-337A-45B1-AB2A-AFB3AEA0F6F9}"/>
    <cellStyle name="Tekst objaśnienia 12" xfId="2013" xr:uid="{4017FD61-EA50-4993-9D3A-E485F7EB1B4D}"/>
    <cellStyle name="Tekst objaśnienia 13" xfId="2014" xr:uid="{DFF9F246-4D4B-4EDD-BF6C-D8D6D793A80D}"/>
    <cellStyle name="Tekst objaśnienia 14" xfId="2015" xr:uid="{B59B317F-429E-43AE-9331-8CD7F089A7E6}"/>
    <cellStyle name="Tekst objaśnienia 15" xfId="2016" xr:uid="{2539A467-DC6E-4E0A-8771-9C01A319E754}"/>
    <cellStyle name="Tekst objaśnienia 16" xfId="2006" xr:uid="{D72540A0-60F6-4B15-9CA1-06CFBE40BF37}"/>
    <cellStyle name="Tekst objaśnienia 2" xfId="2017" xr:uid="{4742149C-6EF9-467B-A5B0-F690C920A490}"/>
    <cellStyle name="Tekst objaśnienia 3" xfId="2018" xr:uid="{78737F8D-7229-42FF-B865-A5DAA99F6601}"/>
    <cellStyle name="Tekst objaśnienia 4" xfId="2019" xr:uid="{8B4002A4-F177-4638-946A-885726441AB0}"/>
    <cellStyle name="Tekst objaśnienia 5" xfId="2020" xr:uid="{32F28175-BD26-4019-BA59-A34EF36A1815}"/>
    <cellStyle name="Tekst objaśnienia 6" xfId="2021" xr:uid="{22FD66A8-6008-4691-BDEF-BE940351751F}"/>
    <cellStyle name="Tekst objaśnienia 7" xfId="2022" xr:uid="{AC634A5F-C102-40B9-B2A9-83B6B8FB24E5}"/>
    <cellStyle name="Tekst objaśnienia 8" xfId="2023" xr:uid="{2887373A-4B06-4E34-BB97-E516E9DAE7B6}"/>
    <cellStyle name="Tekst objaśnienia 9" xfId="2024" xr:uid="{0FF09BA4-3E75-45DE-8A87-A7B1E82827FC}"/>
    <cellStyle name="Tekst objaśnienia 9 2" xfId="2025" xr:uid="{C0D93AC3-FFD4-4332-AD01-073198C5A8BC}"/>
    <cellStyle name="Tekst objaśnienia 9 3" xfId="2026" xr:uid="{F2A43501-385F-4A2D-A247-3F649D29E811}"/>
    <cellStyle name="Tekst objaśnienia 9_COM_BND" xfId="2027" xr:uid="{E4573A22-A1A7-40EF-A160-CEE63D30AF75}"/>
    <cellStyle name="Tekst ostrzeżenia 10" xfId="2029" xr:uid="{947BBD87-3F21-4A99-B811-23C0F5054417}"/>
    <cellStyle name="Tekst ostrzeżenia 10 2" xfId="2030" xr:uid="{7A57D0CB-3F5A-4BCC-9320-3A8C3746F119}"/>
    <cellStyle name="Tekst ostrzeżenia 10 3" xfId="2031" xr:uid="{BE7CAC39-E9F0-4947-A2C9-55F6BAB7C1F0}"/>
    <cellStyle name="Tekst ostrzeżenia 10_COM_BND" xfId="2032" xr:uid="{C59F3713-E48B-4995-82F8-284BB3A35775}"/>
    <cellStyle name="Tekst ostrzeżenia 11" xfId="2033" xr:uid="{F39CBA5D-E289-4E09-BA72-765CA250E3D4}"/>
    <cellStyle name="Tekst ostrzeżenia 11 2" xfId="2034" xr:uid="{5387866C-2346-464B-A7CA-8758A6981F4E}"/>
    <cellStyle name="Tekst ostrzeżenia 12" xfId="2035" xr:uid="{84FE2878-8D6C-41DB-8551-03F3570522A5}"/>
    <cellStyle name="Tekst ostrzeżenia 13" xfId="2036" xr:uid="{A4308A5D-5DDB-4A6F-BB51-1B47D5FEF04A}"/>
    <cellStyle name="Tekst ostrzeżenia 14" xfId="2037" xr:uid="{2E5AD68B-E40E-42DC-9461-2B51B7CC1977}"/>
    <cellStyle name="Tekst ostrzeżenia 15" xfId="2038" xr:uid="{9BC5CA30-B664-4B99-B0C0-CCFA704D3A85}"/>
    <cellStyle name="Tekst ostrzeżenia 16" xfId="2028" xr:uid="{C261BA0E-62EC-48A9-BA89-B236E5931345}"/>
    <cellStyle name="Tekst ostrzeżenia 2" xfId="2039" xr:uid="{857B575F-752C-408D-8B3A-FCB44F4AA53B}"/>
    <cellStyle name="Tekst ostrzeżenia 3" xfId="2040" xr:uid="{E55A0436-3B4E-4134-A35C-8A5906499E07}"/>
    <cellStyle name="Tekst ostrzeżenia 4" xfId="2041" xr:uid="{7CFE5D38-C821-4E07-AA0E-DC1D7E2E895F}"/>
    <cellStyle name="Tekst ostrzeżenia 5" xfId="2042" xr:uid="{B683D98E-9876-44E8-B256-A03DC06A6196}"/>
    <cellStyle name="Tekst ostrzeżenia 6" xfId="2043" xr:uid="{CED6BF99-20F3-4732-A864-5C9F7C18DB94}"/>
    <cellStyle name="Tekst ostrzeżenia 7" xfId="2044" xr:uid="{4F67E21E-DBD0-4A6F-B123-00D9056569F8}"/>
    <cellStyle name="Tekst ostrzeżenia 8" xfId="2045" xr:uid="{6C70D103-FB5C-4916-939D-C01D306CBC4E}"/>
    <cellStyle name="Tekst ostrzeżenia 9" xfId="2046" xr:uid="{CCC680E1-F0B7-4E18-878E-D691DA1D8B9A}"/>
    <cellStyle name="Tekst ostrzeżenia 9 2" xfId="2047" xr:uid="{3B35883E-25E9-4158-B21E-434147712CAB}"/>
    <cellStyle name="Tekst ostrzeżenia 9 3" xfId="2048" xr:uid="{E6B74ADC-DB8F-4105-A1F6-219598F2F587}"/>
    <cellStyle name="Tekst ostrzeżenia 9_COM_BND" xfId="2049" xr:uid="{4FD1B5E7-B5B2-4162-AB2B-7C6F4F5A52D0}"/>
    <cellStyle name="Title 2" xfId="2050" xr:uid="{79CADF2F-0EE8-40CC-8233-4AD86EE51F97}"/>
    <cellStyle name="Title 3" xfId="2051" xr:uid="{67A1D54D-D06D-46C3-A400-609EB90C49E5}"/>
    <cellStyle name="Total 10" xfId="2052" xr:uid="{B2020311-26C7-4AED-84B1-466777BB31F2}"/>
    <cellStyle name="Total 11" xfId="2053" xr:uid="{46B26493-2512-4C91-9572-E49BC06BD90B}"/>
    <cellStyle name="Total 12" xfId="2054" xr:uid="{14D0A708-E396-4899-B71F-4A93BFDD574B}"/>
    <cellStyle name="Total 13" xfId="2055" xr:uid="{019696E1-FFF0-4251-93B9-C759050CA541}"/>
    <cellStyle name="Total 14" xfId="2056" xr:uid="{DBE246CA-472E-4A78-9D97-95A6F5C64A0E}"/>
    <cellStyle name="Total 15" xfId="2057" xr:uid="{D79127BF-5341-4526-B6C3-C0BAD4CE48F9}"/>
    <cellStyle name="Total 16" xfId="2058" xr:uid="{B2DC7C35-258A-4207-BA62-28C7C2C4EBC9}"/>
    <cellStyle name="Total 17" xfId="2059" xr:uid="{920423FD-8CA9-49C6-9065-96869DF1DBB5}"/>
    <cellStyle name="Total 18" xfId="2060" xr:uid="{F9DA8EBC-B8DB-487C-A0B8-85C243801084}"/>
    <cellStyle name="Total 19" xfId="2061" xr:uid="{0B41EE85-2F83-4605-B498-1FD194A9CC64}"/>
    <cellStyle name="Total 2" xfId="2062" xr:uid="{ED137AB8-1BC3-4B5D-8169-B51995208084}"/>
    <cellStyle name="Total 2 2" xfId="2063" xr:uid="{2F3CA975-D17F-4A0A-B0EA-3687F679BA8E}"/>
    <cellStyle name="Total 2_CHP" xfId="2064" xr:uid="{099C6ACC-AAE5-4A51-B335-4012252A7875}"/>
    <cellStyle name="Total 20" xfId="2065" xr:uid="{1F61E0E5-84D2-4D40-9BFF-FA162616144C}"/>
    <cellStyle name="Total 3" xfId="2066" xr:uid="{10FD65E1-19DD-493D-8529-7EFBE44BD708}"/>
    <cellStyle name="Total 4" xfId="2067" xr:uid="{37EFBF5D-A2FB-4C39-8E9C-464164F7E06B}"/>
    <cellStyle name="Total 5" xfId="2068" xr:uid="{E97633D8-E2AB-482B-B82A-C84593C7F6C0}"/>
    <cellStyle name="Total 6" xfId="2069" xr:uid="{E8F0A0F3-DD87-4505-8C98-7BF95A7E1DE3}"/>
    <cellStyle name="Total 7" xfId="2070" xr:uid="{DD9A0C3E-B615-43A0-8632-686EC499457D}"/>
    <cellStyle name="Total 8" xfId="2071" xr:uid="{5A49DCCB-B35F-4E9E-99DF-FF8FE517DF9E}"/>
    <cellStyle name="Total 9" xfId="2072" xr:uid="{76BA3CF2-9AF8-4BB2-9D5A-E184B2C74B9F}"/>
    <cellStyle name="Tytuł 2" xfId="2074" xr:uid="{7E3A1C89-1ED0-421E-88E3-9CF74637EF0C}"/>
    <cellStyle name="Tytuł 2 2" xfId="2075" xr:uid="{8955F399-0BE0-43A3-8622-9F1BB9590625}"/>
    <cellStyle name="Tytuł 2 3" xfId="2076" xr:uid="{BC971BA9-5781-49AD-88DE-D55901252FA4}"/>
    <cellStyle name="Tytuł 2_COM_BND" xfId="2077" xr:uid="{6F8EB15A-A866-4AA5-B125-D614F4C2EE2F}"/>
    <cellStyle name="Tytuł 3" xfId="2078" xr:uid="{EB377D89-4CFF-4F2F-BBF5-8028FD095AD6}"/>
    <cellStyle name="Tytuł 3 2" xfId="2079" xr:uid="{2D518A1E-D941-434A-912D-ACDE0C584AA4}"/>
    <cellStyle name="Tytuł 3 3" xfId="2080" xr:uid="{27A3EC25-38FA-40D8-93F7-5641B8894C26}"/>
    <cellStyle name="Tytuł 3_COM_BND" xfId="2081" xr:uid="{FCDD70D6-8321-4B9F-9E74-1A2CA206A920}"/>
    <cellStyle name="Tytuł 4" xfId="2082" xr:uid="{56DD787A-019F-4AEB-8BA8-F39AB2A5F0FE}"/>
    <cellStyle name="Tytuł 4 2" xfId="2083" xr:uid="{35D431B8-7D00-49FB-87D2-4B368C63A9B7}"/>
    <cellStyle name="Tytuł 5" xfId="2084" xr:uid="{DCD93362-3FFF-4219-84DC-363B634AFC22}"/>
    <cellStyle name="Tytuł 6" xfId="2085" xr:uid="{C087E171-5645-4156-B2CA-A462E27D65D9}"/>
    <cellStyle name="Tytuł 7" xfId="2086" xr:uid="{CF1D793B-E4B5-49E7-9743-8B9AD4BFB942}"/>
    <cellStyle name="Tytuł 8" xfId="2087" xr:uid="{F46BBDE8-95E2-4408-963F-0DAF757420E2}"/>
    <cellStyle name="Tytuł 9" xfId="2073" xr:uid="{B186D334-762D-4F13-AF01-6A4C081D5199}"/>
    <cellStyle name="Überschrift 1 2" xfId="2088" xr:uid="{B131167A-A447-4186-B63D-6EFCAA9547C9}"/>
    <cellStyle name="Überschrift 2 2" xfId="2089" xr:uid="{103CD441-4821-4F93-87CE-04094254EAA4}"/>
    <cellStyle name="Überschrift 3 2" xfId="2090" xr:uid="{77E9B8C0-6489-4F5D-984F-8727D7B609E7}"/>
    <cellStyle name="Überschrift 4 2" xfId="2091" xr:uid="{B17515CE-32CE-4E2C-AEFE-D270032F85F8}"/>
    <cellStyle name="Überschrift 5" xfId="2092" xr:uid="{F6C99957-038E-4D26-BF29-1DA3E858338C}"/>
    <cellStyle name="Unprot" xfId="2093" xr:uid="{407D3487-1ED0-40DF-B86D-EE9B623907FE}"/>
    <cellStyle name="Unprot$" xfId="2094" xr:uid="{B41F1A65-BAE6-4F4C-9676-F5E69ADA8F41}"/>
    <cellStyle name="Unprot_2010-09-24_LTP 2010_assumptions" xfId="2095" xr:uid="{178B2008-DF53-46FD-B8F1-FD1BCD714B11}"/>
    <cellStyle name="Unprotect" xfId="2096" xr:uid="{A0DE518B-02CC-4981-B340-EB86EDC6546E}"/>
    <cellStyle name="Uwaga 10" xfId="2098" xr:uid="{42261637-21C5-482F-A27D-5BE038702B64}"/>
    <cellStyle name="Uwaga 10 2" xfId="2099" xr:uid="{39E3ED33-C2D5-4699-A70B-03D531429BB6}"/>
    <cellStyle name="Uwaga 10 3" xfId="2100" xr:uid="{218252F5-B61C-48E3-8AF3-E9347BF9DC42}"/>
    <cellStyle name="Uwaga 10 3 2" xfId="2101" xr:uid="{0D3DF671-633A-407A-959F-85D69986CDCF}"/>
    <cellStyle name="Uwaga 10 3 2 2" xfId="2102" xr:uid="{8A1D6770-FC6A-48F2-9EF0-170B16B1D771}"/>
    <cellStyle name="Uwaga 10 3 2 3" xfId="2103" xr:uid="{9F08AC75-F394-4777-A803-25BD550C323A}"/>
    <cellStyle name="Uwaga 10 3 3" xfId="2104" xr:uid="{C29E5395-B143-4499-A5EE-D68BE363CC16}"/>
    <cellStyle name="Uwaga 10 3 4" xfId="2105" xr:uid="{A5F1CC57-E0B7-4321-AAAD-DB2CEBAE4468}"/>
    <cellStyle name="Uwaga 10 3 4 2" xfId="2106" xr:uid="{8922B658-3891-46B9-B695-953E0B8E56A3}"/>
    <cellStyle name="Uwaga 10 3_CHP" xfId="2107" xr:uid="{0AA84A6C-75CA-43D9-91FA-1A873E57B52F}"/>
    <cellStyle name="Uwaga 10_CHP" xfId="2108" xr:uid="{BDE50B3C-3B11-4DBC-89A0-8972516D64AD}"/>
    <cellStyle name="Uwaga 11" xfId="2109" xr:uid="{3A82C0F4-FA3A-4771-8AFD-450FDBDF0AEF}"/>
    <cellStyle name="Uwaga 11 2" xfId="2110" xr:uid="{CA5DE465-D8EB-408B-B27B-E775968C381B}"/>
    <cellStyle name="Uwaga 11 2 2" xfId="2111" xr:uid="{1942BDAA-6F4D-404E-9485-B8ACC8040FD1}"/>
    <cellStyle name="Uwaga 11 2 3" xfId="2112" xr:uid="{27B19D6F-A2DB-42ED-A3EC-FF8C1297B969}"/>
    <cellStyle name="Uwaga 11 3" xfId="2113" xr:uid="{7FD00A85-63E3-4A23-9E4D-603FF5C03288}"/>
    <cellStyle name="Uwaga 11 4" xfId="2114" xr:uid="{CCADE2DF-7362-4A49-B666-32D3F1C27AA6}"/>
    <cellStyle name="Uwaga 11 5" xfId="2115" xr:uid="{97A8DDA1-51B1-4C87-862C-51FA844858BF}"/>
    <cellStyle name="Uwaga 11 5 2" xfId="2116" xr:uid="{01A56829-8BB8-473C-B7F0-C5A5AFFD1452}"/>
    <cellStyle name="Uwaga 11_CHP" xfId="2117" xr:uid="{AAAA39D3-50B1-4A46-B5BF-47B0D0B2B2F4}"/>
    <cellStyle name="Uwaga 12" xfId="2118" xr:uid="{4BDE3439-E127-403E-BC85-9254B0A6C083}"/>
    <cellStyle name="Uwaga 13" xfId="2119" xr:uid="{70682FB3-A47A-4F6D-AC15-C52D94FF791C}"/>
    <cellStyle name="Uwaga 14" xfId="2120" xr:uid="{47E9AA0B-626D-4BE4-BF5E-FA2526744FEF}"/>
    <cellStyle name="Uwaga 15" xfId="2121" xr:uid="{CE1D7D32-B32C-4DB5-A3C5-6568F1584DEC}"/>
    <cellStyle name="Uwaga 16" xfId="2097" xr:uid="{1BFF9A8A-1034-46D7-B3FD-91924B0FF711}"/>
    <cellStyle name="Uwaga 2" xfId="2122" xr:uid="{2A340E34-06CE-4E51-B62B-407707D1EF58}"/>
    <cellStyle name="Uwaga 3" xfId="2123" xr:uid="{3D1D4D52-65D6-4E00-8AE0-77D637F57E72}"/>
    <cellStyle name="Uwaga 4" xfId="2124" xr:uid="{2F98BA93-7F37-4DEB-B9D1-1DE57950B6AF}"/>
    <cellStyle name="Uwaga 5" xfId="2125" xr:uid="{D77113D8-532B-4552-BB4B-DE9DCB1AF915}"/>
    <cellStyle name="Uwaga 6" xfId="2126" xr:uid="{36A60D86-45C7-4CBA-B494-AB64333415B5}"/>
    <cellStyle name="Uwaga 7" xfId="2127" xr:uid="{D7479EB4-0BE3-469B-9DE4-93B96C282524}"/>
    <cellStyle name="Uwaga 8" xfId="2128" xr:uid="{0CA4333E-8F25-4B24-897F-77B4795ED9A8}"/>
    <cellStyle name="Uwaga 9" xfId="2129" xr:uid="{FC02998E-1518-4C27-B049-061873AF0634}"/>
    <cellStyle name="Uwaga 9 2" xfId="2130" xr:uid="{052DBCB7-2A43-41CA-8A93-FB4723A43B77}"/>
    <cellStyle name="Uwaga 9 3" xfId="2131" xr:uid="{5366B548-03FF-4262-96FC-53E00A306FD8}"/>
    <cellStyle name="Uwaga 9 3 2" xfId="2132" xr:uid="{4FB4F36F-0F6D-4A01-8D4F-5FE86EB9913C}"/>
    <cellStyle name="Uwaga 9 3 2 2" xfId="2133" xr:uid="{01E551DA-25CD-483D-9205-0F8BBC55E9C1}"/>
    <cellStyle name="Uwaga 9 3 2 3" xfId="2134" xr:uid="{41F4FF8E-E160-42B9-9F33-9304471EA226}"/>
    <cellStyle name="Uwaga 9 3 3" xfId="2135" xr:uid="{E39CC62D-19B5-4C18-80DB-FC0A061E943B}"/>
    <cellStyle name="Uwaga 9 3 4" xfId="2136" xr:uid="{17637959-11E0-4D98-BF35-35A194E1C009}"/>
    <cellStyle name="Uwaga 9 3 4 2" xfId="2137" xr:uid="{080A168C-593D-4AD6-BAE6-0FC6FDBD9BEF}"/>
    <cellStyle name="Uwaga 9 3_CHP" xfId="2138" xr:uid="{06ACE270-C507-4340-BAB2-FA4475CF6B53}"/>
    <cellStyle name="Uwaga 9_CHP" xfId="2139" xr:uid="{05BD6913-4FE4-484A-8951-79B7AD649D61}"/>
    <cellStyle name="Valuutta_Layo9704" xfId="2140" xr:uid="{33A5BEB6-277F-4CE2-A9FB-107B2B370FD7}"/>
    <cellStyle name="Verknüpfte Zelle 2" xfId="2141" xr:uid="{20467A52-7EA4-4B2D-926A-FD7DE485A85E}"/>
    <cellStyle name="Währung 2" xfId="2142" xr:uid="{AEDA98B9-6294-4FEE-B4DB-B4C9240577C3}"/>
    <cellStyle name="Währung 2 2" xfId="2143" xr:uid="{69AE2866-FB2F-4C22-87C8-DAE17F896EE7}"/>
    <cellStyle name="Warnender Text 2" xfId="2144" xr:uid="{01A47E30-2A57-4FA8-A3B4-3093B88F341C}"/>
    <cellStyle name="Warning Text 2" xfId="2145" xr:uid="{70D7A70B-1C43-4977-9F78-8ABA4CD6E6B4}"/>
    <cellStyle name="Warning Text 3" xfId="2146" xr:uid="{23F5DFF3-9748-4C93-8F9D-512CECE9AF16}"/>
    <cellStyle name="X10_Figs 21 dec" xfId="2147" xr:uid="{F387A63E-C710-40AA-9405-A572A1DB8E21}"/>
    <cellStyle name="Zelle überprüfen 2" xfId="2148" xr:uid="{5090D08B-4A84-4C41-8726-D65C38C6E4AA}"/>
    <cellStyle name="Złe" xfId="2149" xr:uid="{EC6FE451-90B5-4CCE-ABA3-07AD1FB7E0A6}"/>
    <cellStyle name="Złe 10" xfId="2150" xr:uid="{D551D66A-4748-429A-93F9-5730CA49F857}"/>
    <cellStyle name="Złe 10 2" xfId="2151" xr:uid="{8F83A6B7-3B15-49F7-99E2-D4FFEB7647FB}"/>
    <cellStyle name="Złe 10 3" xfId="2152" xr:uid="{74D261F4-37E4-4BF7-BD8B-12B7AAFF7FF6}"/>
    <cellStyle name="Złe 10_COM_BND" xfId="2153" xr:uid="{9CCBCF6F-F547-4C28-A488-71EAE46E9532}"/>
    <cellStyle name="Złe 11" xfId="2154" xr:uid="{1282CE38-69E0-4CDB-9969-E5D1FF111D78}"/>
    <cellStyle name="Złe 11 2" xfId="2155" xr:uid="{EC967FCD-06D6-4C4D-94A5-97D3EBA6876D}"/>
    <cellStyle name="Złe 12" xfId="2156" xr:uid="{4C3832DC-FCAE-4CC1-9B08-287343C9FAF5}"/>
    <cellStyle name="Złe 13" xfId="2157" xr:uid="{635FBC44-373E-4E60-BFB3-2CD3D9E340BE}"/>
    <cellStyle name="Złe 14" xfId="2158" xr:uid="{D5B1078B-1107-410F-AD8C-25FFB83AEF20}"/>
    <cellStyle name="Złe 15" xfId="2159" xr:uid="{1C9F9670-E12C-41EE-B402-D46AAC99A12D}"/>
    <cellStyle name="Złe 2" xfId="2160" xr:uid="{4173CB68-73E9-464F-993A-E10B4AE8E5ED}"/>
    <cellStyle name="Złe 3" xfId="2161" xr:uid="{5184B0E5-C2D3-4D71-9E90-8E0F143569A4}"/>
    <cellStyle name="Złe 4" xfId="2162" xr:uid="{9BF0F837-D9C6-485B-83B0-D59A3AB1F32B}"/>
    <cellStyle name="Złe 5" xfId="2163" xr:uid="{0F1A84F9-7272-4862-ADC1-C89BA7855F2E}"/>
    <cellStyle name="Złe 6" xfId="2164" xr:uid="{4D4DDA77-5080-4EA7-8C17-9FEC43017DA7}"/>
    <cellStyle name="Złe 7" xfId="2165" xr:uid="{C9F0B5C5-BA5D-4A36-ACC0-0E03E4257382}"/>
    <cellStyle name="Złe 8" xfId="2166" xr:uid="{B80748B7-87FB-44F8-94A3-EEA5033A52A0}"/>
    <cellStyle name="Złe 9" xfId="2167" xr:uid="{C5C53417-8415-4590-A935-2ADA8375F797}"/>
    <cellStyle name="Złe 9 2" xfId="2168" xr:uid="{F7C6BD8C-8254-483F-9D84-EC3AC7212D1F}"/>
    <cellStyle name="Złe 9 3" xfId="2169" xr:uid="{8A8E994E-1CF3-4EE7-9B61-5001FB9DC7A4}"/>
    <cellStyle name="Złe 9_COM_BND" xfId="2170" xr:uid="{62653483-550B-45E1-B1C5-A984FA2E110C}"/>
    <cellStyle name="Złe_CHP" xfId="2171" xr:uid="{F10F355E-9B9B-490D-8199-387B503D5AD9}"/>
    <cellStyle name="Обычный_2++_CRFReport-template" xfId="2172" xr:uid="{FCBCE1E5-998C-4449-B2F2-0B8B5266E411}"/>
    <cellStyle name="已访问的超链接" xfId="2173" xr:uid="{8E70B15A-6560-47CD-B1FE-E76EA682CD3E}"/>
  </cellStyles>
  <dxfs count="49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021F903-CDDD-4041-B182-669F17A660DC}">
      <tableStyleElement type="wholeTable" dxfId="48"/>
      <tableStyleElement type="headerRow" dxfId="47"/>
      <tableStyleElement type="totalRow" dxfId="46"/>
      <tableStyleElement type="firstColumn" dxfId="45"/>
      <tableStyleElement type="lastColumn" dxfId="44"/>
      <tableStyleElement type="firstRowStripe" dxfId="43"/>
      <tableStyleElement type="secondRowStripe" dxfId="42"/>
      <tableStyleElement type="firstColumnStripe" dxfId="41"/>
      <tableStyleElement type="secondColumnStripe" dxfId="40"/>
    </tableStyle>
    <tableStyle name="E4tech Table Style_2" pivot="0" count="9" xr9:uid="{5739365B-7BC6-44F7-9262-306F9D7F75F2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secondRowStripe" dxfId="33"/>
      <tableStyleElement type="firstColumnStripe" dxfId="32"/>
      <tableStyleElement type="secondColumnStripe" dxfId="31"/>
    </tableStyle>
    <tableStyle name="E4tech Table Style_3" pivot="0" count="7" xr9:uid="{1905C4D3-CF66-4714-AABC-F093960FB1C7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E4tech Table Style_4" pivot="0" count="7" xr9:uid="{0C674041-92E7-4B20-ACA7-7BB08659B047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E4tech Table Style_5" pivot="0" count="7" xr9:uid="{6B0CE0BC-C68B-4A9A-893F-E865286EEF18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E4tech Table Style_6" pivot="0" count="7" xr9:uid="{C36BB948-B0BE-4552-82B4-A2EFE726C6BF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Tmpl_Table" pivot="0" count="2" xr9:uid="{045ACB01-BFFC-4E47-ABF0-F9A96056E47F}">
      <tableStyleElement type="wholeTable" dxfId="2"/>
      <tableStyleElement type="headerRow" dxfId="1"/>
    </tableStyle>
  </tableStyles>
  <colors>
    <mruColors>
      <color rgb="FFFF7F0E"/>
      <color rgb="FF1F77B4"/>
      <color rgb="FFC04B25"/>
      <color rgb="FF8C2D19"/>
      <color rgb="FFD62728"/>
      <color rgb="FF1BC7A6"/>
      <color rgb="FF9C9C9C"/>
      <color rgb="FF66C2A5"/>
      <color rgb="FF2CA02C"/>
      <color rgb="FF17BE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15831638319378"/>
          <c:y val="3.1677465802735782E-2"/>
          <c:w val="0.82832715641131227"/>
          <c:h val="0.76868647358605013"/>
        </c:manualLayout>
      </c:layout>
      <c:areaChart>
        <c:grouping val="stacked"/>
        <c:varyColors val="0"/>
        <c:ser>
          <c:idx val="0"/>
          <c:order val="0"/>
          <c:tx>
            <c:strRef>
              <c:f>Arkusz1!$B$36</c:f>
              <c:strCache>
                <c:ptCount val="1"/>
                <c:pt idx="0">
                  <c:v>Węgiel kamienny</c:v>
                </c:pt>
              </c:strCache>
            </c:strRef>
          </c:tx>
          <c:spPr>
            <a:solidFill>
              <a:srgbClr val="4D4D4D"/>
            </a:solidFill>
            <a:ln w="25400">
              <a:noFill/>
            </a:ln>
            <a:effectLst/>
          </c:spPr>
          <c:cat>
            <c:numRef>
              <c:f>Arkusz1!$C$18:$I$18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Arkusz1!$C$36:$I$36</c:f>
              <c:numCache>
                <c:formatCode>0.00</c:formatCode>
                <c:ptCount val="7"/>
                <c:pt idx="0">
                  <c:v>13</c:v>
                </c:pt>
                <c:pt idx="1">
                  <c:v>12.5</c:v>
                </c:pt>
                <c:pt idx="2">
                  <c:v>10</c:v>
                </c:pt>
                <c:pt idx="3">
                  <c:v>7.5</c:v>
                </c:pt>
                <c:pt idx="4">
                  <c:v>5</c:v>
                </c:pt>
                <c:pt idx="5">
                  <c:v>2.5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1-4EFB-A3D6-4416D04C7478}"/>
            </c:ext>
          </c:extLst>
        </c:ser>
        <c:ser>
          <c:idx val="1"/>
          <c:order val="1"/>
          <c:tx>
            <c:strRef>
              <c:f>Arkusz1!$B$37</c:f>
              <c:strCache>
                <c:ptCount val="1"/>
                <c:pt idx="0">
                  <c:v>Węgiel brunatny</c:v>
                </c:pt>
              </c:strCache>
            </c:strRef>
          </c:tx>
          <c:spPr>
            <a:solidFill>
              <a:srgbClr val="7B4F2A"/>
            </a:solidFill>
            <a:ln w="25400">
              <a:noFill/>
            </a:ln>
            <a:effectLst/>
          </c:spPr>
          <c:cat>
            <c:numRef>
              <c:f>Arkusz1!$C$18:$I$18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Arkusz1!$C$37:$I$37</c:f>
              <c:numCache>
                <c:formatCode>0.00</c:formatCode>
                <c:ptCount val="7"/>
                <c:pt idx="0">
                  <c:v>0.16</c:v>
                </c:pt>
                <c:pt idx="1">
                  <c:v>0.15384615400000001</c:v>
                </c:pt>
                <c:pt idx="2">
                  <c:v>0.12307692299999999</c:v>
                </c:pt>
                <c:pt idx="3">
                  <c:v>9.2307691999999997E-2</c:v>
                </c:pt>
                <c:pt idx="4">
                  <c:v>6.1538460999999996E-2</c:v>
                </c:pt>
                <c:pt idx="5">
                  <c:v>3.0769230000000002E-2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21-4EFB-A3D6-4416D04C7478}"/>
            </c:ext>
          </c:extLst>
        </c:ser>
        <c:ser>
          <c:idx val="2"/>
          <c:order val="2"/>
          <c:tx>
            <c:strRef>
              <c:f>Arkusz1!$B$38</c:f>
              <c:strCache>
                <c:ptCount val="1"/>
                <c:pt idx="0">
                  <c:v>Gaz ziemny</c:v>
                </c:pt>
              </c:strCache>
            </c:strRef>
          </c:tx>
          <c:spPr>
            <a:solidFill>
              <a:srgbClr val="17BECF"/>
            </a:solidFill>
            <a:ln w="25400">
              <a:noFill/>
            </a:ln>
            <a:effectLst/>
          </c:spPr>
          <c:cat>
            <c:numRef>
              <c:f>Arkusz1!$C$18:$I$18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Arkusz1!$C$38:$I$38</c:f>
              <c:numCache>
                <c:formatCode>0.00</c:formatCode>
                <c:ptCount val="7"/>
                <c:pt idx="0">
                  <c:v>1.8478184</c:v>
                </c:pt>
                <c:pt idx="1">
                  <c:v>1.81521</c:v>
                </c:pt>
                <c:pt idx="2">
                  <c:v>1.6521679999999999</c:v>
                </c:pt>
                <c:pt idx="3">
                  <c:v>1.4891259999999999</c:v>
                </c:pt>
                <c:pt idx="4">
                  <c:v>1.326084</c:v>
                </c:pt>
                <c:pt idx="5">
                  <c:v>1.1630419999999999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21-4EFB-A3D6-4416D04C7478}"/>
            </c:ext>
          </c:extLst>
        </c:ser>
        <c:ser>
          <c:idx val="3"/>
          <c:order val="3"/>
          <c:tx>
            <c:strRef>
              <c:f>Arkusz1!$B$39</c:f>
              <c:strCache>
                <c:ptCount val="1"/>
                <c:pt idx="0">
                  <c:v>Biomasa</c:v>
                </c:pt>
              </c:strCache>
            </c:strRef>
          </c:tx>
          <c:spPr>
            <a:solidFill>
              <a:srgbClr val="2CA02C"/>
            </a:solidFill>
            <a:ln w="25400">
              <a:noFill/>
            </a:ln>
            <a:effectLst/>
          </c:spPr>
          <c:cat>
            <c:numRef>
              <c:f>Arkusz1!$C$18:$I$18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Arkusz1!$C$39:$I$39</c:f>
              <c:numCache>
                <c:formatCode>0.00</c:formatCode>
                <c:ptCount val="7"/>
                <c:pt idx="0">
                  <c:v>16.396461345999999</c:v>
                </c:pt>
                <c:pt idx="1">
                  <c:v>16.150443601999999</c:v>
                </c:pt>
                <c:pt idx="2">
                  <c:v>14.920354881</c:v>
                </c:pt>
                <c:pt idx="3">
                  <c:v>13.690266159999998</c:v>
                </c:pt>
                <c:pt idx="4">
                  <c:v>12.460177438999999</c:v>
                </c:pt>
                <c:pt idx="5">
                  <c:v>11.230088717999999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21-4EFB-A3D6-4416D04C7478}"/>
            </c:ext>
          </c:extLst>
        </c:ser>
        <c:ser>
          <c:idx val="4"/>
          <c:order val="4"/>
          <c:tx>
            <c:strRef>
              <c:f>Arkusz1!$B$40</c:f>
              <c:strCache>
                <c:ptCount val="1"/>
                <c:pt idx="0">
                  <c:v>Biogaz</c:v>
                </c:pt>
              </c:strCache>
            </c:strRef>
          </c:tx>
          <c:spPr>
            <a:solidFill>
              <a:srgbClr val="66C2A5"/>
            </a:solidFill>
            <a:ln w="25400">
              <a:noFill/>
            </a:ln>
            <a:effectLst/>
          </c:spPr>
          <c:cat>
            <c:numRef>
              <c:f>Arkusz1!$C$18:$I$18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Arkusz1!$C$40:$I$40</c:f>
              <c:numCache>
                <c:formatCode>0.00</c:formatCode>
                <c:ptCount val="7"/>
                <c:pt idx="0">
                  <c:v>0.55687785699999992</c:v>
                </c:pt>
                <c:pt idx="1">
                  <c:v>0.82392101600000001</c:v>
                </c:pt>
                <c:pt idx="2">
                  <c:v>2.1591368129999999</c:v>
                </c:pt>
                <c:pt idx="3">
                  <c:v>3.49435261</c:v>
                </c:pt>
                <c:pt idx="4">
                  <c:v>4.829568407</c:v>
                </c:pt>
                <c:pt idx="5">
                  <c:v>6.1647842039999992</c:v>
                </c:pt>
                <c:pt idx="6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21-4EFB-A3D6-4416D04C7478}"/>
            </c:ext>
          </c:extLst>
        </c:ser>
        <c:ser>
          <c:idx val="5"/>
          <c:order val="5"/>
          <c:tx>
            <c:strRef>
              <c:f>Arkusz1!$B$41</c:f>
              <c:strCache>
                <c:ptCount val="1"/>
                <c:pt idx="0">
                  <c:v>RDF</c:v>
                </c:pt>
              </c:strCache>
            </c:strRef>
          </c:tx>
          <c:spPr>
            <a:solidFill>
              <a:srgbClr val="9C9C9C"/>
            </a:solidFill>
            <a:ln w="25400">
              <a:noFill/>
            </a:ln>
            <a:effectLst/>
          </c:spPr>
          <c:cat>
            <c:numRef>
              <c:f>Arkusz1!$C$18:$I$18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Arkusz1!$C$41:$I$41</c:f>
              <c:numCache>
                <c:formatCode>0.00</c:formatCode>
                <c:ptCount val="7"/>
                <c:pt idx="0">
                  <c:v>4.1778839999999998E-2</c:v>
                </c:pt>
                <c:pt idx="1">
                  <c:v>0.13632580799999999</c:v>
                </c:pt>
                <c:pt idx="2">
                  <c:v>0.60906064599999998</c:v>
                </c:pt>
                <c:pt idx="3">
                  <c:v>1.0817954839999999</c:v>
                </c:pt>
                <c:pt idx="4">
                  <c:v>1.554530322</c:v>
                </c:pt>
                <c:pt idx="5">
                  <c:v>2.0272651599999998</c:v>
                </c:pt>
                <c:pt idx="6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721-4EFB-A3D6-4416D04C7478}"/>
            </c:ext>
          </c:extLst>
        </c:ser>
        <c:ser>
          <c:idx val="6"/>
          <c:order val="6"/>
          <c:tx>
            <c:strRef>
              <c:f>Arkusz1!$B$42</c:f>
              <c:strCache>
                <c:ptCount val="1"/>
                <c:pt idx="0">
                  <c:v>LPG</c:v>
                </c:pt>
              </c:strCache>
            </c:strRef>
          </c:tx>
          <c:spPr>
            <a:solidFill>
              <a:srgbClr val="1BC7A6"/>
            </a:solidFill>
            <a:ln w="25400">
              <a:noFill/>
            </a:ln>
            <a:effectLst/>
          </c:spPr>
          <c:cat>
            <c:numRef>
              <c:f>Arkusz1!$C$18:$I$18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Arkusz1!$C$42:$I$42</c:f>
              <c:numCache>
                <c:formatCode>0.00</c:formatCode>
                <c:ptCount val="7"/>
                <c:pt idx="0">
                  <c:v>1.84</c:v>
                </c:pt>
                <c:pt idx="1">
                  <c:v>1.788461538</c:v>
                </c:pt>
                <c:pt idx="2">
                  <c:v>1.5307692300000002</c:v>
                </c:pt>
                <c:pt idx="3">
                  <c:v>1.273076922</c:v>
                </c:pt>
                <c:pt idx="4">
                  <c:v>1.015384614</c:v>
                </c:pt>
                <c:pt idx="5">
                  <c:v>0.75769230600000004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721-4EFB-A3D6-4416D04C7478}"/>
            </c:ext>
          </c:extLst>
        </c:ser>
        <c:ser>
          <c:idx val="7"/>
          <c:order val="7"/>
          <c:tx>
            <c:strRef>
              <c:f>Arkusz1!$B$43</c:f>
              <c:strCache>
                <c:ptCount val="1"/>
                <c:pt idx="0">
                  <c:v>Benzyna</c:v>
                </c:pt>
              </c:strCache>
            </c:strRef>
          </c:tx>
          <c:spPr>
            <a:solidFill>
              <a:srgbClr val="D62728"/>
            </a:solidFill>
            <a:ln w="25400">
              <a:noFill/>
            </a:ln>
            <a:effectLst/>
          </c:spPr>
          <c:cat>
            <c:numRef>
              <c:f>Arkusz1!$C$18:$I$18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Arkusz1!$C$43:$I$43</c:f>
              <c:numCache>
                <c:formatCode>0.00</c:formatCode>
                <c:ptCount val="7"/>
                <c:pt idx="0">
                  <c:v>0.103137692</c:v>
                </c:pt>
                <c:pt idx="1">
                  <c:v>0.10301701199999999</c:v>
                </c:pt>
                <c:pt idx="2">
                  <c:v>0.10241361</c:v>
                </c:pt>
                <c:pt idx="3">
                  <c:v>0.101810208</c:v>
                </c:pt>
                <c:pt idx="4">
                  <c:v>0.101206806</c:v>
                </c:pt>
                <c:pt idx="5">
                  <c:v>0.10060340399999999</c:v>
                </c:pt>
                <c:pt idx="6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721-4EFB-A3D6-4416D04C7478}"/>
            </c:ext>
          </c:extLst>
        </c:ser>
        <c:ser>
          <c:idx val="8"/>
          <c:order val="8"/>
          <c:tx>
            <c:strRef>
              <c:f>Arkusz1!$B$44</c:f>
              <c:strCache>
                <c:ptCount val="1"/>
                <c:pt idx="0">
                  <c:v>Olej napędowy</c:v>
                </c:pt>
              </c:strCache>
            </c:strRef>
          </c:tx>
          <c:spPr>
            <a:solidFill>
              <a:srgbClr val="8C2D19"/>
            </a:solidFill>
            <a:ln w="25400">
              <a:noFill/>
            </a:ln>
            <a:effectLst/>
          </c:spPr>
          <c:cat>
            <c:numRef>
              <c:f>Arkusz1!$C$18:$I$18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Arkusz1!$C$44:$I$44</c:f>
              <c:numCache>
                <c:formatCode>0.00</c:formatCode>
                <c:ptCount val="7"/>
                <c:pt idx="0">
                  <c:v>85.469983900000003</c:v>
                </c:pt>
                <c:pt idx="1">
                  <c:v>83.759599903999998</c:v>
                </c:pt>
                <c:pt idx="2">
                  <c:v>75.207679923000001</c:v>
                </c:pt>
                <c:pt idx="3">
                  <c:v>66.655759942000003</c:v>
                </c:pt>
                <c:pt idx="4">
                  <c:v>58.103839960999998</c:v>
                </c:pt>
                <c:pt idx="5">
                  <c:v>49.551919980000001</c:v>
                </c:pt>
                <c:pt idx="6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721-4EFB-A3D6-4416D04C7478}"/>
            </c:ext>
          </c:extLst>
        </c:ser>
        <c:ser>
          <c:idx val="9"/>
          <c:order val="9"/>
          <c:tx>
            <c:strRef>
              <c:f>Arkusz1!$B$45</c:f>
              <c:strCache>
                <c:ptCount val="1"/>
                <c:pt idx="0">
                  <c:v>Oleje opałowe</c:v>
                </c:pt>
              </c:strCache>
            </c:strRef>
          </c:tx>
          <c:spPr>
            <a:solidFill>
              <a:srgbClr val="C04B25"/>
            </a:solidFill>
            <a:ln w="25400">
              <a:noFill/>
            </a:ln>
            <a:effectLst/>
          </c:spPr>
          <c:cat>
            <c:numRef>
              <c:f>Arkusz1!$C$18:$I$18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Arkusz1!$C$45:$I$45</c:f>
              <c:numCache>
                <c:formatCode>0.00</c:formatCode>
                <c:ptCount val="7"/>
                <c:pt idx="0">
                  <c:v>3.09461735</c:v>
                </c:pt>
                <c:pt idx="1">
                  <c:v>2.9755936059999999</c:v>
                </c:pt>
                <c:pt idx="2">
                  <c:v>2.3804748849999999</c:v>
                </c:pt>
                <c:pt idx="3">
                  <c:v>1.785356164</c:v>
                </c:pt>
                <c:pt idx="4">
                  <c:v>1.190237443</c:v>
                </c:pt>
                <c:pt idx="5">
                  <c:v>0.59511872200000004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721-4EFB-A3D6-4416D04C7478}"/>
            </c:ext>
          </c:extLst>
        </c:ser>
        <c:ser>
          <c:idx val="10"/>
          <c:order val="10"/>
          <c:tx>
            <c:strRef>
              <c:f>Arkusz1!$B$46</c:f>
              <c:strCache>
                <c:ptCount val="1"/>
                <c:pt idx="0">
                  <c:v>Energia elektryczna</c:v>
                </c:pt>
              </c:strCache>
            </c:strRef>
          </c:tx>
          <c:spPr>
            <a:solidFill>
              <a:srgbClr val="1F77B4"/>
            </a:solidFill>
            <a:ln w="25400">
              <a:noFill/>
            </a:ln>
            <a:effectLst/>
          </c:spPr>
          <c:cat>
            <c:numRef>
              <c:f>Arkusz1!$C$18:$I$18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Arkusz1!$C$46:$I$46</c:f>
              <c:numCache>
                <c:formatCode>0.00</c:formatCode>
                <c:ptCount val="7"/>
                <c:pt idx="0">
                  <c:v>6.3</c:v>
                </c:pt>
                <c:pt idx="1">
                  <c:v>7.057692308</c:v>
                </c:pt>
                <c:pt idx="2">
                  <c:v>10.846153846</c:v>
                </c:pt>
                <c:pt idx="3">
                  <c:v>14.634615384</c:v>
                </c:pt>
                <c:pt idx="4">
                  <c:v>18.423076922</c:v>
                </c:pt>
                <c:pt idx="5">
                  <c:v>22.21153846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721-4EFB-A3D6-4416D04C7478}"/>
            </c:ext>
          </c:extLst>
        </c:ser>
        <c:ser>
          <c:idx val="11"/>
          <c:order val="11"/>
          <c:tx>
            <c:strRef>
              <c:f>Arkusz1!$B$47</c:f>
              <c:strCache>
                <c:ptCount val="1"/>
                <c:pt idx="0">
                  <c:v>Ciepło sieciowe</c:v>
                </c:pt>
              </c:strCache>
            </c:strRef>
          </c:tx>
          <c:spPr>
            <a:solidFill>
              <a:srgbClr val="FF7F0E"/>
            </a:solidFill>
            <a:ln w="25400">
              <a:noFill/>
            </a:ln>
            <a:effectLst/>
          </c:spPr>
          <c:cat>
            <c:numRef>
              <c:f>Arkusz1!$C$18:$I$18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Arkusz1!$C$47:$I$47</c:f>
              <c:numCache>
                <c:formatCode>0.00</c:formatCode>
                <c:ptCount val="7"/>
                <c:pt idx="0">
                  <c:v>0.62</c:v>
                </c:pt>
                <c:pt idx="1">
                  <c:v>0.71153846199999993</c:v>
                </c:pt>
                <c:pt idx="2">
                  <c:v>1.16923077</c:v>
                </c:pt>
                <c:pt idx="3">
                  <c:v>1.6269230780000001</c:v>
                </c:pt>
                <c:pt idx="4">
                  <c:v>2.0846153859999998</c:v>
                </c:pt>
                <c:pt idx="5">
                  <c:v>2.5423076940000002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721-4EFB-A3D6-4416D04C7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136911"/>
        <c:axId val="193851663"/>
      </c:areaChart>
      <c:catAx>
        <c:axId val="1860136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3851663"/>
        <c:crosses val="autoZero"/>
        <c:auto val="1"/>
        <c:lblAlgn val="ctr"/>
        <c:lblOffset val="100"/>
        <c:noMultiLvlLbl val="0"/>
      </c:catAx>
      <c:valAx>
        <c:axId val="19385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PJ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60136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125447670863645"/>
          <c:y val="0.87004937557751283"/>
          <c:w val="0.78623889921842183"/>
          <c:h val="0.112672006711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+mn-lt"/>
        </a:defRPr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323850</xdr:colOff>
      <xdr:row>4</xdr:row>
      <xdr:rowOff>200025</xdr:rowOff>
    </xdr:from>
    <xdr:to>
      <xdr:col>7</xdr:col>
      <xdr:colOff>508635</xdr:colOff>
      <xdr:row>7</xdr:row>
      <xdr:rowOff>10160</xdr:rowOff>
    </xdr:to>
    <xdr:pic>
      <xdr:nvPicPr>
        <xdr:cNvPr id="2" name="Picture 1" descr="Shape&#10;&#10;Description automatically generated with medium confidence">
          <a:extLst>
            <a:ext uri="{FF2B5EF4-FFF2-40B4-BE49-F238E27FC236}">
              <a16:creationId xmlns:a16="http://schemas.microsoft.com/office/drawing/2014/main" id="{92FC341F-40DF-4F21-8D09-FC43068CBE2D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2170" y="1274445"/>
          <a:ext cx="3110865" cy="49593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</xdr:row>
      <xdr:rowOff>47625</xdr:rowOff>
    </xdr:from>
    <xdr:to>
      <xdr:col>4</xdr:col>
      <xdr:colOff>227330</xdr:colOff>
      <xdr:row>7</xdr:row>
      <xdr:rowOff>113030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529427A9-3E34-4134-97C5-3D96D995EC31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485" y="611505"/>
          <a:ext cx="1193165" cy="1261745"/>
        </a:xfrm>
        <a:prstGeom prst="rect">
          <a:avLst/>
        </a:prstGeom>
      </xdr:spPr>
    </xdr:pic>
    <xdr:clientData/>
  </xdr:twoCellAnchor>
  <xdr:twoCellAnchor>
    <xdr:from>
      <xdr:col>4</xdr:col>
      <xdr:colOff>123825</xdr:colOff>
      <xdr:row>8</xdr:row>
      <xdr:rowOff>209550</xdr:rowOff>
    </xdr:from>
    <xdr:to>
      <xdr:col>7</xdr:col>
      <xdr:colOff>581025</xdr:colOff>
      <xdr:row>11</xdr:row>
      <xdr:rowOff>38100</xdr:rowOff>
    </xdr:to>
    <xdr:pic>
      <xdr:nvPicPr>
        <xdr:cNvPr id="4" name="Picture 2" descr="https://dewey.tailorbrands.com/production/brand_version_mockup_image/174/4193022174_05130606-e8a1-4145-bba0-4e99e62f6d85.png?cb=1606377865">
          <a:extLst>
            <a:ext uri="{FF2B5EF4-FFF2-40B4-BE49-F238E27FC236}">
              <a16:creationId xmlns:a16="http://schemas.microsoft.com/office/drawing/2014/main" id="{BEC76C6C-591A-4EF7-BE5E-C005449B6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45" t="55701" r="2339" b="9772"/>
        <a:stretch>
          <a:fillRect/>
        </a:stretch>
      </xdr:blipFill>
      <xdr:spPr bwMode="auto">
        <a:xfrm>
          <a:off x="1922145" y="2198370"/>
          <a:ext cx="338328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800100</xdr:colOff>
      <xdr:row>2</xdr:row>
      <xdr:rowOff>274320</xdr:rowOff>
    </xdr:from>
    <xdr:to>
      <xdr:col>9</xdr:col>
      <xdr:colOff>91440</xdr:colOff>
      <xdr:row>6</xdr:row>
      <xdr:rowOff>213360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2E46D1-1F7A-47FC-AABA-DB52DED30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838200"/>
          <a:ext cx="1242060" cy="906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9525</xdr:colOff>
      <xdr:row>4</xdr:row>
      <xdr:rowOff>19050</xdr:rowOff>
    </xdr:from>
    <xdr:to>
      <xdr:col>43</xdr:col>
      <xdr:colOff>240977</xdr:colOff>
      <xdr:row>16</xdr:row>
      <xdr:rowOff>64785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2B7C034-B5A7-491B-A5ED-A8EA7389D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95065" y="1192530"/>
          <a:ext cx="7729533" cy="2057416"/>
        </a:xfrm>
        <a:prstGeom prst="rect">
          <a:avLst/>
        </a:prstGeom>
      </xdr:spPr>
    </xdr:pic>
    <xdr:clientData/>
  </xdr:twoCellAnchor>
  <xdr:twoCellAnchor editAs="oneCell">
    <xdr:from>
      <xdr:col>31</xdr:col>
      <xdr:colOff>7368</xdr:colOff>
      <xdr:row>25</xdr:row>
      <xdr:rowOff>62661</xdr:rowOff>
    </xdr:from>
    <xdr:to>
      <xdr:col>43</xdr:col>
      <xdr:colOff>467451</xdr:colOff>
      <xdr:row>42</xdr:row>
      <xdr:rowOff>72676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F833BEA7-5F0E-48B8-A5B0-EC875B13E44F}"/>
            </a:ext>
            <a:ext uri="{147F2762-F138-4A5C-976F-8EAC2B608ADB}">
              <a16:predDERef xmlns:a16="http://schemas.microsoft.com/office/drawing/2014/main" pred="{96BD2D55-87A6-A8F6-3B15-9C7607E38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92908" y="3415461"/>
          <a:ext cx="7958164" cy="2859896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73</xdr:row>
      <xdr:rowOff>9525</xdr:rowOff>
    </xdr:from>
    <xdr:to>
      <xdr:col>23</xdr:col>
      <xdr:colOff>530039</xdr:colOff>
      <xdr:row>91</xdr:row>
      <xdr:rowOff>51437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E50F118D-D214-4163-80C4-B811F8A1368A}"/>
            </a:ext>
            <a:ext uri="{147F2762-F138-4A5C-976F-8EAC2B608ADB}">
              <a16:predDERef xmlns:a16="http://schemas.microsoft.com/office/drawing/2014/main" pred="{EFFBE12F-015F-DC55-F325-CA9C7AE26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191" r="595"/>
        <a:stretch>
          <a:fillRect/>
        </a:stretch>
      </xdr:blipFill>
      <xdr:spPr>
        <a:xfrm>
          <a:off x="20347305" y="10250805"/>
          <a:ext cx="4954905" cy="307467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91</xdr:row>
      <xdr:rowOff>28575</xdr:rowOff>
    </xdr:from>
    <xdr:to>
      <xdr:col>23</xdr:col>
      <xdr:colOff>501464</xdr:colOff>
      <xdr:row>97</xdr:row>
      <xdr:rowOff>114300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F735E3FA-2F59-433B-8D87-D5BE4A179C1C}"/>
            </a:ext>
            <a:ext uri="{147F2762-F138-4A5C-976F-8EAC2B608ADB}">
              <a16:predDERef xmlns:a16="http://schemas.microsoft.com/office/drawing/2014/main" pred="{A73087DB-7EE7-CA03-52FE-2845D970F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37780" y="13287375"/>
          <a:ext cx="4935855" cy="109156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97</xdr:row>
      <xdr:rowOff>104775</xdr:rowOff>
    </xdr:from>
    <xdr:to>
      <xdr:col>23</xdr:col>
      <xdr:colOff>501464</xdr:colOff>
      <xdr:row>98</xdr:row>
      <xdr:rowOff>57149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571687CA-8FA1-4053-871B-33CFC71E8D9D}"/>
            </a:ext>
            <a:ext uri="{147F2762-F138-4A5C-976F-8EAC2B608ADB}">
              <a16:predDERef xmlns:a16="http://schemas.microsoft.com/office/drawing/2014/main" pred="{1F3C2EE6-5078-54E1-9059-3346F1282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337780" y="14369415"/>
          <a:ext cx="4935855" cy="12001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112</xdr:row>
      <xdr:rowOff>114300</xdr:rowOff>
    </xdr:from>
    <xdr:to>
      <xdr:col>23</xdr:col>
      <xdr:colOff>510989</xdr:colOff>
      <xdr:row>117</xdr:row>
      <xdr:rowOff>38100</xdr:rowOff>
    </xdr:to>
    <xdr:pic>
      <xdr:nvPicPr>
        <xdr:cNvPr id="7" name="Obraz 6">
          <a:extLst>
            <a:ext uri="{FF2B5EF4-FFF2-40B4-BE49-F238E27FC236}">
              <a16:creationId xmlns:a16="http://schemas.microsoft.com/office/drawing/2014/main" id="{98D4DF8B-32C4-42A1-8FE9-CECB990B823F}"/>
            </a:ext>
            <a:ext uri="{147F2762-F138-4A5C-976F-8EAC2B608ADB}">
              <a16:predDERef xmlns:a16="http://schemas.microsoft.com/office/drawing/2014/main" pred="{CDB210C7-3DBC-2A8D-FC3F-7907D76DB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337780" y="16893540"/>
          <a:ext cx="4945380" cy="7620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98</xdr:row>
      <xdr:rowOff>66675</xdr:rowOff>
    </xdr:from>
    <xdr:to>
      <xdr:col>23</xdr:col>
      <xdr:colOff>510989</xdr:colOff>
      <xdr:row>112</xdr:row>
      <xdr:rowOff>114301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C6B24D85-F5AC-4714-9B97-B7572FB808F8}"/>
            </a:ext>
            <a:ext uri="{147F2762-F138-4A5C-976F-8EAC2B608ADB}">
              <a16:predDERef xmlns:a16="http://schemas.microsoft.com/office/drawing/2014/main" pred="{F27BC1D3-06DB-2895-6060-87FA59C66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337780" y="14498955"/>
          <a:ext cx="4945380" cy="2394585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</xdr:colOff>
      <xdr:row>67</xdr:row>
      <xdr:rowOff>0</xdr:rowOff>
    </xdr:from>
    <xdr:to>
      <xdr:col>23</xdr:col>
      <xdr:colOff>253814</xdr:colOff>
      <xdr:row>72</xdr:row>
      <xdr:rowOff>142877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ACB2781A-F458-4A7D-BC75-2261DDF941B1}"/>
            </a:ext>
            <a:ext uri="{147F2762-F138-4A5C-976F-8EAC2B608ADB}">
              <a16:predDERef xmlns:a16="http://schemas.microsoft.com/office/drawing/2014/main" pred="{D5C2E6D9-2F7A-A95D-DA6F-82DEF5EB3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347305" y="9037320"/>
          <a:ext cx="4678680" cy="10801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26804</xdr:colOff>
      <xdr:row>80</xdr:row>
      <xdr:rowOff>33487</xdr:rowOff>
    </xdr:from>
    <xdr:to>
      <xdr:col>3</xdr:col>
      <xdr:colOff>93798</xdr:colOff>
      <xdr:row>107</xdr:row>
      <xdr:rowOff>125464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B8EBD933-8DAB-E553-0D77-8570E3613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922" y="9099046"/>
          <a:ext cx="4483890" cy="43378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381000</xdr:colOff>
      <xdr:row>48</xdr:row>
      <xdr:rowOff>142875</xdr:rowOff>
    </xdr:from>
    <xdr:to>
      <xdr:col>18</xdr:col>
      <xdr:colOff>457200</xdr:colOff>
      <xdr:row>65</xdr:row>
      <xdr:rowOff>20955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7C9E748F-CF57-4A86-B5FE-D0312E388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8560" y="14834235"/>
          <a:ext cx="4676775" cy="27355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371475</xdr:colOff>
      <xdr:row>65</xdr:row>
      <xdr:rowOff>28575</xdr:rowOff>
    </xdr:from>
    <xdr:to>
      <xdr:col>18</xdr:col>
      <xdr:colOff>440055</xdr:colOff>
      <xdr:row>75</xdr:row>
      <xdr:rowOff>129540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E7E88CA5-DB00-41DE-895A-1D2E43E969C8}"/>
            </a:ext>
            <a:ext uri="{147F2762-F138-4A5C-976F-8EAC2B608ADB}">
              <a16:predDERef xmlns:a16="http://schemas.microsoft.com/office/drawing/2014/main" pred="{124B5041-0B60-0505-63CF-EC2161B14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39035" y="17569815"/>
          <a:ext cx="4676775" cy="178117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40</xdr:row>
      <xdr:rowOff>95250</xdr:rowOff>
    </xdr:from>
    <xdr:to>
      <xdr:col>18</xdr:col>
      <xdr:colOff>510540</xdr:colOff>
      <xdr:row>46</xdr:row>
      <xdr:rowOff>97155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BC85B9F1-D282-4933-A3C1-4933DF6B1FFA}"/>
            </a:ext>
            <a:ext uri="{147F2762-F138-4A5C-976F-8EAC2B608ADB}">
              <a16:predDERef xmlns:a16="http://schemas.microsoft.com/office/drawing/2014/main" pred="{4F399185-A5A4-E62C-0BB3-8E03194DA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43020" y="13445490"/>
          <a:ext cx="3339465" cy="13696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74</xdr:col>
      <xdr:colOff>130751</xdr:colOff>
      <xdr:row>0</xdr:row>
      <xdr:rowOff>0</xdr:rowOff>
    </xdr:from>
    <xdr:to>
      <xdr:col>77</xdr:col>
      <xdr:colOff>661338</xdr:colOff>
      <xdr:row>2</xdr:row>
      <xdr:rowOff>45128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9807F7-5414-4940-AD7A-506D27CABC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60" t="28710" r="9157" b="26016"/>
        <a:stretch/>
      </xdr:blipFill>
      <xdr:spPr>
        <a:xfrm>
          <a:off x="49489301" y="0"/>
          <a:ext cx="2626087" cy="4388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590549</xdr:colOff>
      <xdr:row>30</xdr:row>
      <xdr:rowOff>152400</xdr:rowOff>
    </xdr:from>
    <xdr:to>
      <xdr:col>20</xdr:col>
      <xdr:colOff>504824</xdr:colOff>
      <xdr:row>58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147F801-759A-C93D-B55F-5C97A5611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ciej Raczyński" id="{91ADB97E-17F4-4366-80DD-720D8B15AD43}" userId="S::makracz@agh.edu.pl::cb8e1b6e-b599-4de2-beb4-39cd5a5d6ef8" providerId="AD"/>
  <person displayName="Patrycja Rzeszut" id="{2BB7EB7A-F824-4AF2-9147-2140347CFE5E}" userId="S::przeszut@agh.edu.pl::0d04f1b8-d0cf-4692-9c24-d678933fb5d5" providerId="AD"/>
  <person displayName="Gabriela Boroń" id="{08D2099F-BEA2-4620-8F83-940EDA5A7136}" userId="S::gaboron@student.agh.edu.pl::d68206cb-9245-4edc-9a12-46bd873af3a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4" dT="2026-02-24T12:15:43.65" personId="{91ADB97E-17F4-4366-80DD-720D8B15AD43}" id="{B156F4B2-8C8E-45A4-80F1-781A40D77A19}">
    <text>Ciepło z kogeneratorów rolniczych wyłącznie na potrzeby własne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5" dT="2026-03-10T11:31:32.49" personId="{91ADB97E-17F4-4366-80DD-720D8B15AD43}" id="{DDBC5021-F8D5-4AB4-87CB-5D42EBB66CE2}">
    <text>Share wg scenariusza RDF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N26" dT="2025-10-16T11:36:39.69" personId="{2BB7EB7A-F824-4AF2-9147-2140347CFE5E}" id="{F25D57A7-DA81-45F0-B1B5-DC6D28453F2B}">
    <text>Odpad świeży, ton/ha; pomniejszony do 33% - nadwyżka słomy. Nadwyżka słomy dostępnej do wykorzystania na potrzeby energetyczne w 2016 r. Hryniewicz, Grzybek </text>
  </threadedComment>
  <threadedComment ref="AN95" dT="2025-10-21T08:40:34.83" personId="{2BB7EB7A-F824-4AF2-9147-2140347CFE5E}" id="{BE394215-FF53-463E-939D-42B35A404009}">
    <text>Brak danych o uzysku odpadów.</text>
  </threadedComment>
  <threadedComment ref="C112" dT="2024-07-14T16:56:08.00" personId="{08D2099F-BEA2-4620-8F83-940EDA5A7136}" id="{28E661DA-59E0-498B-BDBC-CB24C1CB515E}">
    <text xml:space="preserve">Powierzchnia uprawy, plony i zbiory:
Jabłek w sadach
Gruszek w sadach
Śliwek w sadach
Wiśni w sadach
Czereśni w sadach
Pozostałych owoców z drzew w sadach
Truskawek i poziomek gruntowych
Malin w sadach
Porzeczek ogółem w sadach
Borówki wysokiej w sadach
Aronii w sadach
Agrestu w sadach
Pozostałych owoców z krzewów i plantacji jagodowych w sadach </text>
  </threadedComment>
  <threadedComment ref="C117" dT="2024-07-14T16:43:32.75" personId="{08D2099F-BEA2-4620-8F83-940EDA5A7136}" id="{BCAF5637-E2F4-4F03-8B75-49508CEAA675}">
    <text xml:space="preserve">Powierzchnia, plony i zbiory z następujących warzyw: Kapusty gruntowej
Kalafiorów gruntowych
Cebuli gruntowej
Marchwi jadalnej gruntowej
Buraków ćwikłowych gruntowych
Ogórków gruntowych
Pomidorów gruntowych
Pietruszki gruntowej
Selerów korzeniowych
Dynii, kabaczka i cukinii
Kukurydzy cukrowej
Pozostałych warzyw gruntowych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Y3" dT="2025-10-15T15:56:09.58" personId="{2BB7EB7A-F824-4AF2-9147-2140347CFE5E}" id="{57982017-164E-496E-8A5A-5DB2EBB981AE}">
    <text>t/rok, świeżej masy, obornik i gnojowica razem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O3" dT="2024-07-08T12:09:05.75" personId="{08D2099F-BEA2-4620-8F83-940EDA5A7136}" id="{448E6D92-8F11-472F-B64A-4DA688ED5CC3}">
    <text>Do znalezienia</text>
  </threadedComment>
  <threadedComment ref="L5" dT="2024-01-14T23:26:11.04" personId="{91ADB97E-17F4-4366-80DD-720D8B15AD43}" id="{5616DBBB-A6C3-4D95-8004-9E9C9A0DDC8A}">
    <text>Wartość do sprawdzenia?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M7" dT="2026-03-10T11:31:54.37" personId="{91ADB97E-17F4-4366-80DD-720D8B15AD43}" id="{4062344E-0FCE-4BC0-8898-174144F25BC5}">
    <text>Współczynnik emisji wg scenariusza RDF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kracz@agh.edu.p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../../_vti_history/20480/Shared%20Documents/General/Downloads/2022_Estimation-of-CH4-emissions-from-manure-management-in-China_CCAC_CH4dla_cattle__shieep_swine_goat.pdf" TargetMode="External"/><Relationship Id="rId6" Type="http://schemas.microsoft.com/office/2017/10/relationships/threadedComment" Target="../threadedComments/threadedComment4.xm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80DE-7D6C-4414-BC51-AF81AEEF9C5F}">
  <dimension ref="A1:O50"/>
  <sheetViews>
    <sheetView workbookViewId="0">
      <selection activeCell="F22" sqref="F22"/>
    </sheetView>
  </sheetViews>
  <sheetFormatPr defaultColWidth="9.140625" defaultRowHeight="18.75"/>
  <cols>
    <col min="1" max="3" width="4" style="35" customWidth="1"/>
    <col min="4" max="9" width="14.42578125" style="35" customWidth="1"/>
    <col min="10" max="12" width="4" style="35" customWidth="1"/>
    <col min="13" max="16384" width="9.140625" style="35"/>
  </cols>
  <sheetData>
    <row r="1" spans="1:15" ht="22.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5" ht="22.5" customHeight="1">
      <c r="A2" s="36"/>
      <c r="B2" s="34"/>
      <c r="C2" s="33"/>
      <c r="D2" s="33"/>
      <c r="E2" s="33"/>
      <c r="F2" s="33"/>
      <c r="G2" s="33"/>
      <c r="H2" s="33"/>
      <c r="I2" s="33"/>
      <c r="J2" s="33"/>
      <c r="K2" s="32"/>
      <c r="L2" s="36"/>
    </row>
    <row r="3" spans="1:15" ht="22.5" customHeight="1">
      <c r="A3" s="36"/>
      <c r="B3" s="31"/>
      <c r="C3" s="30"/>
      <c r="D3" s="29"/>
      <c r="E3" s="29"/>
      <c r="F3" s="29"/>
      <c r="G3" s="29"/>
      <c r="H3" s="29"/>
      <c r="I3" s="29"/>
      <c r="J3" s="28"/>
      <c r="K3" s="27"/>
      <c r="L3" s="36"/>
    </row>
    <row r="4" spans="1:15">
      <c r="A4" s="36"/>
      <c r="B4" s="31"/>
      <c r="C4" s="26"/>
      <c r="J4" s="25"/>
      <c r="K4" s="27"/>
      <c r="L4" s="36"/>
    </row>
    <row r="5" spans="1:15">
      <c r="A5" s="36"/>
      <c r="B5" s="31"/>
      <c r="C5" s="26"/>
      <c r="J5" s="25"/>
      <c r="K5" s="27"/>
      <c r="L5" s="36"/>
    </row>
    <row r="6" spans="1:15">
      <c r="A6" s="36"/>
      <c r="B6" s="31"/>
      <c r="C6" s="26"/>
      <c r="J6" s="25"/>
      <c r="K6" s="27"/>
      <c r="L6" s="36"/>
      <c r="O6" s="24"/>
    </row>
    <row r="7" spans="1:15">
      <c r="A7" s="36"/>
      <c r="B7" s="31"/>
      <c r="C7" s="26"/>
      <c r="J7" s="25"/>
      <c r="K7" s="27"/>
      <c r="L7" s="36"/>
    </row>
    <row r="8" spans="1:15">
      <c r="A8" s="36"/>
      <c r="B8" s="31"/>
      <c r="C8" s="26"/>
      <c r="J8" s="25"/>
      <c r="K8" s="27"/>
      <c r="L8" s="36"/>
    </row>
    <row r="9" spans="1:15">
      <c r="A9" s="36"/>
      <c r="B9" s="31"/>
      <c r="C9" s="26"/>
      <c r="J9" s="25"/>
      <c r="K9" s="27"/>
      <c r="L9" s="36"/>
    </row>
    <row r="10" spans="1:15">
      <c r="A10" s="36"/>
      <c r="B10" s="31"/>
      <c r="C10" s="26"/>
      <c r="J10" s="25"/>
      <c r="K10" s="27"/>
      <c r="L10" s="36"/>
    </row>
    <row r="11" spans="1:15">
      <c r="A11" s="36"/>
      <c r="B11" s="31"/>
      <c r="C11" s="26"/>
      <c r="J11" s="25"/>
      <c r="K11" s="27"/>
      <c r="L11" s="36"/>
    </row>
    <row r="12" spans="1:15">
      <c r="A12" s="36"/>
      <c r="B12" s="31"/>
      <c r="C12" s="26"/>
      <c r="J12" s="25"/>
      <c r="K12" s="27"/>
      <c r="L12" s="36"/>
    </row>
    <row r="13" spans="1:15">
      <c r="A13" s="36"/>
      <c r="B13" s="31"/>
      <c r="C13" s="26"/>
      <c r="J13" s="25"/>
      <c r="K13" s="27"/>
      <c r="L13" s="36"/>
    </row>
    <row r="14" spans="1:15">
      <c r="A14" s="36"/>
      <c r="B14" s="31"/>
      <c r="C14" s="26"/>
      <c r="D14" s="938" t="s">
        <v>0</v>
      </c>
      <c r="E14" s="938"/>
      <c r="F14" s="939" t="s">
        <v>1</v>
      </c>
      <c r="G14" s="939"/>
      <c r="H14" s="939"/>
      <c r="J14" s="25"/>
      <c r="K14" s="27"/>
      <c r="L14" s="36"/>
    </row>
    <row r="15" spans="1:15">
      <c r="A15" s="36"/>
      <c r="B15" s="31"/>
      <c r="C15" s="26"/>
      <c r="D15" s="23"/>
      <c r="E15" s="23"/>
      <c r="F15" s="939"/>
      <c r="G15" s="939"/>
      <c r="H15" s="939"/>
      <c r="J15" s="25"/>
      <c r="K15" s="27"/>
      <c r="L15" s="36"/>
    </row>
    <row r="16" spans="1:15">
      <c r="A16" s="36"/>
      <c r="B16" s="31"/>
      <c r="C16" s="26"/>
      <c r="J16" s="25"/>
      <c r="K16" s="27"/>
      <c r="L16" s="36"/>
    </row>
    <row r="17" spans="1:12">
      <c r="A17" s="36"/>
      <c r="B17" s="31"/>
      <c r="C17" s="26"/>
      <c r="J17" s="25"/>
      <c r="K17" s="27"/>
      <c r="L17" s="36"/>
    </row>
    <row r="18" spans="1:12" ht="18.75" customHeight="1">
      <c r="A18" s="36"/>
      <c r="B18" s="31"/>
      <c r="C18" s="26"/>
      <c r="D18" s="938" t="s">
        <v>2</v>
      </c>
      <c r="E18" s="938"/>
      <c r="F18" s="939" t="s">
        <v>3</v>
      </c>
      <c r="G18" s="939"/>
      <c r="H18" s="939"/>
      <c r="I18" s="939"/>
      <c r="J18" s="25"/>
      <c r="K18" s="27"/>
      <c r="L18" s="36"/>
    </row>
    <row r="19" spans="1:12">
      <c r="A19" s="36"/>
      <c r="B19" s="31"/>
      <c r="C19" s="26"/>
      <c r="D19" s="23"/>
      <c r="E19" s="23"/>
      <c r="F19" s="939"/>
      <c r="G19" s="939"/>
      <c r="H19" s="939"/>
      <c r="I19" s="939"/>
      <c r="J19" s="25"/>
      <c r="K19" s="27"/>
      <c r="L19" s="36"/>
    </row>
    <row r="20" spans="1:12">
      <c r="A20" s="36"/>
      <c r="B20" s="31"/>
      <c r="C20" s="26"/>
      <c r="D20" s="23"/>
      <c r="E20" s="23"/>
      <c r="F20" s="939"/>
      <c r="G20" s="939"/>
      <c r="H20" s="939"/>
      <c r="I20" s="939"/>
      <c r="J20" s="25"/>
      <c r="K20" s="27"/>
      <c r="L20" s="36"/>
    </row>
    <row r="21" spans="1:12">
      <c r="A21" s="36"/>
      <c r="B21" s="31"/>
      <c r="C21" s="26"/>
      <c r="F21" s="22"/>
      <c r="G21" s="22"/>
      <c r="H21" s="22"/>
      <c r="J21" s="25"/>
      <c r="K21" s="27"/>
      <c r="L21" s="36"/>
    </row>
    <row r="22" spans="1:12">
      <c r="A22" s="36"/>
      <c r="B22" s="31"/>
      <c r="C22" s="26"/>
      <c r="D22" s="938" t="s">
        <v>4</v>
      </c>
      <c r="E22" s="938"/>
      <c r="F22" s="21">
        <v>45173</v>
      </c>
      <c r="G22" s="2"/>
      <c r="H22" s="2"/>
      <c r="J22" s="25"/>
      <c r="K22" s="27"/>
      <c r="L22" s="36"/>
    </row>
    <row r="23" spans="1:12">
      <c r="A23" s="36"/>
      <c r="B23" s="31"/>
      <c r="C23" s="26"/>
      <c r="D23" s="23"/>
      <c r="E23" s="23"/>
      <c r="F23" s="21"/>
      <c r="G23" s="2"/>
      <c r="H23" s="2"/>
      <c r="J23" s="25"/>
      <c r="K23" s="27"/>
      <c r="L23" s="36"/>
    </row>
    <row r="24" spans="1:12">
      <c r="A24" s="36"/>
      <c r="B24" s="31"/>
      <c r="C24" s="26"/>
      <c r="D24" s="23"/>
      <c r="E24" s="23"/>
      <c r="F24" s="21"/>
      <c r="G24" s="2"/>
      <c r="H24" s="2"/>
      <c r="J24" s="25"/>
      <c r="K24" s="27"/>
      <c r="L24" s="36"/>
    </row>
    <row r="25" spans="1:12">
      <c r="A25" s="36"/>
      <c r="B25" s="31"/>
      <c r="C25" s="26"/>
      <c r="D25" s="23" t="s">
        <v>5</v>
      </c>
      <c r="E25" s="23"/>
      <c r="F25" s="21">
        <v>45915</v>
      </c>
      <c r="G25" s="2"/>
      <c r="H25" s="2"/>
      <c r="J25" s="25"/>
      <c r="K25" s="27"/>
      <c r="L25" s="36"/>
    </row>
    <row r="26" spans="1:12">
      <c r="A26" s="36"/>
      <c r="B26" s="31"/>
      <c r="C26" s="26"/>
      <c r="D26" s="23"/>
      <c r="E26" s="23"/>
      <c r="F26" s="21"/>
      <c r="G26" s="2"/>
      <c r="H26" s="2"/>
      <c r="J26" s="25"/>
      <c r="K26" s="27"/>
      <c r="L26" s="36"/>
    </row>
    <row r="27" spans="1:12">
      <c r="A27" s="36"/>
      <c r="B27" s="31"/>
      <c r="C27" s="26"/>
      <c r="J27" s="25"/>
      <c r="K27" s="27"/>
      <c r="L27" s="36"/>
    </row>
    <row r="28" spans="1:12">
      <c r="A28" s="36"/>
      <c r="B28" s="31"/>
      <c r="C28" s="26"/>
      <c r="D28" s="938" t="s">
        <v>6</v>
      </c>
      <c r="E28" s="938"/>
      <c r="F28" s="35" t="s">
        <v>8</v>
      </c>
      <c r="J28" s="25"/>
      <c r="K28" s="27"/>
      <c r="L28" s="36"/>
    </row>
    <row r="29" spans="1:12">
      <c r="A29" s="36"/>
      <c r="B29" s="31"/>
      <c r="C29" s="26"/>
      <c r="F29" s="35" t="s">
        <v>785</v>
      </c>
      <c r="J29" s="25"/>
      <c r="K29" s="27"/>
      <c r="L29" s="36"/>
    </row>
    <row r="30" spans="1:12">
      <c r="A30" s="36"/>
      <c r="B30" s="31"/>
      <c r="C30" s="26"/>
      <c r="F30" s="35" t="s">
        <v>9</v>
      </c>
      <c r="J30" s="25"/>
      <c r="K30" s="27"/>
      <c r="L30" s="36"/>
    </row>
    <row r="31" spans="1:12">
      <c r="A31" s="36"/>
      <c r="B31" s="31"/>
      <c r="C31" s="26"/>
      <c r="F31" s="35" t="s">
        <v>7</v>
      </c>
      <c r="J31" s="25"/>
      <c r="K31" s="27"/>
      <c r="L31" s="36"/>
    </row>
    <row r="32" spans="1:12">
      <c r="A32" s="36"/>
      <c r="B32" s="31"/>
      <c r="C32" s="26"/>
      <c r="J32" s="25"/>
      <c r="K32" s="27"/>
      <c r="L32" s="36"/>
    </row>
    <row r="33" spans="1:12">
      <c r="A33" s="36"/>
      <c r="B33" s="31"/>
      <c r="C33" s="26"/>
      <c r="D33" s="938" t="s">
        <v>10</v>
      </c>
      <c r="E33" s="938"/>
      <c r="F33" s="35" t="s">
        <v>8</v>
      </c>
      <c r="J33" s="25"/>
      <c r="K33" s="27"/>
      <c r="L33" s="36"/>
    </row>
    <row r="34" spans="1:12">
      <c r="A34" s="36"/>
      <c r="B34" s="31"/>
      <c r="C34" s="26"/>
      <c r="F34" s="20" t="s">
        <v>11</v>
      </c>
      <c r="J34" s="25"/>
      <c r="K34" s="27"/>
      <c r="L34" s="36"/>
    </row>
    <row r="35" spans="1:12">
      <c r="A35" s="36"/>
      <c r="B35" s="31"/>
      <c r="C35" s="26"/>
      <c r="J35" s="25"/>
      <c r="K35" s="27"/>
      <c r="L35" s="36"/>
    </row>
    <row r="36" spans="1:12">
      <c r="A36" s="36"/>
      <c r="B36" s="31"/>
      <c r="C36" s="26"/>
      <c r="J36" s="25"/>
      <c r="K36" s="27"/>
      <c r="L36" s="36"/>
    </row>
    <row r="37" spans="1:12">
      <c r="A37" s="36"/>
      <c r="B37" s="31"/>
      <c r="C37" s="26"/>
      <c r="J37" s="25"/>
      <c r="K37" s="27"/>
      <c r="L37" s="36"/>
    </row>
    <row r="38" spans="1:12">
      <c r="A38" s="36"/>
      <c r="B38" s="31"/>
      <c r="C38" s="26"/>
      <c r="J38" s="25"/>
      <c r="K38" s="27"/>
      <c r="L38" s="36"/>
    </row>
    <row r="39" spans="1:12">
      <c r="A39" s="36"/>
      <c r="B39" s="31"/>
      <c r="C39" s="19"/>
      <c r="D39" s="18"/>
      <c r="E39" s="18"/>
      <c r="F39" s="18"/>
      <c r="G39" s="18"/>
      <c r="H39" s="18"/>
      <c r="I39" s="18"/>
      <c r="J39" s="17"/>
      <c r="K39" s="27"/>
      <c r="L39" s="36"/>
    </row>
    <row r="40" spans="1:12" ht="22.5" customHeight="1">
      <c r="A40" s="36"/>
      <c r="B40" s="16"/>
      <c r="C40" s="15"/>
      <c r="D40" s="15"/>
      <c r="E40" s="15"/>
      <c r="F40" s="15"/>
      <c r="G40" s="15"/>
      <c r="H40" s="15"/>
      <c r="I40" s="15"/>
      <c r="J40" s="15"/>
      <c r="K40" s="14"/>
      <c r="L40" s="36"/>
    </row>
    <row r="41" spans="1:12" ht="22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</row>
    <row r="49" ht="59.45" customHeight="1"/>
    <row r="50" ht="64.349999999999994" customHeight="1"/>
  </sheetData>
  <mergeCells count="7">
    <mergeCell ref="D33:E33"/>
    <mergeCell ref="D14:E14"/>
    <mergeCell ref="F14:H15"/>
    <mergeCell ref="D18:E18"/>
    <mergeCell ref="F18:I20"/>
    <mergeCell ref="D22:E22"/>
    <mergeCell ref="D28:E28"/>
  </mergeCells>
  <hyperlinks>
    <hyperlink ref="F34" r:id="rId1" display="makracz@agh.edu.pl" xr:uid="{38A833B5-235A-4C0D-AAAE-1A78D04B11EA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646B-3034-44F3-AAB9-2110DBA5B5E4}">
  <dimension ref="A1:R39"/>
  <sheetViews>
    <sheetView workbookViewId="0">
      <selection activeCell="M34" sqref="M34"/>
    </sheetView>
  </sheetViews>
  <sheetFormatPr defaultColWidth="9.140625" defaultRowHeight="12.75"/>
  <cols>
    <col min="1" max="3" width="4" style="229" customWidth="1"/>
    <col min="4" max="4" width="22.28515625" style="229" customWidth="1"/>
    <col min="5" max="5" width="43.140625" style="229" customWidth="1"/>
    <col min="6" max="6" width="44.42578125" style="229" customWidth="1"/>
    <col min="7" max="9" width="4" style="229" customWidth="1"/>
    <col min="10" max="14" width="9.140625" style="229"/>
    <col min="15" max="15" width="19.140625" style="229" customWidth="1"/>
    <col min="16" max="16" width="20.7109375" style="229" customWidth="1"/>
    <col min="17" max="17" width="40" style="229" customWidth="1"/>
    <col min="18" max="18" width="22" style="229" customWidth="1"/>
    <col min="19" max="16384" width="9.140625" style="229"/>
  </cols>
  <sheetData>
    <row r="1" spans="1:18" ht="22.5" customHeight="1">
      <c r="A1" s="36"/>
      <c r="B1" s="36"/>
      <c r="C1" s="36"/>
      <c r="D1" s="36"/>
      <c r="E1" s="36"/>
      <c r="F1" s="36"/>
      <c r="G1" s="36"/>
      <c r="H1" s="36"/>
      <c r="I1" s="36"/>
    </row>
    <row r="2" spans="1:18" ht="22.5" customHeight="1">
      <c r="A2" s="36"/>
      <c r="B2" s="34"/>
      <c r="C2" s="33"/>
      <c r="D2" s="33"/>
      <c r="E2" s="33"/>
      <c r="F2" s="33"/>
      <c r="G2" s="33"/>
      <c r="H2" s="32"/>
      <c r="I2" s="36"/>
    </row>
    <row r="3" spans="1:18" ht="18.75">
      <c r="A3" s="36"/>
      <c r="B3" s="31"/>
      <c r="C3" s="30"/>
      <c r="D3" s="29"/>
      <c r="E3" s="29"/>
      <c r="F3" s="29"/>
      <c r="G3" s="28"/>
      <c r="H3" s="27"/>
      <c r="I3" s="36"/>
    </row>
    <row r="4" spans="1:18" ht="18.75">
      <c r="A4" s="36"/>
      <c r="B4" s="31"/>
      <c r="C4" s="26"/>
      <c r="D4" s="940" t="s">
        <v>12</v>
      </c>
      <c r="E4" s="940"/>
      <c r="F4" s="940"/>
      <c r="G4" s="25"/>
      <c r="H4" s="27"/>
      <c r="I4" s="36"/>
    </row>
    <row r="5" spans="1:18" ht="18.75">
      <c r="A5" s="36"/>
      <c r="B5" s="31"/>
      <c r="C5" s="26"/>
      <c r="D5" s="13"/>
      <c r="E5" s="13"/>
      <c r="F5" s="13"/>
      <c r="G5" s="25"/>
      <c r="H5" s="27"/>
      <c r="I5" s="36"/>
    </row>
    <row r="6" spans="1:18" ht="18.75">
      <c r="A6" s="36"/>
      <c r="B6" s="31"/>
      <c r="C6" s="26"/>
      <c r="D6" s="12" t="s">
        <v>786</v>
      </c>
      <c r="E6" s="11"/>
      <c r="F6" s="11"/>
      <c r="G6" s="25"/>
      <c r="H6" s="27"/>
      <c r="I6" s="36"/>
    </row>
    <row r="7" spans="1:18" ht="18.75">
      <c r="A7" s="36"/>
      <c r="B7" s="31"/>
      <c r="C7" s="26"/>
      <c r="D7" s="10"/>
      <c r="E7" s="9"/>
      <c r="F7" s="9"/>
      <c r="G7" s="25"/>
      <c r="H7" s="27"/>
      <c r="I7" s="36"/>
    </row>
    <row r="8" spans="1:18" ht="18.75">
      <c r="A8" s="36"/>
      <c r="B8" s="31"/>
      <c r="C8" s="26"/>
      <c r="D8" s="260" t="s">
        <v>776</v>
      </c>
      <c r="E8" s="260" t="s">
        <v>778</v>
      </c>
      <c r="F8" s="260" t="s">
        <v>779</v>
      </c>
      <c r="G8" s="25"/>
      <c r="H8" s="27"/>
      <c r="I8" s="36"/>
    </row>
    <row r="9" spans="1:18" ht="18.75">
      <c r="A9" s="36"/>
      <c r="B9" s="31"/>
      <c r="C9" s="26"/>
      <c r="D9" s="8" t="s">
        <v>782</v>
      </c>
      <c r="E9" s="8" t="s">
        <v>13</v>
      </c>
      <c r="F9" s="8" t="s">
        <v>783</v>
      </c>
      <c r="G9" s="25"/>
      <c r="H9" s="27"/>
      <c r="I9" s="36"/>
    </row>
    <row r="10" spans="1:18" ht="18.75">
      <c r="A10" s="36"/>
      <c r="B10" s="31"/>
      <c r="C10" s="26"/>
      <c r="D10" s="8" t="s">
        <v>799</v>
      </c>
      <c r="E10" s="8" t="s">
        <v>13</v>
      </c>
      <c r="F10" s="8" t="s">
        <v>784</v>
      </c>
      <c r="G10" s="25"/>
      <c r="H10" s="27"/>
      <c r="I10" s="36"/>
    </row>
    <row r="11" spans="1:18" ht="18.75">
      <c r="A11" s="36"/>
      <c r="B11" s="31"/>
      <c r="C11" s="26"/>
      <c r="D11" s="8" t="s">
        <v>777</v>
      </c>
      <c r="E11" s="8" t="s">
        <v>13</v>
      </c>
      <c r="F11" s="8" t="s">
        <v>780</v>
      </c>
      <c r="G11" s="25"/>
      <c r="H11" s="27"/>
      <c r="I11" s="36"/>
      <c r="O11" s="425"/>
      <c r="P11" s="425"/>
      <c r="Q11" s="425"/>
      <c r="R11" s="425"/>
    </row>
    <row r="12" spans="1:18" ht="18.75">
      <c r="A12" s="36"/>
      <c r="B12" s="31"/>
      <c r="C12" s="26"/>
      <c r="D12" s="8" t="s">
        <v>781</v>
      </c>
      <c r="E12" s="8" t="s">
        <v>791</v>
      </c>
      <c r="F12" s="8"/>
      <c r="G12" s="25"/>
      <c r="H12" s="27"/>
      <c r="I12" s="36"/>
    </row>
    <row r="13" spans="1:18" ht="18.75">
      <c r="A13" s="36"/>
      <c r="B13" s="31"/>
      <c r="C13" s="26"/>
      <c r="D13" s="8" t="s">
        <v>144</v>
      </c>
      <c r="E13" s="8" t="s">
        <v>791</v>
      </c>
      <c r="F13" s="8"/>
      <c r="G13" s="25"/>
      <c r="H13" s="27"/>
      <c r="I13" s="36"/>
    </row>
    <row r="14" spans="1:18" ht="18.75">
      <c r="A14" s="36"/>
      <c r="B14" s="31"/>
      <c r="C14" s="26"/>
      <c r="D14" s="8" t="s">
        <v>55</v>
      </c>
      <c r="E14" s="8" t="s">
        <v>791</v>
      </c>
      <c r="F14" s="8"/>
      <c r="G14" s="25"/>
      <c r="H14" s="27"/>
      <c r="I14" s="36"/>
    </row>
    <row r="15" spans="1:18" ht="18.75">
      <c r="A15" s="36"/>
      <c r="B15" s="31"/>
      <c r="C15" s="26"/>
      <c r="D15" s="8" t="s">
        <v>787</v>
      </c>
      <c r="E15" s="8" t="s">
        <v>13</v>
      </c>
      <c r="F15" s="8"/>
      <c r="G15" s="25"/>
      <c r="H15" s="27"/>
      <c r="I15" s="36"/>
    </row>
    <row r="16" spans="1:18" ht="18.75">
      <c r="A16" s="36"/>
      <c r="B16" s="31"/>
      <c r="C16" s="26"/>
      <c r="D16" s="8" t="s">
        <v>788</v>
      </c>
      <c r="E16" s="8" t="s">
        <v>791</v>
      </c>
      <c r="F16" s="8"/>
      <c r="G16" s="25"/>
      <c r="H16" s="27"/>
      <c r="I16" s="36"/>
    </row>
    <row r="17" spans="1:9" ht="18.75">
      <c r="A17" s="36"/>
      <c r="B17" s="31"/>
      <c r="C17" s="26"/>
      <c r="D17" s="8" t="s">
        <v>790</v>
      </c>
      <c r="E17" s="8" t="s">
        <v>13</v>
      </c>
      <c r="F17" s="8"/>
      <c r="G17" s="25"/>
      <c r="H17" s="27"/>
      <c r="I17" s="36"/>
    </row>
    <row r="18" spans="1:9" ht="18.75">
      <c r="A18" s="36"/>
      <c r="B18" s="31"/>
      <c r="C18" s="26"/>
      <c r="D18" s="8" t="s">
        <v>789</v>
      </c>
      <c r="E18" s="8" t="s">
        <v>13</v>
      </c>
      <c r="F18" s="8" t="s">
        <v>780</v>
      </c>
      <c r="G18" s="25"/>
      <c r="H18" s="27"/>
      <c r="I18" s="36"/>
    </row>
    <row r="19" spans="1:9" ht="18.75">
      <c r="A19" s="36"/>
      <c r="B19" s="31"/>
      <c r="C19" s="26"/>
      <c r="D19" s="8"/>
      <c r="E19" s="8"/>
      <c r="F19" s="8"/>
      <c r="G19" s="25"/>
      <c r="H19" s="27"/>
      <c r="I19" s="36"/>
    </row>
    <row r="20" spans="1:9" ht="18.75">
      <c r="A20" s="36"/>
      <c r="B20" s="31"/>
      <c r="C20" s="26"/>
      <c r="D20" s="7"/>
      <c r="E20" s="6"/>
      <c r="F20" s="6"/>
      <c r="G20" s="25"/>
      <c r="H20" s="27"/>
      <c r="I20" s="36"/>
    </row>
    <row r="21" spans="1:9" ht="18.75">
      <c r="A21" s="36"/>
      <c r="B21" s="31"/>
      <c r="C21" s="26"/>
      <c r="D21" s="5"/>
      <c r="E21" s="6"/>
      <c r="F21" s="6"/>
      <c r="G21" s="25"/>
      <c r="H21" s="27"/>
      <c r="I21" s="36"/>
    </row>
    <row r="22" spans="1:9" ht="18.75">
      <c r="A22" s="36"/>
      <c r="B22" s="31"/>
      <c r="C22" s="26"/>
      <c r="D22" s="4"/>
      <c r="E22" s="6"/>
      <c r="F22" s="6"/>
      <c r="G22" s="25"/>
      <c r="H22" s="27"/>
      <c r="I22" s="36"/>
    </row>
    <row r="23" spans="1:9" ht="18.75">
      <c r="A23" s="36"/>
      <c r="B23" s="31"/>
      <c r="C23" s="26"/>
      <c r="D23" s="4"/>
      <c r="E23" s="6"/>
      <c r="F23" s="6"/>
      <c r="G23" s="25"/>
      <c r="H23" s="27"/>
      <c r="I23" s="36"/>
    </row>
    <row r="24" spans="1:9" ht="18.75">
      <c r="A24" s="36"/>
      <c r="B24" s="31"/>
      <c r="C24" s="26"/>
      <c r="D24" s="4"/>
      <c r="E24" s="6"/>
      <c r="F24" s="6"/>
      <c r="G24" s="25"/>
      <c r="H24" s="27"/>
      <c r="I24" s="36"/>
    </row>
    <row r="25" spans="1:9" ht="18.75">
      <c r="A25" s="36"/>
      <c r="B25" s="31"/>
      <c r="C25" s="26"/>
      <c r="D25" s="4"/>
      <c r="E25" s="6"/>
      <c r="F25" s="6"/>
      <c r="G25" s="25"/>
      <c r="H25" s="27"/>
      <c r="I25" s="36"/>
    </row>
    <row r="26" spans="1:9" ht="18.75">
      <c r="A26" s="36"/>
      <c r="B26" s="31"/>
      <c r="C26" s="26"/>
      <c r="D26" s="7"/>
      <c r="E26" s="6"/>
      <c r="F26" s="6"/>
      <c r="G26" s="25"/>
      <c r="H26" s="27"/>
      <c r="I26" s="36"/>
    </row>
    <row r="27" spans="1:9" ht="18.75">
      <c r="A27" s="36"/>
      <c r="B27" s="31"/>
      <c r="C27" s="26"/>
      <c r="D27" s="5"/>
      <c r="E27" s="6"/>
      <c r="F27" s="6"/>
      <c r="G27" s="25"/>
      <c r="H27" s="27"/>
      <c r="I27" s="36"/>
    </row>
    <row r="28" spans="1:9" ht="18.75">
      <c r="A28" s="36"/>
      <c r="B28" s="31"/>
      <c r="C28" s="26"/>
      <c r="D28" s="7"/>
      <c r="E28" s="6"/>
      <c r="F28" s="6"/>
      <c r="G28" s="25"/>
      <c r="H28" s="27"/>
      <c r="I28" s="36"/>
    </row>
    <row r="29" spans="1:9" ht="18.75">
      <c r="A29" s="36"/>
      <c r="B29" s="31"/>
      <c r="C29" s="26"/>
      <c r="D29" s="7"/>
      <c r="E29" s="6"/>
      <c r="F29" s="6"/>
      <c r="G29" s="25"/>
      <c r="H29" s="27"/>
      <c r="I29" s="36"/>
    </row>
    <row r="30" spans="1:9" ht="18.75">
      <c r="A30" s="36"/>
      <c r="B30" s="31"/>
      <c r="C30" s="26"/>
      <c r="D30" s="7"/>
      <c r="E30" s="6"/>
      <c r="F30" s="6"/>
      <c r="G30" s="25"/>
      <c r="H30" s="27"/>
      <c r="I30" s="36"/>
    </row>
    <row r="31" spans="1:9" ht="18.75">
      <c r="A31" s="36"/>
      <c r="B31" s="31"/>
      <c r="C31" s="26"/>
      <c r="D31" s="5"/>
      <c r="E31" s="6"/>
      <c r="F31" s="6"/>
      <c r="G31" s="25"/>
      <c r="H31" s="27"/>
      <c r="I31" s="36"/>
    </row>
    <row r="32" spans="1:9" ht="18.75">
      <c r="A32" s="36"/>
      <c r="B32" s="31"/>
      <c r="C32" s="26"/>
      <c r="D32" s="7"/>
      <c r="E32" s="6"/>
      <c r="F32" s="6"/>
      <c r="G32" s="25"/>
      <c r="H32" s="27"/>
      <c r="I32" s="36"/>
    </row>
    <row r="33" spans="1:9" ht="18.75">
      <c r="A33" s="36"/>
      <c r="B33" s="31"/>
      <c r="C33" s="26"/>
      <c r="D33" s="7"/>
      <c r="E33" s="6"/>
      <c r="F33" s="6"/>
      <c r="G33" s="25"/>
      <c r="H33" s="27"/>
      <c r="I33" s="36"/>
    </row>
    <row r="34" spans="1:9" ht="18.75">
      <c r="A34" s="36"/>
      <c r="B34" s="31"/>
      <c r="C34" s="26"/>
      <c r="D34" s="7"/>
      <c r="E34" s="6"/>
      <c r="F34" s="6"/>
      <c r="G34" s="25"/>
      <c r="H34" s="27"/>
      <c r="I34" s="36"/>
    </row>
    <row r="35" spans="1:9" ht="18.75">
      <c r="A35" s="36"/>
      <c r="B35" s="31"/>
      <c r="C35" s="26"/>
      <c r="D35" s="7"/>
      <c r="E35" s="6"/>
      <c r="F35" s="6"/>
      <c r="G35" s="25"/>
      <c r="H35" s="27"/>
      <c r="I35" s="36"/>
    </row>
    <row r="36" spans="1:9" ht="18.75">
      <c r="A36" s="36"/>
      <c r="B36" s="31"/>
      <c r="C36" s="26"/>
      <c r="D36" s="7"/>
      <c r="E36" s="6"/>
      <c r="F36" s="6"/>
      <c r="G36" s="25"/>
      <c r="H36" s="27"/>
      <c r="I36" s="36"/>
    </row>
    <row r="37" spans="1:9" ht="18.75">
      <c r="A37" s="36"/>
      <c r="B37" s="31"/>
      <c r="C37" s="19"/>
      <c r="D37" s="3"/>
      <c r="E37" s="3"/>
      <c r="F37" s="3"/>
      <c r="G37" s="17"/>
      <c r="H37" s="27"/>
      <c r="I37" s="36"/>
    </row>
    <row r="38" spans="1:9" ht="22.5" customHeight="1">
      <c r="A38" s="36"/>
      <c r="B38" s="16"/>
      <c r="C38" s="15"/>
      <c r="D38" s="15"/>
      <c r="E38" s="15"/>
      <c r="F38" s="15"/>
      <c r="G38" s="15"/>
      <c r="H38" s="14"/>
      <c r="I38" s="36"/>
    </row>
    <row r="39" spans="1:9" ht="22.5" customHeight="1">
      <c r="A39" s="36"/>
      <c r="B39" s="36"/>
      <c r="C39" s="36"/>
      <c r="D39" s="36"/>
      <c r="E39" s="36"/>
      <c r="F39" s="36"/>
      <c r="G39" s="36"/>
      <c r="H39" s="36"/>
      <c r="I39" s="36"/>
    </row>
  </sheetData>
  <mergeCells count="1">
    <mergeCell ref="D4:F4"/>
  </mergeCells>
  <phoneticPr fontId="5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J100"/>
  <sheetViews>
    <sheetView zoomScale="115" zoomScaleNormal="115" workbookViewId="0">
      <selection activeCell="D7" sqref="D7:E29"/>
    </sheetView>
  </sheetViews>
  <sheetFormatPr defaultRowHeight="12.75"/>
  <cols>
    <col min="1" max="1" width="3.140625" customWidth="1"/>
    <col min="2" max="3" width="15" customWidth="1"/>
    <col min="4" max="4" width="40" customWidth="1"/>
    <col min="5" max="5" width="43.28515625" bestFit="1" customWidth="1"/>
    <col min="6" max="6" width="10" customWidth="1"/>
    <col min="7" max="7" width="11.42578125" bestFit="1" customWidth="1"/>
    <col min="8" max="8" width="12" customWidth="1"/>
    <col min="9" max="9" width="14.42578125" customWidth="1"/>
    <col min="10" max="10" width="12.85546875" customWidth="1"/>
    <col min="11" max="11" width="3.140625" customWidth="1"/>
    <col min="12" max="13" width="10.5703125" bestFit="1" customWidth="1"/>
  </cols>
  <sheetData>
    <row r="2" spans="2:10" ht="18">
      <c r="B2" s="261" t="s">
        <v>14</v>
      </c>
      <c r="C2" s="261"/>
      <c r="D2" s="262"/>
      <c r="E2" s="261"/>
      <c r="F2" s="261"/>
      <c r="G2" s="262"/>
      <c r="H2" s="261"/>
      <c r="I2" s="261"/>
      <c r="J2" s="261"/>
    </row>
    <row r="3" spans="2:10" ht="12.75" customHeight="1">
      <c r="B3" s="45"/>
      <c r="C3" s="45"/>
      <c r="D3" s="44"/>
      <c r="E3" s="44"/>
      <c r="F3" s="44"/>
      <c r="G3" s="44"/>
      <c r="H3" s="44"/>
      <c r="I3" s="44"/>
      <c r="J3" s="44"/>
    </row>
    <row r="4" spans="2:10" ht="17.45" customHeight="1">
      <c r="B4" s="45" t="s">
        <v>15</v>
      </c>
      <c r="C4" s="45"/>
      <c r="D4" s="44"/>
      <c r="E4" s="44"/>
      <c r="F4" s="44"/>
      <c r="G4" s="44"/>
      <c r="H4" s="44"/>
      <c r="I4" s="44"/>
      <c r="J4" s="44"/>
    </row>
    <row r="5" spans="2:10" ht="15.75" customHeight="1">
      <c r="B5" s="48" t="s">
        <v>16</v>
      </c>
      <c r="C5" s="51" t="s">
        <v>17</v>
      </c>
      <c r="D5" s="51" t="s">
        <v>18</v>
      </c>
      <c r="E5" s="51" t="s">
        <v>19</v>
      </c>
      <c r="F5" s="51" t="s">
        <v>20</v>
      </c>
      <c r="G5" s="51" t="s">
        <v>21</v>
      </c>
      <c r="H5" s="51" t="s">
        <v>22</v>
      </c>
      <c r="I5" s="51" t="s">
        <v>23</v>
      </c>
      <c r="J5" s="51" t="s">
        <v>24</v>
      </c>
    </row>
    <row r="6" spans="2:10" ht="39" thickBot="1">
      <c r="B6" s="47" t="s">
        <v>25</v>
      </c>
      <c r="C6" s="47" t="s">
        <v>17</v>
      </c>
      <c r="D6" s="50" t="s">
        <v>26</v>
      </c>
      <c r="E6" s="50" t="s">
        <v>27</v>
      </c>
      <c r="F6" s="50" t="s">
        <v>28</v>
      </c>
      <c r="G6" s="50" t="s">
        <v>29</v>
      </c>
      <c r="H6" s="50" t="s">
        <v>30</v>
      </c>
      <c r="I6" s="50" t="s">
        <v>31</v>
      </c>
      <c r="J6" s="50" t="s">
        <v>32</v>
      </c>
    </row>
    <row r="7" spans="2:10" ht="15.75" customHeight="1">
      <c r="B7" s="76" t="s">
        <v>33</v>
      </c>
      <c r="C7" s="76" t="s">
        <v>34</v>
      </c>
      <c r="D7" s="76" t="s">
        <v>35</v>
      </c>
      <c r="E7" s="77" t="s">
        <v>36</v>
      </c>
      <c r="F7" s="77" t="s">
        <v>37</v>
      </c>
      <c r="G7" s="76"/>
      <c r="H7" s="76" t="s">
        <v>38</v>
      </c>
      <c r="I7" s="76"/>
      <c r="J7" s="76"/>
    </row>
    <row r="8" spans="2:10" ht="15.75" customHeight="1">
      <c r="B8" s="78" t="s">
        <v>33</v>
      </c>
      <c r="C8" s="78" t="s">
        <v>34</v>
      </c>
      <c r="D8" s="78" t="s">
        <v>39</v>
      </c>
      <c r="E8" s="79" t="s">
        <v>40</v>
      </c>
      <c r="F8" s="79" t="s">
        <v>37</v>
      </c>
      <c r="G8" s="78"/>
      <c r="H8" s="78" t="s">
        <v>38</v>
      </c>
      <c r="I8" s="78"/>
      <c r="J8" s="78"/>
    </row>
    <row r="9" spans="2:10" ht="15.75" customHeight="1">
      <c r="B9" s="80" t="s">
        <v>33</v>
      </c>
      <c r="C9" s="80" t="s">
        <v>34</v>
      </c>
      <c r="D9" s="80" t="s">
        <v>41</v>
      </c>
      <c r="E9" s="81" t="s">
        <v>42</v>
      </c>
      <c r="F9" s="81" t="s">
        <v>37</v>
      </c>
      <c r="G9" s="80"/>
      <c r="H9" s="80" t="s">
        <v>38</v>
      </c>
      <c r="I9" s="80"/>
      <c r="J9" s="80"/>
    </row>
    <row r="10" spans="2:10" ht="15.75" customHeight="1">
      <c r="B10" s="78" t="s">
        <v>33</v>
      </c>
      <c r="C10" s="78" t="s">
        <v>34</v>
      </c>
      <c r="D10" s="79" t="s">
        <v>43</v>
      </c>
      <c r="E10" s="79" t="s">
        <v>44</v>
      </c>
      <c r="F10" s="79" t="s">
        <v>37</v>
      </c>
      <c r="G10" s="78"/>
      <c r="H10" s="78" t="s">
        <v>38</v>
      </c>
      <c r="I10" s="79"/>
      <c r="J10" s="79"/>
    </row>
    <row r="11" spans="2:10" ht="15.75" customHeight="1">
      <c r="B11" s="80" t="s">
        <v>33</v>
      </c>
      <c r="C11" s="80" t="s">
        <v>34</v>
      </c>
      <c r="D11" s="80" t="s">
        <v>45</v>
      </c>
      <c r="E11" s="81" t="s">
        <v>46</v>
      </c>
      <c r="F11" s="81" t="s">
        <v>37</v>
      </c>
      <c r="G11" s="80"/>
      <c r="H11" s="80" t="s">
        <v>38</v>
      </c>
      <c r="I11" s="80"/>
      <c r="J11" s="80"/>
    </row>
    <row r="12" spans="2:10" ht="15.75" customHeight="1">
      <c r="B12" s="78" t="s">
        <v>33</v>
      </c>
      <c r="C12" s="78" t="s">
        <v>34</v>
      </c>
      <c r="D12" s="79" t="s">
        <v>48</v>
      </c>
      <c r="E12" s="79" t="s">
        <v>49</v>
      </c>
      <c r="F12" s="79" t="s">
        <v>37</v>
      </c>
      <c r="G12" s="78"/>
      <c r="H12" s="78" t="s">
        <v>38</v>
      </c>
      <c r="I12" s="79"/>
      <c r="J12" s="79"/>
    </row>
    <row r="13" spans="2:10" ht="15.6" customHeight="1">
      <c r="B13" s="80" t="s">
        <v>33</v>
      </c>
      <c r="C13" s="80" t="s">
        <v>34</v>
      </c>
      <c r="D13" s="80" t="s">
        <v>50</v>
      </c>
      <c r="E13" s="81" t="s">
        <v>51</v>
      </c>
      <c r="F13" s="81" t="s">
        <v>37</v>
      </c>
      <c r="G13" s="80"/>
      <c r="H13" s="80" t="s">
        <v>38</v>
      </c>
      <c r="I13" s="80"/>
      <c r="J13" s="80"/>
    </row>
    <row r="14" spans="2:10" ht="15.6" customHeight="1">
      <c r="B14" s="428" t="s">
        <v>33</v>
      </c>
      <c r="C14" s="428" t="s">
        <v>34</v>
      </c>
      <c r="D14" s="428" t="s">
        <v>47</v>
      </c>
      <c r="E14" s="428" t="s">
        <v>52</v>
      </c>
      <c r="F14" s="428" t="s">
        <v>37</v>
      </c>
      <c r="G14" s="428"/>
      <c r="H14" s="428" t="s">
        <v>38</v>
      </c>
      <c r="I14" s="428"/>
      <c r="J14" s="428"/>
    </row>
    <row r="15" spans="2:10" ht="15.75" customHeight="1">
      <c r="B15" s="78" t="s">
        <v>33</v>
      </c>
      <c r="C15" s="78" t="s">
        <v>34</v>
      </c>
      <c r="D15" s="79" t="s">
        <v>53</v>
      </c>
      <c r="E15" s="79" t="s">
        <v>54</v>
      </c>
      <c r="F15" s="79" t="s">
        <v>37</v>
      </c>
      <c r="G15" s="78"/>
      <c r="H15" s="78" t="s">
        <v>38</v>
      </c>
      <c r="I15" s="79"/>
      <c r="J15" s="79"/>
    </row>
    <row r="16" spans="2:10" ht="15.75" customHeight="1">
      <c r="B16" s="80" t="s">
        <v>33</v>
      </c>
      <c r="C16" s="80" t="s">
        <v>34</v>
      </c>
      <c r="D16" s="80" t="s">
        <v>55</v>
      </c>
      <c r="E16" s="81" t="s">
        <v>52</v>
      </c>
      <c r="F16" s="81" t="s">
        <v>37</v>
      </c>
      <c r="G16" s="80"/>
      <c r="H16" s="80" t="s">
        <v>38</v>
      </c>
      <c r="I16" s="80"/>
      <c r="J16" s="80"/>
    </row>
    <row r="17" spans="2:10" ht="15.75" customHeight="1">
      <c r="B17" s="78" t="s">
        <v>33</v>
      </c>
      <c r="C17" s="78" t="s">
        <v>34</v>
      </c>
      <c r="D17" s="79" t="s">
        <v>56</v>
      </c>
      <c r="E17" s="79" t="s">
        <v>57</v>
      </c>
      <c r="F17" s="79" t="s">
        <v>37</v>
      </c>
      <c r="G17" s="78"/>
      <c r="H17" s="78" t="s">
        <v>38</v>
      </c>
      <c r="I17" s="79"/>
      <c r="J17" s="79"/>
    </row>
    <row r="18" spans="2:10" ht="15.75" customHeight="1">
      <c r="B18" s="80" t="s">
        <v>33</v>
      </c>
      <c r="C18" s="80" t="s">
        <v>34</v>
      </c>
      <c r="D18" s="80" t="s">
        <v>58</v>
      </c>
      <c r="E18" s="81" t="s">
        <v>59</v>
      </c>
      <c r="F18" s="81" t="s">
        <v>37</v>
      </c>
      <c r="G18" s="80"/>
      <c r="H18" s="80" t="s">
        <v>38</v>
      </c>
      <c r="I18" s="80"/>
      <c r="J18" s="80"/>
    </row>
    <row r="19" spans="2:10" ht="15.75" customHeight="1">
      <c r="B19" s="78" t="s">
        <v>33</v>
      </c>
      <c r="C19" s="78" t="s">
        <v>34</v>
      </c>
      <c r="D19" s="79" t="s">
        <v>60</v>
      </c>
      <c r="E19" s="79" t="s">
        <v>61</v>
      </c>
      <c r="F19" s="79" t="s">
        <v>37</v>
      </c>
      <c r="G19" s="78"/>
      <c r="H19" s="78" t="s">
        <v>38</v>
      </c>
      <c r="I19" s="79"/>
      <c r="J19" s="79"/>
    </row>
    <row r="20" spans="2:10" ht="15.75" customHeight="1">
      <c r="B20" s="80" t="s">
        <v>33</v>
      </c>
      <c r="C20" s="80" t="s">
        <v>34</v>
      </c>
      <c r="D20" s="80" t="s">
        <v>62</v>
      </c>
      <c r="E20" s="81" t="s">
        <v>63</v>
      </c>
      <c r="F20" s="81" t="s">
        <v>37</v>
      </c>
      <c r="G20" s="80"/>
      <c r="H20" s="80" t="s">
        <v>38</v>
      </c>
      <c r="I20" s="80"/>
      <c r="J20" s="80"/>
    </row>
    <row r="21" spans="2:10" ht="15.75" customHeight="1">
      <c r="B21" s="78" t="s">
        <v>33</v>
      </c>
      <c r="C21" s="78" t="s">
        <v>34</v>
      </c>
      <c r="D21" s="79" t="s">
        <v>64</v>
      </c>
      <c r="E21" s="79" t="s">
        <v>65</v>
      </c>
      <c r="F21" s="79" t="s">
        <v>37</v>
      </c>
      <c r="G21" s="78"/>
      <c r="H21" s="78" t="s">
        <v>38</v>
      </c>
      <c r="I21" s="79"/>
      <c r="J21" s="79"/>
    </row>
    <row r="22" spans="2:10" ht="15.75" customHeight="1">
      <c r="B22" s="80" t="s">
        <v>66</v>
      </c>
      <c r="C22" s="80" t="s">
        <v>34</v>
      </c>
      <c r="D22" s="80" t="s">
        <v>67</v>
      </c>
      <c r="E22" s="81" t="s">
        <v>68</v>
      </c>
      <c r="F22" s="81" t="s">
        <v>69</v>
      </c>
      <c r="G22" s="80"/>
      <c r="H22" s="80" t="s">
        <v>38</v>
      </c>
      <c r="I22" s="80"/>
      <c r="J22" s="80"/>
    </row>
    <row r="23" spans="2:10" ht="15.75" customHeight="1">
      <c r="B23" s="78" t="s">
        <v>70</v>
      </c>
      <c r="C23" s="78" t="s">
        <v>34</v>
      </c>
      <c r="D23" s="79" t="s">
        <v>71</v>
      </c>
      <c r="E23" s="79" t="s">
        <v>72</v>
      </c>
      <c r="F23" s="79" t="s">
        <v>73</v>
      </c>
      <c r="G23" s="78"/>
      <c r="H23" s="78"/>
      <c r="I23" s="79"/>
      <c r="J23" s="79"/>
    </row>
    <row r="24" spans="2:10" ht="15.75" customHeight="1">
      <c r="B24" s="80" t="s">
        <v>70</v>
      </c>
      <c r="C24" s="80" t="s">
        <v>34</v>
      </c>
      <c r="D24" s="80" t="s">
        <v>74</v>
      </c>
      <c r="E24" s="81" t="s">
        <v>75</v>
      </c>
      <c r="F24" s="81" t="s">
        <v>73</v>
      </c>
      <c r="G24" s="80"/>
      <c r="H24" s="80"/>
      <c r="I24" s="80"/>
      <c r="J24" s="80"/>
    </row>
    <row r="25" spans="2:10" ht="15.75" customHeight="1">
      <c r="B25" s="78" t="s">
        <v>70</v>
      </c>
      <c r="C25" s="78" t="s">
        <v>34</v>
      </c>
      <c r="D25" s="79" t="s">
        <v>76</v>
      </c>
      <c r="E25" s="79" t="s">
        <v>77</v>
      </c>
      <c r="F25" s="79" t="s">
        <v>73</v>
      </c>
      <c r="G25" s="78"/>
      <c r="H25" s="78"/>
      <c r="I25" s="79"/>
      <c r="J25" s="79"/>
    </row>
    <row r="26" spans="2:10" ht="15.75" customHeight="1">
      <c r="B26" s="80" t="s">
        <v>70</v>
      </c>
      <c r="C26" s="80" t="s">
        <v>34</v>
      </c>
      <c r="D26" s="80" t="s">
        <v>78</v>
      </c>
      <c r="E26" s="81" t="s">
        <v>79</v>
      </c>
      <c r="F26" s="81"/>
      <c r="G26" s="80"/>
      <c r="H26" s="80"/>
      <c r="I26" s="80"/>
      <c r="J26" s="80"/>
    </row>
    <row r="27" spans="2:10" ht="15.75" customHeight="1">
      <c r="B27" s="78" t="s">
        <v>70</v>
      </c>
      <c r="C27" s="78" t="s">
        <v>34</v>
      </c>
      <c r="D27" s="79" t="s">
        <v>80</v>
      </c>
      <c r="E27" s="79" t="s">
        <v>81</v>
      </c>
      <c r="F27" s="79" t="s">
        <v>73</v>
      </c>
      <c r="G27" s="78"/>
      <c r="H27" s="78"/>
      <c r="I27" s="79"/>
      <c r="J27" s="79"/>
    </row>
    <row r="28" spans="2:10" ht="15.75" customHeight="1">
      <c r="B28" s="80" t="s">
        <v>70</v>
      </c>
      <c r="C28" s="80" t="s">
        <v>34</v>
      </c>
      <c r="D28" s="80" t="s">
        <v>82</v>
      </c>
      <c r="E28" s="81" t="s">
        <v>83</v>
      </c>
      <c r="F28" s="81" t="s">
        <v>73</v>
      </c>
      <c r="G28" s="80"/>
      <c r="H28" s="80"/>
      <c r="I28" s="80"/>
      <c r="J28" s="80"/>
    </row>
    <row r="29" spans="2:10" ht="15.75" customHeight="1">
      <c r="B29" s="78" t="s">
        <v>70</v>
      </c>
      <c r="C29" s="78" t="s">
        <v>34</v>
      </c>
      <c r="D29" s="79" t="s">
        <v>84</v>
      </c>
      <c r="E29" s="79" t="s">
        <v>85</v>
      </c>
      <c r="F29" s="79" t="s">
        <v>73</v>
      </c>
      <c r="G29" s="78"/>
      <c r="H29" s="78"/>
      <c r="I29" s="79"/>
      <c r="J29" s="79"/>
    </row>
    <row r="30" spans="2:10" ht="15.75" customHeight="1">
      <c r="B30" s="78" t="s">
        <v>95</v>
      </c>
      <c r="C30" s="78" t="s">
        <v>34</v>
      </c>
      <c r="D30" s="79" t="s">
        <v>92</v>
      </c>
      <c r="E30" s="79"/>
      <c r="F30" s="79" t="s">
        <v>37</v>
      </c>
      <c r="G30" s="78"/>
      <c r="H30" s="78" t="s">
        <v>88</v>
      </c>
      <c r="I30" s="79"/>
      <c r="J30" s="79"/>
    </row>
    <row r="31" spans="2:10" ht="15.75" customHeight="1" thickBot="1">
      <c r="B31" s="80" t="s">
        <v>33</v>
      </c>
      <c r="C31" s="80" t="s">
        <v>34</v>
      </c>
      <c r="D31" s="80" t="s">
        <v>93</v>
      </c>
      <c r="E31" s="81"/>
      <c r="F31" s="81" t="s">
        <v>37</v>
      </c>
      <c r="G31" s="80"/>
      <c r="H31" s="80" t="s">
        <v>38</v>
      </c>
      <c r="I31" s="80"/>
      <c r="J31" s="80"/>
    </row>
    <row r="32" spans="2:10" ht="18" customHeight="1">
      <c r="B32" s="232" t="s">
        <v>94</v>
      </c>
      <c r="C32" s="233"/>
      <c r="D32" s="233"/>
      <c r="E32" s="233"/>
      <c r="F32" s="233"/>
      <c r="G32" s="233"/>
      <c r="H32" s="233"/>
      <c r="I32" s="233"/>
      <c r="J32" s="233"/>
    </row>
    <row r="33" spans="2:10" ht="15.95" customHeight="1">
      <c r="B33" s="81" t="s">
        <v>95</v>
      </c>
      <c r="C33" s="81" t="s">
        <v>34</v>
      </c>
      <c r="D33" s="81" t="s">
        <v>96</v>
      </c>
      <c r="E33" s="81" t="s">
        <v>97</v>
      </c>
      <c r="F33" s="81" t="s">
        <v>37</v>
      </c>
      <c r="G33" s="81"/>
      <c r="H33" s="81"/>
      <c r="I33" s="81"/>
      <c r="J33" s="81"/>
    </row>
    <row r="34" spans="2:10" ht="15.95" customHeight="1">
      <c r="B34" s="79" t="s">
        <v>70</v>
      </c>
      <c r="C34" s="79" t="s">
        <v>34</v>
      </c>
      <c r="D34" s="79" t="s">
        <v>98</v>
      </c>
      <c r="E34" s="79" t="s">
        <v>99</v>
      </c>
      <c r="F34" s="79" t="s">
        <v>73</v>
      </c>
      <c r="G34" s="79"/>
      <c r="H34" s="79"/>
      <c r="I34" s="79"/>
      <c r="J34" s="79"/>
    </row>
    <row r="35" spans="2:10" ht="15.95" customHeight="1">
      <c r="B35" s="81" t="s">
        <v>70</v>
      </c>
      <c r="C35" s="81" t="s">
        <v>34</v>
      </c>
      <c r="D35" s="81" t="s">
        <v>100</v>
      </c>
      <c r="E35" s="81" t="s">
        <v>101</v>
      </c>
      <c r="F35" s="81" t="s">
        <v>73</v>
      </c>
      <c r="G35" s="81"/>
      <c r="H35" s="81"/>
      <c r="I35" s="81"/>
      <c r="J35" s="81"/>
    </row>
    <row r="36" spans="2:10" ht="15.95" customHeight="1">
      <c r="B36" s="79" t="s">
        <v>70</v>
      </c>
      <c r="C36" s="79" t="s">
        <v>34</v>
      </c>
      <c r="D36" s="79" t="s">
        <v>102</v>
      </c>
      <c r="E36" s="79" t="s">
        <v>103</v>
      </c>
      <c r="F36" s="79" t="s">
        <v>73</v>
      </c>
      <c r="G36" s="79"/>
      <c r="H36" s="79"/>
      <c r="I36" s="79"/>
      <c r="J36" s="79"/>
    </row>
    <row r="37" spans="2:10" ht="15.95" customHeight="1">
      <c r="B37" s="81" t="s">
        <v>802</v>
      </c>
      <c r="C37" s="81" t="s">
        <v>34</v>
      </c>
      <c r="D37" s="81" t="s">
        <v>104</v>
      </c>
      <c r="E37" s="81" t="s">
        <v>105</v>
      </c>
      <c r="F37" s="81" t="s">
        <v>73</v>
      </c>
      <c r="G37" s="81"/>
      <c r="H37" s="81"/>
      <c r="I37" s="81"/>
      <c r="J37" s="81"/>
    </row>
    <row r="38" spans="2:10" ht="15.95" customHeight="1">
      <c r="B38" s="79" t="s">
        <v>33</v>
      </c>
      <c r="C38" s="79" t="s">
        <v>34</v>
      </c>
      <c r="D38" s="79" t="s">
        <v>106</v>
      </c>
      <c r="E38" s="79" t="s">
        <v>107</v>
      </c>
      <c r="F38" s="79" t="s">
        <v>73</v>
      </c>
      <c r="G38" s="79"/>
      <c r="H38" s="79"/>
      <c r="I38" s="79"/>
      <c r="J38" s="79"/>
    </row>
    <row r="39" spans="2:10" ht="15.95" customHeight="1">
      <c r="B39" s="81" t="s">
        <v>33</v>
      </c>
      <c r="C39" s="81" t="s">
        <v>34</v>
      </c>
      <c r="D39" s="81" t="s">
        <v>108</v>
      </c>
      <c r="E39" s="81" t="s">
        <v>109</v>
      </c>
      <c r="F39" s="81" t="s">
        <v>73</v>
      </c>
      <c r="G39" s="81"/>
      <c r="H39" s="81"/>
      <c r="I39" s="81"/>
      <c r="J39" s="81"/>
    </row>
    <row r="40" spans="2:10" ht="15.95" customHeight="1">
      <c r="B40" s="79" t="s">
        <v>33</v>
      </c>
      <c r="C40" s="79" t="s">
        <v>34</v>
      </c>
      <c r="D40" s="79" t="s">
        <v>110</v>
      </c>
      <c r="E40" s="79" t="s">
        <v>111</v>
      </c>
      <c r="F40" s="79" t="s">
        <v>73</v>
      </c>
      <c r="G40" s="79"/>
      <c r="H40" s="79"/>
      <c r="I40" s="79"/>
      <c r="J40" s="79"/>
    </row>
    <row r="41" spans="2:10" ht="15.95" customHeight="1">
      <c r="B41" s="81" t="s">
        <v>33</v>
      </c>
      <c r="C41" s="81" t="s">
        <v>34</v>
      </c>
      <c r="D41" s="81" t="s">
        <v>112</v>
      </c>
      <c r="E41" s="81" t="s">
        <v>113</v>
      </c>
      <c r="F41" s="81" t="s">
        <v>73</v>
      </c>
      <c r="G41" s="81"/>
      <c r="H41" s="81"/>
      <c r="I41" s="81"/>
      <c r="J41" s="81"/>
    </row>
    <row r="42" spans="2:10" ht="15.95" customHeight="1">
      <c r="B42" s="79" t="s">
        <v>33</v>
      </c>
      <c r="C42" s="79" t="s">
        <v>34</v>
      </c>
      <c r="D42" s="79" t="s">
        <v>114</v>
      </c>
      <c r="E42" s="79" t="s">
        <v>115</v>
      </c>
      <c r="F42" s="79" t="s">
        <v>73</v>
      </c>
      <c r="G42" s="79"/>
      <c r="H42" s="79"/>
      <c r="I42" s="79"/>
      <c r="J42" s="79"/>
    </row>
    <row r="43" spans="2:10" ht="15.95" customHeight="1">
      <c r="B43" s="81" t="s">
        <v>90</v>
      </c>
      <c r="C43" s="81" t="s">
        <v>34</v>
      </c>
      <c r="D43" s="81" t="s">
        <v>116</v>
      </c>
      <c r="E43" s="81" t="s">
        <v>117</v>
      </c>
      <c r="F43" s="81" t="s">
        <v>73</v>
      </c>
      <c r="G43" s="81"/>
      <c r="H43" s="81"/>
      <c r="I43" s="81"/>
      <c r="J43" s="81"/>
    </row>
    <row r="44" spans="2:10" ht="15.95" customHeight="1">
      <c r="B44" s="79" t="s">
        <v>33</v>
      </c>
      <c r="C44" s="79" t="s">
        <v>34</v>
      </c>
      <c r="D44" s="79" t="s">
        <v>118</v>
      </c>
      <c r="E44" s="79" t="s">
        <v>119</v>
      </c>
      <c r="F44" s="79" t="s">
        <v>73</v>
      </c>
      <c r="G44" s="79"/>
      <c r="H44" s="79"/>
      <c r="I44" s="79"/>
      <c r="J44" s="79"/>
    </row>
    <row r="45" spans="2:10" ht="15.95" customHeight="1">
      <c r="B45" s="81" t="s">
        <v>90</v>
      </c>
      <c r="C45" s="81" t="s">
        <v>34</v>
      </c>
      <c r="D45" s="81" t="s">
        <v>120</v>
      </c>
      <c r="E45" s="81" t="s">
        <v>121</v>
      </c>
      <c r="F45" s="81" t="s">
        <v>73</v>
      </c>
      <c r="G45" s="81"/>
      <c r="H45" s="81"/>
      <c r="I45" s="81"/>
      <c r="J45" s="81"/>
    </row>
    <row r="46" spans="2:10" ht="15.95" customHeight="1">
      <c r="B46" s="79" t="s">
        <v>90</v>
      </c>
      <c r="C46" s="79" t="s">
        <v>34</v>
      </c>
      <c r="D46" s="79" t="s">
        <v>122</v>
      </c>
      <c r="E46" s="79" t="s">
        <v>123</v>
      </c>
      <c r="F46" s="79" t="s">
        <v>73</v>
      </c>
      <c r="G46" s="79"/>
      <c r="H46" s="79"/>
      <c r="I46" s="79"/>
      <c r="J46" s="79"/>
    </row>
    <row r="47" spans="2:10" ht="15.95" customHeight="1">
      <c r="B47" s="81" t="s">
        <v>33</v>
      </c>
      <c r="C47" s="81" t="s">
        <v>34</v>
      </c>
      <c r="D47" s="81" t="s">
        <v>124</v>
      </c>
      <c r="E47" s="81" t="s">
        <v>125</v>
      </c>
      <c r="F47" s="81" t="s">
        <v>73</v>
      </c>
      <c r="G47" s="81"/>
      <c r="H47" s="81"/>
      <c r="I47" s="81"/>
      <c r="J47" s="81"/>
    </row>
    <row r="48" spans="2:10" ht="15.95" customHeight="1">
      <c r="B48" s="79" t="s">
        <v>33</v>
      </c>
      <c r="C48" s="79" t="s">
        <v>34</v>
      </c>
      <c r="D48" s="79" t="s">
        <v>126</v>
      </c>
      <c r="E48" s="79" t="s">
        <v>125</v>
      </c>
      <c r="F48" s="79" t="s">
        <v>73</v>
      </c>
      <c r="G48" s="79"/>
      <c r="H48" s="79"/>
      <c r="I48" s="79"/>
      <c r="J48" s="79"/>
    </row>
    <row r="49" spans="2:10" ht="15.95" customHeight="1">
      <c r="B49" s="81" t="s">
        <v>33</v>
      </c>
      <c r="C49" s="81" t="s">
        <v>34</v>
      </c>
      <c r="D49" s="81" t="s">
        <v>127</v>
      </c>
      <c r="E49" s="81" t="s">
        <v>125</v>
      </c>
      <c r="F49" s="81" t="s">
        <v>73</v>
      </c>
      <c r="G49" s="81"/>
      <c r="H49" s="81"/>
      <c r="I49" s="81"/>
      <c r="J49" s="81"/>
    </row>
    <row r="50" spans="2:10" ht="15.95" customHeight="1">
      <c r="B50" s="79" t="s">
        <v>33</v>
      </c>
      <c r="C50" s="79" t="s">
        <v>34</v>
      </c>
      <c r="D50" s="79" t="s">
        <v>128</v>
      </c>
      <c r="E50" s="79" t="s">
        <v>125</v>
      </c>
      <c r="F50" s="79" t="s">
        <v>73</v>
      </c>
      <c r="G50" s="79"/>
      <c r="H50" s="79"/>
      <c r="I50" s="79"/>
      <c r="J50" s="79"/>
    </row>
    <row r="51" spans="2:10" ht="15.95" customHeight="1">
      <c r="B51" s="81" t="s">
        <v>33</v>
      </c>
      <c r="C51" s="81" t="s">
        <v>34</v>
      </c>
      <c r="D51" s="81" t="s">
        <v>129</v>
      </c>
      <c r="E51" s="81" t="s">
        <v>125</v>
      </c>
      <c r="F51" s="81" t="s">
        <v>73</v>
      </c>
      <c r="G51" s="81"/>
      <c r="H51" s="81"/>
      <c r="I51" s="81"/>
      <c r="J51" s="81"/>
    </row>
    <row r="52" spans="2:10" ht="15.95" customHeight="1">
      <c r="B52" s="79" t="s">
        <v>33</v>
      </c>
      <c r="C52" s="79" t="s">
        <v>34</v>
      </c>
      <c r="D52" s="79" t="s">
        <v>130</v>
      </c>
      <c r="E52" s="79" t="s">
        <v>125</v>
      </c>
      <c r="F52" s="79" t="s">
        <v>73</v>
      </c>
      <c r="G52" s="79"/>
      <c r="H52" s="79"/>
      <c r="I52" s="79"/>
      <c r="J52" s="79"/>
    </row>
    <row r="53" spans="2:10" ht="15.95" customHeight="1">
      <c r="B53" s="81" t="s">
        <v>33</v>
      </c>
      <c r="C53" s="81" t="s">
        <v>34</v>
      </c>
      <c r="D53" s="81" t="s">
        <v>131</v>
      </c>
      <c r="E53" s="81" t="s">
        <v>125</v>
      </c>
      <c r="F53" s="81" t="s">
        <v>73</v>
      </c>
      <c r="G53" s="81"/>
      <c r="H53" s="81"/>
      <c r="I53" s="81"/>
      <c r="J53" s="81"/>
    </row>
    <row r="54" spans="2:10" ht="15.95" customHeight="1">
      <c r="B54" s="79" t="s">
        <v>33</v>
      </c>
      <c r="C54" s="79" t="s">
        <v>34</v>
      </c>
      <c r="D54" s="79" t="s">
        <v>132</v>
      </c>
      <c r="E54" s="79" t="s">
        <v>125</v>
      </c>
      <c r="F54" s="79" t="s">
        <v>73</v>
      </c>
      <c r="G54" s="79"/>
      <c r="H54" s="79"/>
      <c r="I54" s="79"/>
      <c r="J54" s="79"/>
    </row>
    <row r="55" spans="2:10" ht="15.95" customHeight="1">
      <c r="B55" s="81" t="s">
        <v>33</v>
      </c>
      <c r="C55" s="81" t="s">
        <v>34</v>
      </c>
      <c r="D55" s="81" t="s">
        <v>133</v>
      </c>
      <c r="E55" s="81" t="s">
        <v>125</v>
      </c>
      <c r="F55" s="81" t="s">
        <v>73</v>
      </c>
      <c r="G55" s="81"/>
      <c r="H55" s="81"/>
      <c r="I55" s="81"/>
      <c r="J55" s="81"/>
    </row>
    <row r="56" spans="2:10" ht="15.95" customHeight="1">
      <c r="B56" s="79" t="s">
        <v>33</v>
      </c>
      <c r="C56" s="79" t="s">
        <v>34</v>
      </c>
      <c r="D56" s="79" t="s">
        <v>134</v>
      </c>
      <c r="E56" s="79" t="s">
        <v>125</v>
      </c>
      <c r="F56" s="79" t="s">
        <v>73</v>
      </c>
      <c r="G56" s="79"/>
      <c r="H56" s="79"/>
      <c r="I56" s="79"/>
      <c r="J56" s="79"/>
    </row>
    <row r="57" spans="2:10" ht="15.95" customHeight="1">
      <c r="B57" s="81" t="s">
        <v>33</v>
      </c>
      <c r="C57" s="81" t="s">
        <v>34</v>
      </c>
      <c r="D57" s="81" t="s">
        <v>135</v>
      </c>
      <c r="E57" s="81" t="s">
        <v>125</v>
      </c>
      <c r="F57" s="81" t="s">
        <v>73</v>
      </c>
      <c r="G57" s="81"/>
      <c r="H57" s="81"/>
      <c r="I57" s="81"/>
      <c r="J57" s="81"/>
    </row>
    <row r="58" spans="2:10" ht="15.95" customHeight="1">
      <c r="B58" s="79" t="s">
        <v>90</v>
      </c>
      <c r="C58" s="79" t="s">
        <v>34</v>
      </c>
      <c r="D58" s="79" t="s">
        <v>136</v>
      </c>
      <c r="E58" s="79" t="s">
        <v>125</v>
      </c>
      <c r="F58" s="79" t="s">
        <v>73</v>
      </c>
      <c r="G58" s="79"/>
      <c r="H58" s="79"/>
      <c r="I58" s="79"/>
      <c r="J58" s="79"/>
    </row>
    <row r="59" spans="2:10" ht="15.95" customHeight="1">
      <c r="B59" s="81" t="s">
        <v>33</v>
      </c>
      <c r="C59" s="81" t="s">
        <v>34</v>
      </c>
      <c r="D59" s="81" t="s">
        <v>137</v>
      </c>
      <c r="E59" s="81" t="s">
        <v>125</v>
      </c>
      <c r="F59" s="81" t="s">
        <v>73</v>
      </c>
      <c r="G59" s="81"/>
      <c r="H59" s="81"/>
      <c r="I59" s="81"/>
      <c r="J59" s="81"/>
    </row>
    <row r="60" spans="2:10" ht="15.95" customHeight="1">
      <c r="B60" s="79" t="s">
        <v>33</v>
      </c>
      <c r="C60" s="79" t="s">
        <v>34</v>
      </c>
      <c r="D60" s="79" t="s">
        <v>138</v>
      </c>
      <c r="E60" s="79" t="s">
        <v>125</v>
      </c>
      <c r="F60" s="79" t="s">
        <v>73</v>
      </c>
      <c r="G60" s="79"/>
      <c r="H60" s="79"/>
      <c r="I60" s="79"/>
      <c r="J60" s="79"/>
    </row>
    <row r="61" spans="2:10" ht="15.95" customHeight="1">
      <c r="B61" s="81" t="s">
        <v>33</v>
      </c>
      <c r="C61" s="81" t="s">
        <v>34</v>
      </c>
      <c r="D61" s="81" t="s">
        <v>139</v>
      </c>
      <c r="E61" s="81" t="s">
        <v>125</v>
      </c>
      <c r="F61" s="81" t="s">
        <v>73</v>
      </c>
      <c r="G61" s="81"/>
      <c r="H61" s="81"/>
      <c r="I61" s="81"/>
      <c r="J61" s="81"/>
    </row>
    <row r="62" spans="2:10" ht="15.95" customHeight="1">
      <c r="B62" s="79" t="s">
        <v>140</v>
      </c>
      <c r="C62" s="79" t="s">
        <v>34</v>
      </c>
      <c r="D62" s="79" t="s">
        <v>141</v>
      </c>
      <c r="E62" s="79" t="s">
        <v>142</v>
      </c>
      <c r="F62" s="79" t="s">
        <v>143</v>
      </c>
      <c r="G62" s="79"/>
      <c r="H62" s="79" t="s">
        <v>38</v>
      </c>
      <c r="I62" s="79"/>
      <c r="J62" s="79"/>
    </row>
    <row r="63" spans="2:10" ht="15.95" customHeight="1">
      <c r="B63" s="81" t="s">
        <v>140</v>
      </c>
      <c r="C63" s="81" t="s">
        <v>34</v>
      </c>
      <c r="D63" s="81" t="s">
        <v>144</v>
      </c>
      <c r="E63" s="81" t="s">
        <v>142</v>
      </c>
      <c r="F63" s="81" t="s">
        <v>145</v>
      </c>
      <c r="G63" s="81"/>
      <c r="H63" s="81" t="s">
        <v>38</v>
      </c>
      <c r="I63" s="81"/>
      <c r="J63" s="81"/>
    </row>
    <row r="64" spans="2:10" ht="15.95" customHeight="1">
      <c r="B64" s="79" t="s">
        <v>90</v>
      </c>
      <c r="C64" s="79" t="s">
        <v>34</v>
      </c>
      <c r="D64" s="79" t="s">
        <v>146</v>
      </c>
      <c r="E64" s="79" t="s">
        <v>142</v>
      </c>
      <c r="F64" s="79" t="s">
        <v>143</v>
      </c>
      <c r="G64" s="79"/>
      <c r="H64" s="79" t="s">
        <v>38</v>
      </c>
      <c r="I64" s="79"/>
      <c r="J64" s="79"/>
    </row>
    <row r="65" spans="2:10" ht="15.95" customHeight="1">
      <c r="B65" s="81" t="s">
        <v>90</v>
      </c>
      <c r="C65" s="81" t="s">
        <v>34</v>
      </c>
      <c r="D65" s="81" t="s">
        <v>147</v>
      </c>
      <c r="E65" s="81" t="s">
        <v>142</v>
      </c>
      <c r="F65" s="81" t="s">
        <v>143</v>
      </c>
      <c r="G65" s="81"/>
      <c r="H65" s="81" t="s">
        <v>38</v>
      </c>
      <c r="I65" s="81"/>
      <c r="J65" s="81"/>
    </row>
    <row r="66" spans="2:10" ht="15.95" customHeight="1">
      <c r="B66" s="79" t="s">
        <v>95</v>
      </c>
      <c r="C66" s="79" t="s">
        <v>34</v>
      </c>
      <c r="D66" s="79" t="s">
        <v>148</v>
      </c>
      <c r="E66" s="79" t="s">
        <v>149</v>
      </c>
      <c r="F66" s="79" t="s">
        <v>143</v>
      </c>
      <c r="G66" s="79"/>
      <c r="H66" s="79" t="s">
        <v>38</v>
      </c>
      <c r="I66" s="79"/>
      <c r="J66" s="79"/>
    </row>
    <row r="67" spans="2:10" ht="15.95" customHeight="1">
      <c r="B67" s="81" t="s">
        <v>95</v>
      </c>
      <c r="C67" s="81" t="s">
        <v>34</v>
      </c>
      <c r="D67" s="81" t="s">
        <v>150</v>
      </c>
      <c r="E67" s="81" t="s">
        <v>151</v>
      </c>
      <c r="F67" s="81" t="s">
        <v>143</v>
      </c>
      <c r="G67" s="81"/>
      <c r="H67" s="81" t="s">
        <v>38</v>
      </c>
      <c r="I67" s="81"/>
      <c r="J67" s="81"/>
    </row>
    <row r="68" spans="2:10" ht="15.95" customHeight="1">
      <c r="B68" s="79" t="s">
        <v>66</v>
      </c>
      <c r="C68" s="79" t="s">
        <v>34</v>
      </c>
      <c r="D68" s="79" t="s">
        <v>152</v>
      </c>
      <c r="E68" s="79" t="s">
        <v>152</v>
      </c>
      <c r="F68" s="79" t="s">
        <v>73</v>
      </c>
      <c r="G68" s="79"/>
      <c r="H68" s="79" t="s">
        <v>38</v>
      </c>
      <c r="I68" s="79"/>
      <c r="J68" s="79"/>
    </row>
    <row r="69" spans="2:10" ht="15.95" customHeight="1">
      <c r="B69" s="81" t="s">
        <v>66</v>
      </c>
      <c r="C69" s="81" t="s">
        <v>34</v>
      </c>
      <c r="D69" s="81" t="s">
        <v>153</v>
      </c>
      <c r="E69" s="81" t="s">
        <v>153</v>
      </c>
      <c r="F69" s="81" t="s">
        <v>73</v>
      </c>
      <c r="G69" s="81"/>
      <c r="H69" s="81" t="s">
        <v>38</v>
      </c>
      <c r="I69" s="81"/>
      <c r="J69" s="81"/>
    </row>
    <row r="70" spans="2:10" ht="15.95" customHeight="1">
      <c r="B70" s="79" t="s">
        <v>66</v>
      </c>
      <c r="C70" s="79" t="s">
        <v>34</v>
      </c>
      <c r="D70" s="79" t="s">
        <v>154</v>
      </c>
      <c r="E70" s="79" t="s">
        <v>154</v>
      </c>
      <c r="F70" s="79" t="s">
        <v>73</v>
      </c>
      <c r="G70" s="79"/>
      <c r="H70" s="79" t="s">
        <v>38</v>
      </c>
      <c r="I70" s="79"/>
      <c r="J70" s="79"/>
    </row>
    <row r="71" spans="2:10" ht="15.95" customHeight="1">
      <c r="B71" s="81" t="s">
        <v>66</v>
      </c>
      <c r="C71" s="81" t="s">
        <v>34</v>
      </c>
      <c r="D71" s="81" t="s">
        <v>155</v>
      </c>
      <c r="E71" s="81" t="s">
        <v>155</v>
      </c>
      <c r="F71" s="81" t="s">
        <v>73</v>
      </c>
      <c r="G71" s="81"/>
      <c r="H71" s="81" t="s">
        <v>38</v>
      </c>
      <c r="I71" s="81"/>
      <c r="J71" s="81"/>
    </row>
    <row r="72" spans="2:10" ht="15.95" customHeight="1">
      <c r="B72" s="79" t="s">
        <v>66</v>
      </c>
      <c r="C72" s="79" t="s">
        <v>34</v>
      </c>
      <c r="D72" s="79" t="s">
        <v>156</v>
      </c>
      <c r="E72" s="79" t="s">
        <v>156</v>
      </c>
      <c r="F72" s="79" t="s">
        <v>73</v>
      </c>
      <c r="G72" s="79"/>
      <c r="H72" s="79" t="s">
        <v>38</v>
      </c>
      <c r="I72" s="79"/>
      <c r="J72" s="79"/>
    </row>
    <row r="73" spans="2:10" ht="15.95" customHeight="1">
      <c r="B73" s="81" t="s">
        <v>90</v>
      </c>
      <c r="C73" s="81" t="s">
        <v>34</v>
      </c>
      <c r="D73" s="81" t="s">
        <v>157</v>
      </c>
      <c r="E73" s="81" t="s">
        <v>157</v>
      </c>
      <c r="F73" s="81" t="s">
        <v>73</v>
      </c>
      <c r="G73" s="81"/>
      <c r="H73" s="81" t="s">
        <v>38</v>
      </c>
      <c r="I73" s="81"/>
      <c r="J73" s="81"/>
    </row>
    <row r="74" spans="2:10" ht="15.95" customHeight="1">
      <c r="B74" s="79" t="s">
        <v>66</v>
      </c>
      <c r="C74" s="79" t="s">
        <v>34</v>
      </c>
      <c r="D74" s="79" t="s">
        <v>158</v>
      </c>
      <c r="E74" s="79" t="s">
        <v>158</v>
      </c>
      <c r="F74" s="79" t="s">
        <v>73</v>
      </c>
      <c r="G74" s="79"/>
      <c r="H74" s="79" t="s">
        <v>38</v>
      </c>
      <c r="I74" s="79"/>
      <c r="J74" s="79"/>
    </row>
    <row r="75" spans="2:10" ht="15.95" customHeight="1">
      <c r="B75" s="81" t="s">
        <v>90</v>
      </c>
      <c r="C75" s="81" t="s">
        <v>34</v>
      </c>
      <c r="D75" s="81" t="s">
        <v>159</v>
      </c>
      <c r="E75" s="81" t="s">
        <v>159</v>
      </c>
      <c r="F75" s="81" t="s">
        <v>73</v>
      </c>
      <c r="G75" s="81"/>
      <c r="H75" s="81" t="s">
        <v>38</v>
      </c>
      <c r="I75" s="81"/>
      <c r="J75" s="81"/>
    </row>
    <row r="76" spans="2:10" ht="15.95" customHeight="1">
      <c r="B76" s="79" t="s">
        <v>90</v>
      </c>
      <c r="C76" s="79" t="s">
        <v>34</v>
      </c>
      <c r="D76" s="79" t="s">
        <v>160</v>
      </c>
      <c r="E76" s="79" t="s">
        <v>160</v>
      </c>
      <c r="F76" s="79" t="s">
        <v>73</v>
      </c>
      <c r="G76" s="79"/>
      <c r="H76" s="79" t="s">
        <v>38</v>
      </c>
      <c r="I76" s="79"/>
      <c r="J76" s="79"/>
    </row>
    <row r="77" spans="2:10" ht="15.95" customHeight="1">
      <c r="B77" s="81" t="s">
        <v>90</v>
      </c>
      <c r="C77" s="81" t="s">
        <v>34</v>
      </c>
      <c r="D77" s="81" t="s">
        <v>161</v>
      </c>
      <c r="E77" s="81" t="s">
        <v>161</v>
      </c>
      <c r="F77" s="81" t="s">
        <v>73</v>
      </c>
      <c r="G77" s="81"/>
      <c r="H77" s="81" t="s">
        <v>38</v>
      </c>
      <c r="I77" s="81"/>
      <c r="J77" s="81"/>
    </row>
    <row r="78" spans="2:10">
      <c r="B78" s="81" t="s">
        <v>66</v>
      </c>
      <c r="C78" s="81" t="s">
        <v>34</v>
      </c>
      <c r="D78" s="81" t="s">
        <v>162</v>
      </c>
      <c r="E78" s="81" t="s">
        <v>125</v>
      </c>
      <c r="F78" s="81" t="s">
        <v>73</v>
      </c>
      <c r="G78" s="81"/>
      <c r="H78" s="81"/>
      <c r="I78" s="81"/>
      <c r="J78" s="81"/>
    </row>
    <row r="79" spans="2:10">
      <c r="B79" s="79" t="s">
        <v>66</v>
      </c>
      <c r="C79" s="79" t="s">
        <v>34</v>
      </c>
      <c r="D79" s="79" t="s">
        <v>163</v>
      </c>
      <c r="E79" s="79" t="s">
        <v>125</v>
      </c>
      <c r="F79" s="79" t="s">
        <v>73</v>
      </c>
      <c r="G79" s="79"/>
      <c r="H79" s="79"/>
      <c r="I79" s="79"/>
      <c r="J79" s="79"/>
    </row>
    <row r="80" spans="2:10">
      <c r="B80" s="81" t="s">
        <v>66</v>
      </c>
      <c r="C80" s="81" t="s">
        <v>34</v>
      </c>
      <c r="D80" s="81" t="s">
        <v>164</v>
      </c>
      <c r="E80" s="81" t="s">
        <v>125</v>
      </c>
      <c r="F80" s="81" t="s">
        <v>73</v>
      </c>
      <c r="G80" s="81"/>
      <c r="H80" s="81"/>
      <c r="I80" s="81"/>
      <c r="J80" s="81"/>
    </row>
    <row r="81" spans="2:10">
      <c r="B81" s="79" t="s">
        <v>66</v>
      </c>
      <c r="C81" s="79" t="s">
        <v>34</v>
      </c>
      <c r="D81" s="79" t="s">
        <v>165</v>
      </c>
      <c r="E81" s="79" t="s">
        <v>125</v>
      </c>
      <c r="F81" s="79" t="s">
        <v>73</v>
      </c>
      <c r="G81" s="79"/>
      <c r="H81" s="79"/>
      <c r="I81" s="79"/>
      <c r="J81" s="79"/>
    </row>
    <row r="82" spans="2:10">
      <c r="B82" s="81" t="s">
        <v>66</v>
      </c>
      <c r="C82" s="81" t="s">
        <v>34</v>
      </c>
      <c r="D82" s="81" t="s">
        <v>166</v>
      </c>
      <c r="E82" s="81" t="s">
        <v>125</v>
      </c>
      <c r="F82" s="81" t="s">
        <v>73</v>
      </c>
      <c r="G82" s="81"/>
      <c r="H82" s="81"/>
      <c r="I82" s="81"/>
      <c r="J82" s="81"/>
    </row>
    <row r="83" spans="2:10">
      <c r="B83" s="79" t="s">
        <v>66</v>
      </c>
      <c r="C83" s="79" t="s">
        <v>34</v>
      </c>
      <c r="D83" s="79" t="s">
        <v>167</v>
      </c>
      <c r="E83" s="79" t="s">
        <v>125</v>
      </c>
      <c r="F83" s="79" t="s">
        <v>73</v>
      </c>
      <c r="G83" s="79"/>
      <c r="H83" s="79"/>
      <c r="I83" s="79"/>
      <c r="J83" s="79"/>
    </row>
    <row r="84" spans="2:10">
      <c r="B84" s="81" t="s">
        <v>66</v>
      </c>
      <c r="C84" s="81" t="s">
        <v>34</v>
      </c>
      <c r="D84" s="81" t="s">
        <v>168</v>
      </c>
      <c r="E84" s="81" t="s">
        <v>125</v>
      </c>
      <c r="F84" s="81" t="s">
        <v>73</v>
      </c>
      <c r="G84" s="81"/>
      <c r="H84" s="81"/>
      <c r="I84" s="81"/>
      <c r="J84" s="81"/>
    </row>
    <row r="85" spans="2:10">
      <c r="B85" s="79" t="s">
        <v>66</v>
      </c>
      <c r="C85" s="79" t="s">
        <v>34</v>
      </c>
      <c r="D85" s="79" t="s">
        <v>169</v>
      </c>
      <c r="E85" s="79" t="s">
        <v>125</v>
      </c>
      <c r="F85" s="79" t="s">
        <v>73</v>
      </c>
      <c r="G85" s="79"/>
      <c r="H85" s="79"/>
      <c r="I85" s="79"/>
      <c r="J85" s="79"/>
    </row>
    <row r="86" spans="2:10">
      <c r="B86" s="81" t="s">
        <v>66</v>
      </c>
      <c r="C86" s="81" t="s">
        <v>34</v>
      </c>
      <c r="D86" s="81" t="s">
        <v>170</v>
      </c>
      <c r="E86" s="81" t="s">
        <v>125</v>
      </c>
      <c r="F86" s="81" t="s">
        <v>73</v>
      </c>
      <c r="G86" s="81"/>
      <c r="H86" s="81"/>
      <c r="I86" s="81"/>
      <c r="J86" s="81"/>
    </row>
    <row r="87" spans="2:10">
      <c r="B87" s="79" t="s">
        <v>66</v>
      </c>
      <c r="C87" s="79" t="s">
        <v>34</v>
      </c>
      <c r="D87" s="79" t="s">
        <v>171</v>
      </c>
      <c r="E87" s="79" t="s">
        <v>125</v>
      </c>
      <c r="F87" s="79" t="s">
        <v>73</v>
      </c>
      <c r="G87" s="79"/>
      <c r="H87" s="79"/>
      <c r="I87" s="79"/>
      <c r="J87" s="79"/>
    </row>
    <row r="88" spans="2:10">
      <c r="B88" s="81" t="s">
        <v>66</v>
      </c>
      <c r="C88" s="81" t="s">
        <v>34</v>
      </c>
      <c r="D88" s="81" t="s">
        <v>172</v>
      </c>
      <c r="E88" s="81" t="s">
        <v>125</v>
      </c>
      <c r="F88" s="81" t="s">
        <v>73</v>
      </c>
      <c r="G88" s="81"/>
      <c r="H88" s="81"/>
      <c r="I88" s="81"/>
      <c r="J88" s="81"/>
    </row>
    <row r="89" spans="2:10">
      <c r="B89" s="79" t="s">
        <v>66</v>
      </c>
      <c r="C89" s="79" t="s">
        <v>34</v>
      </c>
      <c r="D89" s="79" t="s">
        <v>173</v>
      </c>
      <c r="E89" s="79" t="s">
        <v>125</v>
      </c>
      <c r="F89" s="79" t="s">
        <v>73</v>
      </c>
      <c r="G89" s="79"/>
      <c r="H89" s="79"/>
      <c r="I89" s="79"/>
      <c r="J89" s="79"/>
    </row>
    <row r="90" spans="2:10">
      <c r="B90" s="81" t="s">
        <v>66</v>
      </c>
      <c r="C90" s="81" t="s">
        <v>34</v>
      </c>
      <c r="D90" s="81" t="s">
        <v>174</v>
      </c>
      <c r="E90" s="81" t="s">
        <v>125</v>
      </c>
      <c r="F90" s="81" t="s">
        <v>73</v>
      </c>
      <c r="G90" s="81"/>
      <c r="H90" s="81"/>
      <c r="I90" s="81"/>
      <c r="J90" s="81"/>
    </row>
    <row r="91" spans="2:10">
      <c r="B91" s="79" t="s">
        <v>66</v>
      </c>
      <c r="C91" s="79" t="s">
        <v>34</v>
      </c>
      <c r="D91" s="79" t="s">
        <v>175</v>
      </c>
      <c r="E91" s="79" t="s">
        <v>125</v>
      </c>
      <c r="F91" s="79" t="s">
        <v>73</v>
      </c>
      <c r="G91" s="79"/>
      <c r="H91" s="79"/>
      <c r="I91" s="79"/>
      <c r="J91" s="79"/>
    </row>
    <row r="92" spans="2:10">
      <c r="B92" s="81" t="s">
        <v>66</v>
      </c>
      <c r="C92" s="81" t="s">
        <v>34</v>
      </c>
      <c r="D92" s="81" t="s">
        <v>800</v>
      </c>
      <c r="E92" s="81" t="s">
        <v>795</v>
      </c>
      <c r="F92" s="81" t="s">
        <v>37</v>
      </c>
      <c r="G92" s="81"/>
      <c r="H92" s="81"/>
      <c r="I92" s="81"/>
      <c r="J92" s="81"/>
    </row>
    <row r="93" spans="2:10">
      <c r="B93" s="79" t="s">
        <v>33</v>
      </c>
      <c r="C93" s="79" t="s">
        <v>34</v>
      </c>
      <c r="D93" s="79" t="s">
        <v>808</v>
      </c>
      <c r="E93" s="79" t="s">
        <v>884</v>
      </c>
      <c r="F93" s="79" t="s">
        <v>37</v>
      </c>
      <c r="G93" s="79"/>
      <c r="H93" s="79"/>
      <c r="I93" s="79"/>
      <c r="J93" s="79"/>
    </row>
    <row r="94" spans="2:10">
      <c r="B94" s="81" t="s">
        <v>33</v>
      </c>
      <c r="C94" s="81" t="s">
        <v>34</v>
      </c>
      <c r="D94" s="81" t="s">
        <v>809</v>
      </c>
      <c r="E94" s="81" t="s">
        <v>885</v>
      </c>
      <c r="F94" s="81" t="s">
        <v>37</v>
      </c>
      <c r="G94" s="81"/>
      <c r="H94" s="81"/>
      <c r="I94" s="81"/>
      <c r="J94" s="81"/>
    </row>
    <row r="95" spans="2:10">
      <c r="B95" s="79" t="s">
        <v>33</v>
      </c>
      <c r="C95" s="79" t="s">
        <v>34</v>
      </c>
      <c r="D95" s="79" t="s">
        <v>856</v>
      </c>
      <c r="E95" s="79" t="s">
        <v>886</v>
      </c>
      <c r="F95" s="79" t="s">
        <v>37</v>
      </c>
      <c r="G95" s="79"/>
      <c r="H95" s="79"/>
      <c r="I95" s="79"/>
      <c r="J95" s="79"/>
    </row>
    <row r="96" spans="2:10">
      <c r="B96" s="81" t="s">
        <v>33</v>
      </c>
      <c r="C96" s="81" t="s">
        <v>34</v>
      </c>
      <c r="D96" s="81" t="s">
        <v>857</v>
      </c>
      <c r="E96" s="81" t="s">
        <v>887</v>
      </c>
      <c r="F96" s="81" t="s">
        <v>37</v>
      </c>
      <c r="G96" s="81"/>
      <c r="H96" s="81"/>
      <c r="I96" s="81"/>
      <c r="J96" s="81"/>
    </row>
    <row r="97" spans="2:10">
      <c r="B97" s="79" t="s">
        <v>33</v>
      </c>
      <c r="C97" s="79" t="s">
        <v>34</v>
      </c>
      <c r="D97" s="79" t="s">
        <v>858</v>
      </c>
      <c r="E97" s="79" t="s">
        <v>888</v>
      </c>
      <c r="F97" s="79" t="s">
        <v>37</v>
      </c>
      <c r="G97" s="79"/>
      <c r="H97" s="79"/>
      <c r="I97" s="79"/>
      <c r="J97" s="79"/>
    </row>
    <row r="99" spans="2:10">
      <c r="B99" s="941" t="s">
        <v>798</v>
      </c>
      <c r="C99" s="941"/>
      <c r="D99" s="941"/>
      <c r="E99" s="427"/>
      <c r="F99" s="427"/>
      <c r="G99" s="427"/>
      <c r="H99" s="427"/>
      <c r="I99" s="427"/>
      <c r="J99" s="427"/>
    </row>
    <row r="100" spans="2:10">
      <c r="B100" s="429" t="s">
        <v>33</v>
      </c>
      <c r="C100" s="429"/>
      <c r="D100" s="429" t="s">
        <v>86</v>
      </c>
      <c r="E100" s="429" t="s">
        <v>87</v>
      </c>
      <c r="F100" s="429" t="s">
        <v>37</v>
      </c>
      <c r="G100" s="429"/>
      <c r="H100" s="429" t="s">
        <v>88</v>
      </c>
      <c r="I100" s="429"/>
      <c r="J100" s="429" t="s">
        <v>89</v>
      </c>
    </row>
  </sheetData>
  <mergeCells count="1">
    <mergeCell ref="B99:D99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1"/>
  <dimension ref="A2:N76"/>
  <sheetViews>
    <sheetView topLeftCell="A39" zoomScale="130" zoomScaleNormal="130" workbookViewId="0">
      <selection activeCell="E79" sqref="E79"/>
    </sheetView>
  </sheetViews>
  <sheetFormatPr defaultRowHeight="12.75"/>
  <cols>
    <col min="1" max="1" width="3.42578125" customWidth="1"/>
    <col min="2" max="2" width="20.85546875" customWidth="1"/>
    <col min="3" max="3" width="22.42578125" bestFit="1" customWidth="1"/>
    <col min="4" max="4" width="33.42578125" customWidth="1"/>
    <col min="5" max="5" width="45.5703125" customWidth="1"/>
    <col min="6" max="6" width="11" customWidth="1"/>
    <col min="7" max="7" width="16" customWidth="1"/>
    <col min="8" max="8" width="11" customWidth="1"/>
    <col min="9" max="9" width="14.140625" customWidth="1"/>
    <col min="10" max="10" width="11" customWidth="1"/>
    <col min="11" max="11" width="3.42578125" customWidth="1"/>
  </cols>
  <sheetData>
    <row r="2" spans="2:14" ht="18">
      <c r="B2" s="261" t="s">
        <v>176</v>
      </c>
      <c r="C2" s="261"/>
      <c r="D2" s="262"/>
      <c r="E2" s="261"/>
      <c r="F2" s="261"/>
      <c r="G2" s="262"/>
      <c r="H2" s="261"/>
      <c r="I2" s="261"/>
      <c r="J2" s="262"/>
    </row>
    <row r="3" spans="2:14">
      <c r="B3" s="45"/>
      <c r="C3" s="45"/>
      <c r="D3" s="46"/>
      <c r="E3" s="46"/>
      <c r="F3" s="46"/>
      <c r="G3" s="46"/>
      <c r="H3" s="46"/>
      <c r="I3" s="46"/>
      <c r="J3" s="46"/>
    </row>
    <row r="4" spans="2:14" ht="15.75" customHeight="1">
      <c r="B4" s="45" t="s">
        <v>177</v>
      </c>
      <c r="C4" s="45"/>
      <c r="D4" s="46"/>
      <c r="E4" s="46"/>
      <c r="F4" s="46"/>
      <c r="G4" s="46"/>
      <c r="H4" s="46"/>
      <c r="I4" s="46"/>
      <c r="J4" s="46"/>
    </row>
    <row r="5" spans="2:14" ht="15.75" customHeight="1">
      <c r="B5" s="48" t="s">
        <v>178</v>
      </c>
      <c r="C5" s="48" t="s">
        <v>17</v>
      </c>
      <c r="D5" s="48" t="s">
        <v>179</v>
      </c>
      <c r="E5" s="48" t="s">
        <v>180</v>
      </c>
      <c r="F5" s="48" t="s">
        <v>181</v>
      </c>
      <c r="G5" s="48" t="s">
        <v>182</v>
      </c>
      <c r="H5" s="48" t="s">
        <v>183</v>
      </c>
      <c r="I5" s="48" t="s">
        <v>184</v>
      </c>
      <c r="J5" s="48" t="s">
        <v>185</v>
      </c>
    </row>
    <row r="6" spans="2:14" ht="39" thickBot="1">
      <c r="B6" s="49" t="s">
        <v>186</v>
      </c>
      <c r="C6" s="49" t="s">
        <v>187</v>
      </c>
      <c r="D6" s="49" t="s">
        <v>188</v>
      </c>
      <c r="E6" s="49" t="s">
        <v>189</v>
      </c>
      <c r="F6" s="49" t="s">
        <v>190</v>
      </c>
      <c r="G6" s="49" t="s">
        <v>191</v>
      </c>
      <c r="H6" s="49" t="s">
        <v>192</v>
      </c>
      <c r="I6" s="52" t="s">
        <v>193</v>
      </c>
      <c r="J6" s="52" t="s">
        <v>194</v>
      </c>
    </row>
    <row r="7" spans="2:14" ht="15.75" customHeight="1">
      <c r="B7" s="76" t="s">
        <v>195</v>
      </c>
      <c r="C7" s="77" t="s">
        <v>34</v>
      </c>
      <c r="D7" s="76" t="s">
        <v>196</v>
      </c>
      <c r="E7" s="76" t="s">
        <v>197</v>
      </c>
      <c r="F7" s="76" t="s">
        <v>37</v>
      </c>
      <c r="G7" s="76" t="s">
        <v>198</v>
      </c>
      <c r="H7" s="76"/>
      <c r="I7" s="76"/>
      <c r="J7" s="76"/>
      <c r="N7" s="38"/>
    </row>
    <row r="8" spans="2:14" ht="15.75" customHeight="1">
      <c r="B8" s="78" t="s">
        <v>195</v>
      </c>
      <c r="C8" s="79" t="s">
        <v>34</v>
      </c>
      <c r="D8" s="78" t="s">
        <v>199</v>
      </c>
      <c r="E8" s="78" t="s">
        <v>200</v>
      </c>
      <c r="F8" s="78" t="s">
        <v>37</v>
      </c>
      <c r="G8" s="78" t="s">
        <v>198</v>
      </c>
      <c r="H8" s="78"/>
      <c r="I8" s="78"/>
      <c r="J8" s="78"/>
      <c r="N8" s="38"/>
    </row>
    <row r="9" spans="2:14" ht="15.75" customHeight="1">
      <c r="B9" s="80" t="s">
        <v>195</v>
      </c>
      <c r="C9" s="81" t="s">
        <v>34</v>
      </c>
      <c r="D9" s="80" t="s">
        <v>201</v>
      </c>
      <c r="E9" s="80" t="s">
        <v>202</v>
      </c>
      <c r="F9" s="80" t="s">
        <v>37</v>
      </c>
      <c r="G9" s="80" t="s">
        <v>198</v>
      </c>
      <c r="H9" s="80"/>
      <c r="I9" s="80"/>
      <c r="J9" s="80"/>
      <c r="N9" s="38"/>
    </row>
    <row r="10" spans="2:14" ht="15.75" customHeight="1">
      <c r="B10" s="78" t="s">
        <v>195</v>
      </c>
      <c r="C10" s="79" t="s">
        <v>34</v>
      </c>
      <c r="D10" s="79" t="s">
        <v>203</v>
      </c>
      <c r="E10" s="83" t="s">
        <v>204</v>
      </c>
      <c r="F10" s="78" t="s">
        <v>37</v>
      </c>
      <c r="G10" s="78" t="s">
        <v>198</v>
      </c>
      <c r="H10" s="78"/>
      <c r="I10" s="79"/>
      <c r="J10" s="79"/>
      <c r="N10" s="38"/>
    </row>
    <row r="11" spans="2:14" ht="15.75" customHeight="1">
      <c r="B11" s="80" t="s">
        <v>195</v>
      </c>
      <c r="C11" s="81" t="s">
        <v>34</v>
      </c>
      <c r="D11" s="81" t="s">
        <v>205</v>
      </c>
      <c r="E11" s="81" t="s">
        <v>206</v>
      </c>
      <c r="F11" s="80" t="s">
        <v>37</v>
      </c>
      <c r="G11" s="80" t="s">
        <v>198</v>
      </c>
      <c r="H11" s="80"/>
      <c r="I11" s="81"/>
      <c r="J11" s="81"/>
      <c r="N11" s="38"/>
    </row>
    <row r="12" spans="2:14" ht="15.75" customHeight="1">
      <c r="B12" s="78" t="s">
        <v>195</v>
      </c>
      <c r="C12" s="79" t="s">
        <v>34</v>
      </c>
      <c r="D12" s="79" t="s">
        <v>207</v>
      </c>
      <c r="E12" s="79" t="s">
        <v>208</v>
      </c>
      <c r="F12" s="78" t="s">
        <v>37</v>
      </c>
      <c r="G12" s="78" t="s">
        <v>198</v>
      </c>
      <c r="H12" s="78"/>
      <c r="I12" s="79"/>
      <c r="J12" s="79"/>
      <c r="N12" s="38"/>
    </row>
    <row r="13" spans="2:14" ht="15.75" customHeight="1">
      <c r="B13" s="80" t="s">
        <v>195</v>
      </c>
      <c r="C13" s="81" t="s">
        <v>34</v>
      </c>
      <c r="D13" s="81" t="s">
        <v>209</v>
      </c>
      <c r="E13" s="81" t="s">
        <v>210</v>
      </c>
      <c r="F13" s="80" t="s">
        <v>37</v>
      </c>
      <c r="G13" s="80" t="s">
        <v>198</v>
      </c>
      <c r="H13" s="80"/>
      <c r="I13" s="81"/>
      <c r="J13" s="81"/>
      <c r="N13" s="38"/>
    </row>
    <row r="14" spans="2:14" ht="15.75" customHeight="1">
      <c r="B14" s="78" t="s">
        <v>195</v>
      </c>
      <c r="C14" s="79" t="s">
        <v>34</v>
      </c>
      <c r="D14" s="79" t="s">
        <v>211</v>
      </c>
      <c r="E14" s="79" t="s">
        <v>212</v>
      </c>
      <c r="F14" s="78" t="s">
        <v>37</v>
      </c>
      <c r="G14" s="78" t="s">
        <v>198</v>
      </c>
      <c r="H14" s="78"/>
      <c r="I14" s="79"/>
      <c r="J14" s="79"/>
      <c r="N14" s="38"/>
    </row>
    <row r="15" spans="2:14" ht="15.75" customHeight="1">
      <c r="B15" s="80" t="s">
        <v>195</v>
      </c>
      <c r="C15" s="81" t="s">
        <v>34</v>
      </c>
      <c r="D15" s="81" t="s">
        <v>213</v>
      </c>
      <c r="E15" s="81" t="s">
        <v>214</v>
      </c>
      <c r="F15" s="80" t="s">
        <v>37</v>
      </c>
      <c r="G15" s="80" t="s">
        <v>198</v>
      </c>
      <c r="H15" s="80"/>
      <c r="I15" s="81"/>
      <c r="J15" s="81"/>
      <c r="N15" s="38"/>
    </row>
    <row r="16" spans="2:14" ht="15.75" customHeight="1">
      <c r="B16" s="78" t="s">
        <v>195</v>
      </c>
      <c r="C16" s="79" t="s">
        <v>34</v>
      </c>
      <c r="D16" s="79" t="s">
        <v>215</v>
      </c>
      <c r="E16" s="79" t="s">
        <v>216</v>
      </c>
      <c r="F16" s="78" t="s">
        <v>37</v>
      </c>
      <c r="G16" s="78" t="s">
        <v>198</v>
      </c>
      <c r="H16" s="78"/>
      <c r="I16" s="79"/>
      <c r="J16" s="79"/>
      <c r="N16" s="38"/>
    </row>
    <row r="17" spans="1:14" ht="15.75" customHeight="1">
      <c r="B17" s="80" t="s">
        <v>195</v>
      </c>
      <c r="C17" s="81" t="s">
        <v>34</v>
      </c>
      <c r="D17" s="81" t="s">
        <v>217</v>
      </c>
      <c r="E17" s="81" t="s">
        <v>218</v>
      </c>
      <c r="F17" s="80" t="s">
        <v>37</v>
      </c>
      <c r="G17" s="80" t="s">
        <v>198</v>
      </c>
      <c r="H17" s="80" t="s">
        <v>88</v>
      </c>
      <c r="I17" s="81"/>
      <c r="J17" s="81"/>
      <c r="N17" s="38"/>
    </row>
    <row r="18" spans="1:14" ht="15.75" customHeight="1">
      <c r="B18" s="78" t="s">
        <v>195</v>
      </c>
      <c r="C18" s="79" t="s">
        <v>34</v>
      </c>
      <c r="D18" s="79" t="s">
        <v>219</v>
      </c>
      <c r="E18" s="79" t="s">
        <v>220</v>
      </c>
      <c r="F18" s="78" t="s">
        <v>37</v>
      </c>
      <c r="G18" s="78" t="s">
        <v>198</v>
      </c>
      <c r="H18" s="264" t="s">
        <v>38</v>
      </c>
      <c r="I18" s="79"/>
      <c r="J18" s="79"/>
      <c r="N18" s="38"/>
    </row>
    <row r="19" spans="1:14" ht="15.75" customHeight="1">
      <c r="B19" s="80" t="s">
        <v>195</v>
      </c>
      <c r="C19" s="81" t="s">
        <v>34</v>
      </c>
      <c r="D19" s="81" t="s">
        <v>221</v>
      </c>
      <c r="E19" s="81" t="s">
        <v>222</v>
      </c>
      <c r="F19" s="80" t="s">
        <v>37</v>
      </c>
      <c r="G19" s="80" t="s">
        <v>198</v>
      </c>
      <c r="H19" s="80"/>
      <c r="I19" s="81"/>
      <c r="J19" s="81"/>
      <c r="N19" s="38"/>
    </row>
    <row r="20" spans="1:14" ht="15.75" customHeight="1">
      <c r="B20" s="80" t="s">
        <v>223</v>
      </c>
      <c r="C20" s="81" t="s">
        <v>34</v>
      </c>
      <c r="D20" t="s">
        <v>794</v>
      </c>
      <c r="E20" s="81" t="s">
        <v>797</v>
      </c>
      <c r="F20" s="80" t="s">
        <v>37</v>
      </c>
      <c r="G20" s="80" t="s">
        <v>198</v>
      </c>
      <c r="H20" s="80"/>
      <c r="I20" s="81"/>
      <c r="J20" s="81"/>
      <c r="N20" s="38"/>
    </row>
    <row r="21" spans="1:14" ht="15.75" customHeight="1" thickBot="1">
      <c r="B21" s="82" t="s">
        <v>223</v>
      </c>
      <c r="C21" s="82" t="s">
        <v>34</v>
      </c>
      <c r="D21" s="82" t="s">
        <v>224</v>
      </c>
      <c r="E21" s="82" t="s">
        <v>225</v>
      </c>
      <c r="F21" s="75" t="s">
        <v>69</v>
      </c>
      <c r="G21" s="75" t="s">
        <v>226</v>
      </c>
      <c r="H21" s="75"/>
      <c r="I21" s="82"/>
      <c r="J21" s="82"/>
    </row>
    <row r="22" spans="1:14">
      <c r="B22" s="177" t="s">
        <v>227</v>
      </c>
      <c r="C22" s="197" t="s">
        <v>34</v>
      </c>
      <c r="D22" s="196" t="s">
        <v>801</v>
      </c>
      <c r="E22" s="196" t="s">
        <v>228</v>
      </c>
      <c r="F22" s="177" t="s">
        <v>37</v>
      </c>
      <c r="G22" s="177" t="s">
        <v>229</v>
      </c>
      <c r="H22" s="177" t="s">
        <v>88</v>
      </c>
      <c r="I22" s="177"/>
      <c r="J22" s="177" t="s">
        <v>230</v>
      </c>
    </row>
    <row r="23" spans="1:14">
      <c r="B23" s="198" t="s">
        <v>90</v>
      </c>
      <c r="C23" s="257" t="s">
        <v>34</v>
      </c>
      <c r="D23" s="257" t="s">
        <v>231</v>
      </c>
      <c r="E23" s="257" t="s">
        <v>232</v>
      </c>
      <c r="F23" s="257" t="s">
        <v>37</v>
      </c>
      <c r="G23" s="257" t="s">
        <v>233</v>
      </c>
      <c r="H23" s="257" t="s">
        <v>88</v>
      </c>
      <c r="I23" s="257"/>
      <c r="J23" s="257"/>
    </row>
    <row r="24" spans="1:14">
      <c r="B24" s="200" t="s">
        <v>301</v>
      </c>
      <c r="C24" s="430" t="s">
        <v>34</v>
      </c>
      <c r="D24" s="430" t="s">
        <v>234</v>
      </c>
      <c r="E24" s="430" t="s">
        <v>235</v>
      </c>
      <c r="F24" s="430" t="s">
        <v>37</v>
      </c>
      <c r="G24" s="430" t="s">
        <v>233</v>
      </c>
      <c r="H24" s="430" t="s">
        <v>88</v>
      </c>
      <c r="I24" s="430"/>
      <c r="J24" s="430"/>
    </row>
    <row r="25" spans="1:14">
      <c r="B25" s="246" t="s">
        <v>236</v>
      </c>
      <c r="C25" s="247"/>
      <c r="D25" s="247"/>
      <c r="E25" s="247"/>
      <c r="F25" s="247"/>
      <c r="G25" s="247"/>
      <c r="H25" s="247"/>
      <c r="I25" s="247"/>
      <c r="J25" s="247"/>
    </row>
    <row r="26" spans="1:14" ht="18.75" customHeight="1">
      <c r="B26" s="255" t="s">
        <v>195</v>
      </c>
      <c r="C26" s="255" t="s">
        <v>34</v>
      </c>
      <c r="D26" s="255" t="s">
        <v>237</v>
      </c>
      <c r="E26" s="255" t="s">
        <v>238</v>
      </c>
      <c r="F26" s="255" t="s">
        <v>37</v>
      </c>
      <c r="G26" s="255" t="s">
        <v>239</v>
      </c>
      <c r="H26" s="255" t="s">
        <v>38</v>
      </c>
      <c r="I26" s="255"/>
      <c r="J26" s="255"/>
    </row>
    <row r="27" spans="1:14" ht="18.75" customHeight="1">
      <c r="B27" s="79" t="s">
        <v>195</v>
      </c>
      <c r="C27" s="79" t="s">
        <v>34</v>
      </c>
      <c r="D27" s="79" t="s">
        <v>240</v>
      </c>
      <c r="E27" s="79" t="s">
        <v>241</v>
      </c>
      <c r="F27" s="79" t="s">
        <v>37</v>
      </c>
      <c r="G27" s="79" t="s">
        <v>198</v>
      </c>
      <c r="H27" s="79" t="s">
        <v>38</v>
      </c>
      <c r="I27" s="79"/>
      <c r="J27" s="79"/>
    </row>
    <row r="28" spans="1:14" ht="18.75" customHeight="1">
      <c r="B28" s="81" t="s">
        <v>90</v>
      </c>
      <c r="C28" s="81" t="s">
        <v>34</v>
      </c>
      <c r="D28" s="81" t="s">
        <v>242</v>
      </c>
      <c r="E28" s="81" t="s">
        <v>243</v>
      </c>
      <c r="F28" s="81" t="s">
        <v>143</v>
      </c>
      <c r="G28" s="81" t="s">
        <v>143</v>
      </c>
      <c r="H28" s="81" t="s">
        <v>38</v>
      </c>
      <c r="I28" s="81"/>
      <c r="J28" s="81"/>
    </row>
    <row r="29" spans="1:14" ht="18.75" customHeight="1">
      <c r="B29" s="79" t="s">
        <v>90</v>
      </c>
      <c r="C29" s="79" t="s">
        <v>34</v>
      </c>
      <c r="D29" s="79" t="s">
        <v>244</v>
      </c>
      <c r="E29" s="79" t="s">
        <v>245</v>
      </c>
      <c r="F29" s="79" t="s">
        <v>73</v>
      </c>
      <c r="G29" s="79" t="s">
        <v>73</v>
      </c>
      <c r="H29" s="79" t="s">
        <v>38</v>
      </c>
      <c r="I29" s="79"/>
      <c r="J29" s="79"/>
    </row>
    <row r="30" spans="1:14" ht="18.75" customHeight="1">
      <c r="B30" s="81" t="s">
        <v>90</v>
      </c>
      <c r="C30" s="81" t="s">
        <v>34</v>
      </c>
      <c r="D30" s="81" t="s">
        <v>246</v>
      </c>
      <c r="E30" s="81" t="s">
        <v>247</v>
      </c>
      <c r="F30" s="81" t="s">
        <v>143</v>
      </c>
      <c r="G30" s="81" t="s">
        <v>143</v>
      </c>
      <c r="H30" s="81" t="s">
        <v>38</v>
      </c>
      <c r="I30" s="81"/>
      <c r="J30" s="81"/>
    </row>
    <row r="31" spans="1:14" ht="18.75" customHeight="1">
      <c r="A31" s="81"/>
      <c r="B31" t="s">
        <v>248</v>
      </c>
      <c r="C31" s="81" t="s">
        <v>34</v>
      </c>
      <c r="D31" s="81" t="s">
        <v>249</v>
      </c>
      <c r="E31" s="81" t="s">
        <v>243</v>
      </c>
      <c r="F31" s="81" t="s">
        <v>69</v>
      </c>
      <c r="G31" s="81" t="s">
        <v>250</v>
      </c>
      <c r="H31" s="81" t="s">
        <v>38</v>
      </c>
      <c r="I31" s="81"/>
      <c r="J31" s="81"/>
    </row>
    <row r="32" spans="1:14" ht="18.75" customHeight="1">
      <c r="B32" s="81" t="s">
        <v>248</v>
      </c>
      <c r="C32" s="81" t="s">
        <v>34</v>
      </c>
      <c r="D32" s="81" t="s">
        <v>251</v>
      </c>
      <c r="E32" s="81" t="s">
        <v>247</v>
      </c>
      <c r="F32" s="81" t="s">
        <v>252</v>
      </c>
      <c r="G32" s="81" t="s">
        <v>145</v>
      </c>
      <c r="H32" s="81" t="s">
        <v>38</v>
      </c>
      <c r="I32" s="81"/>
      <c r="J32" s="81"/>
    </row>
    <row r="33" spans="2:10" ht="18.75" customHeight="1">
      <c r="B33" s="79" t="s">
        <v>195</v>
      </c>
      <c r="C33" s="79" t="s">
        <v>34</v>
      </c>
      <c r="D33" s="79" t="s">
        <v>253</v>
      </c>
      <c r="E33" s="79" t="s">
        <v>254</v>
      </c>
      <c r="F33" s="79" t="s">
        <v>69</v>
      </c>
      <c r="G33" s="79" t="s">
        <v>250</v>
      </c>
      <c r="H33" s="79" t="s">
        <v>38</v>
      </c>
      <c r="I33" s="79"/>
      <c r="J33" s="79"/>
    </row>
    <row r="34" spans="2:10" ht="18.75" customHeight="1">
      <c r="B34" s="81" t="s">
        <v>195</v>
      </c>
      <c r="C34" s="81" t="s">
        <v>34</v>
      </c>
      <c r="D34" s="81" t="s">
        <v>255</v>
      </c>
      <c r="E34" s="81" t="s">
        <v>256</v>
      </c>
      <c r="F34" s="81" t="s">
        <v>69</v>
      </c>
      <c r="G34" s="81" t="s">
        <v>250</v>
      </c>
      <c r="H34" s="81" t="s">
        <v>38</v>
      </c>
      <c r="I34" s="81"/>
      <c r="J34" s="81"/>
    </row>
    <row r="35" spans="2:10" ht="18.75" customHeight="1">
      <c r="B35" s="79" t="s">
        <v>195</v>
      </c>
      <c r="C35" s="79" t="s">
        <v>34</v>
      </c>
      <c r="D35" s="79" t="s">
        <v>257</v>
      </c>
      <c r="E35" s="79" t="s">
        <v>258</v>
      </c>
      <c r="F35" s="79" t="s">
        <v>69</v>
      </c>
      <c r="G35" s="79" t="s">
        <v>250</v>
      </c>
      <c r="H35" s="79" t="s">
        <v>38</v>
      </c>
      <c r="I35" s="79"/>
      <c r="J35" s="79"/>
    </row>
    <row r="36" spans="2:10" ht="18.75" customHeight="1">
      <c r="B36" s="81" t="s">
        <v>195</v>
      </c>
      <c r="C36" s="81" t="s">
        <v>34</v>
      </c>
      <c r="D36" s="81" t="s">
        <v>259</v>
      </c>
      <c r="E36" s="81" t="s">
        <v>260</v>
      </c>
      <c r="F36" s="81" t="s">
        <v>69</v>
      </c>
      <c r="G36" s="81" t="s">
        <v>250</v>
      </c>
      <c r="H36" s="81" t="s">
        <v>38</v>
      </c>
      <c r="I36" s="81"/>
      <c r="J36" s="81"/>
    </row>
    <row r="37" spans="2:10" ht="18.75" customHeight="1">
      <c r="B37" s="79" t="s">
        <v>195</v>
      </c>
      <c r="C37" s="79" t="s">
        <v>34</v>
      </c>
      <c r="D37" s="79" t="s">
        <v>261</v>
      </c>
      <c r="E37" s="79" t="s">
        <v>262</v>
      </c>
      <c r="F37" s="79" t="s">
        <v>69</v>
      </c>
      <c r="G37" s="79" t="s">
        <v>250</v>
      </c>
      <c r="H37" s="79" t="s">
        <v>38</v>
      </c>
      <c r="I37" s="79"/>
      <c r="J37" s="79"/>
    </row>
    <row r="38" spans="2:10" ht="18.75" customHeight="1">
      <c r="B38" s="81" t="s">
        <v>195</v>
      </c>
      <c r="C38" s="81" t="s">
        <v>34</v>
      </c>
      <c r="D38" s="81" t="s">
        <v>263</v>
      </c>
      <c r="E38" s="81" t="s">
        <v>264</v>
      </c>
      <c r="F38" s="81" t="s">
        <v>69</v>
      </c>
      <c r="G38" s="81" t="s">
        <v>250</v>
      </c>
      <c r="H38" s="81" t="s">
        <v>38</v>
      </c>
      <c r="I38" s="81"/>
      <c r="J38" s="81"/>
    </row>
    <row r="39" spans="2:10" ht="18.75" customHeight="1">
      <c r="B39" s="79" t="s">
        <v>195</v>
      </c>
      <c r="C39" s="79" t="s">
        <v>34</v>
      </c>
      <c r="D39" s="79" t="s">
        <v>265</v>
      </c>
      <c r="E39" s="79" t="s">
        <v>266</v>
      </c>
      <c r="F39" s="79" t="s">
        <v>69</v>
      </c>
      <c r="G39" s="79" t="s">
        <v>250</v>
      </c>
      <c r="H39" s="79" t="s">
        <v>38</v>
      </c>
      <c r="I39" s="79"/>
      <c r="J39" s="79"/>
    </row>
    <row r="40" spans="2:10" ht="18.75" customHeight="1">
      <c r="B40" s="81" t="s">
        <v>195</v>
      </c>
      <c r="C40" s="81" t="s">
        <v>34</v>
      </c>
      <c r="D40" s="81" t="s">
        <v>267</v>
      </c>
      <c r="E40" s="81" t="s">
        <v>268</v>
      </c>
      <c r="F40" s="81" t="s">
        <v>69</v>
      </c>
      <c r="G40" s="81" t="s">
        <v>250</v>
      </c>
      <c r="H40" s="81" t="s">
        <v>38</v>
      </c>
      <c r="I40" s="81"/>
      <c r="J40" s="81"/>
    </row>
    <row r="41" spans="2:10" ht="18.75" customHeight="1">
      <c r="B41" s="79" t="s">
        <v>195</v>
      </c>
      <c r="C41" s="79" t="s">
        <v>34</v>
      </c>
      <c r="D41" s="79" t="s">
        <v>269</v>
      </c>
      <c r="E41" s="79" t="s">
        <v>270</v>
      </c>
      <c r="F41" s="79" t="s">
        <v>69</v>
      </c>
      <c r="G41" s="79" t="s">
        <v>250</v>
      </c>
      <c r="H41" s="79" t="s">
        <v>38</v>
      </c>
      <c r="I41" s="79"/>
      <c r="J41" s="79"/>
    </row>
    <row r="42" spans="2:10" ht="18.75" customHeight="1">
      <c r="B42" s="81" t="s">
        <v>195</v>
      </c>
      <c r="C42" s="81" t="s">
        <v>34</v>
      </c>
      <c r="D42" s="81" t="s">
        <v>271</v>
      </c>
      <c r="E42" s="81" t="s">
        <v>271</v>
      </c>
      <c r="F42" s="81" t="s">
        <v>69</v>
      </c>
      <c r="G42" s="81" t="s">
        <v>250</v>
      </c>
      <c r="H42" s="81" t="s">
        <v>38</v>
      </c>
      <c r="I42" s="81"/>
      <c r="J42" s="81"/>
    </row>
    <row r="43" spans="2:10" ht="18.75" customHeight="1">
      <c r="B43" s="79" t="s">
        <v>195</v>
      </c>
      <c r="C43" s="79" t="s">
        <v>34</v>
      </c>
      <c r="D43" s="79" t="s">
        <v>272</v>
      </c>
      <c r="E43" s="79" t="s">
        <v>272</v>
      </c>
      <c r="F43" s="79" t="s">
        <v>73</v>
      </c>
      <c r="G43" s="79" t="s">
        <v>73</v>
      </c>
      <c r="H43" s="79" t="s">
        <v>38</v>
      </c>
      <c r="I43" s="79"/>
      <c r="J43" s="79"/>
    </row>
    <row r="44" spans="2:10" ht="18.75" customHeight="1">
      <c r="B44" s="81" t="s">
        <v>195</v>
      </c>
      <c r="C44" s="81" t="s">
        <v>34</v>
      </c>
      <c r="D44" s="81" t="s">
        <v>273</v>
      </c>
      <c r="E44" s="81" t="s">
        <v>273</v>
      </c>
      <c r="F44" s="81" t="s">
        <v>73</v>
      </c>
      <c r="G44" s="81" t="s">
        <v>73</v>
      </c>
      <c r="H44" s="81" t="s">
        <v>38</v>
      </c>
      <c r="I44" s="81"/>
      <c r="J44" s="81"/>
    </row>
    <row r="45" spans="2:10" ht="18.75" customHeight="1">
      <c r="B45" s="79" t="s">
        <v>195</v>
      </c>
      <c r="C45" s="79" t="s">
        <v>34</v>
      </c>
      <c r="D45" s="79" t="s">
        <v>274</v>
      </c>
      <c r="E45" s="79" t="s">
        <v>274</v>
      </c>
      <c r="F45" s="79" t="s">
        <v>73</v>
      </c>
      <c r="G45" s="79" t="s">
        <v>73</v>
      </c>
      <c r="H45" s="79" t="s">
        <v>38</v>
      </c>
      <c r="I45" s="79"/>
      <c r="J45" s="79"/>
    </row>
    <row r="46" spans="2:10" ht="18.75" customHeight="1">
      <c r="B46" s="81" t="s">
        <v>195</v>
      </c>
      <c r="C46" s="81" t="s">
        <v>34</v>
      </c>
      <c r="D46" s="81" t="s">
        <v>275</v>
      </c>
      <c r="E46" s="81" t="s">
        <v>275</v>
      </c>
      <c r="F46" s="81" t="s">
        <v>73</v>
      </c>
      <c r="G46" s="81" t="s">
        <v>73</v>
      </c>
      <c r="H46" s="81" t="s">
        <v>38</v>
      </c>
      <c r="I46" s="81"/>
      <c r="J46" s="81"/>
    </row>
    <row r="47" spans="2:10" ht="18.75" customHeight="1">
      <c r="B47" s="79" t="s">
        <v>195</v>
      </c>
      <c r="C47" s="79" t="s">
        <v>34</v>
      </c>
      <c r="D47" s="79" t="s">
        <v>276</v>
      </c>
      <c r="E47" s="79" t="s">
        <v>276</v>
      </c>
      <c r="F47" s="79" t="s">
        <v>73</v>
      </c>
      <c r="G47" s="79" t="s">
        <v>73</v>
      </c>
      <c r="H47" s="79" t="s">
        <v>38</v>
      </c>
      <c r="I47" s="79"/>
      <c r="J47" s="79"/>
    </row>
    <row r="48" spans="2:10" ht="18.75" customHeight="1">
      <c r="B48" s="81" t="s">
        <v>195</v>
      </c>
      <c r="C48" s="81" t="s">
        <v>34</v>
      </c>
      <c r="D48" s="81" t="s">
        <v>277</v>
      </c>
      <c r="E48" s="81" t="s">
        <v>277</v>
      </c>
      <c r="F48" s="81" t="s">
        <v>73</v>
      </c>
      <c r="G48" s="81" t="s">
        <v>73</v>
      </c>
      <c r="H48" s="81" t="s">
        <v>38</v>
      </c>
      <c r="I48" s="81"/>
      <c r="J48" s="81"/>
    </row>
    <row r="49" spans="2:10" ht="18.75" customHeight="1">
      <c r="B49" s="79" t="s">
        <v>195</v>
      </c>
      <c r="C49" s="79" t="s">
        <v>34</v>
      </c>
      <c r="D49" s="79" t="s">
        <v>278</v>
      </c>
      <c r="E49" s="79" t="s">
        <v>278</v>
      </c>
      <c r="F49" s="79" t="s">
        <v>73</v>
      </c>
      <c r="G49" s="79" t="s">
        <v>73</v>
      </c>
      <c r="H49" s="79" t="s">
        <v>38</v>
      </c>
      <c r="I49" s="79"/>
      <c r="J49" s="79"/>
    </row>
    <row r="50" spans="2:10" ht="18.75" customHeight="1">
      <c r="B50" s="81" t="s">
        <v>195</v>
      </c>
      <c r="C50" s="81" t="s">
        <v>34</v>
      </c>
      <c r="D50" s="81" t="s">
        <v>279</v>
      </c>
      <c r="E50" s="81" t="s">
        <v>279</v>
      </c>
      <c r="F50" s="81" t="s">
        <v>73</v>
      </c>
      <c r="G50" s="81" t="s">
        <v>73</v>
      </c>
      <c r="H50" s="81" t="s">
        <v>38</v>
      </c>
      <c r="I50" s="81"/>
      <c r="J50" s="81"/>
    </row>
    <row r="51" spans="2:10" ht="18.75" customHeight="1">
      <c r="B51" s="79" t="s">
        <v>195</v>
      </c>
      <c r="C51" s="79" t="s">
        <v>34</v>
      </c>
      <c r="D51" s="79" t="s">
        <v>280</v>
      </c>
      <c r="E51" s="79" t="s">
        <v>280</v>
      </c>
      <c r="F51" s="79" t="s">
        <v>73</v>
      </c>
      <c r="G51" s="79" t="s">
        <v>73</v>
      </c>
      <c r="H51" s="79" t="s">
        <v>38</v>
      </c>
      <c r="I51" s="79"/>
      <c r="J51" s="79"/>
    </row>
    <row r="52" spans="2:10" ht="18.75" customHeight="1">
      <c r="B52" s="81" t="s">
        <v>195</v>
      </c>
      <c r="C52" s="81" t="s">
        <v>34</v>
      </c>
      <c r="D52" s="81" t="s">
        <v>281</v>
      </c>
      <c r="E52" s="81" t="s">
        <v>281</v>
      </c>
      <c r="F52" s="81" t="s">
        <v>73</v>
      </c>
      <c r="G52" s="81" t="s">
        <v>73</v>
      </c>
      <c r="H52" s="81" t="s">
        <v>38</v>
      </c>
      <c r="I52" s="81"/>
      <c r="J52" s="81"/>
    </row>
    <row r="53" spans="2:10" ht="18.75" customHeight="1">
      <c r="B53" s="79" t="s">
        <v>195</v>
      </c>
      <c r="C53" s="79" t="s">
        <v>34</v>
      </c>
      <c r="D53" s="79" t="s">
        <v>282</v>
      </c>
      <c r="E53" s="79" t="s">
        <v>282</v>
      </c>
      <c r="F53" s="79" t="s">
        <v>73</v>
      </c>
      <c r="G53" s="79" t="s">
        <v>73</v>
      </c>
      <c r="H53" s="79" t="s">
        <v>38</v>
      </c>
      <c r="I53" s="79"/>
      <c r="J53" s="79"/>
    </row>
    <row r="54" spans="2:10" ht="18.75" customHeight="1">
      <c r="B54" s="81" t="s">
        <v>195</v>
      </c>
      <c r="C54" s="81" t="s">
        <v>34</v>
      </c>
      <c r="D54" s="81" t="s">
        <v>283</v>
      </c>
      <c r="E54" s="81" t="s">
        <v>283</v>
      </c>
      <c r="F54" s="81" t="s">
        <v>73</v>
      </c>
      <c r="G54" s="81" t="s">
        <v>73</v>
      </c>
      <c r="H54" s="81" t="s">
        <v>38</v>
      </c>
      <c r="I54" s="81"/>
      <c r="J54" s="81"/>
    </row>
    <row r="55" spans="2:10" ht="18.75" customHeight="1">
      <c r="B55" s="79" t="s">
        <v>195</v>
      </c>
      <c r="C55" s="79" t="s">
        <v>34</v>
      </c>
      <c r="D55" s="79" t="s">
        <v>284</v>
      </c>
      <c r="E55" s="79" t="s">
        <v>284</v>
      </c>
      <c r="F55" s="79" t="s">
        <v>73</v>
      </c>
      <c r="G55" s="79" t="s">
        <v>73</v>
      </c>
      <c r="H55" s="79" t="s">
        <v>38</v>
      </c>
      <c r="I55" s="79"/>
      <c r="J55" s="79"/>
    </row>
    <row r="56" spans="2:10" ht="18.75" customHeight="1">
      <c r="B56" s="81" t="s">
        <v>195</v>
      </c>
      <c r="C56" s="81" t="s">
        <v>34</v>
      </c>
      <c r="D56" s="81" t="s">
        <v>285</v>
      </c>
      <c r="E56" s="81" t="s">
        <v>285</v>
      </c>
      <c r="F56" s="81" t="s">
        <v>73</v>
      </c>
      <c r="G56" s="81" t="s">
        <v>73</v>
      </c>
      <c r="H56" s="81" t="s">
        <v>38</v>
      </c>
      <c r="I56" s="81"/>
      <c r="J56" s="81"/>
    </row>
    <row r="57" spans="2:10" ht="18.75" customHeight="1">
      <c r="B57" s="79" t="s">
        <v>195</v>
      </c>
      <c r="C57" s="79" t="s">
        <v>34</v>
      </c>
      <c r="D57" s="79" t="s">
        <v>286</v>
      </c>
      <c r="E57" s="79" t="s">
        <v>286</v>
      </c>
      <c r="F57" s="79" t="s">
        <v>73</v>
      </c>
      <c r="G57" s="79" t="s">
        <v>73</v>
      </c>
      <c r="H57" s="79" t="s">
        <v>38</v>
      </c>
      <c r="I57" s="79"/>
      <c r="J57" s="79"/>
    </row>
    <row r="58" spans="2:10" ht="18.75" customHeight="1">
      <c r="B58" s="81" t="s">
        <v>195</v>
      </c>
      <c r="C58" s="81" t="s">
        <v>34</v>
      </c>
      <c r="D58" s="81" t="s">
        <v>287</v>
      </c>
      <c r="E58" s="81" t="s">
        <v>287</v>
      </c>
      <c r="F58" s="81" t="s">
        <v>73</v>
      </c>
      <c r="G58" s="81" t="s">
        <v>73</v>
      </c>
      <c r="H58" s="81" t="s">
        <v>38</v>
      </c>
      <c r="I58" s="81"/>
      <c r="J58" s="81"/>
    </row>
    <row r="59" spans="2:10" ht="18.75" customHeight="1">
      <c r="B59" s="79" t="s">
        <v>195</v>
      </c>
      <c r="C59" s="79" t="s">
        <v>34</v>
      </c>
      <c r="D59" s="79" t="s">
        <v>288</v>
      </c>
      <c r="E59" s="79" t="s">
        <v>288</v>
      </c>
      <c r="F59" s="79" t="s">
        <v>73</v>
      </c>
      <c r="G59" s="79" t="s">
        <v>73</v>
      </c>
      <c r="H59" s="79" t="s">
        <v>38</v>
      </c>
      <c r="I59" s="79"/>
      <c r="J59" s="79"/>
    </row>
    <row r="60" spans="2:10" ht="18.75" customHeight="1">
      <c r="B60" s="81" t="s">
        <v>195</v>
      </c>
      <c r="C60" s="81" t="s">
        <v>34</v>
      </c>
      <c r="D60" s="81" t="s">
        <v>289</v>
      </c>
      <c r="E60" s="81" t="s">
        <v>289</v>
      </c>
      <c r="F60" s="81" t="s">
        <v>73</v>
      </c>
      <c r="G60" s="81" t="s">
        <v>73</v>
      </c>
      <c r="H60" s="81" t="s">
        <v>38</v>
      </c>
      <c r="I60" s="81"/>
      <c r="J60" s="81"/>
    </row>
    <row r="61" spans="2:10" ht="18.75" customHeight="1">
      <c r="B61" s="79" t="s">
        <v>195</v>
      </c>
      <c r="C61" s="79" t="s">
        <v>34</v>
      </c>
      <c r="D61" s="79" t="s">
        <v>290</v>
      </c>
      <c r="E61" s="79" t="s">
        <v>290</v>
      </c>
      <c r="F61" s="79" t="s">
        <v>73</v>
      </c>
      <c r="G61" s="79" t="s">
        <v>73</v>
      </c>
      <c r="H61" s="79" t="s">
        <v>38</v>
      </c>
      <c r="I61" s="79"/>
      <c r="J61" s="79"/>
    </row>
    <row r="62" spans="2:10" ht="18.75" customHeight="1">
      <c r="B62" s="81" t="s">
        <v>195</v>
      </c>
      <c r="C62" s="81" t="s">
        <v>34</v>
      </c>
      <c r="D62" s="81" t="s">
        <v>291</v>
      </c>
      <c r="E62" s="81" t="s">
        <v>291</v>
      </c>
      <c r="F62" s="81" t="s">
        <v>73</v>
      </c>
      <c r="G62" s="81" t="s">
        <v>73</v>
      </c>
      <c r="H62" s="81" t="s">
        <v>38</v>
      </c>
      <c r="I62" s="81"/>
      <c r="J62" s="81"/>
    </row>
    <row r="63" spans="2:10" ht="18.75" customHeight="1">
      <c r="B63" s="79" t="s">
        <v>195</v>
      </c>
      <c r="C63" s="79" t="s">
        <v>34</v>
      </c>
      <c r="D63" s="79" t="s">
        <v>292</v>
      </c>
      <c r="E63" s="79" t="s">
        <v>292</v>
      </c>
      <c r="F63" s="79" t="s">
        <v>73</v>
      </c>
      <c r="G63" s="79" t="s">
        <v>73</v>
      </c>
      <c r="H63" s="79" t="s">
        <v>38</v>
      </c>
      <c r="I63" s="79"/>
      <c r="J63" s="79"/>
    </row>
    <row r="64" spans="2:10" ht="18.75" customHeight="1">
      <c r="B64" s="81" t="s">
        <v>195</v>
      </c>
      <c r="C64" s="81" t="s">
        <v>34</v>
      </c>
      <c r="D64" s="81" t="s">
        <v>293</v>
      </c>
      <c r="E64" s="81" t="s">
        <v>293</v>
      </c>
      <c r="F64" s="81" t="s">
        <v>73</v>
      </c>
      <c r="G64" s="81" t="s">
        <v>73</v>
      </c>
      <c r="H64" s="81" t="s">
        <v>38</v>
      </c>
      <c r="I64" s="81"/>
      <c r="J64" s="81"/>
    </row>
    <row r="65" spans="2:10" ht="18.75" customHeight="1">
      <c r="B65" s="79" t="s">
        <v>195</v>
      </c>
      <c r="C65" s="79" t="s">
        <v>34</v>
      </c>
      <c r="D65" s="79" t="s">
        <v>294</v>
      </c>
      <c r="E65" s="79" t="s">
        <v>294</v>
      </c>
      <c r="F65" s="79" t="s">
        <v>73</v>
      </c>
      <c r="G65" s="79" t="s">
        <v>73</v>
      </c>
      <c r="H65" s="79" t="s">
        <v>38</v>
      </c>
      <c r="I65" s="79"/>
      <c r="J65" s="79"/>
    </row>
    <row r="66" spans="2:10" ht="18.75" customHeight="1">
      <c r="B66" s="81" t="s">
        <v>195</v>
      </c>
      <c r="C66" s="81" t="s">
        <v>34</v>
      </c>
      <c r="D66" s="81" t="s">
        <v>295</v>
      </c>
      <c r="E66" s="81" t="s">
        <v>295</v>
      </c>
      <c r="F66" s="81" t="s">
        <v>73</v>
      </c>
      <c r="G66" s="81" t="s">
        <v>73</v>
      </c>
      <c r="H66" s="81" t="s">
        <v>38</v>
      </c>
      <c r="I66" s="81"/>
      <c r="J66" s="81"/>
    </row>
    <row r="67" spans="2:10" ht="18.75" customHeight="1">
      <c r="B67" s="79" t="s">
        <v>195</v>
      </c>
      <c r="C67" s="79" t="s">
        <v>34</v>
      </c>
      <c r="D67" s="79" t="s">
        <v>296</v>
      </c>
      <c r="E67" s="79" t="s">
        <v>296</v>
      </c>
      <c r="F67" s="79" t="s">
        <v>73</v>
      </c>
      <c r="G67" s="79" t="s">
        <v>73</v>
      </c>
      <c r="H67" s="79" t="s">
        <v>38</v>
      </c>
      <c r="I67" s="79"/>
      <c r="J67" s="79"/>
    </row>
    <row r="68" spans="2:10" ht="18.75" customHeight="1">
      <c r="B68" s="81" t="s">
        <v>195</v>
      </c>
      <c r="C68" s="81" t="s">
        <v>34</v>
      </c>
      <c r="D68" s="81" t="s">
        <v>297</v>
      </c>
      <c r="E68" s="81" t="s">
        <v>297</v>
      </c>
      <c r="F68" s="81" t="s">
        <v>73</v>
      </c>
      <c r="G68" s="81" t="s">
        <v>73</v>
      </c>
      <c r="H68" s="81" t="s">
        <v>38</v>
      </c>
      <c r="I68" s="81"/>
      <c r="J68" s="81"/>
    </row>
    <row r="69" spans="2:10" ht="18.75" customHeight="1">
      <c r="B69" s="79" t="s">
        <v>195</v>
      </c>
      <c r="C69" s="79" t="s">
        <v>34</v>
      </c>
      <c r="D69" s="79" t="s">
        <v>298</v>
      </c>
      <c r="E69" s="79" t="s">
        <v>298</v>
      </c>
      <c r="F69" s="79" t="s">
        <v>73</v>
      </c>
      <c r="G69" s="79" t="s">
        <v>73</v>
      </c>
      <c r="H69" s="79" t="s">
        <v>38</v>
      </c>
      <c r="I69" s="79"/>
      <c r="J69" s="79"/>
    </row>
    <row r="70" spans="2:10" ht="18.75" customHeight="1">
      <c r="B70" s="81" t="s">
        <v>195</v>
      </c>
      <c r="C70" s="81" t="s">
        <v>34</v>
      </c>
      <c r="D70" s="81" t="s">
        <v>299</v>
      </c>
      <c r="E70" s="81" t="s">
        <v>299</v>
      </c>
      <c r="F70" s="81" t="s">
        <v>73</v>
      </c>
      <c r="G70" s="81" t="s">
        <v>73</v>
      </c>
      <c r="H70" s="81" t="s">
        <v>38</v>
      </c>
      <c r="I70" s="81"/>
      <c r="J70" s="81"/>
    </row>
    <row r="71" spans="2:10" ht="18.75" customHeight="1" thickBot="1">
      <c r="B71" s="422" t="s">
        <v>300</v>
      </c>
      <c r="C71" s="422" t="s">
        <v>34</v>
      </c>
      <c r="D71" s="422" t="s">
        <v>244</v>
      </c>
      <c r="E71" s="422" t="s">
        <v>245</v>
      </c>
      <c r="F71" s="422" t="s">
        <v>73</v>
      </c>
      <c r="G71" s="422" t="s">
        <v>73</v>
      </c>
      <c r="H71" s="422" t="s">
        <v>38</v>
      </c>
      <c r="I71" s="422"/>
      <c r="J71" s="82"/>
    </row>
    <row r="72" spans="2:10">
      <c r="B72" s="81" t="s">
        <v>195</v>
      </c>
      <c r="C72" s="81" t="s">
        <v>34</v>
      </c>
      <c r="D72" s="81" t="s">
        <v>810</v>
      </c>
      <c r="E72" s="81"/>
      <c r="F72" s="81" t="s">
        <v>37</v>
      </c>
      <c r="G72" s="81" t="s">
        <v>233</v>
      </c>
      <c r="H72" s="81" t="s">
        <v>38</v>
      </c>
      <c r="I72" s="177"/>
      <c r="J72" s="177"/>
    </row>
    <row r="73" spans="2:10">
      <c r="B73" s="79" t="s">
        <v>195</v>
      </c>
      <c r="C73" s="79" t="s">
        <v>34</v>
      </c>
      <c r="D73" s="79" t="s">
        <v>895</v>
      </c>
      <c r="E73" s="79"/>
      <c r="F73" s="79" t="s">
        <v>37</v>
      </c>
      <c r="G73" s="79" t="s">
        <v>233</v>
      </c>
      <c r="H73" s="79" t="s">
        <v>38</v>
      </c>
      <c r="I73" s="79"/>
      <c r="J73" s="79"/>
    </row>
    <row r="74" spans="2:10">
      <c r="B74" s="81" t="s">
        <v>195</v>
      </c>
      <c r="C74" s="81" t="s">
        <v>34</v>
      </c>
      <c r="D74" s="81" t="s">
        <v>900</v>
      </c>
      <c r="E74" s="81"/>
      <c r="F74" s="81" t="s">
        <v>37</v>
      </c>
      <c r="G74" s="81" t="s">
        <v>233</v>
      </c>
      <c r="H74" s="81" t="s">
        <v>38</v>
      </c>
      <c r="I74" s="81"/>
      <c r="J74" s="81"/>
    </row>
    <row r="75" spans="2:10">
      <c r="B75" s="79" t="s">
        <v>195</v>
      </c>
      <c r="C75" s="79" t="s">
        <v>34</v>
      </c>
      <c r="D75" s="79" t="s">
        <v>901</v>
      </c>
      <c r="E75" s="79"/>
      <c r="F75" s="79" t="s">
        <v>37</v>
      </c>
      <c r="G75" s="79" t="s">
        <v>233</v>
      </c>
      <c r="H75" s="79" t="s">
        <v>38</v>
      </c>
      <c r="I75" s="79"/>
      <c r="J75" s="79"/>
    </row>
    <row r="76" spans="2:10">
      <c r="B76" s="81" t="s">
        <v>195</v>
      </c>
      <c r="C76" s="81" t="s">
        <v>34</v>
      </c>
      <c r="D76" s="197" t="s">
        <v>902</v>
      </c>
      <c r="E76" s="177"/>
      <c r="F76" s="81" t="s">
        <v>37</v>
      </c>
      <c r="G76" s="81" t="s">
        <v>233</v>
      </c>
      <c r="H76" s="81" t="s">
        <v>38</v>
      </c>
      <c r="I76" s="177"/>
      <c r="J76" s="177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BAC0-4FC6-48F4-97A7-DA1BAE46E2AF}">
  <dimension ref="B2:AA70"/>
  <sheetViews>
    <sheetView zoomScale="115" zoomScaleNormal="115" zoomScaleSheetLayoutView="50" workbookViewId="0">
      <selection activeCell="C39" sqref="C39"/>
    </sheetView>
  </sheetViews>
  <sheetFormatPr defaultRowHeight="12.75"/>
  <cols>
    <col min="1" max="1" width="3.5703125" style="65" customWidth="1"/>
    <col min="2" max="2" width="46.42578125" style="65" customWidth="1"/>
    <col min="3" max="3" width="39.42578125" style="65" customWidth="1"/>
    <col min="4" max="4" width="20.85546875" style="65" customWidth="1"/>
    <col min="5" max="5" width="19.42578125" style="65" customWidth="1"/>
    <col min="6" max="6" width="11.85546875" style="65" customWidth="1"/>
    <col min="7" max="7" width="8.42578125" style="65" customWidth="1"/>
    <col min="8" max="8" width="7.7109375" style="65" customWidth="1"/>
    <col min="9" max="15" width="6.42578125" style="65" customWidth="1"/>
    <col min="16" max="22" width="6.140625" style="65" customWidth="1"/>
    <col min="23" max="23" width="8.5703125" style="65"/>
    <col min="24" max="249" width="9.140625" style="65"/>
    <col min="250" max="250" width="29.140625" style="65" customWidth="1"/>
    <col min="251" max="251" width="46.42578125" style="65" customWidth="1"/>
    <col min="252" max="252" width="39.42578125" style="65" customWidth="1"/>
    <col min="253" max="253" width="20.85546875" style="65" customWidth="1"/>
    <col min="254" max="254" width="19.42578125" style="65" customWidth="1"/>
    <col min="255" max="255" width="11.85546875" style="65" customWidth="1"/>
    <col min="256" max="256" width="10.42578125" style="65" customWidth="1"/>
    <col min="257" max="257" width="14.42578125" style="65" bestFit="1" customWidth="1"/>
    <col min="258" max="258" width="13.140625" style="65" bestFit="1" customWidth="1"/>
    <col min="259" max="259" width="8.5703125" style="65" bestFit="1" customWidth="1"/>
    <col min="260" max="261" width="8.5703125" style="65" customWidth="1"/>
    <col min="262" max="262" width="9.42578125" style="65" customWidth="1"/>
    <col min="263" max="263" width="7.42578125" style="65" bestFit="1" customWidth="1"/>
    <col min="264" max="265" width="10.5703125" style="65" bestFit="1" customWidth="1"/>
    <col min="266" max="505" width="9.140625" style="65"/>
    <col min="506" max="506" width="29.140625" style="65" customWidth="1"/>
    <col min="507" max="507" width="46.42578125" style="65" customWidth="1"/>
    <col min="508" max="508" width="39.42578125" style="65" customWidth="1"/>
    <col min="509" max="509" width="20.85546875" style="65" customWidth="1"/>
    <col min="510" max="510" width="19.42578125" style="65" customWidth="1"/>
    <col min="511" max="511" width="11.85546875" style="65" customWidth="1"/>
    <col min="512" max="512" width="10.42578125" style="65" customWidth="1"/>
    <col min="513" max="513" width="14.42578125" style="65" bestFit="1" customWidth="1"/>
    <col min="514" max="514" width="13.140625" style="65" bestFit="1" customWidth="1"/>
    <col min="515" max="515" width="8.5703125" style="65" bestFit="1" customWidth="1"/>
    <col min="516" max="517" width="8.5703125" style="65" customWidth="1"/>
    <col min="518" max="518" width="9.42578125" style="65" customWidth="1"/>
    <col min="519" max="519" width="7.42578125" style="65" bestFit="1" customWidth="1"/>
    <col min="520" max="521" width="10.5703125" style="65" bestFit="1" customWidth="1"/>
    <col min="522" max="761" width="9.140625" style="65"/>
    <col min="762" max="762" width="29.140625" style="65" customWidth="1"/>
    <col min="763" max="763" width="46.42578125" style="65" customWidth="1"/>
    <col min="764" max="764" width="39.42578125" style="65" customWidth="1"/>
    <col min="765" max="765" width="20.85546875" style="65" customWidth="1"/>
    <col min="766" max="766" width="19.42578125" style="65" customWidth="1"/>
    <col min="767" max="767" width="11.85546875" style="65" customWidth="1"/>
    <col min="768" max="768" width="10.42578125" style="65" customWidth="1"/>
    <col min="769" max="769" width="14.42578125" style="65" bestFit="1" customWidth="1"/>
    <col min="770" max="770" width="13.140625" style="65" bestFit="1" customWidth="1"/>
    <col min="771" max="771" width="8.5703125" style="65" bestFit="1" customWidth="1"/>
    <col min="772" max="773" width="8.5703125" style="65" customWidth="1"/>
    <col min="774" max="774" width="9.42578125" style="65" customWidth="1"/>
    <col min="775" max="775" width="7.42578125" style="65" bestFit="1" customWidth="1"/>
    <col min="776" max="777" width="10.5703125" style="65" bestFit="1" customWidth="1"/>
    <col min="778" max="1017" width="9.140625" style="65"/>
    <col min="1018" max="1018" width="29.140625" style="65" customWidth="1"/>
    <col min="1019" max="1019" width="46.42578125" style="65" customWidth="1"/>
    <col min="1020" max="1020" width="39.42578125" style="65" customWidth="1"/>
    <col min="1021" max="1021" width="20.85546875" style="65" customWidth="1"/>
    <col min="1022" max="1022" width="19.42578125" style="65" customWidth="1"/>
    <col min="1023" max="1023" width="11.85546875" style="65" customWidth="1"/>
    <col min="1024" max="1024" width="10.42578125" style="65" customWidth="1"/>
    <col min="1025" max="1025" width="14.42578125" style="65" bestFit="1" customWidth="1"/>
    <col min="1026" max="1026" width="13.140625" style="65" bestFit="1" customWidth="1"/>
    <col min="1027" max="1027" width="8.5703125" style="65" bestFit="1" customWidth="1"/>
    <col min="1028" max="1029" width="8.5703125" style="65" customWidth="1"/>
    <col min="1030" max="1030" width="9.42578125" style="65" customWidth="1"/>
    <col min="1031" max="1031" width="7.42578125" style="65" bestFit="1" customWidth="1"/>
    <col min="1032" max="1033" width="10.5703125" style="65" bestFit="1" customWidth="1"/>
    <col min="1034" max="1273" width="9.140625" style="65"/>
    <col min="1274" max="1274" width="29.140625" style="65" customWidth="1"/>
    <col min="1275" max="1275" width="46.42578125" style="65" customWidth="1"/>
    <col min="1276" max="1276" width="39.42578125" style="65" customWidth="1"/>
    <col min="1277" max="1277" width="20.85546875" style="65" customWidth="1"/>
    <col min="1278" max="1278" width="19.42578125" style="65" customWidth="1"/>
    <col min="1279" max="1279" width="11.85546875" style="65" customWidth="1"/>
    <col min="1280" max="1280" width="10.42578125" style="65" customWidth="1"/>
    <col min="1281" max="1281" width="14.42578125" style="65" bestFit="1" customWidth="1"/>
    <col min="1282" max="1282" width="13.140625" style="65" bestFit="1" customWidth="1"/>
    <col min="1283" max="1283" width="8.5703125" style="65" bestFit="1" customWidth="1"/>
    <col min="1284" max="1285" width="8.5703125" style="65" customWidth="1"/>
    <col min="1286" max="1286" width="9.42578125" style="65" customWidth="1"/>
    <col min="1287" max="1287" width="7.42578125" style="65" bestFit="1" customWidth="1"/>
    <col min="1288" max="1289" width="10.5703125" style="65" bestFit="1" customWidth="1"/>
    <col min="1290" max="1529" width="9.140625" style="65"/>
    <col min="1530" max="1530" width="29.140625" style="65" customWidth="1"/>
    <col min="1531" max="1531" width="46.42578125" style="65" customWidth="1"/>
    <col min="1532" max="1532" width="39.42578125" style="65" customWidth="1"/>
    <col min="1533" max="1533" width="20.85546875" style="65" customWidth="1"/>
    <col min="1534" max="1534" width="19.42578125" style="65" customWidth="1"/>
    <col min="1535" max="1535" width="11.85546875" style="65" customWidth="1"/>
    <col min="1536" max="1536" width="10.42578125" style="65" customWidth="1"/>
    <col min="1537" max="1537" width="14.42578125" style="65" bestFit="1" customWidth="1"/>
    <col min="1538" max="1538" width="13.140625" style="65" bestFit="1" customWidth="1"/>
    <col min="1539" max="1539" width="8.5703125" style="65" bestFit="1" customWidth="1"/>
    <col min="1540" max="1541" width="8.5703125" style="65" customWidth="1"/>
    <col min="1542" max="1542" width="9.42578125" style="65" customWidth="1"/>
    <col min="1543" max="1543" width="7.42578125" style="65" bestFit="1" customWidth="1"/>
    <col min="1544" max="1545" width="10.5703125" style="65" bestFit="1" customWidth="1"/>
    <col min="1546" max="1785" width="9.140625" style="65"/>
    <col min="1786" max="1786" width="29.140625" style="65" customWidth="1"/>
    <col min="1787" max="1787" width="46.42578125" style="65" customWidth="1"/>
    <col min="1788" max="1788" width="39.42578125" style="65" customWidth="1"/>
    <col min="1789" max="1789" width="20.85546875" style="65" customWidth="1"/>
    <col min="1790" max="1790" width="19.42578125" style="65" customWidth="1"/>
    <col min="1791" max="1791" width="11.85546875" style="65" customWidth="1"/>
    <col min="1792" max="1792" width="10.42578125" style="65" customWidth="1"/>
    <col min="1793" max="1793" width="14.42578125" style="65" bestFit="1" customWidth="1"/>
    <col min="1794" max="1794" width="13.140625" style="65" bestFit="1" customWidth="1"/>
    <col min="1795" max="1795" width="8.5703125" style="65" bestFit="1" customWidth="1"/>
    <col min="1796" max="1797" width="8.5703125" style="65" customWidth="1"/>
    <col min="1798" max="1798" width="9.42578125" style="65" customWidth="1"/>
    <col min="1799" max="1799" width="7.42578125" style="65" bestFit="1" customWidth="1"/>
    <col min="1800" max="1801" width="10.5703125" style="65" bestFit="1" customWidth="1"/>
    <col min="1802" max="2041" width="9.140625" style="65"/>
    <col min="2042" max="2042" width="29.140625" style="65" customWidth="1"/>
    <col min="2043" max="2043" width="46.42578125" style="65" customWidth="1"/>
    <col min="2044" max="2044" width="39.42578125" style="65" customWidth="1"/>
    <col min="2045" max="2045" width="20.85546875" style="65" customWidth="1"/>
    <col min="2046" max="2046" width="19.42578125" style="65" customWidth="1"/>
    <col min="2047" max="2047" width="11.85546875" style="65" customWidth="1"/>
    <col min="2048" max="2048" width="10.42578125" style="65" customWidth="1"/>
    <col min="2049" max="2049" width="14.42578125" style="65" bestFit="1" customWidth="1"/>
    <col min="2050" max="2050" width="13.140625" style="65" bestFit="1" customWidth="1"/>
    <col min="2051" max="2051" width="8.5703125" style="65" bestFit="1" customWidth="1"/>
    <col min="2052" max="2053" width="8.5703125" style="65" customWidth="1"/>
    <col min="2054" max="2054" width="9.42578125" style="65" customWidth="1"/>
    <col min="2055" max="2055" width="7.42578125" style="65" bestFit="1" customWidth="1"/>
    <col min="2056" max="2057" width="10.5703125" style="65" bestFit="1" customWidth="1"/>
    <col min="2058" max="2297" width="9.140625" style="65"/>
    <col min="2298" max="2298" width="29.140625" style="65" customWidth="1"/>
    <col min="2299" max="2299" width="46.42578125" style="65" customWidth="1"/>
    <col min="2300" max="2300" width="39.42578125" style="65" customWidth="1"/>
    <col min="2301" max="2301" width="20.85546875" style="65" customWidth="1"/>
    <col min="2302" max="2302" width="19.42578125" style="65" customWidth="1"/>
    <col min="2303" max="2303" width="11.85546875" style="65" customWidth="1"/>
    <col min="2304" max="2304" width="10.42578125" style="65" customWidth="1"/>
    <col min="2305" max="2305" width="14.42578125" style="65" bestFit="1" customWidth="1"/>
    <col min="2306" max="2306" width="13.140625" style="65" bestFit="1" customWidth="1"/>
    <col min="2307" max="2307" width="8.5703125" style="65" bestFit="1" customWidth="1"/>
    <col min="2308" max="2309" width="8.5703125" style="65" customWidth="1"/>
    <col min="2310" max="2310" width="9.42578125" style="65" customWidth="1"/>
    <col min="2311" max="2311" width="7.42578125" style="65" bestFit="1" customWidth="1"/>
    <col min="2312" max="2313" width="10.5703125" style="65" bestFit="1" customWidth="1"/>
    <col min="2314" max="2553" width="9.140625" style="65"/>
    <col min="2554" max="2554" width="29.140625" style="65" customWidth="1"/>
    <col min="2555" max="2555" width="46.42578125" style="65" customWidth="1"/>
    <col min="2556" max="2556" width="39.42578125" style="65" customWidth="1"/>
    <col min="2557" max="2557" width="20.85546875" style="65" customWidth="1"/>
    <col min="2558" max="2558" width="19.42578125" style="65" customWidth="1"/>
    <col min="2559" max="2559" width="11.85546875" style="65" customWidth="1"/>
    <col min="2560" max="2560" width="10.42578125" style="65" customWidth="1"/>
    <col min="2561" max="2561" width="14.42578125" style="65" bestFit="1" customWidth="1"/>
    <col min="2562" max="2562" width="13.140625" style="65" bestFit="1" customWidth="1"/>
    <col min="2563" max="2563" width="8.5703125" style="65" bestFit="1" customWidth="1"/>
    <col min="2564" max="2565" width="8.5703125" style="65" customWidth="1"/>
    <col min="2566" max="2566" width="9.42578125" style="65" customWidth="1"/>
    <col min="2567" max="2567" width="7.42578125" style="65" bestFit="1" customWidth="1"/>
    <col min="2568" max="2569" width="10.5703125" style="65" bestFit="1" customWidth="1"/>
    <col min="2570" max="2809" width="9.140625" style="65"/>
    <col min="2810" max="2810" width="29.140625" style="65" customWidth="1"/>
    <col min="2811" max="2811" width="46.42578125" style="65" customWidth="1"/>
    <col min="2812" max="2812" width="39.42578125" style="65" customWidth="1"/>
    <col min="2813" max="2813" width="20.85546875" style="65" customWidth="1"/>
    <col min="2814" max="2814" width="19.42578125" style="65" customWidth="1"/>
    <col min="2815" max="2815" width="11.85546875" style="65" customWidth="1"/>
    <col min="2816" max="2816" width="10.42578125" style="65" customWidth="1"/>
    <col min="2817" max="2817" width="14.42578125" style="65" bestFit="1" customWidth="1"/>
    <col min="2818" max="2818" width="13.140625" style="65" bestFit="1" customWidth="1"/>
    <col min="2819" max="2819" width="8.5703125" style="65" bestFit="1" customWidth="1"/>
    <col min="2820" max="2821" width="8.5703125" style="65" customWidth="1"/>
    <col min="2822" max="2822" width="9.42578125" style="65" customWidth="1"/>
    <col min="2823" max="2823" width="7.42578125" style="65" bestFit="1" customWidth="1"/>
    <col min="2824" max="2825" width="10.5703125" style="65" bestFit="1" customWidth="1"/>
    <col min="2826" max="3065" width="9.140625" style="65"/>
    <col min="3066" max="3066" width="29.140625" style="65" customWidth="1"/>
    <col min="3067" max="3067" width="46.42578125" style="65" customWidth="1"/>
    <col min="3068" max="3068" width="39.42578125" style="65" customWidth="1"/>
    <col min="3069" max="3069" width="20.85546875" style="65" customWidth="1"/>
    <col min="3070" max="3070" width="19.42578125" style="65" customWidth="1"/>
    <col min="3071" max="3071" width="11.85546875" style="65" customWidth="1"/>
    <col min="3072" max="3072" width="10.42578125" style="65" customWidth="1"/>
    <col min="3073" max="3073" width="14.42578125" style="65" bestFit="1" customWidth="1"/>
    <col min="3074" max="3074" width="13.140625" style="65" bestFit="1" customWidth="1"/>
    <col min="3075" max="3075" width="8.5703125" style="65" bestFit="1" customWidth="1"/>
    <col min="3076" max="3077" width="8.5703125" style="65" customWidth="1"/>
    <col min="3078" max="3078" width="9.42578125" style="65" customWidth="1"/>
    <col min="3079" max="3079" width="7.42578125" style="65" bestFit="1" customWidth="1"/>
    <col min="3080" max="3081" width="10.5703125" style="65" bestFit="1" customWidth="1"/>
    <col min="3082" max="3321" width="9.140625" style="65"/>
    <col min="3322" max="3322" width="29.140625" style="65" customWidth="1"/>
    <col min="3323" max="3323" width="46.42578125" style="65" customWidth="1"/>
    <col min="3324" max="3324" width="39.42578125" style="65" customWidth="1"/>
    <col min="3325" max="3325" width="20.85546875" style="65" customWidth="1"/>
    <col min="3326" max="3326" width="19.42578125" style="65" customWidth="1"/>
    <col min="3327" max="3327" width="11.85546875" style="65" customWidth="1"/>
    <col min="3328" max="3328" width="10.42578125" style="65" customWidth="1"/>
    <col min="3329" max="3329" width="14.42578125" style="65" bestFit="1" customWidth="1"/>
    <col min="3330" max="3330" width="13.140625" style="65" bestFit="1" customWidth="1"/>
    <col min="3331" max="3331" width="8.5703125" style="65" bestFit="1" customWidth="1"/>
    <col min="3332" max="3333" width="8.5703125" style="65" customWidth="1"/>
    <col min="3334" max="3334" width="9.42578125" style="65" customWidth="1"/>
    <col min="3335" max="3335" width="7.42578125" style="65" bestFit="1" customWidth="1"/>
    <col min="3336" max="3337" width="10.5703125" style="65" bestFit="1" customWidth="1"/>
    <col min="3338" max="3577" width="9.140625" style="65"/>
    <col min="3578" max="3578" width="29.140625" style="65" customWidth="1"/>
    <col min="3579" max="3579" width="46.42578125" style="65" customWidth="1"/>
    <col min="3580" max="3580" width="39.42578125" style="65" customWidth="1"/>
    <col min="3581" max="3581" width="20.85546875" style="65" customWidth="1"/>
    <col min="3582" max="3582" width="19.42578125" style="65" customWidth="1"/>
    <col min="3583" max="3583" width="11.85546875" style="65" customWidth="1"/>
    <col min="3584" max="3584" width="10.42578125" style="65" customWidth="1"/>
    <col min="3585" max="3585" width="14.42578125" style="65" bestFit="1" customWidth="1"/>
    <col min="3586" max="3586" width="13.140625" style="65" bestFit="1" customWidth="1"/>
    <col min="3587" max="3587" width="8.5703125" style="65" bestFit="1" customWidth="1"/>
    <col min="3588" max="3589" width="8.5703125" style="65" customWidth="1"/>
    <col min="3590" max="3590" width="9.42578125" style="65" customWidth="1"/>
    <col min="3591" max="3591" width="7.42578125" style="65" bestFit="1" customWidth="1"/>
    <col min="3592" max="3593" width="10.5703125" style="65" bestFit="1" customWidth="1"/>
    <col min="3594" max="3833" width="9.140625" style="65"/>
    <col min="3834" max="3834" width="29.140625" style="65" customWidth="1"/>
    <col min="3835" max="3835" width="46.42578125" style="65" customWidth="1"/>
    <col min="3836" max="3836" width="39.42578125" style="65" customWidth="1"/>
    <col min="3837" max="3837" width="20.85546875" style="65" customWidth="1"/>
    <col min="3838" max="3838" width="19.42578125" style="65" customWidth="1"/>
    <col min="3839" max="3839" width="11.85546875" style="65" customWidth="1"/>
    <col min="3840" max="3840" width="10.42578125" style="65" customWidth="1"/>
    <col min="3841" max="3841" width="14.42578125" style="65" bestFit="1" customWidth="1"/>
    <col min="3842" max="3842" width="13.140625" style="65" bestFit="1" customWidth="1"/>
    <col min="3843" max="3843" width="8.5703125" style="65" bestFit="1" customWidth="1"/>
    <col min="3844" max="3845" width="8.5703125" style="65" customWidth="1"/>
    <col min="3846" max="3846" width="9.42578125" style="65" customWidth="1"/>
    <col min="3847" max="3847" width="7.42578125" style="65" bestFit="1" customWidth="1"/>
    <col min="3848" max="3849" width="10.5703125" style="65" bestFit="1" customWidth="1"/>
    <col min="3850" max="4089" width="9.140625" style="65"/>
    <col min="4090" max="4090" width="29.140625" style="65" customWidth="1"/>
    <col min="4091" max="4091" width="46.42578125" style="65" customWidth="1"/>
    <col min="4092" max="4092" width="39.42578125" style="65" customWidth="1"/>
    <col min="4093" max="4093" width="20.85546875" style="65" customWidth="1"/>
    <col min="4094" max="4094" width="19.42578125" style="65" customWidth="1"/>
    <col min="4095" max="4095" width="11.85546875" style="65" customWidth="1"/>
    <col min="4096" max="4096" width="10.42578125" style="65" customWidth="1"/>
    <col min="4097" max="4097" width="14.42578125" style="65" bestFit="1" customWidth="1"/>
    <col min="4098" max="4098" width="13.140625" style="65" bestFit="1" customWidth="1"/>
    <col min="4099" max="4099" width="8.5703125" style="65" bestFit="1" customWidth="1"/>
    <col min="4100" max="4101" width="8.5703125" style="65" customWidth="1"/>
    <col min="4102" max="4102" width="9.42578125" style="65" customWidth="1"/>
    <col min="4103" max="4103" width="7.42578125" style="65" bestFit="1" customWidth="1"/>
    <col min="4104" max="4105" width="10.5703125" style="65" bestFit="1" customWidth="1"/>
    <col min="4106" max="4345" width="9.140625" style="65"/>
    <col min="4346" max="4346" width="29.140625" style="65" customWidth="1"/>
    <col min="4347" max="4347" width="46.42578125" style="65" customWidth="1"/>
    <col min="4348" max="4348" width="39.42578125" style="65" customWidth="1"/>
    <col min="4349" max="4349" width="20.85546875" style="65" customWidth="1"/>
    <col min="4350" max="4350" width="19.42578125" style="65" customWidth="1"/>
    <col min="4351" max="4351" width="11.85546875" style="65" customWidth="1"/>
    <col min="4352" max="4352" width="10.42578125" style="65" customWidth="1"/>
    <col min="4353" max="4353" width="14.42578125" style="65" bestFit="1" customWidth="1"/>
    <col min="4354" max="4354" width="13.140625" style="65" bestFit="1" customWidth="1"/>
    <col min="4355" max="4355" width="8.5703125" style="65" bestFit="1" customWidth="1"/>
    <col min="4356" max="4357" width="8.5703125" style="65" customWidth="1"/>
    <col min="4358" max="4358" width="9.42578125" style="65" customWidth="1"/>
    <col min="4359" max="4359" width="7.42578125" style="65" bestFit="1" customWidth="1"/>
    <col min="4360" max="4361" width="10.5703125" style="65" bestFit="1" customWidth="1"/>
    <col min="4362" max="4601" width="9.140625" style="65"/>
    <col min="4602" max="4602" width="29.140625" style="65" customWidth="1"/>
    <col min="4603" max="4603" width="46.42578125" style="65" customWidth="1"/>
    <col min="4604" max="4604" width="39.42578125" style="65" customWidth="1"/>
    <col min="4605" max="4605" width="20.85546875" style="65" customWidth="1"/>
    <col min="4606" max="4606" width="19.42578125" style="65" customWidth="1"/>
    <col min="4607" max="4607" width="11.85546875" style="65" customWidth="1"/>
    <col min="4608" max="4608" width="10.42578125" style="65" customWidth="1"/>
    <col min="4609" max="4609" width="14.42578125" style="65" bestFit="1" customWidth="1"/>
    <col min="4610" max="4610" width="13.140625" style="65" bestFit="1" customWidth="1"/>
    <col min="4611" max="4611" width="8.5703125" style="65" bestFit="1" customWidth="1"/>
    <col min="4612" max="4613" width="8.5703125" style="65" customWidth="1"/>
    <col min="4614" max="4614" width="9.42578125" style="65" customWidth="1"/>
    <col min="4615" max="4615" width="7.42578125" style="65" bestFit="1" customWidth="1"/>
    <col min="4616" max="4617" width="10.5703125" style="65" bestFit="1" customWidth="1"/>
    <col min="4618" max="4857" width="9.140625" style="65"/>
    <col min="4858" max="4858" width="29.140625" style="65" customWidth="1"/>
    <col min="4859" max="4859" width="46.42578125" style="65" customWidth="1"/>
    <col min="4860" max="4860" width="39.42578125" style="65" customWidth="1"/>
    <col min="4861" max="4861" width="20.85546875" style="65" customWidth="1"/>
    <col min="4862" max="4862" width="19.42578125" style="65" customWidth="1"/>
    <col min="4863" max="4863" width="11.85546875" style="65" customWidth="1"/>
    <col min="4864" max="4864" width="10.42578125" style="65" customWidth="1"/>
    <col min="4865" max="4865" width="14.42578125" style="65" bestFit="1" customWidth="1"/>
    <col min="4866" max="4866" width="13.140625" style="65" bestFit="1" customWidth="1"/>
    <col min="4867" max="4867" width="8.5703125" style="65" bestFit="1" customWidth="1"/>
    <col min="4868" max="4869" width="8.5703125" style="65" customWidth="1"/>
    <col min="4870" max="4870" width="9.42578125" style="65" customWidth="1"/>
    <col min="4871" max="4871" width="7.42578125" style="65" bestFit="1" customWidth="1"/>
    <col min="4872" max="4873" width="10.5703125" style="65" bestFit="1" customWidth="1"/>
    <col min="4874" max="5113" width="9.140625" style="65"/>
    <col min="5114" max="5114" width="29.140625" style="65" customWidth="1"/>
    <col min="5115" max="5115" width="46.42578125" style="65" customWidth="1"/>
    <col min="5116" max="5116" width="39.42578125" style="65" customWidth="1"/>
    <col min="5117" max="5117" width="20.85546875" style="65" customWidth="1"/>
    <col min="5118" max="5118" width="19.42578125" style="65" customWidth="1"/>
    <col min="5119" max="5119" width="11.85546875" style="65" customWidth="1"/>
    <col min="5120" max="5120" width="10.42578125" style="65" customWidth="1"/>
    <col min="5121" max="5121" width="14.42578125" style="65" bestFit="1" customWidth="1"/>
    <col min="5122" max="5122" width="13.140625" style="65" bestFit="1" customWidth="1"/>
    <col min="5123" max="5123" width="8.5703125" style="65" bestFit="1" customWidth="1"/>
    <col min="5124" max="5125" width="8.5703125" style="65" customWidth="1"/>
    <col min="5126" max="5126" width="9.42578125" style="65" customWidth="1"/>
    <col min="5127" max="5127" width="7.42578125" style="65" bestFit="1" customWidth="1"/>
    <col min="5128" max="5129" width="10.5703125" style="65" bestFit="1" customWidth="1"/>
    <col min="5130" max="5369" width="9.140625" style="65"/>
    <col min="5370" max="5370" width="29.140625" style="65" customWidth="1"/>
    <col min="5371" max="5371" width="46.42578125" style="65" customWidth="1"/>
    <col min="5372" max="5372" width="39.42578125" style="65" customWidth="1"/>
    <col min="5373" max="5373" width="20.85546875" style="65" customWidth="1"/>
    <col min="5374" max="5374" width="19.42578125" style="65" customWidth="1"/>
    <col min="5375" max="5375" width="11.85546875" style="65" customWidth="1"/>
    <col min="5376" max="5376" width="10.42578125" style="65" customWidth="1"/>
    <col min="5377" max="5377" width="14.42578125" style="65" bestFit="1" customWidth="1"/>
    <col min="5378" max="5378" width="13.140625" style="65" bestFit="1" customWidth="1"/>
    <col min="5379" max="5379" width="8.5703125" style="65" bestFit="1" customWidth="1"/>
    <col min="5380" max="5381" width="8.5703125" style="65" customWidth="1"/>
    <col min="5382" max="5382" width="9.42578125" style="65" customWidth="1"/>
    <col min="5383" max="5383" width="7.42578125" style="65" bestFit="1" customWidth="1"/>
    <col min="5384" max="5385" width="10.5703125" style="65" bestFit="1" customWidth="1"/>
    <col min="5386" max="5625" width="9.140625" style="65"/>
    <col min="5626" max="5626" width="29.140625" style="65" customWidth="1"/>
    <col min="5627" max="5627" width="46.42578125" style="65" customWidth="1"/>
    <col min="5628" max="5628" width="39.42578125" style="65" customWidth="1"/>
    <col min="5629" max="5629" width="20.85546875" style="65" customWidth="1"/>
    <col min="5630" max="5630" width="19.42578125" style="65" customWidth="1"/>
    <col min="5631" max="5631" width="11.85546875" style="65" customWidth="1"/>
    <col min="5632" max="5632" width="10.42578125" style="65" customWidth="1"/>
    <col min="5633" max="5633" width="14.42578125" style="65" bestFit="1" customWidth="1"/>
    <col min="5634" max="5634" width="13.140625" style="65" bestFit="1" customWidth="1"/>
    <col min="5635" max="5635" width="8.5703125" style="65" bestFit="1" customWidth="1"/>
    <col min="5636" max="5637" width="8.5703125" style="65" customWidth="1"/>
    <col min="5638" max="5638" width="9.42578125" style="65" customWidth="1"/>
    <col min="5639" max="5639" width="7.42578125" style="65" bestFit="1" customWidth="1"/>
    <col min="5640" max="5641" width="10.5703125" style="65" bestFit="1" customWidth="1"/>
    <col min="5642" max="5881" width="9.140625" style="65"/>
    <col min="5882" max="5882" width="29.140625" style="65" customWidth="1"/>
    <col min="5883" max="5883" width="46.42578125" style="65" customWidth="1"/>
    <col min="5884" max="5884" width="39.42578125" style="65" customWidth="1"/>
    <col min="5885" max="5885" width="20.85546875" style="65" customWidth="1"/>
    <col min="5886" max="5886" width="19.42578125" style="65" customWidth="1"/>
    <col min="5887" max="5887" width="11.85546875" style="65" customWidth="1"/>
    <col min="5888" max="5888" width="10.42578125" style="65" customWidth="1"/>
    <col min="5889" max="5889" width="14.42578125" style="65" bestFit="1" customWidth="1"/>
    <col min="5890" max="5890" width="13.140625" style="65" bestFit="1" customWidth="1"/>
    <col min="5891" max="5891" width="8.5703125" style="65" bestFit="1" customWidth="1"/>
    <col min="5892" max="5893" width="8.5703125" style="65" customWidth="1"/>
    <col min="5894" max="5894" width="9.42578125" style="65" customWidth="1"/>
    <col min="5895" max="5895" width="7.42578125" style="65" bestFit="1" customWidth="1"/>
    <col min="5896" max="5897" width="10.5703125" style="65" bestFit="1" customWidth="1"/>
    <col min="5898" max="6137" width="9.140625" style="65"/>
    <col min="6138" max="6138" width="29.140625" style="65" customWidth="1"/>
    <col min="6139" max="6139" width="46.42578125" style="65" customWidth="1"/>
    <col min="6140" max="6140" width="39.42578125" style="65" customWidth="1"/>
    <col min="6141" max="6141" width="20.85546875" style="65" customWidth="1"/>
    <col min="6142" max="6142" width="19.42578125" style="65" customWidth="1"/>
    <col min="6143" max="6143" width="11.85546875" style="65" customWidth="1"/>
    <col min="6144" max="6144" width="10.42578125" style="65" customWidth="1"/>
    <col min="6145" max="6145" width="14.42578125" style="65" bestFit="1" customWidth="1"/>
    <col min="6146" max="6146" width="13.140625" style="65" bestFit="1" customWidth="1"/>
    <col min="6147" max="6147" width="8.5703125" style="65" bestFit="1" customWidth="1"/>
    <col min="6148" max="6149" width="8.5703125" style="65" customWidth="1"/>
    <col min="6150" max="6150" width="9.42578125" style="65" customWidth="1"/>
    <col min="6151" max="6151" width="7.42578125" style="65" bestFit="1" customWidth="1"/>
    <col min="6152" max="6153" width="10.5703125" style="65" bestFit="1" customWidth="1"/>
    <col min="6154" max="6393" width="9.140625" style="65"/>
    <col min="6394" max="6394" width="29.140625" style="65" customWidth="1"/>
    <col min="6395" max="6395" width="46.42578125" style="65" customWidth="1"/>
    <col min="6396" max="6396" width="39.42578125" style="65" customWidth="1"/>
    <col min="6397" max="6397" width="20.85546875" style="65" customWidth="1"/>
    <col min="6398" max="6398" width="19.42578125" style="65" customWidth="1"/>
    <col min="6399" max="6399" width="11.85546875" style="65" customWidth="1"/>
    <col min="6400" max="6400" width="10.42578125" style="65" customWidth="1"/>
    <col min="6401" max="6401" width="14.42578125" style="65" bestFit="1" customWidth="1"/>
    <col min="6402" max="6402" width="13.140625" style="65" bestFit="1" customWidth="1"/>
    <col min="6403" max="6403" width="8.5703125" style="65" bestFit="1" customWidth="1"/>
    <col min="6404" max="6405" width="8.5703125" style="65" customWidth="1"/>
    <col min="6406" max="6406" width="9.42578125" style="65" customWidth="1"/>
    <col min="6407" max="6407" width="7.42578125" style="65" bestFit="1" customWidth="1"/>
    <col min="6408" max="6409" width="10.5703125" style="65" bestFit="1" customWidth="1"/>
    <col min="6410" max="6649" width="9.140625" style="65"/>
    <col min="6650" max="6650" width="29.140625" style="65" customWidth="1"/>
    <col min="6651" max="6651" width="46.42578125" style="65" customWidth="1"/>
    <col min="6652" max="6652" width="39.42578125" style="65" customWidth="1"/>
    <col min="6653" max="6653" width="20.85546875" style="65" customWidth="1"/>
    <col min="6654" max="6654" width="19.42578125" style="65" customWidth="1"/>
    <col min="6655" max="6655" width="11.85546875" style="65" customWidth="1"/>
    <col min="6656" max="6656" width="10.42578125" style="65" customWidth="1"/>
    <col min="6657" max="6657" width="14.42578125" style="65" bestFit="1" customWidth="1"/>
    <col min="6658" max="6658" width="13.140625" style="65" bestFit="1" customWidth="1"/>
    <col min="6659" max="6659" width="8.5703125" style="65" bestFit="1" customWidth="1"/>
    <col min="6660" max="6661" width="8.5703125" style="65" customWidth="1"/>
    <col min="6662" max="6662" width="9.42578125" style="65" customWidth="1"/>
    <col min="6663" max="6663" width="7.42578125" style="65" bestFit="1" customWidth="1"/>
    <col min="6664" max="6665" width="10.5703125" style="65" bestFit="1" customWidth="1"/>
    <col min="6666" max="6905" width="9.140625" style="65"/>
    <col min="6906" max="6906" width="29.140625" style="65" customWidth="1"/>
    <col min="6907" max="6907" width="46.42578125" style="65" customWidth="1"/>
    <col min="6908" max="6908" width="39.42578125" style="65" customWidth="1"/>
    <col min="6909" max="6909" width="20.85546875" style="65" customWidth="1"/>
    <col min="6910" max="6910" width="19.42578125" style="65" customWidth="1"/>
    <col min="6911" max="6911" width="11.85546875" style="65" customWidth="1"/>
    <col min="6912" max="6912" width="10.42578125" style="65" customWidth="1"/>
    <col min="6913" max="6913" width="14.42578125" style="65" bestFit="1" customWidth="1"/>
    <col min="6914" max="6914" width="13.140625" style="65" bestFit="1" customWidth="1"/>
    <col min="6915" max="6915" width="8.5703125" style="65" bestFit="1" customWidth="1"/>
    <col min="6916" max="6917" width="8.5703125" style="65" customWidth="1"/>
    <col min="6918" max="6918" width="9.42578125" style="65" customWidth="1"/>
    <col min="6919" max="6919" width="7.42578125" style="65" bestFit="1" customWidth="1"/>
    <col min="6920" max="6921" width="10.5703125" style="65" bestFit="1" customWidth="1"/>
    <col min="6922" max="7161" width="9.140625" style="65"/>
    <col min="7162" max="7162" width="29.140625" style="65" customWidth="1"/>
    <col min="7163" max="7163" width="46.42578125" style="65" customWidth="1"/>
    <col min="7164" max="7164" width="39.42578125" style="65" customWidth="1"/>
    <col min="7165" max="7165" width="20.85546875" style="65" customWidth="1"/>
    <col min="7166" max="7166" width="19.42578125" style="65" customWidth="1"/>
    <col min="7167" max="7167" width="11.85546875" style="65" customWidth="1"/>
    <col min="7168" max="7168" width="10.42578125" style="65" customWidth="1"/>
    <col min="7169" max="7169" width="14.42578125" style="65" bestFit="1" customWidth="1"/>
    <col min="7170" max="7170" width="13.140625" style="65" bestFit="1" customWidth="1"/>
    <col min="7171" max="7171" width="8.5703125" style="65" bestFit="1" customWidth="1"/>
    <col min="7172" max="7173" width="8.5703125" style="65" customWidth="1"/>
    <col min="7174" max="7174" width="9.42578125" style="65" customWidth="1"/>
    <col min="7175" max="7175" width="7.42578125" style="65" bestFit="1" customWidth="1"/>
    <col min="7176" max="7177" width="10.5703125" style="65" bestFit="1" customWidth="1"/>
    <col min="7178" max="7417" width="9.140625" style="65"/>
    <col min="7418" max="7418" width="29.140625" style="65" customWidth="1"/>
    <col min="7419" max="7419" width="46.42578125" style="65" customWidth="1"/>
    <col min="7420" max="7420" width="39.42578125" style="65" customWidth="1"/>
    <col min="7421" max="7421" width="20.85546875" style="65" customWidth="1"/>
    <col min="7422" max="7422" width="19.42578125" style="65" customWidth="1"/>
    <col min="7423" max="7423" width="11.85546875" style="65" customWidth="1"/>
    <col min="7424" max="7424" width="10.42578125" style="65" customWidth="1"/>
    <col min="7425" max="7425" width="14.42578125" style="65" bestFit="1" customWidth="1"/>
    <col min="7426" max="7426" width="13.140625" style="65" bestFit="1" customWidth="1"/>
    <col min="7427" max="7427" width="8.5703125" style="65" bestFit="1" customWidth="1"/>
    <col min="7428" max="7429" width="8.5703125" style="65" customWidth="1"/>
    <col min="7430" max="7430" width="9.42578125" style="65" customWidth="1"/>
    <col min="7431" max="7431" width="7.42578125" style="65" bestFit="1" customWidth="1"/>
    <col min="7432" max="7433" width="10.5703125" style="65" bestFit="1" customWidth="1"/>
    <col min="7434" max="7673" width="9.140625" style="65"/>
    <col min="7674" max="7674" width="29.140625" style="65" customWidth="1"/>
    <col min="7675" max="7675" width="46.42578125" style="65" customWidth="1"/>
    <col min="7676" max="7676" width="39.42578125" style="65" customWidth="1"/>
    <col min="7677" max="7677" width="20.85546875" style="65" customWidth="1"/>
    <col min="7678" max="7678" width="19.42578125" style="65" customWidth="1"/>
    <col min="7679" max="7679" width="11.85546875" style="65" customWidth="1"/>
    <col min="7680" max="7680" width="10.42578125" style="65" customWidth="1"/>
    <col min="7681" max="7681" width="14.42578125" style="65" bestFit="1" customWidth="1"/>
    <col min="7682" max="7682" width="13.140625" style="65" bestFit="1" customWidth="1"/>
    <col min="7683" max="7683" width="8.5703125" style="65" bestFit="1" customWidth="1"/>
    <col min="7684" max="7685" width="8.5703125" style="65" customWidth="1"/>
    <col min="7686" max="7686" width="9.42578125" style="65" customWidth="1"/>
    <col min="7687" max="7687" width="7.42578125" style="65" bestFit="1" customWidth="1"/>
    <col min="7688" max="7689" width="10.5703125" style="65" bestFit="1" customWidth="1"/>
    <col min="7690" max="7929" width="9.140625" style="65"/>
    <col min="7930" max="7930" width="29.140625" style="65" customWidth="1"/>
    <col min="7931" max="7931" width="46.42578125" style="65" customWidth="1"/>
    <col min="7932" max="7932" width="39.42578125" style="65" customWidth="1"/>
    <col min="7933" max="7933" width="20.85546875" style="65" customWidth="1"/>
    <col min="7934" max="7934" width="19.42578125" style="65" customWidth="1"/>
    <col min="7935" max="7935" width="11.85546875" style="65" customWidth="1"/>
    <col min="7936" max="7936" width="10.42578125" style="65" customWidth="1"/>
    <col min="7937" max="7937" width="14.42578125" style="65" bestFit="1" customWidth="1"/>
    <col min="7938" max="7938" width="13.140625" style="65" bestFit="1" customWidth="1"/>
    <col min="7939" max="7939" width="8.5703125" style="65" bestFit="1" customWidth="1"/>
    <col min="7940" max="7941" width="8.5703125" style="65" customWidth="1"/>
    <col min="7942" max="7942" width="9.42578125" style="65" customWidth="1"/>
    <col min="7943" max="7943" width="7.42578125" style="65" bestFit="1" customWidth="1"/>
    <col min="7944" max="7945" width="10.5703125" style="65" bestFit="1" customWidth="1"/>
    <col min="7946" max="8185" width="9.140625" style="65"/>
    <col min="8186" max="8186" width="29.140625" style="65" customWidth="1"/>
    <col min="8187" max="8187" width="46.42578125" style="65" customWidth="1"/>
    <col min="8188" max="8188" width="39.42578125" style="65" customWidth="1"/>
    <col min="8189" max="8189" width="20.85546875" style="65" customWidth="1"/>
    <col min="8190" max="8190" width="19.42578125" style="65" customWidth="1"/>
    <col min="8191" max="8191" width="11.85546875" style="65" customWidth="1"/>
    <col min="8192" max="8192" width="10.42578125" style="65" customWidth="1"/>
    <col min="8193" max="8193" width="14.42578125" style="65" bestFit="1" customWidth="1"/>
    <col min="8194" max="8194" width="13.140625" style="65" bestFit="1" customWidth="1"/>
    <col min="8195" max="8195" width="8.5703125" style="65" bestFit="1" customWidth="1"/>
    <col min="8196" max="8197" width="8.5703125" style="65" customWidth="1"/>
    <col min="8198" max="8198" width="9.42578125" style="65" customWidth="1"/>
    <col min="8199" max="8199" width="7.42578125" style="65" bestFit="1" customWidth="1"/>
    <col min="8200" max="8201" width="10.5703125" style="65" bestFit="1" customWidth="1"/>
    <col min="8202" max="8441" width="9.140625" style="65"/>
    <col min="8442" max="8442" width="29.140625" style="65" customWidth="1"/>
    <col min="8443" max="8443" width="46.42578125" style="65" customWidth="1"/>
    <col min="8444" max="8444" width="39.42578125" style="65" customWidth="1"/>
    <col min="8445" max="8445" width="20.85546875" style="65" customWidth="1"/>
    <col min="8446" max="8446" width="19.42578125" style="65" customWidth="1"/>
    <col min="8447" max="8447" width="11.85546875" style="65" customWidth="1"/>
    <col min="8448" max="8448" width="10.42578125" style="65" customWidth="1"/>
    <col min="8449" max="8449" width="14.42578125" style="65" bestFit="1" customWidth="1"/>
    <col min="8450" max="8450" width="13.140625" style="65" bestFit="1" customWidth="1"/>
    <col min="8451" max="8451" width="8.5703125" style="65" bestFit="1" customWidth="1"/>
    <col min="8452" max="8453" width="8.5703125" style="65" customWidth="1"/>
    <col min="8454" max="8454" width="9.42578125" style="65" customWidth="1"/>
    <col min="8455" max="8455" width="7.42578125" style="65" bestFit="1" customWidth="1"/>
    <col min="8456" max="8457" width="10.5703125" style="65" bestFit="1" customWidth="1"/>
    <col min="8458" max="8697" width="9.140625" style="65"/>
    <col min="8698" max="8698" width="29.140625" style="65" customWidth="1"/>
    <col min="8699" max="8699" width="46.42578125" style="65" customWidth="1"/>
    <col min="8700" max="8700" width="39.42578125" style="65" customWidth="1"/>
    <col min="8701" max="8701" width="20.85546875" style="65" customWidth="1"/>
    <col min="8702" max="8702" width="19.42578125" style="65" customWidth="1"/>
    <col min="8703" max="8703" width="11.85546875" style="65" customWidth="1"/>
    <col min="8704" max="8704" width="10.42578125" style="65" customWidth="1"/>
    <col min="8705" max="8705" width="14.42578125" style="65" bestFit="1" customWidth="1"/>
    <col min="8706" max="8706" width="13.140625" style="65" bestFit="1" customWidth="1"/>
    <col min="8707" max="8707" width="8.5703125" style="65" bestFit="1" customWidth="1"/>
    <col min="8708" max="8709" width="8.5703125" style="65" customWidth="1"/>
    <col min="8710" max="8710" width="9.42578125" style="65" customWidth="1"/>
    <col min="8711" max="8711" width="7.42578125" style="65" bestFit="1" customWidth="1"/>
    <col min="8712" max="8713" width="10.5703125" style="65" bestFit="1" customWidth="1"/>
    <col min="8714" max="8953" width="9.140625" style="65"/>
    <col min="8954" max="8954" width="29.140625" style="65" customWidth="1"/>
    <col min="8955" max="8955" width="46.42578125" style="65" customWidth="1"/>
    <col min="8956" max="8956" width="39.42578125" style="65" customWidth="1"/>
    <col min="8957" max="8957" width="20.85546875" style="65" customWidth="1"/>
    <col min="8958" max="8958" width="19.42578125" style="65" customWidth="1"/>
    <col min="8959" max="8959" width="11.85546875" style="65" customWidth="1"/>
    <col min="8960" max="8960" width="10.42578125" style="65" customWidth="1"/>
    <col min="8961" max="8961" width="14.42578125" style="65" bestFit="1" customWidth="1"/>
    <col min="8962" max="8962" width="13.140625" style="65" bestFit="1" customWidth="1"/>
    <col min="8963" max="8963" width="8.5703125" style="65" bestFit="1" customWidth="1"/>
    <col min="8964" max="8965" width="8.5703125" style="65" customWidth="1"/>
    <col min="8966" max="8966" width="9.42578125" style="65" customWidth="1"/>
    <col min="8967" max="8967" width="7.42578125" style="65" bestFit="1" customWidth="1"/>
    <col min="8968" max="8969" width="10.5703125" style="65" bestFit="1" customWidth="1"/>
    <col min="8970" max="9209" width="9.140625" style="65"/>
    <col min="9210" max="9210" width="29.140625" style="65" customWidth="1"/>
    <col min="9211" max="9211" width="46.42578125" style="65" customWidth="1"/>
    <col min="9212" max="9212" width="39.42578125" style="65" customWidth="1"/>
    <col min="9213" max="9213" width="20.85546875" style="65" customWidth="1"/>
    <col min="9214" max="9214" width="19.42578125" style="65" customWidth="1"/>
    <col min="9215" max="9215" width="11.85546875" style="65" customWidth="1"/>
    <col min="9216" max="9216" width="10.42578125" style="65" customWidth="1"/>
    <col min="9217" max="9217" width="14.42578125" style="65" bestFit="1" customWidth="1"/>
    <col min="9218" max="9218" width="13.140625" style="65" bestFit="1" customWidth="1"/>
    <col min="9219" max="9219" width="8.5703125" style="65" bestFit="1" customWidth="1"/>
    <col min="9220" max="9221" width="8.5703125" style="65" customWidth="1"/>
    <col min="9222" max="9222" width="9.42578125" style="65" customWidth="1"/>
    <col min="9223" max="9223" width="7.42578125" style="65" bestFit="1" customWidth="1"/>
    <col min="9224" max="9225" width="10.5703125" style="65" bestFit="1" customWidth="1"/>
    <col min="9226" max="9465" width="9.140625" style="65"/>
    <col min="9466" max="9466" width="29.140625" style="65" customWidth="1"/>
    <col min="9467" max="9467" width="46.42578125" style="65" customWidth="1"/>
    <col min="9468" max="9468" width="39.42578125" style="65" customWidth="1"/>
    <col min="9469" max="9469" width="20.85546875" style="65" customWidth="1"/>
    <col min="9470" max="9470" width="19.42578125" style="65" customWidth="1"/>
    <col min="9471" max="9471" width="11.85546875" style="65" customWidth="1"/>
    <col min="9472" max="9472" width="10.42578125" style="65" customWidth="1"/>
    <col min="9473" max="9473" width="14.42578125" style="65" bestFit="1" customWidth="1"/>
    <col min="9474" max="9474" width="13.140625" style="65" bestFit="1" customWidth="1"/>
    <col min="9475" max="9475" width="8.5703125" style="65" bestFit="1" customWidth="1"/>
    <col min="9476" max="9477" width="8.5703125" style="65" customWidth="1"/>
    <col min="9478" max="9478" width="9.42578125" style="65" customWidth="1"/>
    <col min="9479" max="9479" width="7.42578125" style="65" bestFit="1" customWidth="1"/>
    <col min="9480" max="9481" width="10.5703125" style="65" bestFit="1" customWidth="1"/>
    <col min="9482" max="9721" width="9.140625" style="65"/>
    <col min="9722" max="9722" width="29.140625" style="65" customWidth="1"/>
    <col min="9723" max="9723" width="46.42578125" style="65" customWidth="1"/>
    <col min="9724" max="9724" width="39.42578125" style="65" customWidth="1"/>
    <col min="9725" max="9725" width="20.85546875" style="65" customWidth="1"/>
    <col min="9726" max="9726" width="19.42578125" style="65" customWidth="1"/>
    <col min="9727" max="9727" width="11.85546875" style="65" customWidth="1"/>
    <col min="9728" max="9728" width="10.42578125" style="65" customWidth="1"/>
    <col min="9729" max="9729" width="14.42578125" style="65" bestFit="1" customWidth="1"/>
    <col min="9730" max="9730" width="13.140625" style="65" bestFit="1" customWidth="1"/>
    <col min="9731" max="9731" width="8.5703125" style="65" bestFit="1" customWidth="1"/>
    <col min="9732" max="9733" width="8.5703125" style="65" customWidth="1"/>
    <col min="9734" max="9734" width="9.42578125" style="65" customWidth="1"/>
    <col min="9735" max="9735" width="7.42578125" style="65" bestFit="1" customWidth="1"/>
    <col min="9736" max="9737" width="10.5703125" style="65" bestFit="1" customWidth="1"/>
    <col min="9738" max="9977" width="9.140625" style="65"/>
    <col min="9978" max="9978" width="29.140625" style="65" customWidth="1"/>
    <col min="9979" max="9979" width="46.42578125" style="65" customWidth="1"/>
    <col min="9980" max="9980" width="39.42578125" style="65" customWidth="1"/>
    <col min="9981" max="9981" width="20.85546875" style="65" customWidth="1"/>
    <col min="9982" max="9982" width="19.42578125" style="65" customWidth="1"/>
    <col min="9983" max="9983" width="11.85546875" style="65" customWidth="1"/>
    <col min="9984" max="9984" width="10.42578125" style="65" customWidth="1"/>
    <col min="9985" max="9985" width="14.42578125" style="65" bestFit="1" customWidth="1"/>
    <col min="9986" max="9986" width="13.140625" style="65" bestFit="1" customWidth="1"/>
    <col min="9987" max="9987" width="8.5703125" style="65" bestFit="1" customWidth="1"/>
    <col min="9988" max="9989" width="8.5703125" style="65" customWidth="1"/>
    <col min="9990" max="9990" width="9.42578125" style="65" customWidth="1"/>
    <col min="9991" max="9991" width="7.42578125" style="65" bestFit="1" customWidth="1"/>
    <col min="9992" max="9993" width="10.5703125" style="65" bestFit="1" customWidth="1"/>
    <col min="9994" max="10233" width="9.140625" style="65"/>
    <col min="10234" max="10234" width="29.140625" style="65" customWidth="1"/>
    <col min="10235" max="10235" width="46.42578125" style="65" customWidth="1"/>
    <col min="10236" max="10236" width="39.42578125" style="65" customWidth="1"/>
    <col min="10237" max="10237" width="20.85546875" style="65" customWidth="1"/>
    <col min="10238" max="10238" width="19.42578125" style="65" customWidth="1"/>
    <col min="10239" max="10239" width="11.85546875" style="65" customWidth="1"/>
    <col min="10240" max="10240" width="10.42578125" style="65" customWidth="1"/>
    <col min="10241" max="10241" width="14.42578125" style="65" bestFit="1" customWidth="1"/>
    <col min="10242" max="10242" width="13.140625" style="65" bestFit="1" customWidth="1"/>
    <col min="10243" max="10243" width="8.5703125" style="65" bestFit="1" customWidth="1"/>
    <col min="10244" max="10245" width="8.5703125" style="65" customWidth="1"/>
    <col min="10246" max="10246" width="9.42578125" style="65" customWidth="1"/>
    <col min="10247" max="10247" width="7.42578125" style="65" bestFit="1" customWidth="1"/>
    <col min="10248" max="10249" width="10.5703125" style="65" bestFit="1" customWidth="1"/>
    <col min="10250" max="10489" width="9.140625" style="65"/>
    <col min="10490" max="10490" width="29.140625" style="65" customWidth="1"/>
    <col min="10491" max="10491" width="46.42578125" style="65" customWidth="1"/>
    <col min="10492" max="10492" width="39.42578125" style="65" customWidth="1"/>
    <col min="10493" max="10493" width="20.85546875" style="65" customWidth="1"/>
    <col min="10494" max="10494" width="19.42578125" style="65" customWidth="1"/>
    <col min="10495" max="10495" width="11.85546875" style="65" customWidth="1"/>
    <col min="10496" max="10496" width="10.42578125" style="65" customWidth="1"/>
    <col min="10497" max="10497" width="14.42578125" style="65" bestFit="1" customWidth="1"/>
    <col min="10498" max="10498" width="13.140625" style="65" bestFit="1" customWidth="1"/>
    <col min="10499" max="10499" width="8.5703125" style="65" bestFit="1" customWidth="1"/>
    <col min="10500" max="10501" width="8.5703125" style="65" customWidth="1"/>
    <col min="10502" max="10502" width="9.42578125" style="65" customWidth="1"/>
    <col min="10503" max="10503" width="7.42578125" style="65" bestFit="1" customWidth="1"/>
    <col min="10504" max="10505" width="10.5703125" style="65" bestFit="1" customWidth="1"/>
    <col min="10506" max="10745" width="9.140625" style="65"/>
    <col min="10746" max="10746" width="29.140625" style="65" customWidth="1"/>
    <col min="10747" max="10747" width="46.42578125" style="65" customWidth="1"/>
    <col min="10748" max="10748" width="39.42578125" style="65" customWidth="1"/>
    <col min="10749" max="10749" width="20.85546875" style="65" customWidth="1"/>
    <col min="10750" max="10750" width="19.42578125" style="65" customWidth="1"/>
    <col min="10751" max="10751" width="11.85546875" style="65" customWidth="1"/>
    <col min="10752" max="10752" width="10.42578125" style="65" customWidth="1"/>
    <col min="10753" max="10753" width="14.42578125" style="65" bestFit="1" customWidth="1"/>
    <col min="10754" max="10754" width="13.140625" style="65" bestFit="1" customWidth="1"/>
    <col min="10755" max="10755" width="8.5703125" style="65" bestFit="1" customWidth="1"/>
    <col min="10756" max="10757" width="8.5703125" style="65" customWidth="1"/>
    <col min="10758" max="10758" width="9.42578125" style="65" customWidth="1"/>
    <col min="10759" max="10759" width="7.42578125" style="65" bestFit="1" customWidth="1"/>
    <col min="10760" max="10761" width="10.5703125" style="65" bestFit="1" customWidth="1"/>
    <col min="10762" max="11001" width="9.140625" style="65"/>
    <col min="11002" max="11002" width="29.140625" style="65" customWidth="1"/>
    <col min="11003" max="11003" width="46.42578125" style="65" customWidth="1"/>
    <col min="11004" max="11004" width="39.42578125" style="65" customWidth="1"/>
    <col min="11005" max="11005" width="20.85546875" style="65" customWidth="1"/>
    <col min="11006" max="11006" width="19.42578125" style="65" customWidth="1"/>
    <col min="11007" max="11007" width="11.85546875" style="65" customWidth="1"/>
    <col min="11008" max="11008" width="10.42578125" style="65" customWidth="1"/>
    <col min="11009" max="11009" width="14.42578125" style="65" bestFit="1" customWidth="1"/>
    <col min="11010" max="11010" width="13.140625" style="65" bestFit="1" customWidth="1"/>
    <col min="11011" max="11011" width="8.5703125" style="65" bestFit="1" customWidth="1"/>
    <col min="11012" max="11013" width="8.5703125" style="65" customWidth="1"/>
    <col min="11014" max="11014" width="9.42578125" style="65" customWidth="1"/>
    <col min="11015" max="11015" width="7.42578125" style="65" bestFit="1" customWidth="1"/>
    <col min="11016" max="11017" width="10.5703125" style="65" bestFit="1" customWidth="1"/>
    <col min="11018" max="11257" width="9.140625" style="65"/>
    <col min="11258" max="11258" width="29.140625" style="65" customWidth="1"/>
    <col min="11259" max="11259" width="46.42578125" style="65" customWidth="1"/>
    <col min="11260" max="11260" width="39.42578125" style="65" customWidth="1"/>
    <col min="11261" max="11261" width="20.85546875" style="65" customWidth="1"/>
    <col min="11262" max="11262" width="19.42578125" style="65" customWidth="1"/>
    <col min="11263" max="11263" width="11.85546875" style="65" customWidth="1"/>
    <col min="11264" max="11264" width="10.42578125" style="65" customWidth="1"/>
    <col min="11265" max="11265" width="14.42578125" style="65" bestFit="1" customWidth="1"/>
    <col min="11266" max="11266" width="13.140625" style="65" bestFit="1" customWidth="1"/>
    <col min="11267" max="11267" width="8.5703125" style="65" bestFit="1" customWidth="1"/>
    <col min="11268" max="11269" width="8.5703125" style="65" customWidth="1"/>
    <col min="11270" max="11270" width="9.42578125" style="65" customWidth="1"/>
    <col min="11271" max="11271" width="7.42578125" style="65" bestFit="1" customWidth="1"/>
    <col min="11272" max="11273" width="10.5703125" style="65" bestFit="1" customWidth="1"/>
    <col min="11274" max="11513" width="9.140625" style="65"/>
    <col min="11514" max="11514" width="29.140625" style="65" customWidth="1"/>
    <col min="11515" max="11515" width="46.42578125" style="65" customWidth="1"/>
    <col min="11516" max="11516" width="39.42578125" style="65" customWidth="1"/>
    <col min="11517" max="11517" width="20.85546875" style="65" customWidth="1"/>
    <col min="11518" max="11518" width="19.42578125" style="65" customWidth="1"/>
    <col min="11519" max="11519" width="11.85546875" style="65" customWidth="1"/>
    <col min="11520" max="11520" width="10.42578125" style="65" customWidth="1"/>
    <col min="11521" max="11521" width="14.42578125" style="65" bestFit="1" customWidth="1"/>
    <col min="11522" max="11522" width="13.140625" style="65" bestFit="1" customWidth="1"/>
    <col min="11523" max="11523" width="8.5703125" style="65" bestFit="1" customWidth="1"/>
    <col min="11524" max="11525" width="8.5703125" style="65" customWidth="1"/>
    <col min="11526" max="11526" width="9.42578125" style="65" customWidth="1"/>
    <col min="11527" max="11527" width="7.42578125" style="65" bestFit="1" customWidth="1"/>
    <col min="11528" max="11529" width="10.5703125" style="65" bestFit="1" customWidth="1"/>
    <col min="11530" max="11769" width="9.140625" style="65"/>
    <col min="11770" max="11770" width="29.140625" style="65" customWidth="1"/>
    <col min="11771" max="11771" width="46.42578125" style="65" customWidth="1"/>
    <col min="11772" max="11772" width="39.42578125" style="65" customWidth="1"/>
    <col min="11773" max="11773" width="20.85546875" style="65" customWidth="1"/>
    <col min="11774" max="11774" width="19.42578125" style="65" customWidth="1"/>
    <col min="11775" max="11775" width="11.85546875" style="65" customWidth="1"/>
    <col min="11776" max="11776" width="10.42578125" style="65" customWidth="1"/>
    <col min="11777" max="11777" width="14.42578125" style="65" bestFit="1" customWidth="1"/>
    <col min="11778" max="11778" width="13.140625" style="65" bestFit="1" customWidth="1"/>
    <col min="11779" max="11779" width="8.5703125" style="65" bestFit="1" customWidth="1"/>
    <col min="11780" max="11781" width="8.5703125" style="65" customWidth="1"/>
    <col min="11782" max="11782" width="9.42578125" style="65" customWidth="1"/>
    <col min="11783" max="11783" width="7.42578125" style="65" bestFit="1" customWidth="1"/>
    <col min="11784" max="11785" width="10.5703125" style="65" bestFit="1" customWidth="1"/>
    <col min="11786" max="12025" width="9.140625" style="65"/>
    <col min="12026" max="12026" width="29.140625" style="65" customWidth="1"/>
    <col min="12027" max="12027" width="46.42578125" style="65" customWidth="1"/>
    <col min="12028" max="12028" width="39.42578125" style="65" customWidth="1"/>
    <col min="12029" max="12029" width="20.85546875" style="65" customWidth="1"/>
    <col min="12030" max="12030" width="19.42578125" style="65" customWidth="1"/>
    <col min="12031" max="12031" width="11.85546875" style="65" customWidth="1"/>
    <col min="12032" max="12032" width="10.42578125" style="65" customWidth="1"/>
    <col min="12033" max="12033" width="14.42578125" style="65" bestFit="1" customWidth="1"/>
    <col min="12034" max="12034" width="13.140625" style="65" bestFit="1" customWidth="1"/>
    <col min="12035" max="12035" width="8.5703125" style="65" bestFit="1" customWidth="1"/>
    <col min="12036" max="12037" width="8.5703125" style="65" customWidth="1"/>
    <col min="12038" max="12038" width="9.42578125" style="65" customWidth="1"/>
    <col min="12039" max="12039" width="7.42578125" style="65" bestFit="1" customWidth="1"/>
    <col min="12040" max="12041" width="10.5703125" style="65" bestFit="1" customWidth="1"/>
    <col min="12042" max="12281" width="9.140625" style="65"/>
    <col min="12282" max="12282" width="29.140625" style="65" customWidth="1"/>
    <col min="12283" max="12283" width="46.42578125" style="65" customWidth="1"/>
    <col min="12284" max="12284" width="39.42578125" style="65" customWidth="1"/>
    <col min="12285" max="12285" width="20.85546875" style="65" customWidth="1"/>
    <col min="12286" max="12286" width="19.42578125" style="65" customWidth="1"/>
    <col min="12287" max="12287" width="11.85546875" style="65" customWidth="1"/>
    <col min="12288" max="12288" width="10.42578125" style="65" customWidth="1"/>
    <col min="12289" max="12289" width="14.42578125" style="65" bestFit="1" customWidth="1"/>
    <col min="12290" max="12290" width="13.140625" style="65" bestFit="1" customWidth="1"/>
    <col min="12291" max="12291" width="8.5703125" style="65" bestFit="1" customWidth="1"/>
    <col min="12292" max="12293" width="8.5703125" style="65" customWidth="1"/>
    <col min="12294" max="12294" width="9.42578125" style="65" customWidth="1"/>
    <col min="12295" max="12295" width="7.42578125" style="65" bestFit="1" customWidth="1"/>
    <col min="12296" max="12297" width="10.5703125" style="65" bestFit="1" customWidth="1"/>
    <col min="12298" max="12537" width="9.140625" style="65"/>
    <col min="12538" max="12538" width="29.140625" style="65" customWidth="1"/>
    <col min="12539" max="12539" width="46.42578125" style="65" customWidth="1"/>
    <col min="12540" max="12540" width="39.42578125" style="65" customWidth="1"/>
    <col min="12541" max="12541" width="20.85546875" style="65" customWidth="1"/>
    <col min="12542" max="12542" width="19.42578125" style="65" customWidth="1"/>
    <col min="12543" max="12543" width="11.85546875" style="65" customWidth="1"/>
    <col min="12544" max="12544" width="10.42578125" style="65" customWidth="1"/>
    <col min="12545" max="12545" width="14.42578125" style="65" bestFit="1" customWidth="1"/>
    <col min="12546" max="12546" width="13.140625" style="65" bestFit="1" customWidth="1"/>
    <col min="12547" max="12547" width="8.5703125" style="65" bestFit="1" customWidth="1"/>
    <col min="12548" max="12549" width="8.5703125" style="65" customWidth="1"/>
    <col min="12550" max="12550" width="9.42578125" style="65" customWidth="1"/>
    <col min="12551" max="12551" width="7.42578125" style="65" bestFit="1" customWidth="1"/>
    <col min="12552" max="12553" width="10.5703125" style="65" bestFit="1" customWidth="1"/>
    <col min="12554" max="12793" width="9.140625" style="65"/>
    <col min="12794" max="12794" width="29.140625" style="65" customWidth="1"/>
    <col min="12795" max="12795" width="46.42578125" style="65" customWidth="1"/>
    <col min="12796" max="12796" width="39.42578125" style="65" customWidth="1"/>
    <col min="12797" max="12797" width="20.85546875" style="65" customWidth="1"/>
    <col min="12798" max="12798" width="19.42578125" style="65" customWidth="1"/>
    <col min="12799" max="12799" width="11.85546875" style="65" customWidth="1"/>
    <col min="12800" max="12800" width="10.42578125" style="65" customWidth="1"/>
    <col min="12801" max="12801" width="14.42578125" style="65" bestFit="1" customWidth="1"/>
    <col min="12802" max="12802" width="13.140625" style="65" bestFit="1" customWidth="1"/>
    <col min="12803" max="12803" width="8.5703125" style="65" bestFit="1" customWidth="1"/>
    <col min="12804" max="12805" width="8.5703125" style="65" customWidth="1"/>
    <col min="12806" max="12806" width="9.42578125" style="65" customWidth="1"/>
    <col min="12807" max="12807" width="7.42578125" style="65" bestFit="1" customWidth="1"/>
    <col min="12808" max="12809" width="10.5703125" style="65" bestFit="1" customWidth="1"/>
    <col min="12810" max="13049" width="9.140625" style="65"/>
    <col min="13050" max="13050" width="29.140625" style="65" customWidth="1"/>
    <col min="13051" max="13051" width="46.42578125" style="65" customWidth="1"/>
    <col min="13052" max="13052" width="39.42578125" style="65" customWidth="1"/>
    <col min="13053" max="13053" width="20.85546875" style="65" customWidth="1"/>
    <col min="13054" max="13054" width="19.42578125" style="65" customWidth="1"/>
    <col min="13055" max="13055" width="11.85546875" style="65" customWidth="1"/>
    <col min="13056" max="13056" width="10.42578125" style="65" customWidth="1"/>
    <col min="13057" max="13057" width="14.42578125" style="65" bestFit="1" customWidth="1"/>
    <col min="13058" max="13058" width="13.140625" style="65" bestFit="1" customWidth="1"/>
    <col min="13059" max="13059" width="8.5703125" style="65" bestFit="1" customWidth="1"/>
    <col min="13060" max="13061" width="8.5703125" style="65" customWidth="1"/>
    <col min="13062" max="13062" width="9.42578125" style="65" customWidth="1"/>
    <col min="13063" max="13063" width="7.42578125" style="65" bestFit="1" customWidth="1"/>
    <col min="13064" max="13065" width="10.5703125" style="65" bestFit="1" customWidth="1"/>
    <col min="13066" max="13305" width="9.140625" style="65"/>
    <col min="13306" max="13306" width="29.140625" style="65" customWidth="1"/>
    <col min="13307" max="13307" width="46.42578125" style="65" customWidth="1"/>
    <col min="13308" max="13308" width="39.42578125" style="65" customWidth="1"/>
    <col min="13309" max="13309" width="20.85546875" style="65" customWidth="1"/>
    <col min="13310" max="13310" width="19.42578125" style="65" customWidth="1"/>
    <col min="13311" max="13311" width="11.85546875" style="65" customWidth="1"/>
    <col min="13312" max="13312" width="10.42578125" style="65" customWidth="1"/>
    <col min="13313" max="13313" width="14.42578125" style="65" bestFit="1" customWidth="1"/>
    <col min="13314" max="13314" width="13.140625" style="65" bestFit="1" customWidth="1"/>
    <col min="13315" max="13315" width="8.5703125" style="65" bestFit="1" customWidth="1"/>
    <col min="13316" max="13317" width="8.5703125" style="65" customWidth="1"/>
    <col min="13318" max="13318" width="9.42578125" style="65" customWidth="1"/>
    <col min="13319" max="13319" width="7.42578125" style="65" bestFit="1" customWidth="1"/>
    <col min="13320" max="13321" width="10.5703125" style="65" bestFit="1" customWidth="1"/>
    <col min="13322" max="13561" width="9.140625" style="65"/>
    <col min="13562" max="13562" width="29.140625" style="65" customWidth="1"/>
    <col min="13563" max="13563" width="46.42578125" style="65" customWidth="1"/>
    <col min="13564" max="13564" width="39.42578125" style="65" customWidth="1"/>
    <col min="13565" max="13565" width="20.85546875" style="65" customWidth="1"/>
    <col min="13566" max="13566" width="19.42578125" style="65" customWidth="1"/>
    <col min="13567" max="13567" width="11.85546875" style="65" customWidth="1"/>
    <col min="13568" max="13568" width="10.42578125" style="65" customWidth="1"/>
    <col min="13569" max="13569" width="14.42578125" style="65" bestFit="1" customWidth="1"/>
    <col min="13570" max="13570" width="13.140625" style="65" bestFit="1" customWidth="1"/>
    <col min="13571" max="13571" width="8.5703125" style="65" bestFit="1" customWidth="1"/>
    <col min="13572" max="13573" width="8.5703125" style="65" customWidth="1"/>
    <col min="13574" max="13574" width="9.42578125" style="65" customWidth="1"/>
    <col min="13575" max="13575" width="7.42578125" style="65" bestFit="1" customWidth="1"/>
    <col min="13576" max="13577" width="10.5703125" style="65" bestFit="1" customWidth="1"/>
    <col min="13578" max="13817" width="9.140625" style="65"/>
    <col min="13818" max="13818" width="29.140625" style="65" customWidth="1"/>
    <col min="13819" max="13819" width="46.42578125" style="65" customWidth="1"/>
    <col min="13820" max="13820" width="39.42578125" style="65" customWidth="1"/>
    <col min="13821" max="13821" width="20.85546875" style="65" customWidth="1"/>
    <col min="13822" max="13822" width="19.42578125" style="65" customWidth="1"/>
    <col min="13823" max="13823" width="11.85546875" style="65" customWidth="1"/>
    <col min="13824" max="13824" width="10.42578125" style="65" customWidth="1"/>
    <col min="13825" max="13825" width="14.42578125" style="65" bestFit="1" customWidth="1"/>
    <col min="13826" max="13826" width="13.140625" style="65" bestFit="1" customWidth="1"/>
    <col min="13827" max="13827" width="8.5703125" style="65" bestFit="1" customWidth="1"/>
    <col min="13828" max="13829" width="8.5703125" style="65" customWidth="1"/>
    <col min="13830" max="13830" width="9.42578125" style="65" customWidth="1"/>
    <col min="13831" max="13831" width="7.42578125" style="65" bestFit="1" customWidth="1"/>
    <col min="13832" max="13833" width="10.5703125" style="65" bestFit="1" customWidth="1"/>
    <col min="13834" max="14073" width="9.140625" style="65"/>
    <col min="14074" max="14074" width="29.140625" style="65" customWidth="1"/>
    <col min="14075" max="14075" width="46.42578125" style="65" customWidth="1"/>
    <col min="14076" max="14076" width="39.42578125" style="65" customWidth="1"/>
    <col min="14077" max="14077" width="20.85546875" style="65" customWidth="1"/>
    <col min="14078" max="14078" width="19.42578125" style="65" customWidth="1"/>
    <col min="14079" max="14079" width="11.85546875" style="65" customWidth="1"/>
    <col min="14080" max="14080" width="10.42578125" style="65" customWidth="1"/>
    <col min="14081" max="14081" width="14.42578125" style="65" bestFit="1" customWidth="1"/>
    <col min="14082" max="14082" width="13.140625" style="65" bestFit="1" customWidth="1"/>
    <col min="14083" max="14083" width="8.5703125" style="65" bestFit="1" customWidth="1"/>
    <col min="14084" max="14085" width="8.5703125" style="65" customWidth="1"/>
    <col min="14086" max="14086" width="9.42578125" style="65" customWidth="1"/>
    <col min="14087" max="14087" width="7.42578125" style="65" bestFit="1" customWidth="1"/>
    <col min="14088" max="14089" width="10.5703125" style="65" bestFit="1" customWidth="1"/>
    <col min="14090" max="14329" width="9.140625" style="65"/>
    <col min="14330" max="14330" width="29.140625" style="65" customWidth="1"/>
    <col min="14331" max="14331" width="46.42578125" style="65" customWidth="1"/>
    <col min="14332" max="14332" width="39.42578125" style="65" customWidth="1"/>
    <col min="14333" max="14333" width="20.85546875" style="65" customWidth="1"/>
    <col min="14334" max="14334" width="19.42578125" style="65" customWidth="1"/>
    <col min="14335" max="14335" width="11.85546875" style="65" customWidth="1"/>
    <col min="14336" max="14336" width="10.42578125" style="65" customWidth="1"/>
    <col min="14337" max="14337" width="14.42578125" style="65" bestFit="1" customWidth="1"/>
    <col min="14338" max="14338" width="13.140625" style="65" bestFit="1" customWidth="1"/>
    <col min="14339" max="14339" width="8.5703125" style="65" bestFit="1" customWidth="1"/>
    <col min="14340" max="14341" width="8.5703125" style="65" customWidth="1"/>
    <col min="14342" max="14342" width="9.42578125" style="65" customWidth="1"/>
    <col min="14343" max="14343" width="7.42578125" style="65" bestFit="1" customWidth="1"/>
    <col min="14344" max="14345" width="10.5703125" style="65" bestFit="1" customWidth="1"/>
    <col min="14346" max="14585" width="9.140625" style="65"/>
    <col min="14586" max="14586" width="29.140625" style="65" customWidth="1"/>
    <col min="14587" max="14587" width="46.42578125" style="65" customWidth="1"/>
    <col min="14588" max="14588" width="39.42578125" style="65" customWidth="1"/>
    <col min="14589" max="14589" width="20.85546875" style="65" customWidth="1"/>
    <col min="14590" max="14590" width="19.42578125" style="65" customWidth="1"/>
    <col min="14591" max="14591" width="11.85546875" style="65" customWidth="1"/>
    <col min="14592" max="14592" width="10.42578125" style="65" customWidth="1"/>
    <col min="14593" max="14593" width="14.42578125" style="65" bestFit="1" customWidth="1"/>
    <col min="14594" max="14594" width="13.140625" style="65" bestFit="1" customWidth="1"/>
    <col min="14595" max="14595" width="8.5703125" style="65" bestFit="1" customWidth="1"/>
    <col min="14596" max="14597" width="8.5703125" style="65" customWidth="1"/>
    <col min="14598" max="14598" width="9.42578125" style="65" customWidth="1"/>
    <col min="14599" max="14599" width="7.42578125" style="65" bestFit="1" customWidth="1"/>
    <col min="14600" max="14601" width="10.5703125" style="65" bestFit="1" customWidth="1"/>
    <col min="14602" max="14841" width="9.140625" style="65"/>
    <col min="14842" max="14842" width="29.140625" style="65" customWidth="1"/>
    <col min="14843" max="14843" width="46.42578125" style="65" customWidth="1"/>
    <col min="14844" max="14844" width="39.42578125" style="65" customWidth="1"/>
    <col min="14845" max="14845" width="20.85546875" style="65" customWidth="1"/>
    <col min="14846" max="14846" width="19.42578125" style="65" customWidth="1"/>
    <col min="14847" max="14847" width="11.85546875" style="65" customWidth="1"/>
    <col min="14848" max="14848" width="10.42578125" style="65" customWidth="1"/>
    <col min="14849" max="14849" width="14.42578125" style="65" bestFit="1" customWidth="1"/>
    <col min="14850" max="14850" width="13.140625" style="65" bestFit="1" customWidth="1"/>
    <col min="14851" max="14851" width="8.5703125" style="65" bestFit="1" customWidth="1"/>
    <col min="14852" max="14853" width="8.5703125" style="65" customWidth="1"/>
    <col min="14854" max="14854" width="9.42578125" style="65" customWidth="1"/>
    <col min="14855" max="14855" width="7.42578125" style="65" bestFit="1" customWidth="1"/>
    <col min="14856" max="14857" width="10.5703125" style="65" bestFit="1" customWidth="1"/>
    <col min="14858" max="15097" width="9.140625" style="65"/>
    <col min="15098" max="15098" width="29.140625" style="65" customWidth="1"/>
    <col min="15099" max="15099" width="46.42578125" style="65" customWidth="1"/>
    <col min="15100" max="15100" width="39.42578125" style="65" customWidth="1"/>
    <col min="15101" max="15101" width="20.85546875" style="65" customWidth="1"/>
    <col min="15102" max="15102" width="19.42578125" style="65" customWidth="1"/>
    <col min="15103" max="15103" width="11.85546875" style="65" customWidth="1"/>
    <col min="15104" max="15104" width="10.42578125" style="65" customWidth="1"/>
    <col min="15105" max="15105" width="14.42578125" style="65" bestFit="1" customWidth="1"/>
    <col min="15106" max="15106" width="13.140625" style="65" bestFit="1" customWidth="1"/>
    <col min="15107" max="15107" width="8.5703125" style="65" bestFit="1" customWidth="1"/>
    <col min="15108" max="15109" width="8.5703125" style="65" customWidth="1"/>
    <col min="15110" max="15110" width="9.42578125" style="65" customWidth="1"/>
    <col min="15111" max="15111" width="7.42578125" style="65" bestFit="1" customWidth="1"/>
    <col min="15112" max="15113" width="10.5703125" style="65" bestFit="1" customWidth="1"/>
    <col min="15114" max="15353" width="9.140625" style="65"/>
    <col min="15354" max="15354" width="29.140625" style="65" customWidth="1"/>
    <col min="15355" max="15355" width="46.42578125" style="65" customWidth="1"/>
    <col min="15356" max="15356" width="39.42578125" style="65" customWidth="1"/>
    <col min="15357" max="15357" width="20.85546875" style="65" customWidth="1"/>
    <col min="15358" max="15358" width="19.42578125" style="65" customWidth="1"/>
    <col min="15359" max="15359" width="11.85546875" style="65" customWidth="1"/>
    <col min="15360" max="15360" width="10.42578125" style="65" customWidth="1"/>
    <col min="15361" max="15361" width="14.42578125" style="65" bestFit="1" customWidth="1"/>
    <col min="15362" max="15362" width="13.140625" style="65" bestFit="1" customWidth="1"/>
    <col min="15363" max="15363" width="8.5703125" style="65" bestFit="1" customWidth="1"/>
    <col min="15364" max="15365" width="8.5703125" style="65" customWidth="1"/>
    <col min="15366" max="15366" width="9.42578125" style="65" customWidth="1"/>
    <col min="15367" max="15367" width="7.42578125" style="65" bestFit="1" customWidth="1"/>
    <col min="15368" max="15369" width="10.5703125" style="65" bestFit="1" customWidth="1"/>
    <col min="15370" max="15609" width="9.140625" style="65"/>
    <col min="15610" max="15610" width="29.140625" style="65" customWidth="1"/>
    <col min="15611" max="15611" width="46.42578125" style="65" customWidth="1"/>
    <col min="15612" max="15612" width="39.42578125" style="65" customWidth="1"/>
    <col min="15613" max="15613" width="20.85546875" style="65" customWidth="1"/>
    <col min="15614" max="15614" width="19.42578125" style="65" customWidth="1"/>
    <col min="15615" max="15615" width="11.85546875" style="65" customWidth="1"/>
    <col min="15616" max="15616" width="10.42578125" style="65" customWidth="1"/>
    <col min="15617" max="15617" width="14.42578125" style="65" bestFit="1" customWidth="1"/>
    <col min="15618" max="15618" width="13.140625" style="65" bestFit="1" customWidth="1"/>
    <col min="15619" max="15619" width="8.5703125" style="65" bestFit="1" customWidth="1"/>
    <col min="15620" max="15621" width="8.5703125" style="65" customWidth="1"/>
    <col min="15622" max="15622" width="9.42578125" style="65" customWidth="1"/>
    <col min="15623" max="15623" width="7.42578125" style="65" bestFit="1" customWidth="1"/>
    <col min="15624" max="15625" width="10.5703125" style="65" bestFit="1" customWidth="1"/>
    <col min="15626" max="15865" width="9.140625" style="65"/>
    <col min="15866" max="15866" width="29.140625" style="65" customWidth="1"/>
    <col min="15867" max="15867" width="46.42578125" style="65" customWidth="1"/>
    <col min="15868" max="15868" width="39.42578125" style="65" customWidth="1"/>
    <col min="15869" max="15869" width="20.85546875" style="65" customWidth="1"/>
    <col min="15870" max="15870" width="19.42578125" style="65" customWidth="1"/>
    <col min="15871" max="15871" width="11.85546875" style="65" customWidth="1"/>
    <col min="15872" max="15872" width="10.42578125" style="65" customWidth="1"/>
    <col min="15873" max="15873" width="14.42578125" style="65" bestFit="1" customWidth="1"/>
    <col min="15874" max="15874" width="13.140625" style="65" bestFit="1" customWidth="1"/>
    <col min="15875" max="15875" width="8.5703125" style="65" bestFit="1" customWidth="1"/>
    <col min="15876" max="15877" width="8.5703125" style="65" customWidth="1"/>
    <col min="15878" max="15878" width="9.42578125" style="65" customWidth="1"/>
    <col min="15879" max="15879" width="7.42578125" style="65" bestFit="1" customWidth="1"/>
    <col min="15880" max="15881" width="10.5703125" style="65" bestFit="1" customWidth="1"/>
    <col min="15882" max="16121" width="9.140625" style="65"/>
    <col min="16122" max="16122" width="29.140625" style="65" customWidth="1"/>
    <col min="16123" max="16123" width="46.42578125" style="65" customWidth="1"/>
    <col min="16124" max="16124" width="39.42578125" style="65" customWidth="1"/>
    <col min="16125" max="16125" width="20.85546875" style="65" customWidth="1"/>
    <col min="16126" max="16126" width="19.42578125" style="65" customWidth="1"/>
    <col min="16127" max="16127" width="11.85546875" style="65" customWidth="1"/>
    <col min="16128" max="16128" width="10.42578125" style="65" customWidth="1"/>
    <col min="16129" max="16129" width="14.42578125" style="65" bestFit="1" customWidth="1"/>
    <col min="16130" max="16130" width="13.140625" style="65" bestFit="1" customWidth="1"/>
    <col min="16131" max="16131" width="8.5703125" style="65" bestFit="1" customWidth="1"/>
    <col min="16132" max="16133" width="8.5703125" style="65" customWidth="1"/>
    <col min="16134" max="16134" width="9.42578125" style="65" customWidth="1"/>
    <col min="16135" max="16135" width="7.42578125" style="65" bestFit="1" customWidth="1"/>
    <col min="16136" max="16137" width="10.5703125" style="65" bestFit="1" customWidth="1"/>
    <col min="16138" max="16378" width="9.140625" style="65"/>
    <col min="16379" max="16384" width="9.140625" style="65" customWidth="1"/>
  </cols>
  <sheetData>
    <row r="2" spans="2:23" ht="18">
      <c r="B2" s="259" t="s">
        <v>302</v>
      </c>
      <c r="C2" s="63"/>
      <c r="D2" s="63"/>
      <c r="E2" s="63"/>
      <c r="F2" s="64"/>
    </row>
    <row r="3" spans="2:23">
      <c r="C3" s="66"/>
      <c r="E3" s="64"/>
      <c r="F3" s="64"/>
    </row>
    <row r="4" spans="2:23">
      <c r="E4" s="64" t="s">
        <v>303</v>
      </c>
      <c r="F4" s="64"/>
    </row>
    <row r="5" spans="2:23" ht="63.75">
      <c r="B5" s="67" t="s">
        <v>179</v>
      </c>
      <c r="C5" s="67" t="s">
        <v>304</v>
      </c>
      <c r="D5" s="67" t="s">
        <v>305</v>
      </c>
      <c r="E5" s="67" t="s">
        <v>306</v>
      </c>
      <c r="F5" s="67" t="s">
        <v>307</v>
      </c>
      <c r="G5" s="67" t="s">
        <v>308</v>
      </c>
      <c r="H5" s="67" t="s">
        <v>807</v>
      </c>
      <c r="I5" s="208" t="s">
        <v>805</v>
      </c>
      <c r="J5" s="67" t="s">
        <v>309</v>
      </c>
      <c r="K5" s="67" t="s">
        <v>310</v>
      </c>
      <c r="L5" s="67" t="s">
        <v>311</v>
      </c>
      <c r="M5" s="67" t="s">
        <v>312</v>
      </c>
      <c r="N5" s="67" t="s">
        <v>313</v>
      </c>
      <c r="O5" s="67" t="s">
        <v>314</v>
      </c>
      <c r="P5" s="208" t="s">
        <v>806</v>
      </c>
      <c r="Q5" s="67" t="s">
        <v>315</v>
      </c>
      <c r="R5" s="67" t="s">
        <v>316</v>
      </c>
      <c r="S5" s="67" t="s">
        <v>317</v>
      </c>
      <c r="T5" s="67" t="s">
        <v>318</v>
      </c>
      <c r="U5" s="67" t="s">
        <v>319</v>
      </c>
      <c r="V5" s="67" t="s">
        <v>320</v>
      </c>
      <c r="W5" s="209" t="s">
        <v>321</v>
      </c>
    </row>
    <row r="6" spans="2:23" ht="26.25" thickBot="1">
      <c r="B6" s="68" t="s">
        <v>322</v>
      </c>
      <c r="C6" s="68"/>
      <c r="D6" s="68"/>
      <c r="E6" s="68"/>
      <c r="F6" s="68"/>
      <c r="G6" s="68"/>
      <c r="H6" s="68"/>
      <c r="I6" s="210" t="s">
        <v>323</v>
      </c>
      <c r="J6" s="68" t="s">
        <v>323</v>
      </c>
      <c r="K6" s="68" t="s">
        <v>323</v>
      </c>
      <c r="L6" s="68" t="s">
        <v>323</v>
      </c>
      <c r="M6" s="68" t="s">
        <v>323</v>
      </c>
      <c r="N6" s="68" t="s">
        <v>323</v>
      </c>
      <c r="O6" s="68" t="s">
        <v>323</v>
      </c>
      <c r="P6" s="210" t="s">
        <v>323</v>
      </c>
      <c r="Q6" s="68" t="s">
        <v>323</v>
      </c>
      <c r="R6" s="68" t="s">
        <v>323</v>
      </c>
      <c r="S6" s="68" t="s">
        <v>323</v>
      </c>
      <c r="T6" s="68" t="s">
        <v>323</v>
      </c>
      <c r="U6" s="68" t="s">
        <v>323</v>
      </c>
      <c r="V6" s="68" t="s">
        <v>323</v>
      </c>
      <c r="W6" s="210" t="s">
        <v>323</v>
      </c>
    </row>
    <row r="7" spans="2:23" ht="17.45" customHeight="1">
      <c r="B7" s="85" t="str">
        <f>AGR_Proc!D7</f>
        <v>SECTF_AGR_HC</v>
      </c>
      <c r="C7" s="85" t="str">
        <f>AGR_Proc!E7</f>
        <v>Sector fuel - Hard Coal</v>
      </c>
      <c r="D7" s="87" t="s">
        <v>324</v>
      </c>
      <c r="F7" s="84">
        <v>1</v>
      </c>
      <c r="G7" s="84"/>
      <c r="H7" s="84"/>
      <c r="I7" s="217"/>
      <c r="J7" s="218"/>
      <c r="K7" s="218"/>
      <c r="L7" s="218"/>
      <c r="M7" s="218"/>
      <c r="N7" s="218"/>
      <c r="O7" s="218"/>
      <c r="P7" s="217"/>
      <c r="Q7" s="218"/>
      <c r="R7" s="218"/>
      <c r="S7" s="218"/>
      <c r="T7" s="218"/>
      <c r="U7" s="218"/>
      <c r="V7" s="218"/>
      <c r="W7" s="211"/>
    </row>
    <row r="8" spans="2:23" ht="17.45" customHeight="1">
      <c r="B8" s="86"/>
      <c r="C8" s="86"/>
      <c r="D8" s="81"/>
      <c r="E8" s="70" t="str">
        <f>AGR_Comm!D7</f>
        <v>AGR_HC</v>
      </c>
      <c r="F8" s="69"/>
      <c r="G8" s="69"/>
      <c r="H8" s="69"/>
      <c r="I8" s="219"/>
      <c r="J8" s="220"/>
      <c r="K8" s="220"/>
      <c r="L8" s="220"/>
      <c r="M8" s="220"/>
      <c r="N8" s="220"/>
      <c r="O8" s="220"/>
      <c r="P8" s="219">
        <v>7.81</v>
      </c>
      <c r="Q8" s="220">
        <v>12</v>
      </c>
      <c r="R8" s="220">
        <v>12</v>
      </c>
      <c r="S8" s="220">
        <v>12</v>
      </c>
      <c r="T8" s="220">
        <v>12</v>
      </c>
      <c r="U8" s="220">
        <v>12</v>
      </c>
      <c r="V8" s="220">
        <v>12</v>
      </c>
      <c r="W8" s="212"/>
    </row>
    <row r="9" spans="2:23" ht="17.45" customHeight="1">
      <c r="B9" s="88" t="str">
        <f>AGR_Proc!D8</f>
        <v>SECTF_AGR_BC</v>
      </c>
      <c r="C9" s="88" t="str">
        <f>AGR_Proc!E8</f>
        <v>Sector fuel - Brown Coal</v>
      </c>
      <c r="D9" s="91" t="s">
        <v>325</v>
      </c>
      <c r="E9" s="91"/>
      <c r="F9" s="90">
        <v>1</v>
      </c>
      <c r="G9" s="90"/>
      <c r="H9" s="90"/>
      <c r="I9" s="221"/>
      <c r="J9" s="222"/>
      <c r="K9" s="222"/>
      <c r="L9" s="222"/>
      <c r="M9" s="222"/>
      <c r="N9" s="222"/>
      <c r="O9" s="222"/>
      <c r="P9" s="221"/>
      <c r="Q9" s="222"/>
      <c r="R9" s="222"/>
      <c r="S9" s="222"/>
      <c r="T9" s="222"/>
      <c r="U9" s="222"/>
      <c r="V9" s="222"/>
      <c r="W9" s="213"/>
    </row>
    <row r="10" spans="2:23" ht="17.45" customHeight="1">
      <c r="B10" s="88"/>
      <c r="C10" s="88"/>
      <c r="D10" s="91"/>
      <c r="E10" s="89" t="str">
        <f>AGR_Comm!D8</f>
        <v>AGR_BC</v>
      </c>
      <c r="F10" s="90"/>
      <c r="G10" s="90"/>
      <c r="H10" s="90"/>
      <c r="I10" s="221"/>
      <c r="J10" s="222"/>
      <c r="K10" s="222"/>
      <c r="L10" s="222"/>
      <c r="M10" s="222"/>
      <c r="N10" s="222"/>
      <c r="O10" s="222"/>
      <c r="P10" s="221"/>
      <c r="Q10" s="222"/>
      <c r="R10" s="222"/>
      <c r="S10" s="222"/>
      <c r="T10" s="222"/>
      <c r="U10" s="222"/>
      <c r="V10" s="222"/>
      <c r="W10" s="213"/>
    </row>
    <row r="11" spans="2:23" ht="17.45" customHeight="1">
      <c r="B11" s="86" t="str">
        <f>AGR_Proc!D9</f>
        <v>SECTF_AGR_OIL_GSL</v>
      </c>
      <c r="C11" s="86" t="str">
        <f>AGR_Proc!E9</f>
        <v>Sector fuel - Gasoline</v>
      </c>
      <c r="D11" s="92" t="s">
        <v>326</v>
      </c>
      <c r="F11" s="69">
        <v>1</v>
      </c>
      <c r="G11" s="69"/>
      <c r="H11" s="69"/>
      <c r="I11" s="219"/>
      <c r="J11" s="220"/>
      <c r="K11" s="220"/>
      <c r="L11" s="220"/>
      <c r="M11" s="220"/>
      <c r="N11" s="220"/>
      <c r="O11" s="220"/>
      <c r="P11" s="219"/>
      <c r="Q11" s="220"/>
      <c r="R11" s="220"/>
      <c r="S11" s="220"/>
      <c r="T11" s="220"/>
      <c r="U11" s="220"/>
      <c r="V11" s="220"/>
      <c r="W11" s="212"/>
    </row>
    <row r="12" spans="2:23" ht="17.45" customHeight="1">
      <c r="B12" s="86"/>
      <c r="C12" s="86"/>
      <c r="D12" s="92"/>
      <c r="E12" s="70" t="str">
        <f>AGR_Comm!D9</f>
        <v>AGR_OIL_GSL</v>
      </c>
      <c r="F12" s="69"/>
      <c r="G12" s="69"/>
      <c r="H12" s="69"/>
      <c r="I12" s="219"/>
      <c r="J12" s="220"/>
      <c r="K12" s="220"/>
      <c r="L12" s="220"/>
      <c r="M12" s="220"/>
      <c r="N12" s="220"/>
      <c r="O12" s="220"/>
      <c r="P12" s="219"/>
      <c r="Q12" s="220"/>
      <c r="R12" s="220"/>
      <c r="S12" s="220"/>
      <c r="T12" s="220"/>
      <c r="U12" s="220"/>
      <c r="V12" s="220"/>
      <c r="W12" s="212"/>
    </row>
    <row r="13" spans="2:23" ht="17.45" customHeight="1">
      <c r="B13" s="88" t="str">
        <f>AGR_Proc!D10</f>
        <v>SECTF_AGR_OIL_DSL</v>
      </c>
      <c r="C13" s="88" t="str">
        <f>AGR_Proc!E10</f>
        <v>Sector fuel - Diesel</v>
      </c>
      <c r="D13" s="91" t="s">
        <v>327</v>
      </c>
      <c r="E13" s="91"/>
      <c r="F13" s="90">
        <v>1</v>
      </c>
      <c r="G13" s="90"/>
      <c r="H13" s="90"/>
      <c r="I13" s="221"/>
      <c r="J13" s="222"/>
      <c r="K13" s="222"/>
      <c r="L13" s="222"/>
      <c r="M13" s="222"/>
      <c r="N13" s="222"/>
      <c r="O13" s="222"/>
      <c r="P13" s="221"/>
      <c r="Q13" s="222"/>
      <c r="R13" s="222"/>
      <c r="S13" s="222"/>
      <c r="T13" s="222"/>
      <c r="U13" s="222"/>
      <c r="V13" s="222"/>
      <c r="W13" s="213"/>
    </row>
    <row r="14" spans="2:23" ht="17.45" customHeight="1">
      <c r="B14" s="88"/>
      <c r="C14" s="88"/>
      <c r="D14" s="91"/>
      <c r="E14" s="89" t="str">
        <f>AGR_Comm!D10</f>
        <v>AGR_OIL_DSL</v>
      </c>
      <c r="F14" s="90"/>
      <c r="G14" s="90"/>
      <c r="H14" s="90"/>
      <c r="I14" s="221"/>
      <c r="J14" s="222"/>
      <c r="K14" s="222"/>
      <c r="L14" s="222"/>
      <c r="M14" s="222"/>
      <c r="N14" s="222"/>
      <c r="O14" s="222"/>
      <c r="P14" s="221"/>
      <c r="Q14" s="222"/>
      <c r="R14" s="222"/>
      <c r="S14" s="222"/>
      <c r="T14" s="222"/>
      <c r="U14" s="222"/>
      <c r="V14" s="222"/>
      <c r="W14" s="213"/>
    </row>
    <row r="15" spans="2:23" ht="17.45" customHeight="1">
      <c r="B15" s="86" t="str">
        <f>AGR_Proc!D11</f>
        <v>SECTF_AGR_OIL_LPG</v>
      </c>
      <c r="C15" s="86" t="str">
        <f>AGR_Proc!E11</f>
        <v>Sector fuel - LPG</v>
      </c>
      <c r="D15" s="92" t="s">
        <v>328</v>
      </c>
      <c r="F15" s="69">
        <v>1</v>
      </c>
      <c r="G15" s="69"/>
      <c r="H15" s="69"/>
      <c r="I15" s="219"/>
      <c r="J15" s="220"/>
      <c r="K15" s="220"/>
      <c r="L15" s="220"/>
      <c r="M15" s="220"/>
      <c r="N15" s="220"/>
      <c r="O15" s="220"/>
      <c r="P15" s="219"/>
      <c r="Q15" s="220"/>
      <c r="R15" s="220"/>
      <c r="S15" s="220"/>
      <c r="T15" s="220"/>
      <c r="U15" s="220"/>
      <c r="V15" s="220"/>
      <c r="W15" s="212"/>
    </row>
    <row r="16" spans="2:23" ht="17.45" customHeight="1">
      <c r="B16" s="86"/>
      <c r="C16" s="86"/>
      <c r="D16" s="92"/>
      <c r="E16" s="70" t="str">
        <f>AGR_Comm!D11</f>
        <v>AGR_OIL_LPG</v>
      </c>
      <c r="F16" s="69"/>
      <c r="G16" s="69"/>
      <c r="H16" s="69"/>
      <c r="I16" s="219"/>
      <c r="J16" s="220"/>
      <c r="K16" s="220"/>
      <c r="L16" s="220"/>
      <c r="M16" s="220"/>
      <c r="N16" s="220"/>
      <c r="O16" s="220"/>
      <c r="P16" s="219"/>
      <c r="Q16" s="220"/>
      <c r="R16" s="220"/>
      <c r="S16" s="220"/>
      <c r="T16" s="220"/>
      <c r="U16" s="220"/>
      <c r="V16" s="220"/>
      <c r="W16" s="212"/>
    </row>
    <row r="17" spans="2:27" ht="17.45" customHeight="1">
      <c r="B17" s="88" t="str">
        <f>AGR_Proc!D12</f>
        <v>SECTF_AGR_OIL_FUE</v>
      </c>
      <c r="C17" s="88" t="str">
        <f>AGR_Proc!E12</f>
        <v>Sector fuel - Fuel Oil</v>
      </c>
      <c r="D17" s="91" t="s">
        <v>329</v>
      </c>
      <c r="E17" s="91"/>
      <c r="F17" s="90">
        <v>1</v>
      </c>
      <c r="G17" s="90"/>
      <c r="H17" s="90"/>
      <c r="I17" s="221"/>
      <c r="J17" s="222"/>
      <c r="K17" s="222"/>
      <c r="L17" s="222"/>
      <c r="M17" s="222"/>
      <c r="N17" s="222"/>
      <c r="O17" s="222"/>
      <c r="P17" s="221"/>
      <c r="Q17" s="222"/>
      <c r="R17" s="222"/>
      <c r="S17" s="222"/>
      <c r="T17" s="222"/>
      <c r="U17" s="222"/>
      <c r="V17" s="222"/>
      <c r="W17" s="213"/>
    </row>
    <row r="18" spans="2:27" ht="17.45" customHeight="1">
      <c r="B18" s="88"/>
      <c r="C18" s="88"/>
      <c r="D18" s="91"/>
      <c r="E18" s="89" t="str">
        <f>AGR_Comm!D12</f>
        <v>AGR_OIL_FUE</v>
      </c>
      <c r="F18" s="90"/>
      <c r="G18" s="90"/>
      <c r="H18" s="90"/>
      <c r="I18" s="221"/>
      <c r="J18" s="222"/>
      <c r="K18" s="222"/>
      <c r="L18" s="222"/>
      <c r="M18" s="222"/>
      <c r="N18" s="222"/>
      <c r="O18" s="222"/>
      <c r="P18" s="221"/>
      <c r="Q18" s="222"/>
      <c r="R18" s="222"/>
      <c r="S18" s="222"/>
      <c r="T18" s="222"/>
      <c r="U18" s="222"/>
      <c r="V18" s="222"/>
      <c r="W18" s="213"/>
    </row>
    <row r="19" spans="2:27" ht="17.45" customHeight="1">
      <c r="B19" s="86" t="str">
        <f>AGR_Proc!D13</f>
        <v>SECTF_AGR_NAT_GAS</v>
      </c>
      <c r="C19" s="86" t="str">
        <f>AGR_Proc!E13</f>
        <v>Sector fuel - Natural Gas</v>
      </c>
      <c r="D19" s="92" t="s">
        <v>330</v>
      </c>
      <c r="F19" s="69">
        <v>1</v>
      </c>
      <c r="G19" s="69"/>
      <c r="H19" s="69"/>
      <c r="I19" s="219">
        <v>2.25</v>
      </c>
      <c r="J19" s="220">
        <v>5.04</v>
      </c>
      <c r="K19" s="220">
        <f t="shared" ref="K19:O19" si="0">J19</f>
        <v>5.04</v>
      </c>
      <c r="L19" s="220">
        <f t="shared" si="0"/>
        <v>5.04</v>
      </c>
      <c r="M19" s="220">
        <f t="shared" si="0"/>
        <v>5.04</v>
      </c>
      <c r="N19" s="220">
        <f t="shared" si="0"/>
        <v>5.04</v>
      </c>
      <c r="O19" s="220">
        <f t="shared" si="0"/>
        <v>5.04</v>
      </c>
      <c r="P19" s="219"/>
      <c r="Q19" s="220"/>
      <c r="R19" s="220"/>
      <c r="S19" s="220"/>
      <c r="T19" s="220"/>
      <c r="U19" s="220"/>
      <c r="V19" s="220"/>
      <c r="W19" s="212"/>
    </row>
    <row r="20" spans="2:27" ht="17.45" customHeight="1">
      <c r="B20" s="86"/>
      <c r="C20" s="86"/>
      <c r="D20" s="92"/>
      <c r="E20" s="70" t="str">
        <f>AGR_Comm!D13</f>
        <v>AGR_NAT_GAS</v>
      </c>
      <c r="F20" s="69"/>
      <c r="G20" s="69"/>
      <c r="H20" s="69"/>
      <c r="I20" s="219"/>
      <c r="J20" s="220"/>
      <c r="K20" s="220"/>
      <c r="L20" s="220"/>
      <c r="M20" s="220"/>
      <c r="N20" s="220"/>
      <c r="O20" s="220"/>
      <c r="P20" s="219">
        <v>6.19</v>
      </c>
      <c r="Q20" s="220">
        <v>7.44</v>
      </c>
      <c r="R20" s="220">
        <f t="shared" ref="R20:V20" si="1">Q20</f>
        <v>7.44</v>
      </c>
      <c r="S20" s="220">
        <f t="shared" si="1"/>
        <v>7.44</v>
      </c>
      <c r="T20" s="220">
        <f t="shared" si="1"/>
        <v>7.44</v>
      </c>
      <c r="U20" s="220">
        <f t="shared" si="1"/>
        <v>7.44</v>
      </c>
      <c r="V20" s="220">
        <f t="shared" si="1"/>
        <v>7.44</v>
      </c>
      <c r="W20" s="212"/>
    </row>
    <row r="21" spans="2:27" ht="17.45" customHeight="1">
      <c r="B21" s="88" t="str">
        <f>AGR_Proc!D14</f>
        <v>SECTF_AGR_BIOG</v>
      </c>
      <c r="C21" s="88" t="str">
        <f>AGR_Proc!E14</f>
        <v>Sector fuel - Biogas</v>
      </c>
      <c r="D21" s="91" t="s">
        <v>47</v>
      </c>
      <c r="E21" s="91"/>
      <c r="F21" s="90">
        <v>1</v>
      </c>
      <c r="G21" s="90"/>
      <c r="H21" s="90"/>
      <c r="I21" s="221"/>
      <c r="J21" s="222"/>
      <c r="K21" s="222"/>
      <c r="L21" s="222"/>
      <c r="M21" s="222"/>
      <c r="N21" s="222"/>
      <c r="O21" s="222"/>
      <c r="P21" s="221"/>
      <c r="Q21" s="222"/>
      <c r="R21" s="222"/>
      <c r="S21" s="222"/>
      <c r="T21" s="222"/>
      <c r="U21" s="222"/>
      <c r="V21" s="222"/>
      <c r="W21" s="213"/>
      <c r="Y21" s="88" t="str">
        <f>AGR_Proc!D14</f>
        <v>SECTF_AGR_BIOG</v>
      </c>
      <c r="AA21" s="1" t="s">
        <v>331</v>
      </c>
    </row>
    <row r="22" spans="2:27" ht="17.45" customHeight="1">
      <c r="B22" s="88"/>
      <c r="C22" s="88"/>
      <c r="D22" s="91"/>
      <c r="E22" s="89" t="str">
        <f>OLD_AGR_Comm!D14</f>
        <v>AGR_BIOG</v>
      </c>
      <c r="F22" s="90"/>
      <c r="G22" s="90"/>
      <c r="H22" s="90"/>
      <c r="I22" s="221"/>
      <c r="J22" s="222"/>
      <c r="K22" s="222"/>
      <c r="L22" s="222"/>
      <c r="M22" s="222"/>
      <c r="N22" s="222"/>
      <c r="O22" s="222"/>
      <c r="P22" s="221"/>
      <c r="Q22" s="222"/>
      <c r="R22" s="222"/>
      <c r="S22" s="222"/>
      <c r="T22" s="222"/>
      <c r="U22" s="222"/>
      <c r="V22" s="222"/>
      <c r="W22" s="213"/>
    </row>
    <row r="23" spans="2:27" ht="17.45" customHeight="1">
      <c r="B23" s="86" t="str">
        <f>AGR_Proc!D15</f>
        <v>SECTF_AGR_BIOM</v>
      </c>
      <c r="C23" s="86" t="str">
        <f>AGR_Proc!E15</f>
        <v>Sector fuel - Biomass</v>
      </c>
      <c r="D23" s="92" t="s">
        <v>332</v>
      </c>
      <c r="F23" s="69">
        <v>1</v>
      </c>
      <c r="G23" s="69"/>
      <c r="H23" s="69"/>
      <c r="I23" s="219"/>
      <c r="J23" s="220"/>
      <c r="K23" s="220"/>
      <c r="L23" s="220"/>
      <c r="M23" s="220"/>
      <c r="N23" s="220"/>
      <c r="O23" s="220"/>
      <c r="P23" s="219"/>
      <c r="Q23" s="220"/>
      <c r="R23" s="220"/>
      <c r="S23" s="220"/>
      <c r="T23" s="220"/>
      <c r="U23" s="220"/>
      <c r="V23" s="220"/>
      <c r="W23" s="212"/>
    </row>
    <row r="24" spans="2:27" ht="17.45" customHeight="1">
      <c r="B24" s="86"/>
      <c r="C24" s="86"/>
      <c r="D24" s="92"/>
      <c r="E24" s="70" t="str">
        <f>AGR_Comm!D17</f>
        <v>AGR_BIOM</v>
      </c>
      <c r="F24" s="69"/>
      <c r="G24" s="69"/>
      <c r="H24" s="69"/>
      <c r="I24" s="219"/>
      <c r="J24" s="220"/>
      <c r="K24" s="220"/>
      <c r="L24" s="220"/>
      <c r="M24" s="220"/>
      <c r="N24" s="220"/>
      <c r="O24" s="220"/>
      <c r="P24" s="219"/>
      <c r="Q24" s="220"/>
      <c r="R24" s="220"/>
      <c r="S24" s="220"/>
      <c r="T24" s="220"/>
      <c r="U24" s="220"/>
      <c r="V24" s="220"/>
      <c r="W24" s="212"/>
    </row>
    <row r="25" spans="2:27" ht="17.45" customHeight="1">
      <c r="B25" s="88" t="str">
        <f>AGR_Proc!D16</f>
        <v>SECTF_AGR_RDF</v>
      </c>
      <c r="C25" s="88" t="str">
        <f>AGR_Proc!E16</f>
        <v>Sector fuel - RDF</v>
      </c>
      <c r="D25" s="91" t="s">
        <v>803</v>
      </c>
      <c r="E25" s="91"/>
      <c r="F25" s="90">
        <v>1</v>
      </c>
      <c r="G25" s="90"/>
      <c r="H25" s="90"/>
      <c r="I25" s="221"/>
      <c r="J25" s="222"/>
      <c r="K25" s="222"/>
      <c r="L25" s="222"/>
      <c r="M25" s="222"/>
      <c r="N25" s="222"/>
      <c r="O25" s="222"/>
      <c r="P25" s="221"/>
      <c r="Q25" s="222"/>
      <c r="R25" s="222"/>
      <c r="S25" s="222"/>
      <c r="T25" s="222"/>
      <c r="U25" s="222"/>
      <c r="V25" s="222"/>
      <c r="W25" s="213"/>
    </row>
    <row r="26" spans="2:27" ht="17.45" customHeight="1">
      <c r="B26" s="88"/>
      <c r="C26" s="88"/>
      <c r="D26" s="91" t="s">
        <v>804</v>
      </c>
      <c r="E26" s="91"/>
      <c r="F26" s="90"/>
      <c r="G26" s="90"/>
      <c r="H26" s="90"/>
      <c r="I26" s="221"/>
      <c r="J26" s="222"/>
      <c r="K26" s="222"/>
      <c r="L26" s="222"/>
      <c r="M26" s="222"/>
      <c r="N26" s="222"/>
      <c r="O26" s="222"/>
      <c r="P26" s="221"/>
      <c r="Q26" s="222"/>
      <c r="R26" s="222"/>
      <c r="S26" s="222"/>
      <c r="T26" s="222"/>
      <c r="U26" s="222"/>
      <c r="V26" s="222"/>
      <c r="W26" s="213"/>
    </row>
    <row r="27" spans="2:27" ht="17.45" customHeight="1">
      <c r="B27" s="88"/>
      <c r="C27" s="88"/>
      <c r="D27" s="91"/>
      <c r="E27" s="89" t="str">
        <f>AGR_Comm!D18</f>
        <v>AGR_RDF</v>
      </c>
      <c r="F27" s="90"/>
      <c r="G27" s="90"/>
      <c r="H27" s="90"/>
      <c r="I27" s="221"/>
      <c r="J27" s="222"/>
      <c r="K27" s="222"/>
      <c r="L27" s="222"/>
      <c r="M27" s="222"/>
      <c r="N27" s="222"/>
      <c r="O27" s="222"/>
      <c r="P27" s="221"/>
      <c r="Q27" s="222"/>
      <c r="R27" s="222"/>
      <c r="S27" s="222"/>
      <c r="T27" s="222"/>
      <c r="U27" s="222"/>
      <c r="V27" s="222"/>
      <c r="W27" s="213"/>
    </row>
    <row r="28" spans="2:27" ht="17.45" customHeight="1">
      <c r="B28" s="175" t="str">
        <f>AGR_Proc!D17</f>
        <v>SECTF_AGR_ELC</v>
      </c>
      <c r="C28" s="175" t="str">
        <f>AGR_Proc!E17</f>
        <v>Sector fuel - Electricity</v>
      </c>
      <c r="D28" s="175"/>
      <c r="E28" s="175"/>
      <c r="F28" s="176">
        <v>1</v>
      </c>
      <c r="G28" s="176"/>
      <c r="H28" s="176"/>
      <c r="I28" s="223"/>
      <c r="J28" s="224"/>
      <c r="K28" s="224"/>
      <c r="L28" s="224"/>
      <c r="M28" s="224"/>
      <c r="N28" s="224"/>
      <c r="O28" s="224"/>
      <c r="P28" s="223"/>
      <c r="Q28" s="224"/>
      <c r="R28" s="224"/>
      <c r="S28" s="224"/>
      <c r="T28" s="224"/>
      <c r="U28" s="224"/>
      <c r="V28" s="224"/>
      <c r="W28" s="214"/>
    </row>
    <row r="29" spans="2:27" ht="16.5" customHeight="1">
      <c r="B29" s="177"/>
      <c r="C29" s="177"/>
      <c r="D29" s="178" t="s">
        <v>333</v>
      </c>
      <c r="E29" s="177"/>
      <c r="F29" s="177"/>
      <c r="G29" s="431">
        <v>0.91</v>
      </c>
      <c r="H29" s="421"/>
      <c r="I29" s="219">
        <v>9.5112000000000005</v>
      </c>
      <c r="J29" s="220">
        <v>25</v>
      </c>
      <c r="K29" s="220">
        <f t="shared" ref="K29:O29" si="2">J29</f>
        <v>25</v>
      </c>
      <c r="L29" s="220">
        <f t="shared" si="2"/>
        <v>25</v>
      </c>
      <c r="M29" s="220">
        <f t="shared" si="2"/>
        <v>25</v>
      </c>
      <c r="N29" s="220">
        <f t="shared" si="2"/>
        <v>25</v>
      </c>
      <c r="O29" s="220">
        <f t="shared" si="2"/>
        <v>25</v>
      </c>
      <c r="P29" s="219">
        <v>53.896599999999999</v>
      </c>
      <c r="Q29" s="220">
        <v>141.68</v>
      </c>
      <c r="R29" s="220">
        <f t="shared" ref="R29:V29" si="3">Q29</f>
        <v>141.68</v>
      </c>
      <c r="S29" s="220">
        <f t="shared" si="3"/>
        <v>141.68</v>
      </c>
      <c r="T29" s="220">
        <f t="shared" si="3"/>
        <v>141.68</v>
      </c>
      <c r="U29" s="220">
        <f t="shared" si="3"/>
        <v>141.68</v>
      </c>
      <c r="V29" s="220">
        <f t="shared" si="3"/>
        <v>141.68</v>
      </c>
      <c r="W29" s="215"/>
    </row>
    <row r="30" spans="2:27" ht="16.5" customHeight="1">
      <c r="B30" s="177"/>
      <c r="C30" s="177"/>
      <c r="D30" s="177"/>
      <c r="E30" s="179" t="str">
        <f>AGR_Comm!D19</f>
        <v>AGR_ELC</v>
      </c>
      <c r="F30" s="177"/>
      <c r="G30" s="177"/>
      <c r="H30" s="177"/>
      <c r="I30" s="225"/>
      <c r="J30" s="226"/>
      <c r="K30" s="226"/>
      <c r="L30" s="226"/>
      <c r="M30" s="226"/>
      <c r="N30" s="226"/>
      <c r="O30" s="226"/>
      <c r="P30" s="225"/>
      <c r="Q30" s="226"/>
      <c r="R30" s="226"/>
      <c r="S30" s="226"/>
      <c r="T30" s="226"/>
      <c r="U30" s="226"/>
      <c r="V30" s="226"/>
      <c r="W30" s="215"/>
    </row>
    <row r="31" spans="2:27">
      <c r="B31" s="88" t="str">
        <f>AGR_Proc!D18</f>
        <v>SECTF_AGR_DH</v>
      </c>
      <c r="C31" s="88" t="str">
        <f>AGR_Proc!E18</f>
        <v>Sector fuel - District Heat</v>
      </c>
      <c r="D31" s="91" t="s">
        <v>334</v>
      </c>
      <c r="E31" s="91"/>
      <c r="F31" s="90">
        <v>1</v>
      </c>
      <c r="G31" s="90"/>
      <c r="H31" s="90"/>
      <c r="I31" s="221"/>
      <c r="J31" s="222"/>
      <c r="K31" s="222"/>
      <c r="L31" s="222"/>
      <c r="M31" s="222"/>
      <c r="N31" s="222"/>
      <c r="O31" s="222"/>
      <c r="P31" s="221"/>
      <c r="Q31" s="222"/>
      <c r="R31" s="222"/>
      <c r="S31" s="222"/>
      <c r="T31" s="222"/>
      <c r="U31" s="222"/>
      <c r="V31" s="222"/>
      <c r="W31" s="213"/>
    </row>
    <row r="32" spans="2:27">
      <c r="B32" s="88"/>
      <c r="C32" s="88"/>
      <c r="D32" s="91"/>
      <c r="E32" s="89" t="str">
        <f>AGR_Comm!D20</f>
        <v>AGR_DH</v>
      </c>
      <c r="F32" s="90"/>
      <c r="G32" s="90"/>
      <c r="H32" s="90"/>
      <c r="I32" s="221"/>
      <c r="J32" s="222"/>
      <c r="K32" s="222"/>
      <c r="L32" s="222"/>
      <c r="M32" s="222"/>
      <c r="N32" s="222"/>
      <c r="O32" s="222"/>
      <c r="P32" s="221">
        <v>19</v>
      </c>
      <c r="Q32" s="222">
        <v>25</v>
      </c>
      <c r="R32" s="222">
        <f t="shared" ref="R32:V32" si="4">Q32</f>
        <v>25</v>
      </c>
      <c r="S32" s="222">
        <f t="shared" si="4"/>
        <v>25</v>
      </c>
      <c r="T32" s="222">
        <f t="shared" si="4"/>
        <v>25</v>
      </c>
      <c r="U32" s="222">
        <f t="shared" si="4"/>
        <v>25</v>
      </c>
      <c r="V32" s="222">
        <f t="shared" si="4"/>
        <v>25</v>
      </c>
      <c r="W32" s="213"/>
    </row>
    <row r="33" spans="2:23" ht="13.5" thickBot="1">
      <c r="B33" s="157" t="str">
        <f>AGR_Proc!D19</f>
        <v>SECTF_AGR_OTH</v>
      </c>
      <c r="C33" s="157" t="str">
        <f>AGR_Proc!E19</f>
        <v>Sector fuel - Other Fuels</v>
      </c>
      <c r="D33" s="158" t="s">
        <v>335</v>
      </c>
      <c r="E33" s="159" t="str">
        <f>AGR_Comm!D21</f>
        <v>AGR_OTH_FUE</v>
      </c>
      <c r="F33" s="160">
        <v>1</v>
      </c>
      <c r="G33" s="160"/>
      <c r="H33" s="160"/>
      <c r="I33" s="227"/>
      <c r="J33" s="228"/>
      <c r="K33" s="228"/>
      <c r="L33" s="228"/>
      <c r="M33" s="228"/>
      <c r="N33" s="228"/>
      <c r="O33" s="228"/>
      <c r="P33" s="227"/>
      <c r="Q33" s="228"/>
      <c r="R33" s="228"/>
      <c r="S33" s="228"/>
      <c r="T33" s="228"/>
      <c r="U33" s="228"/>
      <c r="V33" s="228"/>
      <c r="W33" s="216"/>
    </row>
    <row r="34" spans="2:23">
      <c r="B34"/>
      <c r="C34"/>
      <c r="D34"/>
      <c r="E34"/>
      <c r="F34"/>
      <c r="G34"/>
      <c r="H34"/>
    </row>
    <row r="35" spans="2:23">
      <c r="B35" s="38"/>
      <c r="C35"/>
      <c r="D35"/>
      <c r="E35"/>
      <c r="F35"/>
      <c r="G35"/>
      <c r="H35"/>
    </row>
    <row r="36" spans="2:23">
      <c r="B36"/>
      <c r="C36"/>
      <c r="D36"/>
      <c r="E36"/>
      <c r="F36"/>
      <c r="G36"/>
      <c r="H36"/>
    </row>
    <row r="37" spans="2:23">
      <c r="B37"/>
      <c r="C37"/>
      <c r="D37"/>
      <c r="E37"/>
      <c r="F37"/>
      <c r="G37" s="65" t="s">
        <v>336</v>
      </c>
    </row>
    <row r="38" spans="2:23">
      <c r="B38"/>
      <c r="C38"/>
      <c r="D38"/>
      <c r="E38"/>
      <c r="F38"/>
    </row>
    <row r="39" spans="2:23">
      <c r="B39"/>
      <c r="C39"/>
      <c r="D39"/>
      <c r="E39"/>
      <c r="F39"/>
    </row>
    <row r="40" spans="2:23">
      <c r="B40"/>
      <c r="C40"/>
      <c r="D40"/>
      <c r="E40"/>
      <c r="F40"/>
      <c r="G40"/>
      <c r="H40"/>
    </row>
    <row r="41" spans="2:23">
      <c r="B41"/>
      <c r="C41"/>
      <c r="D41"/>
      <c r="E41"/>
      <c r="F41"/>
      <c r="G41"/>
      <c r="H41"/>
    </row>
    <row r="42" spans="2:23">
      <c r="B42"/>
      <c r="C42"/>
      <c r="D42"/>
      <c r="E42"/>
      <c r="F42"/>
      <c r="G42"/>
      <c r="H42"/>
    </row>
    <row r="43" spans="2:23">
      <c r="B43"/>
      <c r="C43"/>
      <c r="D43"/>
      <c r="E43"/>
      <c r="F43"/>
      <c r="G43"/>
      <c r="H43"/>
    </row>
    <row r="44" spans="2:23">
      <c r="B44"/>
      <c r="C44"/>
      <c r="D44"/>
      <c r="E44"/>
      <c r="F44"/>
      <c r="G44"/>
      <c r="H44"/>
    </row>
    <row r="45" spans="2:23">
      <c r="B45"/>
      <c r="C45"/>
      <c r="D45"/>
      <c r="E45"/>
      <c r="F45"/>
      <c r="G45"/>
      <c r="H45"/>
    </row>
    <row r="46" spans="2:23">
      <c r="B46"/>
      <c r="C46"/>
      <c r="D46"/>
      <c r="E46"/>
      <c r="F46"/>
      <c r="G46"/>
      <c r="H46"/>
    </row>
    <row r="47" spans="2:23">
      <c r="B47"/>
      <c r="C47"/>
      <c r="D47"/>
      <c r="E47"/>
      <c r="F47"/>
      <c r="G47"/>
      <c r="H47"/>
    </row>
    <row r="48" spans="2:23">
      <c r="B48"/>
      <c r="C48"/>
      <c r="D48"/>
      <c r="E48"/>
      <c r="F48"/>
      <c r="G48"/>
      <c r="H48"/>
    </row>
    <row r="49" spans="2:8">
      <c r="B49"/>
      <c r="C49"/>
      <c r="D49"/>
      <c r="E49"/>
      <c r="F49"/>
      <c r="G49"/>
      <c r="H49"/>
    </row>
    <row r="50" spans="2:8">
      <c r="B50"/>
      <c r="C50"/>
      <c r="D50"/>
      <c r="E50"/>
      <c r="F50"/>
      <c r="G50"/>
      <c r="H50"/>
    </row>
    <row r="51" spans="2:8">
      <c r="B51"/>
      <c r="C51"/>
      <c r="D51"/>
      <c r="E51"/>
      <c r="F51"/>
      <c r="G51"/>
      <c r="H51"/>
    </row>
    <row r="52" spans="2:8">
      <c r="C52" s="66"/>
      <c r="E52" s="64"/>
      <c r="F52" s="64"/>
    </row>
    <row r="53" spans="2:8">
      <c r="C53" s="66"/>
      <c r="E53" s="64"/>
      <c r="F53" s="64"/>
    </row>
    <row r="54" spans="2:8">
      <c r="C54" s="66"/>
      <c r="E54" s="64"/>
      <c r="F54" s="64"/>
    </row>
    <row r="55" spans="2:8">
      <c r="C55" s="66"/>
      <c r="E55" s="64"/>
      <c r="F55" s="64"/>
    </row>
    <row r="56" spans="2:8">
      <c r="C56" s="66"/>
      <c r="E56" s="64"/>
      <c r="F56" s="64"/>
    </row>
    <row r="57" spans="2:8">
      <c r="C57" s="66"/>
      <c r="E57" s="64"/>
      <c r="F57" s="64"/>
    </row>
    <row r="58" spans="2:8">
      <c r="C58" s="66"/>
      <c r="E58" s="64"/>
      <c r="F58" s="64"/>
    </row>
    <row r="59" spans="2:8">
      <c r="C59" s="66"/>
      <c r="E59" s="64"/>
      <c r="F59" s="64"/>
    </row>
    <row r="60" spans="2:8">
      <c r="C60" s="66"/>
      <c r="E60" s="64"/>
      <c r="F60" s="64"/>
    </row>
    <row r="61" spans="2:8">
      <c r="C61" s="66"/>
      <c r="E61" s="64"/>
      <c r="F61" s="64"/>
    </row>
    <row r="62" spans="2:8">
      <c r="C62" s="66"/>
      <c r="E62" s="64"/>
      <c r="F62" s="64"/>
    </row>
    <row r="63" spans="2:8">
      <c r="C63" s="66"/>
      <c r="E63" s="64"/>
      <c r="F63" s="64"/>
    </row>
    <row r="64" spans="2:8">
      <c r="C64" s="66"/>
      <c r="E64" s="64"/>
      <c r="F64" s="64"/>
    </row>
    <row r="65" spans="3:6">
      <c r="C65" s="66"/>
      <c r="E65" s="64"/>
      <c r="F65" s="64"/>
    </row>
    <row r="66" spans="3:6">
      <c r="C66" s="66"/>
      <c r="E66" s="64"/>
      <c r="F66" s="64"/>
    </row>
    <row r="67" spans="3:6">
      <c r="C67" s="66"/>
      <c r="E67" s="64"/>
      <c r="F67" s="64"/>
    </row>
    <row r="68" spans="3:6">
      <c r="C68" s="66"/>
      <c r="E68" s="64"/>
      <c r="F68" s="64"/>
    </row>
    <row r="69" spans="3:6">
      <c r="C69" s="66"/>
      <c r="E69" s="64"/>
      <c r="F69" s="64"/>
    </row>
    <row r="70" spans="3:6">
      <c r="C70" s="66"/>
      <c r="E70" s="64"/>
      <c r="F70" s="64"/>
    </row>
  </sheetData>
  <phoneticPr fontId="54" type="noConversion"/>
  <conditionalFormatting sqref="D7:D9">
    <cfRule type="duplicateValues" dxfId="0" priority="1"/>
  </conditionalFormatting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042E-39CC-44CB-AEB4-04A8ED1DEE0E}">
  <dimension ref="B3:AW166"/>
  <sheetViews>
    <sheetView topLeftCell="A10" zoomScale="70" zoomScaleNormal="70" zoomScaleSheetLayoutView="50" workbookViewId="0">
      <pane xSplit="2" topLeftCell="K1" activePane="topRight" state="frozen"/>
      <selection activeCell="A47" sqref="A47"/>
      <selection pane="topRight" activeCell="AX47" sqref="AX47:AY47"/>
    </sheetView>
  </sheetViews>
  <sheetFormatPr defaultColWidth="9.140625" defaultRowHeight="12.75"/>
  <cols>
    <col min="1" max="1" width="10.42578125" style="265" customWidth="1"/>
    <col min="2" max="2" width="30" style="265" customWidth="1"/>
    <col min="3" max="3" width="29.42578125" style="265" customWidth="1"/>
    <col min="4" max="4" width="26.85546875" style="265" customWidth="1"/>
    <col min="5" max="5" width="29.140625" style="265" customWidth="1"/>
    <col min="6" max="6" width="34" style="265" customWidth="1"/>
    <col min="7" max="7" width="11.42578125" style="265" customWidth="1"/>
    <col min="8" max="10" width="12.42578125" style="265" bestFit="1" customWidth="1"/>
    <col min="11" max="12" width="12.85546875" style="265" bestFit="1" customWidth="1"/>
    <col min="13" max="13" width="12.85546875" style="265" customWidth="1"/>
    <col min="14" max="14" width="12.85546875" style="265" bestFit="1" customWidth="1"/>
    <col min="15" max="16" width="12.85546875" style="265" customWidth="1"/>
    <col min="17" max="17" width="14.7109375" style="265" customWidth="1"/>
    <col min="18" max="18" width="13.7109375" style="265" customWidth="1"/>
    <col min="19" max="19" width="14" style="265" customWidth="1"/>
    <col min="20" max="20" width="14.42578125" style="265" customWidth="1"/>
    <col min="21" max="22" width="14.28515625" style="265" customWidth="1"/>
    <col min="23" max="23" width="13.42578125" style="265" customWidth="1"/>
    <col min="24" max="24" width="13.85546875" style="265" customWidth="1"/>
    <col min="25" max="25" width="12.85546875" style="265" customWidth="1"/>
    <col min="26" max="26" width="11.85546875" style="265" customWidth="1"/>
    <col min="27" max="27" width="12.28515625" style="265" bestFit="1" customWidth="1"/>
    <col min="28" max="28" width="9.140625" style="265"/>
    <col min="29" max="29" width="14" style="265" customWidth="1"/>
    <col min="30" max="30" width="17.7109375" style="265" bestFit="1" customWidth="1"/>
    <col min="31" max="31" width="12.85546875" style="265" bestFit="1" customWidth="1"/>
    <col min="32" max="16384" width="9.140625" style="265"/>
  </cols>
  <sheetData>
    <row r="3" spans="2:13">
      <c r="F3" s="234"/>
      <c r="G3" s="234"/>
    </row>
    <row r="4" spans="2:13" ht="25.5">
      <c r="B4" s="71" t="s">
        <v>179</v>
      </c>
      <c r="C4" s="72" t="s">
        <v>358</v>
      </c>
      <c r="D4" s="72" t="s">
        <v>305</v>
      </c>
      <c r="E4" s="71" t="s">
        <v>306</v>
      </c>
      <c r="F4" s="71" t="s">
        <v>338</v>
      </c>
      <c r="G4" s="73" t="s">
        <v>381</v>
      </c>
      <c r="H4" s="315" t="s">
        <v>382</v>
      </c>
      <c r="I4" s="315" t="s">
        <v>383</v>
      </c>
      <c r="J4" s="315" t="s">
        <v>343</v>
      </c>
      <c r="K4" s="315" t="s">
        <v>384</v>
      </c>
      <c r="L4" s="315" t="s">
        <v>341</v>
      </c>
      <c r="M4" s="316"/>
    </row>
    <row r="5" spans="2:13" ht="13.5" thickBot="1">
      <c r="B5" s="74" t="s">
        <v>348</v>
      </c>
      <c r="C5" s="74" t="s">
        <v>349</v>
      </c>
      <c r="D5" s="74"/>
      <c r="E5" s="74" t="s">
        <v>351</v>
      </c>
      <c r="F5" s="74"/>
      <c r="G5" s="74" t="s">
        <v>385</v>
      </c>
      <c r="H5" s="317" t="s">
        <v>386</v>
      </c>
      <c r="I5" s="317"/>
      <c r="J5" s="317"/>
      <c r="K5" s="317"/>
      <c r="L5" s="317"/>
      <c r="M5" s="318"/>
    </row>
    <row r="6" spans="2:13" ht="15.95" customHeight="1">
      <c r="B6" s="319" t="s">
        <v>272</v>
      </c>
      <c r="C6" s="319" t="s">
        <v>272</v>
      </c>
      <c r="D6" s="320" t="s">
        <v>144</v>
      </c>
      <c r="E6" s="320" t="s">
        <v>148</v>
      </c>
      <c r="F6" s="320" t="s">
        <v>98</v>
      </c>
      <c r="G6" s="320">
        <v>100</v>
      </c>
      <c r="H6" s="320">
        <v>3.3536446309540635E-3</v>
      </c>
      <c r="I6" s="320">
        <v>3.3536446309540635E-3</v>
      </c>
      <c r="J6" s="320">
        <v>1</v>
      </c>
      <c r="K6" s="320">
        <v>1</v>
      </c>
      <c r="L6" s="319">
        <v>1</v>
      </c>
      <c r="M6" s="319"/>
    </row>
    <row r="7" spans="2:13" ht="15.95" customHeight="1">
      <c r="B7" s="321" t="s">
        <v>273</v>
      </c>
      <c r="C7" s="321" t="s">
        <v>273</v>
      </c>
      <c r="D7" s="321" t="s">
        <v>144</v>
      </c>
      <c r="E7" s="321" t="s">
        <v>148</v>
      </c>
      <c r="F7" s="321" t="s">
        <v>98</v>
      </c>
      <c r="G7" s="321">
        <v>100</v>
      </c>
      <c r="H7" s="321">
        <v>1.3636721995992276E-3</v>
      </c>
      <c r="I7" s="321">
        <v>1.3636721995992276E-3</v>
      </c>
      <c r="J7" s="321">
        <v>1</v>
      </c>
      <c r="K7" s="321">
        <v>1</v>
      </c>
      <c r="L7" s="321">
        <v>1</v>
      </c>
      <c r="M7" s="321"/>
    </row>
    <row r="8" spans="2:13" ht="15.95" customHeight="1">
      <c r="B8" s="319" t="s">
        <v>274</v>
      </c>
      <c r="C8" s="319" t="s">
        <v>274</v>
      </c>
      <c r="D8" s="319" t="s">
        <v>144</v>
      </c>
      <c r="E8" s="319" t="s">
        <v>148</v>
      </c>
      <c r="F8" s="319" t="s">
        <v>98</v>
      </c>
      <c r="G8" s="319">
        <v>100</v>
      </c>
      <c r="H8" s="319">
        <v>1.6167876959150761E-5</v>
      </c>
      <c r="I8" s="319">
        <v>1.6167876959150761E-5</v>
      </c>
      <c r="J8" s="319">
        <v>1</v>
      </c>
      <c r="K8" s="319">
        <v>1</v>
      </c>
      <c r="L8" s="319">
        <v>1</v>
      </c>
      <c r="M8" s="319"/>
    </row>
    <row r="9" spans="2:13" ht="15.95" customHeight="1">
      <c r="B9" s="321" t="s">
        <v>275</v>
      </c>
      <c r="C9" s="321" t="s">
        <v>275</v>
      </c>
      <c r="D9" s="321" t="s">
        <v>144</v>
      </c>
      <c r="E9" s="321" t="s">
        <v>148</v>
      </c>
      <c r="F9" s="321" t="s">
        <v>98</v>
      </c>
      <c r="G9" s="321">
        <v>100</v>
      </c>
      <c r="H9" s="321">
        <v>3.5521265615012299E-4</v>
      </c>
      <c r="I9" s="321">
        <v>3.5521265615012299E-4</v>
      </c>
      <c r="J9" s="321">
        <v>1</v>
      </c>
      <c r="K9" s="321">
        <v>1</v>
      </c>
      <c r="L9" s="321">
        <v>1</v>
      </c>
      <c r="M9" s="321"/>
    </row>
    <row r="10" spans="2:13" ht="15.95" customHeight="1">
      <c r="B10" s="319" t="s">
        <v>276</v>
      </c>
      <c r="C10" s="319" t="s">
        <v>276</v>
      </c>
      <c r="D10" s="319" t="s">
        <v>144</v>
      </c>
      <c r="E10" s="319" t="s">
        <v>148</v>
      </c>
      <c r="F10" s="319" t="s">
        <v>98</v>
      </c>
      <c r="G10" s="319">
        <v>100</v>
      </c>
      <c r="H10" s="319">
        <v>1.3317292501199591E-3</v>
      </c>
      <c r="I10" s="319">
        <v>1.3317292501199591E-3</v>
      </c>
      <c r="J10" s="319">
        <v>1</v>
      </c>
      <c r="K10" s="319">
        <v>1</v>
      </c>
      <c r="L10" s="319">
        <v>1</v>
      </c>
      <c r="M10" s="319"/>
    </row>
    <row r="11" spans="2:13" ht="15.95" customHeight="1">
      <c r="B11" s="321" t="s">
        <v>277</v>
      </c>
      <c r="C11" s="321" t="s">
        <v>277</v>
      </c>
      <c r="D11" s="321" t="s">
        <v>144</v>
      </c>
      <c r="E11" s="321" t="s">
        <v>148</v>
      </c>
      <c r="F11" s="321" t="s">
        <v>98</v>
      </c>
      <c r="G11" s="321">
        <v>100</v>
      </c>
      <c r="H11" s="321">
        <v>3.3444092997706812E-5</v>
      </c>
      <c r="I11" s="321">
        <v>3.3444092997706812E-5</v>
      </c>
      <c r="J11" s="321">
        <v>1</v>
      </c>
      <c r="K11" s="321">
        <v>1</v>
      </c>
      <c r="L11" s="321">
        <v>1</v>
      </c>
      <c r="M11" s="321"/>
    </row>
    <row r="12" spans="2:13" ht="15.95" customHeight="1">
      <c r="B12" s="319" t="s">
        <v>278</v>
      </c>
      <c r="C12" s="319" t="s">
        <v>278</v>
      </c>
      <c r="D12" s="319" t="s">
        <v>144</v>
      </c>
      <c r="E12" s="319" t="s">
        <v>148</v>
      </c>
      <c r="F12" s="319" t="s">
        <v>98</v>
      </c>
      <c r="G12" s="319">
        <v>100</v>
      </c>
      <c r="H12" s="319">
        <v>2.3921301121307636E-3</v>
      </c>
      <c r="I12" s="319">
        <v>2.3921301121307636E-3</v>
      </c>
      <c r="J12" s="319">
        <v>1</v>
      </c>
      <c r="K12" s="319">
        <v>1</v>
      </c>
      <c r="L12" s="319">
        <v>1</v>
      </c>
      <c r="M12" s="319"/>
    </row>
    <row r="13" spans="2:13" ht="15.95" customHeight="1">
      <c r="B13" s="321" t="s">
        <v>279</v>
      </c>
      <c r="C13" s="321" t="s">
        <v>279</v>
      </c>
      <c r="D13" s="321" t="s">
        <v>144</v>
      </c>
      <c r="E13" s="321" t="s">
        <v>148</v>
      </c>
      <c r="F13" s="321" t="s">
        <v>98</v>
      </c>
      <c r="G13" s="321">
        <v>100</v>
      </c>
      <c r="H13" s="321">
        <v>6.474598752018464E-4</v>
      </c>
      <c r="I13" s="321">
        <v>6.474598752018464E-4</v>
      </c>
      <c r="J13" s="321">
        <v>1</v>
      </c>
      <c r="K13" s="321">
        <v>1</v>
      </c>
      <c r="L13" s="321">
        <v>1</v>
      </c>
      <c r="M13" s="321"/>
    </row>
    <row r="14" spans="2:13" ht="15.95" customHeight="1" thickBot="1">
      <c r="B14" s="322" t="s">
        <v>280</v>
      </c>
      <c r="C14" s="322" t="s">
        <v>280</v>
      </c>
      <c r="D14" s="322" t="s">
        <v>144</v>
      </c>
      <c r="E14" s="322" t="s">
        <v>148</v>
      </c>
      <c r="F14" s="322" t="s">
        <v>98</v>
      </c>
      <c r="G14" s="322">
        <v>100</v>
      </c>
      <c r="H14" s="322">
        <v>1.4128413827858835E-3</v>
      </c>
      <c r="I14" s="322">
        <v>1.4128413827858835E-3</v>
      </c>
      <c r="J14" s="322">
        <v>1</v>
      </c>
      <c r="K14" s="322">
        <v>1</v>
      </c>
      <c r="L14" s="322">
        <v>1</v>
      </c>
      <c r="M14" s="319"/>
    </row>
    <row r="16" spans="2:13">
      <c r="F16" s="234"/>
      <c r="G16" s="234"/>
    </row>
    <row r="17" spans="2:49" ht="25.5">
      <c r="B17" s="71" t="s">
        <v>179</v>
      </c>
      <c r="C17" s="72" t="s">
        <v>358</v>
      </c>
      <c r="D17" s="72" t="s">
        <v>305</v>
      </c>
      <c r="E17" s="71" t="s">
        <v>306</v>
      </c>
      <c r="F17" s="71" t="s">
        <v>338</v>
      </c>
      <c r="G17" s="73" t="s">
        <v>381</v>
      </c>
      <c r="H17" s="315" t="s">
        <v>387</v>
      </c>
      <c r="I17" s="315" t="s">
        <v>388</v>
      </c>
      <c r="J17" s="315" t="s">
        <v>343</v>
      </c>
      <c r="K17" s="315" t="s">
        <v>384</v>
      </c>
      <c r="L17" s="315" t="s">
        <v>341</v>
      </c>
      <c r="M17" s="316"/>
    </row>
    <row r="18" spans="2:49" ht="13.5" thickBot="1">
      <c r="B18" s="74" t="s">
        <v>348</v>
      </c>
      <c r="C18" s="74" t="s">
        <v>349</v>
      </c>
      <c r="D18" s="74"/>
      <c r="E18" s="74" t="s">
        <v>351</v>
      </c>
      <c r="F18" s="74"/>
      <c r="G18" s="74" t="s">
        <v>385</v>
      </c>
      <c r="H18" s="317" t="s">
        <v>386</v>
      </c>
      <c r="I18" s="317"/>
      <c r="J18" s="317"/>
      <c r="K18" s="317"/>
      <c r="L18" s="317"/>
      <c r="M18" s="318"/>
    </row>
    <row r="19" spans="2:49">
      <c r="B19" s="320" t="s">
        <v>281</v>
      </c>
      <c r="C19" s="320" t="s">
        <v>281</v>
      </c>
      <c r="D19" s="320" t="s">
        <v>144</v>
      </c>
      <c r="E19" s="320" t="s">
        <v>148</v>
      </c>
      <c r="F19" s="320" t="s">
        <v>71</v>
      </c>
      <c r="G19" s="320">
        <v>100</v>
      </c>
      <c r="H19" s="320">
        <v>0.13152132080584736</v>
      </c>
      <c r="I19" s="320">
        <v>0.13152132080584736</v>
      </c>
      <c r="J19" s="320">
        <v>1</v>
      </c>
      <c r="K19" s="320">
        <v>1</v>
      </c>
      <c r="L19" s="319">
        <v>1</v>
      </c>
      <c r="M19" s="319"/>
    </row>
    <row r="20" spans="2:49">
      <c r="B20" s="321" t="s">
        <v>282</v>
      </c>
      <c r="C20" s="321" t="s">
        <v>282</v>
      </c>
      <c r="D20" s="321" t="s">
        <v>144</v>
      </c>
      <c r="E20" s="321" t="s">
        <v>148</v>
      </c>
      <c r="F20" s="321" t="s">
        <v>71</v>
      </c>
      <c r="G20" s="321">
        <v>100</v>
      </c>
      <c r="H20" s="321">
        <v>4.8130324585142367E-2</v>
      </c>
      <c r="I20" s="321">
        <v>4.8130324585142367E-2</v>
      </c>
      <c r="J20" s="321">
        <v>1</v>
      </c>
      <c r="K20" s="321">
        <v>1</v>
      </c>
      <c r="L20" s="321">
        <v>1</v>
      </c>
      <c r="M20" s="321"/>
    </row>
    <row r="21" spans="2:49">
      <c r="B21" s="319" t="s">
        <v>283</v>
      </c>
      <c r="C21" s="319" t="s">
        <v>283</v>
      </c>
      <c r="D21" s="319" t="s">
        <v>144</v>
      </c>
      <c r="E21" s="319" t="s">
        <v>148</v>
      </c>
      <c r="F21" s="319" t="s">
        <v>71</v>
      </c>
      <c r="G21" s="319">
        <v>100</v>
      </c>
      <c r="H21" s="319">
        <v>8.9067158554401421E-2</v>
      </c>
      <c r="I21" s="319">
        <v>8.9067158554401421E-2</v>
      </c>
      <c r="J21" s="319">
        <v>1</v>
      </c>
      <c r="K21" s="319">
        <v>1</v>
      </c>
      <c r="L21" s="319">
        <v>1</v>
      </c>
      <c r="M21" s="319"/>
    </row>
    <row r="22" spans="2:49" ht="13.5" thickBot="1">
      <c r="B22" s="323" t="s">
        <v>284</v>
      </c>
      <c r="C22" s="323" t="s">
        <v>284</v>
      </c>
      <c r="D22" s="323" t="s">
        <v>144</v>
      </c>
      <c r="E22" s="323" t="s">
        <v>148</v>
      </c>
      <c r="F22" s="323" t="s">
        <v>71</v>
      </c>
      <c r="G22" s="323">
        <v>100</v>
      </c>
      <c r="H22" s="323">
        <v>5.3429612525204687E-2</v>
      </c>
      <c r="I22" s="323">
        <v>5.3429612525204687E-2</v>
      </c>
      <c r="J22" s="323">
        <v>1</v>
      </c>
      <c r="K22" s="323">
        <v>1</v>
      </c>
      <c r="L22" s="323">
        <v>1</v>
      </c>
      <c r="M22" s="321"/>
    </row>
    <row r="25" spans="2:49">
      <c r="F25" s="234" t="s">
        <v>337</v>
      </c>
      <c r="G25" s="234"/>
    </row>
    <row r="26" spans="2:49" ht="51">
      <c r="B26" s="324" t="s">
        <v>179</v>
      </c>
      <c r="C26" s="325" t="s">
        <v>358</v>
      </c>
      <c r="D26" s="325" t="s">
        <v>305</v>
      </c>
      <c r="E26" s="326" t="s">
        <v>306</v>
      </c>
      <c r="F26" s="326" t="s">
        <v>338</v>
      </c>
      <c r="G26" s="327" t="s">
        <v>855</v>
      </c>
      <c r="H26" s="327" t="s">
        <v>433</v>
      </c>
      <c r="I26" s="327" t="s">
        <v>434</v>
      </c>
      <c r="J26" s="327" t="s">
        <v>435</v>
      </c>
      <c r="K26" s="327" t="s">
        <v>436</v>
      </c>
      <c r="L26" s="327" t="s">
        <v>437</v>
      </c>
      <c r="M26" s="327" t="s">
        <v>340</v>
      </c>
      <c r="N26" s="328" t="s">
        <v>890</v>
      </c>
      <c r="O26" s="328" t="s">
        <v>929</v>
      </c>
      <c r="P26" s="328" t="s">
        <v>930</v>
      </c>
      <c r="Q26" s="328" t="s">
        <v>931</v>
      </c>
      <c r="R26" s="328" t="s">
        <v>932</v>
      </c>
      <c r="S26" s="328" t="s">
        <v>933</v>
      </c>
      <c r="T26" s="328" t="s">
        <v>501</v>
      </c>
      <c r="U26" s="328" t="s">
        <v>943</v>
      </c>
      <c r="V26" s="328" t="s">
        <v>944</v>
      </c>
      <c r="W26" s="328" t="s">
        <v>945</v>
      </c>
      <c r="X26" s="328" t="s">
        <v>946</v>
      </c>
      <c r="Y26" s="328" t="s">
        <v>947</v>
      </c>
      <c r="Z26" s="328" t="s">
        <v>948</v>
      </c>
      <c r="AA26" s="328" t="s">
        <v>949</v>
      </c>
      <c r="AB26" s="328" t="s">
        <v>343</v>
      </c>
      <c r="AC26" s="328" t="s">
        <v>911</v>
      </c>
      <c r="AD26" s="328" t="s">
        <v>912</v>
      </c>
      <c r="AE26" s="328" t="s">
        <v>913</v>
      </c>
      <c r="AF26" s="328" t="s">
        <v>914</v>
      </c>
      <c r="AG26" s="328" t="s">
        <v>915</v>
      </c>
      <c r="AH26" s="328" t="s">
        <v>916</v>
      </c>
      <c r="AI26" s="328" t="s">
        <v>917</v>
      </c>
      <c r="AJ26" s="329" t="s">
        <v>344</v>
      </c>
      <c r="AK26" s="328" t="s">
        <v>382</v>
      </c>
      <c r="AL26" s="328" t="s">
        <v>383</v>
      </c>
      <c r="AN26" s="913" t="s">
        <v>934</v>
      </c>
      <c r="AO26" s="913" t="s">
        <v>935</v>
      </c>
      <c r="AP26" s="913" t="s">
        <v>936</v>
      </c>
      <c r="AQ26" s="913" t="s">
        <v>937</v>
      </c>
      <c r="AR26" s="913" t="s">
        <v>938</v>
      </c>
      <c r="AS26" s="913" t="s">
        <v>939</v>
      </c>
      <c r="AT26" s="913" t="s">
        <v>940</v>
      </c>
      <c r="AU26" s="73" t="s">
        <v>346</v>
      </c>
      <c r="AV26" s="73"/>
      <c r="AW26" s="73" t="s">
        <v>347</v>
      </c>
    </row>
    <row r="27" spans="2:49">
      <c r="B27" s="330" t="s">
        <v>348</v>
      </c>
      <c r="C27" s="331" t="s">
        <v>349</v>
      </c>
      <c r="D27" s="331"/>
      <c r="E27" s="331" t="s">
        <v>351</v>
      </c>
      <c r="F27" s="331"/>
      <c r="G27" s="331" t="s">
        <v>385</v>
      </c>
      <c r="H27" s="331" t="s">
        <v>385</v>
      </c>
      <c r="I27" s="331" t="s">
        <v>385</v>
      </c>
      <c r="J27" s="331" t="s">
        <v>385</v>
      </c>
      <c r="K27" s="331" t="s">
        <v>385</v>
      </c>
      <c r="L27" s="331" t="s">
        <v>385</v>
      </c>
      <c r="M27" s="331" t="s">
        <v>385</v>
      </c>
      <c r="N27" s="332" t="s">
        <v>390</v>
      </c>
      <c r="O27" s="332"/>
      <c r="P27" s="332"/>
      <c r="Q27" s="332"/>
      <c r="R27" s="332"/>
      <c r="S27" s="332"/>
      <c r="T27" s="332"/>
      <c r="U27" s="332" t="s">
        <v>391</v>
      </c>
      <c r="V27" s="332"/>
      <c r="W27" s="332"/>
      <c r="X27" s="332"/>
      <c r="Y27" s="332"/>
      <c r="Z27" s="332"/>
      <c r="AA27" s="332"/>
      <c r="AB27" s="332"/>
      <c r="AC27" s="332" t="s">
        <v>391</v>
      </c>
      <c r="AD27" s="332" t="s">
        <v>391</v>
      </c>
      <c r="AE27" s="332" t="s">
        <v>391</v>
      </c>
      <c r="AF27" s="332" t="s">
        <v>391</v>
      </c>
      <c r="AG27" s="332" t="s">
        <v>391</v>
      </c>
      <c r="AH27" s="332" t="s">
        <v>391</v>
      </c>
      <c r="AI27" s="332" t="s">
        <v>391</v>
      </c>
      <c r="AJ27" s="333"/>
      <c r="AK27" s="332" t="s">
        <v>386</v>
      </c>
      <c r="AL27" s="332"/>
      <c r="AN27" s="334" t="s">
        <v>392</v>
      </c>
      <c r="AO27" s="334" t="s">
        <v>392</v>
      </c>
      <c r="AP27" s="334" t="s">
        <v>392</v>
      </c>
      <c r="AQ27" s="334" t="s">
        <v>392</v>
      </c>
      <c r="AR27" s="334" t="s">
        <v>392</v>
      </c>
      <c r="AS27" s="334" t="s">
        <v>392</v>
      </c>
      <c r="AT27" s="334" t="s">
        <v>392</v>
      </c>
      <c r="AU27" s="332"/>
      <c r="AV27" s="332"/>
      <c r="AW27" s="332" t="s">
        <v>73</v>
      </c>
    </row>
    <row r="28" spans="2:49" ht="15.95" customHeight="1">
      <c r="B28" s="335" t="s">
        <v>285</v>
      </c>
      <c r="C28" s="266" t="s">
        <v>285</v>
      </c>
      <c r="D28" s="336"/>
      <c r="E28" s="336"/>
      <c r="F28" s="336"/>
      <c r="G28" s="721">
        <f>Y140</f>
        <v>2385.6930000000002</v>
      </c>
      <c r="H28" s="721">
        <v>2414.1109999999999</v>
      </c>
      <c r="I28" s="721">
        <v>2428.6907322480297</v>
      </c>
      <c r="J28" s="721">
        <v>2190.4247839195932</v>
      </c>
      <c r="K28" s="721">
        <v>1956.1428704727355</v>
      </c>
      <c r="L28" s="721">
        <v>1725.7935106684015</v>
      </c>
      <c r="M28" s="721">
        <v>1499.325819186625</v>
      </c>
      <c r="N28" s="336"/>
      <c r="T28" s="336"/>
      <c r="U28" s="336"/>
      <c r="AB28" s="266">
        <v>1</v>
      </c>
      <c r="AC28" s="336"/>
      <c r="AJ28" s="337">
        <v>1</v>
      </c>
      <c r="AK28" s="336"/>
      <c r="AL28" s="336"/>
      <c r="AN28" s="336"/>
    </row>
    <row r="29" spans="2:49" ht="15.95" customHeight="1">
      <c r="B29" s="338"/>
      <c r="D29" s="268" t="str">
        <f>AGR_Comm!D63</f>
        <v>AGR_LAND</v>
      </c>
      <c r="G29" s="722"/>
      <c r="H29" s="722"/>
      <c r="I29" s="722"/>
      <c r="J29" s="722"/>
      <c r="K29" s="722"/>
      <c r="L29" s="722"/>
      <c r="M29" s="722"/>
      <c r="N29" s="268">
        <v>1</v>
      </c>
      <c r="O29" s="268">
        <v>1</v>
      </c>
      <c r="P29" s="268">
        <v>1</v>
      </c>
      <c r="Q29" s="268">
        <v>1</v>
      </c>
      <c r="R29" s="268">
        <v>1</v>
      </c>
      <c r="S29" s="268">
        <v>1</v>
      </c>
      <c r="T29" s="268">
        <v>1</v>
      </c>
      <c r="AJ29" s="340"/>
    </row>
    <row r="30" spans="2:49" ht="15.95" customHeight="1">
      <c r="B30" s="338"/>
      <c r="D30" s="268" t="str">
        <f>AGR_Comm!D93</f>
        <v>AGR_MACH_WORK</v>
      </c>
      <c r="G30" s="722"/>
      <c r="H30" s="722"/>
      <c r="I30" s="722"/>
      <c r="J30" s="722"/>
      <c r="K30" s="722"/>
      <c r="L30" s="722"/>
      <c r="M30" s="722"/>
      <c r="N30" s="581">
        <f>AGR_SVC!N121</f>
        <v>3.0442495582748193E-3</v>
      </c>
      <c r="O30" s="581">
        <f>AGR_SVC!AP121</f>
        <v>3.0370704803208788E-3</v>
      </c>
      <c r="P30" s="581">
        <f>AGR_SVC!BD121</f>
        <v>2.774105090354717E-3</v>
      </c>
      <c r="Q30" s="581">
        <f>AGR_SVC!BR121</f>
        <v>2.7980839244550037E-3</v>
      </c>
      <c r="R30" s="581">
        <f>AGR_SVC!CF121</f>
        <v>2.8185574612616176E-3</v>
      </c>
      <c r="S30" s="581">
        <f>AGR_SVC!CT121</f>
        <v>2.8338341953678334E-3</v>
      </c>
      <c r="T30" s="581">
        <f>AGR_SVC!AB121</f>
        <v>2.8411037725900937E-3</v>
      </c>
      <c r="AJ30" s="340"/>
    </row>
    <row r="31" spans="2:49" ht="15.95" customHeight="1">
      <c r="B31" s="338"/>
      <c r="D31" s="268" t="str">
        <f>AGR_Comm!D94</f>
        <v>AGR_DRY_SVC</v>
      </c>
      <c r="G31" s="722"/>
      <c r="H31" s="722"/>
      <c r="I31" s="722"/>
      <c r="J31" s="722"/>
      <c r="K31" s="722"/>
      <c r="L31" s="722"/>
      <c r="M31" s="722"/>
      <c r="N31" s="581">
        <f>AGR_SVC!O121</f>
        <v>5.1400710685325706E-4</v>
      </c>
      <c r="O31" s="581">
        <f>AGR_SVC!AQ121</f>
        <v>5.0334748930391739E-4</v>
      </c>
      <c r="P31" s="581">
        <f>AGR_SVC!BE121</f>
        <v>4.9311342230802947E-4</v>
      </c>
      <c r="Q31" s="581">
        <f>AGR_SVC!BS121</f>
        <v>5.8586880991815329E-4</v>
      </c>
      <c r="R31" s="581">
        <f>AGR_SVC!CG121</f>
        <v>7.1862312525020544E-4</v>
      </c>
      <c r="S31" s="581">
        <f>AGR_SVC!CU121</f>
        <v>9.243472098841417E-4</v>
      </c>
      <c r="T31" s="581">
        <f>AGR_SVC!AC121</f>
        <v>1.2859811104647279E-3</v>
      </c>
      <c r="AJ31" s="340"/>
    </row>
    <row r="32" spans="2:49" ht="15.95" customHeight="1">
      <c r="B32" s="338"/>
      <c r="D32" s="268" t="str">
        <f>AGR_Comm!D97</f>
        <v>AGR_OTH_SVC</v>
      </c>
      <c r="G32" s="722"/>
      <c r="H32" s="722"/>
      <c r="I32" s="722"/>
      <c r="J32" s="722"/>
      <c r="K32" s="722"/>
      <c r="L32" s="722"/>
      <c r="M32" s="722"/>
      <c r="N32" s="581">
        <f>AGR_SVC!R121</f>
        <v>1.3836154106056755E-3</v>
      </c>
      <c r="O32" s="581">
        <f>AGR_SVC!AT121</f>
        <v>1.4073740170173392E-3</v>
      </c>
      <c r="P32" s="581">
        <f>AGR_SVC!BH121</f>
        <v>1.4313529882728914E-3</v>
      </c>
      <c r="Q32" s="581">
        <f>AGR_SVC!BV121</f>
        <v>1.6281796710127159E-3</v>
      </c>
      <c r="R32" s="581">
        <f>AGR_SVC!CJ121</f>
        <v>1.8756969734701715E-3</v>
      </c>
      <c r="S32" s="581">
        <f>AGR_SVC!CX121</f>
        <v>2.1960249096147342E-3</v>
      </c>
      <c r="T32" s="581">
        <f>AGR_SVC!AF121</f>
        <v>2.6263345935942655E-3</v>
      </c>
      <c r="AJ32" s="340"/>
    </row>
    <row r="33" spans="2:49" ht="15.95" customHeight="1">
      <c r="B33" s="338"/>
      <c r="D33" s="319"/>
      <c r="E33" s="341" t="s">
        <v>162</v>
      </c>
      <c r="G33" s="722"/>
      <c r="H33" s="722"/>
      <c r="I33" s="722"/>
      <c r="J33" s="722"/>
      <c r="K33" s="722"/>
      <c r="L33" s="722"/>
      <c r="M33" s="722"/>
      <c r="N33" s="582"/>
      <c r="O33" s="582"/>
      <c r="P33" s="582"/>
      <c r="Q33" s="582"/>
      <c r="R33" s="582"/>
      <c r="S33" s="582"/>
      <c r="T33" s="582"/>
      <c r="AC33" s="348">
        <f>Z140/10</f>
        <v>5.2</v>
      </c>
      <c r="AD33" s="348">
        <v>5.59</v>
      </c>
      <c r="AE33" s="348">
        <v>5.6393485540334858</v>
      </c>
      <c r="AF33" s="348">
        <v>5.6891327574024269</v>
      </c>
      <c r="AG33" s="348">
        <v>5.7393564560218087</v>
      </c>
      <c r="AH33" s="348">
        <v>5.7900235297583791</v>
      </c>
      <c r="AI33" s="348">
        <v>5.8411378927303712</v>
      </c>
      <c r="AJ33" s="340"/>
    </row>
    <row r="34" spans="2:49" ht="15.95" customHeight="1">
      <c r="B34" s="338"/>
      <c r="E34" s="272" t="s">
        <v>124</v>
      </c>
      <c r="G34" s="722"/>
      <c r="H34" s="722"/>
      <c r="I34" s="722"/>
      <c r="J34" s="722"/>
      <c r="K34" s="722"/>
      <c r="L34" s="722"/>
      <c r="M34" s="722"/>
      <c r="N34" s="582"/>
      <c r="O34" s="582"/>
      <c r="P34" s="582"/>
      <c r="Q34" s="582"/>
      <c r="R34" s="582"/>
      <c r="S34" s="582"/>
      <c r="T34" s="582"/>
      <c r="U34" s="923">
        <f>AN34*$AU$34</f>
        <v>0.76362000000000008</v>
      </c>
      <c r="V34" s="923">
        <f t="shared" ref="V34:AA34" si="0">AO34*$AU$34</f>
        <v>0.82089150000000011</v>
      </c>
      <c r="W34" s="923">
        <f t="shared" si="0"/>
        <v>0.82813833515981738</v>
      </c>
      <c r="X34" s="923">
        <f t="shared" si="0"/>
        <v>0.83544914542454651</v>
      </c>
      <c r="Y34" s="923">
        <f t="shared" si="0"/>
        <v>0.84282449556680272</v>
      </c>
      <c r="Z34" s="923">
        <f t="shared" si="0"/>
        <v>0.850264955345018</v>
      </c>
      <c r="AA34" s="923">
        <f t="shared" si="0"/>
        <v>0.85777109954745501</v>
      </c>
      <c r="AC34" s="725"/>
      <c r="AD34" s="725"/>
      <c r="AE34" s="725"/>
      <c r="AF34" s="725"/>
      <c r="AG34" s="725"/>
      <c r="AH34" s="725"/>
      <c r="AI34" s="725"/>
      <c r="AJ34" s="340"/>
      <c r="AN34" s="342">
        <f>((AF140)/$AF$139)*Y128*0.33</f>
        <v>1.5272400000000002</v>
      </c>
      <c r="AO34" s="342">
        <f t="shared" ref="AO34:AT34" si="1">((AG140)/AG139)*$Y$128*0.33</f>
        <v>1.6417830000000002</v>
      </c>
      <c r="AP34" s="342">
        <f t="shared" si="1"/>
        <v>1.6562766703196348</v>
      </c>
      <c r="AQ34" s="342">
        <f t="shared" si="1"/>
        <v>1.670898290849093</v>
      </c>
      <c r="AR34" s="342">
        <f t="shared" si="1"/>
        <v>1.6856489911336054</v>
      </c>
      <c r="AS34" s="342">
        <f t="shared" si="1"/>
        <v>1.700529910690036</v>
      </c>
      <c r="AT34" s="342">
        <f t="shared" si="1"/>
        <v>1.71554219909491</v>
      </c>
      <c r="AU34" s="1021">
        <v>0.5</v>
      </c>
      <c r="AW34" s="272">
        <f>U34*G28</f>
        <v>1821.7628886600003</v>
      </c>
    </row>
    <row r="35" spans="2:49" ht="15.95" customHeight="1">
      <c r="B35" s="343"/>
      <c r="C35" s="344"/>
      <c r="D35" s="344"/>
      <c r="E35" s="344"/>
      <c r="F35" s="345" t="s">
        <v>98</v>
      </c>
      <c r="G35" s="723"/>
      <c r="H35" s="722"/>
      <c r="I35" s="722"/>
      <c r="J35" s="722"/>
      <c r="K35" s="722"/>
      <c r="L35" s="722"/>
      <c r="M35" s="722"/>
      <c r="N35" s="583"/>
      <c r="O35" s="583"/>
      <c r="P35" s="583"/>
      <c r="Q35" s="583"/>
      <c r="R35" s="583"/>
      <c r="S35" s="583"/>
      <c r="T35" s="583"/>
      <c r="U35" s="344"/>
      <c r="AB35" s="344"/>
      <c r="AC35" s="726"/>
      <c r="AD35" s="726"/>
      <c r="AE35" s="726"/>
      <c r="AF35" s="726"/>
      <c r="AG35" s="726"/>
      <c r="AH35" s="726"/>
      <c r="AI35" s="726"/>
      <c r="AJ35" s="346"/>
      <c r="AK35" s="345">
        <v>1.4E-3</v>
      </c>
      <c r="AL35" s="345">
        <v>1.4E-3</v>
      </c>
      <c r="AU35" s="1022"/>
    </row>
    <row r="36" spans="2:49" ht="15.95" customHeight="1">
      <c r="B36" s="347" t="s">
        <v>286</v>
      </c>
      <c r="C36" s="266" t="s">
        <v>286</v>
      </c>
      <c r="D36" s="336"/>
      <c r="E36" s="336"/>
      <c r="F36" s="336"/>
      <c r="G36" s="721">
        <f>Y144</f>
        <v>695.31399999999996</v>
      </c>
      <c r="H36" s="721">
        <v>620.62599999999998</v>
      </c>
      <c r="I36" s="721">
        <v>671.35790636676734</v>
      </c>
      <c r="J36" s="721">
        <v>601.65783341846043</v>
      </c>
      <c r="K36" s="721">
        <v>533.67350141039867</v>
      </c>
      <c r="L36" s="721">
        <v>467.37185585348521</v>
      </c>
      <c r="M36" s="721">
        <v>402.72041468099223</v>
      </c>
      <c r="N36" s="584"/>
      <c r="O36" s="584"/>
      <c r="P36" s="584"/>
      <c r="Q36" s="584"/>
      <c r="R36" s="584"/>
      <c r="S36" s="584"/>
      <c r="T36" s="584"/>
      <c r="U36" s="336"/>
      <c r="V36" s="336"/>
      <c r="W36" s="336"/>
      <c r="X36" s="336"/>
      <c r="Y36" s="336"/>
      <c r="Z36" s="336"/>
      <c r="AA36" s="336"/>
      <c r="AB36" s="266">
        <v>1</v>
      </c>
      <c r="AC36" s="727"/>
      <c r="AD36" s="725"/>
      <c r="AE36" s="725"/>
      <c r="AF36" s="725"/>
      <c r="AG36" s="725"/>
      <c r="AH36" s="725"/>
      <c r="AI36" s="725"/>
      <c r="AJ36" s="337">
        <v>1</v>
      </c>
      <c r="AK36" s="336"/>
      <c r="AL36" s="336"/>
      <c r="AU36" s="1022"/>
    </row>
    <row r="37" spans="2:49" ht="15.95" customHeight="1">
      <c r="B37" s="338"/>
      <c r="D37" s="268" t="str">
        <f>AGR_Comm!D63</f>
        <v>AGR_LAND</v>
      </c>
      <c r="G37" s="722"/>
      <c r="H37" s="722"/>
      <c r="I37" s="722"/>
      <c r="J37" s="722"/>
      <c r="K37" s="722"/>
      <c r="L37" s="722"/>
      <c r="M37" s="722"/>
      <c r="N37" s="585">
        <v>1</v>
      </c>
      <c r="O37" s="585">
        <v>1</v>
      </c>
      <c r="P37" s="585">
        <v>1</v>
      </c>
      <c r="Q37" s="585">
        <v>1</v>
      </c>
      <c r="R37" s="585">
        <v>1</v>
      </c>
      <c r="S37" s="585">
        <v>1</v>
      </c>
      <c r="T37" s="585">
        <v>1</v>
      </c>
      <c r="AC37" s="725"/>
      <c r="AD37" s="725"/>
      <c r="AE37" s="725"/>
      <c r="AF37" s="725"/>
      <c r="AG37" s="725"/>
      <c r="AH37" s="725"/>
      <c r="AI37" s="725"/>
      <c r="AJ37" s="340"/>
      <c r="AU37" s="1022"/>
    </row>
    <row r="38" spans="2:49" ht="15.95" customHeight="1">
      <c r="B38" s="338"/>
      <c r="D38" s="268" t="str">
        <f>AGR_Comm!D93</f>
        <v>AGR_MACH_WORK</v>
      </c>
      <c r="G38" s="722"/>
      <c r="H38" s="722"/>
      <c r="I38" s="722"/>
      <c r="J38" s="722"/>
      <c r="K38" s="722"/>
      <c r="L38" s="722"/>
      <c r="M38" s="722"/>
      <c r="N38" s="581">
        <f>AGR_SVC!N122</f>
        <v>3.0442495582748193E-3</v>
      </c>
      <c r="O38" s="581">
        <f>AGR_SVC!AP122</f>
        <v>3.0370704803208788E-3</v>
      </c>
      <c r="P38" s="581">
        <f>AGR_SVC!BD122</f>
        <v>2.774105090354717E-3</v>
      </c>
      <c r="Q38" s="581">
        <f>AGR_SVC!BR122</f>
        <v>2.7980839244550037E-3</v>
      </c>
      <c r="R38" s="581">
        <f>AGR_SVC!CF122</f>
        <v>2.8185574612616176E-3</v>
      </c>
      <c r="S38" s="581">
        <f>AGR_SVC!CT122</f>
        <v>2.8338341953678334E-3</v>
      </c>
      <c r="T38" s="581">
        <f>AGR_SVC!AB122</f>
        <v>2.8411037725900937E-3</v>
      </c>
      <c r="AC38" s="725"/>
      <c r="AD38" s="725"/>
      <c r="AE38" s="725"/>
      <c r="AF38" s="725"/>
      <c r="AG38" s="725"/>
      <c r="AH38" s="725"/>
      <c r="AI38" s="725"/>
      <c r="AJ38" s="340"/>
      <c r="AU38" s="1022"/>
    </row>
    <row r="39" spans="2:49" ht="15.95" customHeight="1">
      <c r="B39" s="338"/>
      <c r="D39" s="268" t="str">
        <f>AGR_Comm!D94</f>
        <v>AGR_DRY_SVC</v>
      </c>
      <c r="G39" s="722"/>
      <c r="H39" s="722"/>
      <c r="I39" s="722"/>
      <c r="J39" s="722"/>
      <c r="K39" s="722"/>
      <c r="L39" s="722"/>
      <c r="M39" s="722"/>
      <c r="N39" s="581">
        <f>AGR_SVC!O122</f>
        <v>4.3690604082526849E-4</v>
      </c>
      <c r="O39" s="581">
        <f>AGR_SVC!AQ122</f>
        <v>4.2784536590832978E-4</v>
      </c>
      <c r="P39" s="581">
        <f>AGR_SVC!BE122</f>
        <v>4.1914640896182503E-4</v>
      </c>
      <c r="Q39" s="581">
        <f>AGR_SVC!BS122</f>
        <v>4.9798848843043031E-4</v>
      </c>
      <c r="R39" s="581">
        <f>AGR_SVC!CG122</f>
        <v>6.108296564626746E-4</v>
      </c>
      <c r="S39" s="581">
        <f>AGR_SVC!CU122</f>
        <v>7.8569512840152042E-4</v>
      </c>
      <c r="T39" s="581">
        <f>AGR_SVC!AC122</f>
        <v>1.0930839438950187E-3</v>
      </c>
      <c r="AC39" s="725"/>
      <c r="AD39" s="725"/>
      <c r="AE39" s="725"/>
      <c r="AF39" s="725"/>
      <c r="AG39" s="725"/>
      <c r="AH39" s="725"/>
      <c r="AI39" s="725"/>
      <c r="AJ39" s="340"/>
      <c r="AU39" s="1022"/>
    </row>
    <row r="40" spans="2:49" ht="15.95" customHeight="1">
      <c r="B40" s="338"/>
      <c r="D40" s="268" t="str">
        <f>AGR_Comm!D97</f>
        <v>AGR_OTH_SVC</v>
      </c>
      <c r="G40" s="722"/>
      <c r="H40" s="722"/>
      <c r="I40" s="722"/>
      <c r="J40" s="722"/>
      <c r="K40" s="722"/>
      <c r="L40" s="722"/>
      <c r="M40" s="722"/>
      <c r="N40" s="581">
        <f>AGR_SVC!R122</f>
        <v>1.3144346400753917E-3</v>
      </c>
      <c r="O40" s="581">
        <f>AGR_SVC!AT122</f>
        <v>1.3370053161664722E-3</v>
      </c>
      <c r="P40" s="581">
        <f>AGR_SVC!BH122</f>
        <v>1.3597853388592467E-3</v>
      </c>
      <c r="Q40" s="581">
        <f>AGR_SVC!BV122</f>
        <v>1.5467706874620799E-3</v>
      </c>
      <c r="R40" s="581">
        <f>AGR_SVC!CJ122</f>
        <v>1.7819121247966629E-3</v>
      </c>
      <c r="S40" s="581">
        <f>AGR_SVC!CX122</f>
        <v>2.0862236641339973E-3</v>
      </c>
      <c r="T40" s="581">
        <f>AGR_SVC!AF122</f>
        <v>2.4950178639145519E-3</v>
      </c>
      <c r="AC40" s="725"/>
      <c r="AD40" s="725"/>
      <c r="AE40" s="725"/>
      <c r="AF40" s="725"/>
      <c r="AG40" s="725"/>
      <c r="AH40" s="725"/>
      <c r="AI40" s="725"/>
      <c r="AJ40" s="340"/>
      <c r="AU40" s="1022"/>
    </row>
    <row r="41" spans="2:49" ht="15.95" customHeight="1">
      <c r="B41" s="338"/>
      <c r="E41" s="341" t="s">
        <v>163</v>
      </c>
      <c r="G41" s="722"/>
      <c r="H41" s="722"/>
      <c r="I41" s="722"/>
      <c r="J41" s="722"/>
      <c r="K41" s="722"/>
      <c r="L41" s="722"/>
      <c r="M41" s="722"/>
      <c r="N41" s="582"/>
      <c r="O41" s="582"/>
      <c r="P41" s="582"/>
      <c r="Q41" s="582"/>
      <c r="R41" s="582"/>
      <c r="S41" s="582"/>
      <c r="T41" s="582"/>
      <c r="AC41" s="348">
        <f>Z144/10</f>
        <v>4.34</v>
      </c>
      <c r="AD41" s="348">
        <v>4.82</v>
      </c>
      <c r="AE41" s="348">
        <v>4.8841756373937679</v>
      </c>
      <c r="AF41" s="348">
        <v>4.9492057379483025</v>
      </c>
      <c r="AG41" s="348">
        <v>5.0151016783685778</v>
      </c>
      <c r="AH41" s="348">
        <v>5.0818749868341087</v>
      </c>
      <c r="AI41" s="348">
        <v>5.1495373450157524</v>
      </c>
      <c r="AJ41" s="340"/>
      <c r="AU41" s="1022"/>
    </row>
    <row r="42" spans="2:49" ht="15.95" customHeight="1">
      <c r="B42" s="338"/>
      <c r="E42" s="272" t="s">
        <v>126</v>
      </c>
      <c r="G42" s="722"/>
      <c r="H42" s="722"/>
      <c r="I42" s="722"/>
      <c r="J42" s="722"/>
      <c r="K42" s="722"/>
      <c r="L42" s="722"/>
      <c r="M42" s="722"/>
      <c r="N42" s="582"/>
      <c r="O42" s="582"/>
      <c r="P42" s="582"/>
      <c r="Q42" s="582"/>
      <c r="R42" s="582"/>
      <c r="S42" s="582"/>
      <c r="T42" s="582"/>
      <c r="U42" s="923">
        <f>AN42*$AU$42</f>
        <v>0.57288000000000006</v>
      </c>
      <c r="V42" s="923">
        <f t="shared" ref="V42:AA42" si="2">AO42*$AU$42</f>
        <v>0.63624000000000003</v>
      </c>
      <c r="W42" s="923">
        <f t="shared" si="2"/>
        <v>0.6447111841359775</v>
      </c>
      <c r="X42" s="923">
        <f t="shared" si="2"/>
        <v>0.65329515740917599</v>
      </c>
      <c r="Y42" s="923">
        <f t="shared" si="2"/>
        <v>0.66199342154465224</v>
      </c>
      <c r="Z42" s="923">
        <f t="shared" si="2"/>
        <v>0.6708074982621024</v>
      </c>
      <c r="AA42" s="923">
        <f t="shared" si="2"/>
        <v>0.67973892954207937</v>
      </c>
      <c r="AC42" s="725"/>
      <c r="AD42" s="725"/>
      <c r="AE42" s="725"/>
      <c r="AF42" s="725"/>
      <c r="AG42" s="725"/>
      <c r="AH42" s="725"/>
      <c r="AI42" s="725"/>
      <c r="AJ42" s="340"/>
      <c r="AN42" s="342">
        <f t="shared" ref="AN42:AT42" si="3">((AF142)/AF141)*$Z$128*0.33</f>
        <v>1.1457600000000001</v>
      </c>
      <c r="AO42" s="342">
        <f t="shared" si="3"/>
        <v>1.2724800000000001</v>
      </c>
      <c r="AP42" s="342">
        <f t="shared" si="3"/>
        <v>1.289422368271955</v>
      </c>
      <c r="AQ42" s="342">
        <f t="shared" si="3"/>
        <v>1.306590314818352</v>
      </c>
      <c r="AR42" s="342">
        <f t="shared" si="3"/>
        <v>1.3239868430893045</v>
      </c>
      <c r="AS42" s="342">
        <f t="shared" si="3"/>
        <v>1.3416149965242048</v>
      </c>
      <c r="AT42" s="342">
        <f t="shared" si="3"/>
        <v>1.3594778590841587</v>
      </c>
      <c r="AU42" s="1021">
        <v>0.5</v>
      </c>
      <c r="AW42" s="272">
        <f>U42*G36</f>
        <v>398.33148432000002</v>
      </c>
    </row>
    <row r="43" spans="2:49" ht="15.95" customHeight="1">
      <c r="B43" s="343"/>
      <c r="C43" s="344"/>
      <c r="D43" s="344"/>
      <c r="E43" s="344"/>
      <c r="F43" s="345" t="s">
        <v>98</v>
      </c>
      <c r="G43" s="723"/>
      <c r="H43" s="722"/>
      <c r="I43" s="722"/>
      <c r="J43" s="722"/>
      <c r="K43" s="722"/>
      <c r="L43" s="722"/>
      <c r="M43" s="722"/>
      <c r="N43" s="583"/>
      <c r="O43" s="583"/>
      <c r="P43" s="583"/>
      <c r="Q43" s="583"/>
      <c r="R43" s="583"/>
      <c r="S43" s="583"/>
      <c r="T43" s="583"/>
      <c r="U43" s="344"/>
      <c r="AB43" s="344"/>
      <c r="AC43" s="726"/>
      <c r="AD43" s="726"/>
      <c r="AE43" s="726"/>
      <c r="AF43" s="726"/>
      <c r="AG43" s="726"/>
      <c r="AH43" s="726"/>
      <c r="AI43" s="726"/>
      <c r="AJ43" s="346"/>
      <c r="AK43" s="345">
        <v>1.4E-3</v>
      </c>
      <c r="AL43" s="345">
        <v>1.4E-3</v>
      </c>
      <c r="AU43" s="1022"/>
    </row>
    <row r="44" spans="2:49" ht="15.95" customHeight="1">
      <c r="B44" s="347" t="s">
        <v>287</v>
      </c>
      <c r="C44" s="266" t="s">
        <v>287</v>
      </c>
      <c r="D44" s="336"/>
      <c r="E44" s="336"/>
      <c r="F44" s="336"/>
      <c r="G44" s="721">
        <f>Y152</f>
        <v>1276.7270000000001</v>
      </c>
      <c r="H44" s="721">
        <v>1341.8119999999999</v>
      </c>
      <c r="I44" s="721">
        <v>1379.8494899338393</v>
      </c>
      <c r="J44" s="721">
        <v>1084.3560131831975</v>
      </c>
      <c r="K44" s="721">
        <v>798.94852710191037</v>
      </c>
      <c r="L44" s="721">
        <v>523.36153020267045</v>
      </c>
      <c r="M44" s="721">
        <v>257.33577835231188</v>
      </c>
      <c r="N44" s="584"/>
      <c r="O44" s="584"/>
      <c r="P44" s="584"/>
      <c r="Q44" s="584"/>
      <c r="R44" s="584"/>
      <c r="S44" s="584"/>
      <c r="T44" s="584"/>
      <c r="U44" s="336"/>
      <c r="V44" s="336"/>
      <c r="W44" s="336"/>
      <c r="X44" s="336"/>
      <c r="Y44" s="336"/>
      <c r="Z44" s="336"/>
      <c r="AA44" s="336"/>
      <c r="AB44" s="266">
        <v>1</v>
      </c>
      <c r="AC44" s="727"/>
      <c r="AD44" s="725"/>
      <c r="AE44" s="725"/>
      <c r="AF44" s="725"/>
      <c r="AG44" s="725"/>
      <c r="AH44" s="725"/>
      <c r="AI44" s="725"/>
      <c r="AJ44" s="337">
        <v>1</v>
      </c>
      <c r="AK44" s="336"/>
      <c r="AL44" s="336"/>
      <c r="AU44" s="1022"/>
    </row>
    <row r="45" spans="2:49" ht="15.95" customHeight="1">
      <c r="B45" s="338"/>
      <c r="D45" s="268" t="str">
        <f>AGR_Comm!D63</f>
        <v>AGR_LAND</v>
      </c>
      <c r="G45" s="722"/>
      <c r="H45" s="722"/>
      <c r="I45" s="722"/>
      <c r="J45" s="722"/>
      <c r="K45" s="722"/>
      <c r="L45" s="722"/>
      <c r="M45" s="722"/>
      <c r="N45" s="585">
        <v>1</v>
      </c>
      <c r="O45" s="585">
        <v>1</v>
      </c>
      <c r="P45" s="585">
        <v>1</v>
      </c>
      <c r="Q45" s="585">
        <v>1</v>
      </c>
      <c r="R45" s="585">
        <v>1</v>
      </c>
      <c r="S45" s="585">
        <v>1</v>
      </c>
      <c r="T45" s="585">
        <v>1</v>
      </c>
      <c r="AC45" s="725"/>
      <c r="AD45" s="725"/>
      <c r="AE45" s="725"/>
      <c r="AF45" s="725"/>
      <c r="AG45" s="725"/>
      <c r="AH45" s="725"/>
      <c r="AI45" s="725"/>
      <c r="AJ45" s="340"/>
      <c r="AU45" s="1022"/>
    </row>
    <row r="46" spans="2:49" ht="15.95" customHeight="1">
      <c r="B46" s="338"/>
      <c r="D46" s="268" t="str">
        <f>AGR_Comm!D93</f>
        <v>AGR_MACH_WORK</v>
      </c>
      <c r="G46" s="722"/>
      <c r="H46" s="722"/>
      <c r="I46" s="722"/>
      <c r="J46" s="722"/>
      <c r="K46" s="722"/>
      <c r="L46" s="722"/>
      <c r="M46" s="722"/>
      <c r="N46" s="581">
        <f>AGR_SVC!N123</f>
        <v>3.8053119478435242E-3</v>
      </c>
      <c r="O46" s="581">
        <f>AGR_SVC!AP123</f>
        <v>3.7963381004010987E-3</v>
      </c>
      <c r="P46" s="581">
        <f>AGR_SVC!BD123</f>
        <v>3.4676313629433964E-3</v>
      </c>
      <c r="Q46" s="581">
        <f>AGR_SVC!BR123</f>
        <v>3.4976049055687546E-3</v>
      </c>
      <c r="R46" s="581">
        <f>AGR_SVC!CF123</f>
        <v>3.5231968265770222E-3</v>
      </c>
      <c r="S46" s="581">
        <f>AGR_SVC!CT123</f>
        <v>3.5422927442097917E-3</v>
      </c>
      <c r="T46" s="581">
        <f>AGR_SVC!AB123</f>
        <v>3.5513797157376171E-3</v>
      </c>
      <c r="AC46" s="725"/>
      <c r="AD46" s="725"/>
      <c r="AE46" s="725"/>
      <c r="AF46" s="725"/>
      <c r="AG46" s="725"/>
      <c r="AH46" s="725"/>
      <c r="AI46" s="725"/>
      <c r="AJ46" s="340"/>
      <c r="AU46" s="1022"/>
    </row>
    <row r="47" spans="2:49" ht="15.95" customHeight="1">
      <c r="B47" s="338"/>
      <c r="D47" s="268" t="str">
        <f>AGR_Comm!D94</f>
        <v>AGR_DRY_SVC</v>
      </c>
      <c r="G47" s="722"/>
      <c r="H47" s="722"/>
      <c r="I47" s="722"/>
      <c r="J47" s="722"/>
      <c r="K47" s="722"/>
      <c r="L47" s="722"/>
      <c r="M47" s="722"/>
      <c r="N47" s="581">
        <f>AGR_SVC!O123</f>
        <v>2.5700355342662853E-3</v>
      </c>
      <c r="O47" s="581">
        <f>AGR_SVC!AQ123</f>
        <v>2.5167374465195867E-3</v>
      </c>
      <c r="P47" s="581">
        <f>AGR_SVC!BE123</f>
        <v>2.4655671115401474E-3</v>
      </c>
      <c r="Q47" s="581">
        <f>AGR_SVC!BS123</f>
        <v>2.9293440495907663E-3</v>
      </c>
      <c r="R47" s="581">
        <f>AGR_SVC!CG123</f>
        <v>3.5931156262510272E-3</v>
      </c>
      <c r="S47" s="581">
        <f>AGR_SVC!CU123</f>
        <v>4.6217360494207084E-3</v>
      </c>
      <c r="T47" s="581">
        <f>AGR_SVC!AC123</f>
        <v>6.4299055523236396E-3</v>
      </c>
      <c r="AC47" s="725"/>
      <c r="AD47" s="725"/>
      <c r="AE47" s="725"/>
      <c r="AF47" s="725"/>
      <c r="AG47" s="725"/>
      <c r="AH47" s="725"/>
      <c r="AI47" s="725"/>
      <c r="AJ47" s="340"/>
      <c r="AU47" s="1022"/>
    </row>
    <row r="48" spans="2:49" ht="15.95" customHeight="1">
      <c r="B48" s="338"/>
      <c r="D48" s="268" t="str">
        <f>AGR_Comm!D97</f>
        <v>AGR_OTH_SVC</v>
      </c>
      <c r="G48" s="722"/>
      <c r="H48" s="722"/>
      <c r="I48" s="722"/>
      <c r="J48" s="722"/>
      <c r="K48" s="722"/>
      <c r="L48" s="722"/>
      <c r="M48" s="722"/>
      <c r="N48" s="581">
        <f>AGR_SVC!R123</f>
        <v>1.7987000337873781E-3</v>
      </c>
      <c r="O48" s="581">
        <f>AGR_SVC!AT123</f>
        <v>1.8295862221225411E-3</v>
      </c>
      <c r="P48" s="581">
        <f>AGR_SVC!BH123</f>
        <v>1.8607588847547587E-3</v>
      </c>
      <c r="Q48" s="581">
        <f>AGR_SVC!BV123</f>
        <v>2.1166335723165307E-3</v>
      </c>
      <c r="R48" s="581">
        <f>AGR_SVC!CJ123</f>
        <v>2.4384060655112229E-3</v>
      </c>
      <c r="S48" s="581">
        <f>AGR_SVC!CX123</f>
        <v>2.8548323824991546E-3</v>
      </c>
      <c r="T48" s="581">
        <f>AGR_SVC!AF123</f>
        <v>3.4142349716725453E-3</v>
      </c>
      <c r="AC48" s="725"/>
      <c r="AD48" s="725"/>
      <c r="AE48" s="725"/>
      <c r="AF48" s="725"/>
      <c r="AG48" s="725"/>
      <c r="AH48" s="725"/>
      <c r="AI48" s="725"/>
      <c r="AJ48" s="340"/>
      <c r="AU48" s="1022"/>
    </row>
    <row r="49" spans="2:49" ht="15.95" customHeight="1">
      <c r="B49" s="338"/>
      <c r="E49" s="341" t="s">
        <v>164</v>
      </c>
      <c r="G49" s="722"/>
      <c r="H49" s="722"/>
      <c r="I49" s="722"/>
      <c r="J49" s="722"/>
      <c r="K49" s="722"/>
      <c r="L49" s="722"/>
      <c r="M49" s="722"/>
      <c r="AC49" s="348">
        <f>Z152/10</f>
        <v>7.3599999999999994</v>
      </c>
      <c r="AD49" s="348">
        <v>7.85</v>
      </c>
      <c r="AE49" s="348">
        <v>7.9923165467625896</v>
      </c>
      <c r="AF49" s="348">
        <v>8.1372132208477819</v>
      </c>
      <c r="AG49" s="348">
        <v>8.284736798664591</v>
      </c>
      <c r="AH49" s="348">
        <v>8.434934904654769</v>
      </c>
      <c r="AI49" s="348">
        <v>8.5878560266672146</v>
      </c>
      <c r="AJ49" s="340"/>
      <c r="AU49" s="1022"/>
    </row>
    <row r="50" spans="2:49" ht="15.95" customHeight="1">
      <c r="B50" s="338"/>
      <c r="E50" s="272" t="s">
        <v>127</v>
      </c>
      <c r="G50" s="722"/>
      <c r="H50" s="722"/>
      <c r="I50" s="722"/>
      <c r="J50" s="722"/>
      <c r="K50" s="722"/>
      <c r="L50" s="722"/>
      <c r="M50" s="722"/>
      <c r="U50" s="923">
        <f>AN50*$AU$50</f>
        <v>1.5787199999999997</v>
      </c>
      <c r="V50" s="923">
        <f t="shared" ref="V50:AA50" si="4">AO50*$AU$50</f>
        <v>1.6838250000000001</v>
      </c>
      <c r="W50" s="923">
        <f t="shared" si="4"/>
        <v>1.7143518992805755</v>
      </c>
      <c r="X50" s="923">
        <f t="shared" si="4"/>
        <v>1.7454322358718493</v>
      </c>
      <c r="Y50" s="923">
        <f t="shared" si="4"/>
        <v>1.7770760433135551</v>
      </c>
      <c r="Z50" s="923">
        <f t="shared" si="4"/>
        <v>1.8092935370484482</v>
      </c>
      <c r="AA50" s="923">
        <f t="shared" si="4"/>
        <v>1.8420951177201177</v>
      </c>
      <c r="AC50" s="728" t="s">
        <v>393</v>
      </c>
      <c r="AD50" s="728" t="s">
        <v>393</v>
      </c>
      <c r="AE50" s="728" t="s">
        <v>393</v>
      </c>
      <c r="AF50" s="728" t="s">
        <v>393</v>
      </c>
      <c r="AG50" s="728" t="s">
        <v>393</v>
      </c>
      <c r="AH50" s="728" t="s">
        <v>393</v>
      </c>
      <c r="AI50" s="728" t="s">
        <v>393</v>
      </c>
      <c r="AJ50" s="340"/>
      <c r="AN50" s="342">
        <f t="shared" ref="AN50:AT50" si="5">((AF144)/AF143)*$AA$128*0.33</f>
        <v>3.1574399999999994</v>
      </c>
      <c r="AO50" s="342">
        <f t="shared" si="5"/>
        <v>3.3676500000000003</v>
      </c>
      <c r="AP50" s="342">
        <f t="shared" si="5"/>
        <v>3.428703798561151</v>
      </c>
      <c r="AQ50" s="342">
        <f t="shared" si="5"/>
        <v>3.4908644717436985</v>
      </c>
      <c r="AR50" s="342">
        <f t="shared" si="5"/>
        <v>3.5541520866271101</v>
      </c>
      <c r="AS50" s="342">
        <f t="shared" si="5"/>
        <v>3.6185870740968964</v>
      </c>
      <c r="AT50" s="342">
        <f t="shared" si="5"/>
        <v>3.6841902354402354</v>
      </c>
      <c r="AU50" s="1021">
        <v>0.5</v>
      </c>
      <c r="AW50" s="272">
        <f>U50*G44</f>
        <v>2015.5944494399998</v>
      </c>
    </row>
    <row r="51" spans="2:49" ht="15.95" customHeight="1">
      <c r="B51" s="343"/>
      <c r="C51" s="344"/>
      <c r="D51" s="344"/>
      <c r="E51" s="344"/>
      <c r="F51" s="345" t="s">
        <v>98</v>
      </c>
      <c r="G51" s="723"/>
      <c r="H51" s="722"/>
      <c r="I51" s="722"/>
      <c r="J51" s="722"/>
      <c r="K51" s="722"/>
      <c r="L51" s="722"/>
      <c r="M51" s="722"/>
      <c r="N51" s="344"/>
      <c r="O51" s="344"/>
      <c r="P51" s="344"/>
      <c r="Q51" s="344"/>
      <c r="R51" s="344"/>
      <c r="S51" s="344"/>
      <c r="T51" s="344"/>
      <c r="U51" s="344"/>
      <c r="V51" s="344"/>
      <c r="W51" s="344"/>
      <c r="X51" s="344"/>
      <c r="Y51" s="344"/>
      <c r="Z51" s="344"/>
      <c r="AA51" s="344"/>
      <c r="AB51" s="344"/>
      <c r="AC51" s="726"/>
      <c r="AD51" s="726"/>
      <c r="AE51" s="726"/>
      <c r="AF51" s="726"/>
      <c r="AG51" s="726"/>
      <c r="AH51" s="726"/>
      <c r="AI51" s="726"/>
      <c r="AJ51" s="346"/>
      <c r="AK51" s="345">
        <v>2.3700000000000001E-3</v>
      </c>
      <c r="AL51" s="345">
        <v>2.3700000000000001E-3</v>
      </c>
      <c r="AU51" s="1022"/>
    </row>
    <row r="52" spans="2:49" ht="15.95" customHeight="1">
      <c r="B52" s="350" t="s">
        <v>288</v>
      </c>
      <c r="C52" s="351" t="s">
        <v>288</v>
      </c>
      <c r="G52" s="724">
        <f>Y150</f>
        <v>252.4</v>
      </c>
      <c r="H52" s="721">
        <v>197.244</v>
      </c>
      <c r="I52" s="721">
        <v>165.41704109737631</v>
      </c>
      <c r="J52" s="721">
        <v>263.45817585049758</v>
      </c>
      <c r="K52" s="721">
        <v>360.11514856258532</v>
      </c>
      <c r="L52" s="721">
        <v>455.40255794324582</v>
      </c>
      <c r="M52" s="721">
        <v>549.3348659722509</v>
      </c>
      <c r="AB52" s="351">
        <v>1</v>
      </c>
      <c r="AC52" s="725"/>
      <c r="AD52" s="725"/>
      <c r="AE52" s="725"/>
      <c r="AF52" s="725"/>
      <c r="AG52" s="725"/>
      <c r="AH52" s="725"/>
      <c r="AI52" s="725"/>
      <c r="AJ52" s="352">
        <v>1</v>
      </c>
      <c r="AU52" s="1022"/>
    </row>
    <row r="53" spans="2:49" ht="15.95" customHeight="1">
      <c r="B53" s="338"/>
      <c r="D53" s="268" t="str">
        <f>AGR_Comm!D63</f>
        <v>AGR_LAND</v>
      </c>
      <c r="G53" s="722"/>
      <c r="H53" s="722"/>
      <c r="I53" s="722"/>
      <c r="J53" s="722"/>
      <c r="K53" s="722"/>
      <c r="L53" s="722"/>
      <c r="M53" s="722"/>
      <c r="N53" s="268">
        <v>1</v>
      </c>
      <c r="O53" s="268">
        <v>1</v>
      </c>
      <c r="P53" s="268">
        <v>1</v>
      </c>
      <c r="Q53" s="268">
        <v>1</v>
      </c>
      <c r="R53" s="268">
        <v>1</v>
      </c>
      <c r="S53" s="268">
        <v>1</v>
      </c>
      <c r="T53" s="268">
        <v>1</v>
      </c>
      <c r="AC53" s="725"/>
      <c r="AD53" s="725"/>
      <c r="AE53" s="725"/>
      <c r="AF53" s="725"/>
      <c r="AG53" s="725"/>
      <c r="AH53" s="725"/>
      <c r="AI53" s="725"/>
      <c r="AJ53" s="340"/>
      <c r="AU53" s="1022"/>
    </row>
    <row r="54" spans="2:49" ht="15.95" customHeight="1">
      <c r="B54" s="338"/>
      <c r="D54" s="268" t="str">
        <f>AGR_Comm!D93</f>
        <v>AGR_MACH_WORK</v>
      </c>
      <c r="G54" s="722"/>
      <c r="H54" s="722"/>
      <c r="I54" s="722"/>
      <c r="J54" s="722"/>
      <c r="K54" s="722"/>
      <c r="L54" s="722"/>
      <c r="M54" s="722"/>
      <c r="N54" s="581">
        <f>AGR_SVC!N124</f>
        <v>2.5876121245335965E-3</v>
      </c>
      <c r="O54" s="581">
        <f>AGR_SVC!AP124</f>
        <v>2.581509908272747E-3</v>
      </c>
      <c r="P54" s="581">
        <f>AGR_SVC!BD124</f>
        <v>2.3579893268015095E-3</v>
      </c>
      <c r="Q54" s="581">
        <f>AGR_SVC!BR124</f>
        <v>2.3783713357867532E-3</v>
      </c>
      <c r="R54" s="581">
        <f>AGR_SVC!CF124</f>
        <v>2.3957738420723748E-3</v>
      </c>
      <c r="S54" s="581">
        <f>AGR_SVC!CT124</f>
        <v>2.4087590660626583E-3</v>
      </c>
      <c r="T54" s="581">
        <f>AGR_SVC!AB124</f>
        <v>2.4149382067015796E-3</v>
      </c>
      <c r="AC54" s="725"/>
      <c r="AD54" s="725"/>
      <c r="AE54" s="725"/>
      <c r="AF54" s="725"/>
      <c r="AG54" s="725"/>
      <c r="AH54" s="725"/>
      <c r="AI54" s="725"/>
      <c r="AJ54" s="340"/>
      <c r="AU54" s="1022"/>
    </row>
    <row r="55" spans="2:49" ht="15.95" customHeight="1">
      <c r="B55" s="338"/>
      <c r="D55" s="268" t="str">
        <f>AGR_Comm!D94</f>
        <v>AGR_DRY_SVC</v>
      </c>
      <c r="G55" s="722"/>
      <c r="H55" s="722"/>
      <c r="I55" s="722"/>
      <c r="J55" s="722"/>
      <c r="K55" s="722"/>
      <c r="L55" s="722"/>
      <c r="M55" s="722"/>
      <c r="N55" s="581">
        <f>AGR_SVC!O124</f>
        <v>2.3130319808396568E-4</v>
      </c>
      <c r="O55" s="581">
        <f>AGR_SVC!AQ124</f>
        <v>2.2650637018676282E-4</v>
      </c>
      <c r="P55" s="581">
        <f>AGR_SVC!BE124</f>
        <v>2.2190104003861326E-4</v>
      </c>
      <c r="Q55" s="581">
        <f>AGR_SVC!BS124</f>
        <v>2.6364096446316899E-4</v>
      </c>
      <c r="R55" s="581">
        <f>AGR_SVC!CG124</f>
        <v>3.2338040636259246E-4</v>
      </c>
      <c r="S55" s="581">
        <f>AGR_SVC!CU124</f>
        <v>4.1595624444786379E-4</v>
      </c>
      <c r="T55" s="581">
        <f>AGR_SVC!AC124</f>
        <v>5.7869149970912759E-4</v>
      </c>
      <c r="AC55" s="725"/>
      <c r="AD55" s="725"/>
      <c r="AE55" s="725"/>
      <c r="AF55" s="725"/>
      <c r="AG55" s="725"/>
      <c r="AH55" s="725"/>
      <c r="AI55" s="725"/>
      <c r="AJ55" s="340"/>
      <c r="AU55" s="1022"/>
    </row>
    <row r="56" spans="2:49" ht="15.95" customHeight="1">
      <c r="B56" s="338"/>
      <c r="D56" s="268" t="str">
        <f>AGR_Comm!D97</f>
        <v>AGR_OTH_SVC</v>
      </c>
      <c r="G56" s="722"/>
      <c r="H56" s="722"/>
      <c r="I56" s="722"/>
      <c r="J56" s="722"/>
      <c r="K56" s="722"/>
      <c r="L56" s="722"/>
      <c r="M56" s="722"/>
      <c r="N56" s="581">
        <f>AGR_SVC!R124</f>
        <v>1.1068923284845405E-3</v>
      </c>
      <c r="O56" s="581">
        <f>AGR_SVC!AT124</f>
        <v>1.1258992136138715E-3</v>
      </c>
      <c r="P56" s="581">
        <f>AGR_SVC!BH124</f>
        <v>1.145082390618313E-3</v>
      </c>
      <c r="Q56" s="581">
        <f>AGR_SVC!BV124</f>
        <v>1.3025437368101727E-3</v>
      </c>
      <c r="R56" s="581">
        <f>AGR_SVC!CJ124</f>
        <v>1.5005575787761373E-3</v>
      </c>
      <c r="S56" s="581">
        <f>AGR_SVC!CX124</f>
        <v>1.7568199276917875E-3</v>
      </c>
      <c r="T56" s="581">
        <f>AGR_SVC!AF124</f>
        <v>2.1010676748754124E-3</v>
      </c>
      <c r="AC56" s="725"/>
      <c r="AD56" s="725"/>
      <c r="AE56" s="725"/>
      <c r="AF56" s="725"/>
      <c r="AG56" s="725"/>
      <c r="AH56" s="725"/>
      <c r="AI56" s="725"/>
      <c r="AJ56" s="340"/>
      <c r="AU56" s="1022"/>
    </row>
    <row r="57" spans="2:49" ht="15.95" customHeight="1">
      <c r="B57" s="338"/>
      <c r="E57" s="341" t="s">
        <v>165</v>
      </c>
      <c r="G57" s="722"/>
      <c r="H57" s="722"/>
      <c r="I57" s="722"/>
      <c r="J57" s="722"/>
      <c r="K57" s="722"/>
      <c r="L57" s="722"/>
      <c r="M57" s="722"/>
      <c r="AC57" s="348">
        <f>Z150/10</f>
        <v>3.3</v>
      </c>
      <c r="AD57" s="348">
        <v>3.6</v>
      </c>
      <c r="AE57" s="348">
        <v>3.6254416961130742</v>
      </c>
      <c r="AF57" s="348">
        <v>3.6510631921986789</v>
      </c>
      <c r="AG57" s="348">
        <v>3.6768657589279981</v>
      </c>
      <c r="AH57" s="348">
        <v>3.7028506759522242</v>
      </c>
      <c r="AI57" s="348">
        <v>3.7290192319660207</v>
      </c>
      <c r="AJ57" s="340"/>
      <c r="AU57" s="1022"/>
    </row>
    <row r="58" spans="2:49" ht="15.95" customHeight="1">
      <c r="B58" s="338"/>
      <c r="E58" s="272" t="s">
        <v>128</v>
      </c>
      <c r="G58" s="722"/>
      <c r="H58" s="722"/>
      <c r="I58" s="722"/>
      <c r="J58" s="722"/>
      <c r="K58" s="722"/>
      <c r="L58" s="722"/>
      <c r="M58" s="722"/>
      <c r="U58" s="923">
        <f>AN58*$AU$58</f>
        <v>0.49004999999999999</v>
      </c>
      <c r="V58" s="923">
        <f t="shared" ref="V58:AA58" si="6">AO58*$AU$58</f>
        <v>0.53460000000000008</v>
      </c>
      <c r="W58" s="923">
        <f t="shared" si="6"/>
        <v>0.53837809187279151</v>
      </c>
      <c r="X58" s="923">
        <f t="shared" si="6"/>
        <v>0.54218288404150383</v>
      </c>
      <c r="Y58" s="923">
        <f t="shared" si="6"/>
        <v>0.54601456520080771</v>
      </c>
      <c r="Z58" s="923">
        <f t="shared" si="6"/>
        <v>0.54987332537890532</v>
      </c>
      <c r="AA58" s="923">
        <f t="shared" si="6"/>
        <v>0.55375935594695402</v>
      </c>
      <c r="AC58" s="725"/>
      <c r="AD58" s="725"/>
      <c r="AE58" s="725"/>
      <c r="AF58" s="725"/>
      <c r="AG58" s="725"/>
      <c r="AH58" s="725"/>
      <c r="AI58" s="725"/>
      <c r="AJ58" s="340"/>
      <c r="AN58" s="342">
        <f t="shared" ref="AN58:AT58" si="7">((AF146)/AF145)*$AB$128*0.33</f>
        <v>0.98009999999999997</v>
      </c>
      <c r="AO58" s="342">
        <f t="shared" si="7"/>
        <v>1.0692000000000002</v>
      </c>
      <c r="AP58" s="342">
        <f t="shared" si="7"/>
        <v>1.076756183745583</v>
      </c>
      <c r="AQ58" s="342">
        <f t="shared" si="7"/>
        <v>1.0843657680830077</v>
      </c>
      <c r="AR58" s="342">
        <f t="shared" si="7"/>
        <v>1.0920291304016154</v>
      </c>
      <c r="AS58" s="342">
        <f t="shared" si="7"/>
        <v>1.0997466507578106</v>
      </c>
      <c r="AT58" s="342">
        <f t="shared" si="7"/>
        <v>1.107518711893908</v>
      </c>
      <c r="AU58" s="1021">
        <v>0.5</v>
      </c>
      <c r="AW58" s="272">
        <f>U58*G52</f>
        <v>123.68862</v>
      </c>
    </row>
    <row r="59" spans="2:49" ht="15.95" customHeight="1">
      <c r="B59" s="343"/>
      <c r="C59" s="344"/>
      <c r="D59" s="344"/>
      <c r="E59" s="344"/>
      <c r="F59" s="345" t="s">
        <v>98</v>
      </c>
      <c r="G59" s="723"/>
      <c r="H59" s="722"/>
      <c r="I59" s="722"/>
      <c r="J59" s="722"/>
      <c r="K59" s="722"/>
      <c r="L59" s="722"/>
      <c r="M59" s="722"/>
      <c r="N59" s="344"/>
      <c r="O59" s="344"/>
      <c r="P59" s="344"/>
      <c r="Q59" s="344"/>
      <c r="R59" s="344"/>
      <c r="S59" s="344"/>
      <c r="T59" s="344"/>
      <c r="U59" s="344"/>
      <c r="V59" s="344"/>
      <c r="W59" s="344"/>
      <c r="X59" s="344"/>
      <c r="Y59" s="344"/>
      <c r="Z59" s="344"/>
      <c r="AA59" s="344"/>
      <c r="AB59" s="344"/>
      <c r="AC59" s="726"/>
      <c r="AD59" s="726"/>
      <c r="AE59" s="726"/>
      <c r="AF59" s="726"/>
      <c r="AG59" s="726"/>
      <c r="AH59" s="726"/>
      <c r="AI59" s="726"/>
      <c r="AJ59" s="346"/>
      <c r="AK59" s="353">
        <v>2.4316666669999998E-3</v>
      </c>
      <c r="AL59" s="353">
        <v>2.4316666669999998E-3</v>
      </c>
      <c r="AU59" s="1022"/>
    </row>
    <row r="60" spans="2:49" ht="15.95" customHeight="1">
      <c r="B60" s="347" t="s">
        <v>289</v>
      </c>
      <c r="C60" s="266" t="s">
        <v>289</v>
      </c>
      <c r="D60" s="336"/>
      <c r="E60" s="336"/>
      <c r="F60" s="336"/>
      <c r="G60" s="721">
        <f>Y148</f>
        <v>1147.0340000000001</v>
      </c>
      <c r="H60" s="721">
        <v>1115.5039999999999</v>
      </c>
      <c r="I60" s="721">
        <v>1036.0261588958863</v>
      </c>
      <c r="J60" s="721">
        <v>966.49993336724128</v>
      </c>
      <c r="K60" s="721">
        <v>897.9168058806622</v>
      </c>
      <c r="L60" s="721">
        <v>830.26683131141351</v>
      </c>
      <c r="M60" s="721">
        <v>763.54015863102313</v>
      </c>
      <c r="N60" s="336"/>
      <c r="O60" s="336"/>
      <c r="P60" s="336"/>
      <c r="Q60" s="336"/>
      <c r="R60" s="336"/>
      <c r="S60" s="336"/>
      <c r="T60" s="336"/>
      <c r="U60" s="336"/>
      <c r="V60" s="336"/>
      <c r="W60" s="336"/>
      <c r="X60" s="336"/>
      <c r="Y60" s="336"/>
      <c r="Z60" s="336"/>
      <c r="AA60" s="336"/>
      <c r="AB60" s="266">
        <v>1</v>
      </c>
      <c r="AC60" s="727"/>
      <c r="AD60" s="725"/>
      <c r="AE60" s="725"/>
      <c r="AF60" s="725"/>
      <c r="AG60" s="725"/>
      <c r="AH60" s="725"/>
      <c r="AI60" s="725"/>
      <c r="AJ60" s="337">
        <v>1</v>
      </c>
      <c r="AK60" s="336"/>
      <c r="AL60" s="336"/>
      <c r="AU60" s="1022"/>
    </row>
    <row r="61" spans="2:49" ht="15.95" customHeight="1">
      <c r="B61" s="338"/>
      <c r="D61" s="268" t="str">
        <f>AGR_Comm!D63</f>
        <v>AGR_LAND</v>
      </c>
      <c r="G61" s="722"/>
      <c r="H61" s="722"/>
      <c r="I61" s="722"/>
      <c r="J61" s="722"/>
      <c r="K61" s="722"/>
      <c r="L61" s="722"/>
      <c r="M61" s="722"/>
      <c r="N61" s="268">
        <v>1</v>
      </c>
      <c r="O61" s="268">
        <v>1</v>
      </c>
      <c r="P61" s="268">
        <v>1</v>
      </c>
      <c r="Q61" s="268">
        <v>1</v>
      </c>
      <c r="R61" s="268">
        <v>1</v>
      </c>
      <c r="S61" s="268">
        <v>1</v>
      </c>
      <c r="T61" s="268">
        <v>1</v>
      </c>
      <c r="AC61" s="725"/>
      <c r="AD61" s="725"/>
      <c r="AE61" s="725"/>
      <c r="AF61" s="725"/>
      <c r="AG61" s="725"/>
      <c r="AH61" s="725"/>
      <c r="AI61" s="725"/>
      <c r="AJ61" s="340"/>
      <c r="AU61" s="1022"/>
    </row>
    <row r="62" spans="2:49" ht="15.95" customHeight="1">
      <c r="B62" s="338"/>
      <c r="D62" s="268" t="str">
        <f>AGR_Comm!D93</f>
        <v>AGR_MACH_WORK</v>
      </c>
      <c r="G62" s="722"/>
      <c r="H62" s="722"/>
      <c r="I62" s="722"/>
      <c r="J62" s="722"/>
      <c r="K62" s="722"/>
      <c r="L62" s="722"/>
      <c r="M62" s="722"/>
      <c r="N62" s="581">
        <f>AGR_SVC!N125</f>
        <v>2.7398246024473373E-3</v>
      </c>
      <c r="O62" s="581">
        <f>AGR_SVC!AP125</f>
        <v>2.7333634322887911E-3</v>
      </c>
      <c r="P62" s="581">
        <f>AGR_SVC!BD125</f>
        <v>2.4966945813192452E-3</v>
      </c>
      <c r="Q62" s="581">
        <f>AGR_SVC!BR125</f>
        <v>2.5182755320095032E-3</v>
      </c>
      <c r="R62" s="581">
        <f>AGR_SVC!CF125</f>
        <v>2.5367017151354558E-3</v>
      </c>
      <c r="S62" s="581">
        <f>AGR_SVC!CT125</f>
        <v>2.5504507758310501E-3</v>
      </c>
      <c r="T62" s="581">
        <f>AGR_SVC!AB125</f>
        <v>2.5569933953310843E-3</v>
      </c>
      <c r="AC62" s="725"/>
      <c r="AD62" s="725"/>
      <c r="AE62" s="725"/>
      <c r="AF62" s="725"/>
      <c r="AG62" s="725"/>
      <c r="AH62" s="725"/>
      <c r="AI62" s="725"/>
      <c r="AJ62" s="340"/>
      <c r="AU62" s="1022"/>
    </row>
    <row r="63" spans="2:49" ht="15.95" customHeight="1">
      <c r="B63" s="338"/>
      <c r="D63" s="268" t="str">
        <f>AGR_Comm!D94</f>
        <v>AGR_DRY_SVC</v>
      </c>
      <c r="G63" s="722"/>
      <c r="H63" s="722"/>
      <c r="I63" s="722"/>
      <c r="J63" s="722"/>
      <c r="K63" s="722"/>
      <c r="L63" s="722"/>
      <c r="M63" s="722"/>
      <c r="N63" s="581">
        <f>AGR_SVC!O125</f>
        <v>3.5980497479727992E-4</v>
      </c>
      <c r="O63" s="581">
        <f>AGR_SVC!AQ125</f>
        <v>3.5234324251274217E-4</v>
      </c>
      <c r="P63" s="581">
        <f>AGR_SVC!BE125</f>
        <v>3.451793956156206E-4</v>
      </c>
      <c r="Q63" s="581">
        <f>AGR_SVC!BS125</f>
        <v>4.1010816694270728E-4</v>
      </c>
      <c r="R63" s="581">
        <f>AGR_SVC!CG125</f>
        <v>5.0303618767514376E-4</v>
      </c>
      <c r="S63" s="581">
        <f>AGR_SVC!CU125</f>
        <v>6.4704304691889914E-4</v>
      </c>
      <c r="T63" s="581">
        <f>AGR_SVC!AC125</f>
        <v>9.0018677732530946E-4</v>
      </c>
      <c r="AC63" s="725"/>
      <c r="AD63" s="725"/>
      <c r="AE63" s="725"/>
      <c r="AF63" s="725"/>
      <c r="AG63" s="725"/>
      <c r="AH63" s="725"/>
      <c r="AI63" s="725"/>
      <c r="AJ63" s="340"/>
      <c r="AU63" s="1022"/>
    </row>
    <row r="64" spans="2:49" ht="15.95" customHeight="1">
      <c r="B64" s="338"/>
      <c r="D64" s="268" t="str">
        <f>AGR_Comm!D97</f>
        <v>AGR_OTH_SVC</v>
      </c>
      <c r="G64" s="722"/>
      <c r="H64" s="722"/>
      <c r="I64" s="722"/>
      <c r="J64" s="722"/>
      <c r="K64" s="722"/>
      <c r="L64" s="722"/>
      <c r="M64" s="722"/>
      <c r="N64" s="581">
        <f>AGR_SVC!R125</f>
        <v>1.245253869545108E-3</v>
      </c>
      <c r="O64" s="581">
        <f>AGR_SVC!AT125</f>
        <v>1.2666366153156053E-3</v>
      </c>
      <c r="P64" s="581">
        <f>AGR_SVC!BH125</f>
        <v>1.2882176894456023E-3</v>
      </c>
      <c r="Q64" s="581">
        <f>AGR_SVC!BV125</f>
        <v>1.4653617039114444E-3</v>
      </c>
      <c r="R64" s="581">
        <f>AGR_SVC!CJ125</f>
        <v>1.6881272761231543E-3</v>
      </c>
      <c r="S64" s="581">
        <f>AGR_SVC!CX125</f>
        <v>1.9764224186532607E-3</v>
      </c>
      <c r="T64" s="581">
        <f>AGR_SVC!AF125</f>
        <v>2.3637011342348391E-3</v>
      </c>
      <c r="AC64" s="725"/>
      <c r="AD64" s="725"/>
      <c r="AE64" s="725"/>
      <c r="AF64" s="725"/>
      <c r="AG64" s="725"/>
      <c r="AH64" s="725"/>
      <c r="AI64" s="725"/>
      <c r="AJ64" s="340"/>
      <c r="AU64" s="1022"/>
    </row>
    <row r="65" spans="2:49" ht="15.95" customHeight="1">
      <c r="B65" s="338"/>
      <c r="E65" s="341" t="s">
        <v>166</v>
      </c>
      <c r="G65" s="722"/>
      <c r="H65" s="722"/>
      <c r="I65" s="722"/>
      <c r="J65" s="722"/>
      <c r="K65" s="722"/>
      <c r="L65" s="722"/>
      <c r="M65" s="722"/>
      <c r="AC65" s="348">
        <f>Z148/10</f>
        <v>4.4000000000000004</v>
      </c>
      <c r="AD65" s="348">
        <v>4.7200000000000006</v>
      </c>
      <c r="AE65" s="348">
        <v>4.7540618556701038</v>
      </c>
      <c r="AF65" s="348">
        <v>4.788369518546074</v>
      </c>
      <c r="AG65" s="348">
        <v>4.8229247624943445</v>
      </c>
      <c r="AH65" s="348">
        <v>4.8577293741824477</v>
      </c>
      <c r="AI65" s="348">
        <v>4.8927851531713928</v>
      </c>
      <c r="AJ65" s="340"/>
      <c r="AU65" s="1022"/>
    </row>
    <row r="66" spans="2:49" ht="15.95" customHeight="1">
      <c r="B66" s="338"/>
      <c r="E66" s="272" t="s">
        <v>129</v>
      </c>
      <c r="G66" s="722"/>
      <c r="H66" s="722"/>
      <c r="I66" s="722"/>
      <c r="J66" s="722"/>
      <c r="K66" s="722"/>
      <c r="L66" s="722"/>
      <c r="M66" s="722"/>
      <c r="U66" s="923">
        <f>AN66*$AU$66</f>
        <v>0.7986000000000002</v>
      </c>
      <c r="V66" s="923">
        <f t="shared" ref="V66:AA66" si="8">AO66*$AU$66</f>
        <v>0.85668000000000022</v>
      </c>
      <c r="W66" s="923">
        <f t="shared" si="8"/>
        <v>0.86286222680412394</v>
      </c>
      <c r="X66" s="923">
        <f t="shared" si="8"/>
        <v>0.86908906761611249</v>
      </c>
      <c r="Y66" s="923">
        <f t="shared" si="8"/>
        <v>0.87536084439272366</v>
      </c>
      <c r="Z66" s="923">
        <f t="shared" si="8"/>
        <v>0.8816778814141143</v>
      </c>
      <c r="AA66" s="923">
        <f t="shared" si="8"/>
        <v>0.88804050530060796</v>
      </c>
      <c r="AC66" s="725"/>
      <c r="AD66" s="725"/>
      <c r="AE66" s="725"/>
      <c r="AF66" s="725"/>
      <c r="AG66" s="725"/>
      <c r="AH66" s="725"/>
      <c r="AI66" s="725"/>
      <c r="AJ66" s="340"/>
      <c r="AN66" s="342">
        <f t="shared" ref="AN66:AT66" si="9">((AF148)/AF147)*$AC$128*0.33</f>
        <v>1.5972000000000004</v>
      </c>
      <c r="AO66" s="342">
        <f t="shared" si="9"/>
        <v>1.7133600000000004</v>
      </c>
      <c r="AP66" s="342">
        <f t="shared" si="9"/>
        <v>1.7257244536082479</v>
      </c>
      <c r="AQ66" s="342">
        <f t="shared" si="9"/>
        <v>1.738178135232225</v>
      </c>
      <c r="AR66" s="342">
        <f t="shared" si="9"/>
        <v>1.7507216887854473</v>
      </c>
      <c r="AS66" s="342">
        <f t="shared" si="9"/>
        <v>1.7633557628282286</v>
      </c>
      <c r="AT66" s="342">
        <f t="shared" si="9"/>
        <v>1.7760810106012159</v>
      </c>
      <c r="AU66" s="1021">
        <v>0.5</v>
      </c>
      <c r="AW66" s="272">
        <f>U66*G60</f>
        <v>916.0213524000003</v>
      </c>
    </row>
    <row r="67" spans="2:49">
      <c r="B67" s="343"/>
      <c r="C67" s="344"/>
      <c r="D67" s="344"/>
      <c r="E67" s="344"/>
      <c r="F67" s="345" t="s">
        <v>98</v>
      </c>
      <c r="G67" s="723"/>
      <c r="H67" s="722"/>
      <c r="I67" s="722"/>
      <c r="J67" s="722"/>
      <c r="K67" s="722"/>
      <c r="L67" s="722"/>
      <c r="M67" s="722"/>
      <c r="N67" s="344"/>
      <c r="O67" s="344"/>
      <c r="P67" s="344"/>
      <c r="Q67" s="344"/>
      <c r="R67" s="344"/>
      <c r="S67" s="344"/>
      <c r="T67" s="344"/>
      <c r="U67" s="344"/>
      <c r="V67" s="344"/>
      <c r="W67" s="344"/>
      <c r="X67" s="344"/>
      <c r="Y67" s="344"/>
      <c r="Z67" s="344"/>
      <c r="AA67" s="344"/>
      <c r="AB67" s="344"/>
      <c r="AC67" s="726"/>
      <c r="AD67" s="726"/>
      <c r="AE67" s="726"/>
      <c r="AF67" s="726"/>
      <c r="AG67" s="726"/>
      <c r="AH67" s="726"/>
      <c r="AI67" s="726"/>
      <c r="AJ67" s="346"/>
      <c r="AK67" s="345">
        <v>4.4999999999999997E-3</v>
      </c>
      <c r="AL67" s="345">
        <v>4.4999999999999997E-3</v>
      </c>
      <c r="AU67" s="1022"/>
    </row>
    <row r="68" spans="2:49" ht="15.95" customHeight="1">
      <c r="B68" s="347" t="s">
        <v>290</v>
      </c>
      <c r="C68" s="266" t="s">
        <v>290</v>
      </c>
      <c r="D68" s="336"/>
      <c r="E68" s="336"/>
      <c r="F68" s="336"/>
      <c r="G68" s="721">
        <f>Y146</f>
        <v>519.00300000000004</v>
      </c>
      <c r="H68" s="721">
        <v>528.65300000000002</v>
      </c>
      <c r="I68" s="721">
        <v>490.98733575028598</v>
      </c>
      <c r="J68" s="721">
        <v>425.9450577823394</v>
      </c>
      <c r="K68" s="721">
        <v>361.80960391150643</v>
      </c>
      <c r="L68" s="721">
        <v>298.57131862351798</v>
      </c>
      <c r="M68" s="721">
        <v>236.22063821246601</v>
      </c>
      <c r="N68" s="336"/>
      <c r="O68" s="336"/>
      <c r="P68" s="336"/>
      <c r="Q68" s="336"/>
      <c r="R68" s="336"/>
      <c r="S68" s="336"/>
      <c r="T68" s="336"/>
      <c r="U68" s="336"/>
      <c r="V68" s="336"/>
      <c r="W68" s="336"/>
      <c r="X68" s="336"/>
      <c r="Y68" s="336"/>
      <c r="Z68" s="336"/>
      <c r="AA68" s="336"/>
      <c r="AB68" s="266">
        <v>1</v>
      </c>
      <c r="AC68" s="727"/>
      <c r="AD68" s="725"/>
      <c r="AE68" s="725"/>
      <c r="AF68" s="725"/>
      <c r="AG68" s="725"/>
      <c r="AH68" s="725"/>
      <c r="AI68" s="725"/>
      <c r="AJ68" s="337">
        <v>1</v>
      </c>
      <c r="AK68" s="336"/>
      <c r="AL68" s="336"/>
      <c r="AU68" s="1022"/>
    </row>
    <row r="69" spans="2:49" ht="15.95" customHeight="1">
      <c r="B69" s="338"/>
      <c r="D69" s="268" t="str">
        <f>AGR_Comm!D63</f>
        <v>AGR_LAND</v>
      </c>
      <c r="G69" s="722"/>
      <c r="H69" s="722"/>
      <c r="I69" s="722"/>
      <c r="J69" s="722"/>
      <c r="K69" s="722"/>
      <c r="L69" s="722"/>
      <c r="M69" s="722"/>
      <c r="N69" s="268">
        <v>1</v>
      </c>
      <c r="O69" s="268">
        <v>1</v>
      </c>
      <c r="P69" s="268">
        <v>1</v>
      </c>
      <c r="Q69" s="268">
        <v>1</v>
      </c>
      <c r="R69" s="268">
        <v>1</v>
      </c>
      <c r="S69" s="268">
        <v>1</v>
      </c>
      <c r="T69" s="268">
        <v>1</v>
      </c>
      <c r="AC69" s="725"/>
      <c r="AD69" s="725"/>
      <c r="AE69" s="725"/>
      <c r="AF69" s="725"/>
      <c r="AG69" s="725"/>
      <c r="AH69" s="725"/>
      <c r="AI69" s="725"/>
      <c r="AJ69" s="340"/>
      <c r="AU69" s="1022"/>
    </row>
    <row r="70" spans="2:49" ht="15.95" customHeight="1">
      <c r="B70" s="338"/>
      <c r="D70" s="268" t="str">
        <f>AGR_Comm!D93</f>
        <v>AGR_MACH_WORK</v>
      </c>
      <c r="G70" s="722"/>
      <c r="H70" s="722"/>
      <c r="I70" s="722"/>
      <c r="J70" s="722"/>
      <c r="K70" s="722"/>
      <c r="L70" s="722"/>
      <c r="M70" s="722"/>
      <c r="N70" s="581">
        <f>AGR_SVC!N126</f>
        <v>2.4353996466198557E-3</v>
      </c>
      <c r="O70" s="581">
        <f>AGR_SVC!AP126</f>
        <v>2.4296563842567034E-3</v>
      </c>
      <c r="P70" s="581">
        <f>AGR_SVC!BD126</f>
        <v>2.2192840722837738E-3</v>
      </c>
      <c r="Q70" s="581">
        <f>AGR_SVC!BR126</f>
        <v>2.2384671395640032E-3</v>
      </c>
      <c r="R70" s="581">
        <f>AGR_SVC!CF126</f>
        <v>2.2548459690092944E-3</v>
      </c>
      <c r="S70" s="581">
        <f>AGR_SVC!CT126</f>
        <v>2.2670673562942669E-3</v>
      </c>
      <c r="T70" s="581">
        <f>AGR_SVC!AB126</f>
        <v>2.2728830180720749E-3</v>
      </c>
      <c r="AC70" s="725"/>
      <c r="AD70" s="725"/>
      <c r="AE70" s="725"/>
      <c r="AF70" s="725"/>
      <c r="AG70" s="725"/>
      <c r="AH70" s="725"/>
      <c r="AI70" s="725"/>
      <c r="AJ70" s="340"/>
      <c r="AU70" s="1022"/>
    </row>
    <row r="71" spans="2:49" ht="15.95" customHeight="1">
      <c r="B71" s="338"/>
      <c r="D71" s="268" t="str">
        <f>AGR_Comm!D94</f>
        <v>AGR_DRY_SVC</v>
      </c>
      <c r="G71" s="722"/>
      <c r="H71" s="722"/>
      <c r="I71" s="722"/>
      <c r="J71" s="722"/>
      <c r="K71" s="722"/>
      <c r="L71" s="722"/>
      <c r="M71" s="722"/>
      <c r="N71" s="581">
        <f>AGR_SVC!O126</f>
        <v>1.7990248739863996E-4</v>
      </c>
      <c r="O71" s="581">
        <f>AGR_SVC!AQ126</f>
        <v>1.7617162125637109E-4</v>
      </c>
      <c r="P71" s="581">
        <f>AGR_SVC!BE126</f>
        <v>1.725896978078103E-4</v>
      </c>
      <c r="Q71" s="581">
        <f>AGR_SVC!BS126</f>
        <v>2.0505408347135364E-4</v>
      </c>
      <c r="R71" s="581">
        <f>AGR_SVC!CG126</f>
        <v>2.5151809383757188E-4</v>
      </c>
      <c r="S71" s="581">
        <f>AGR_SVC!CU126</f>
        <v>3.2352152345944957E-4</v>
      </c>
      <c r="T71" s="581">
        <f>AGR_SVC!AC126</f>
        <v>4.5009338866265473E-4</v>
      </c>
      <c r="AC71" s="725"/>
      <c r="AD71" s="725"/>
      <c r="AE71" s="725"/>
      <c r="AF71" s="725"/>
      <c r="AG71" s="725"/>
      <c r="AH71" s="725"/>
      <c r="AI71" s="725"/>
      <c r="AJ71" s="340"/>
      <c r="AU71" s="1022"/>
    </row>
    <row r="72" spans="2:49" ht="15.95" customHeight="1">
      <c r="B72" s="338"/>
      <c r="D72" s="268" t="str">
        <f>AGR_Comm!D97</f>
        <v>AGR_OTH_SVC</v>
      </c>
      <c r="G72" s="722"/>
      <c r="H72" s="722"/>
      <c r="I72" s="722"/>
      <c r="J72" s="722"/>
      <c r="K72" s="722"/>
      <c r="L72" s="722"/>
      <c r="M72" s="722"/>
      <c r="N72" s="581">
        <f>AGR_SVC!R126</f>
        <v>1.1068923284845405E-3</v>
      </c>
      <c r="O72" s="581">
        <f>AGR_SVC!AT126</f>
        <v>1.1258992136138715E-3</v>
      </c>
      <c r="P72" s="581">
        <f>AGR_SVC!BH126</f>
        <v>1.145082390618313E-3</v>
      </c>
      <c r="Q72" s="581">
        <f>AGR_SVC!BV126</f>
        <v>1.3025437368101727E-3</v>
      </c>
      <c r="R72" s="581">
        <f>AGR_SVC!CJ126</f>
        <v>1.5005575787761373E-3</v>
      </c>
      <c r="S72" s="581">
        <f>AGR_SVC!CX126</f>
        <v>1.7568199276917875E-3</v>
      </c>
      <c r="T72" s="581">
        <f>AGR_SVC!AF126</f>
        <v>2.1010676748754124E-3</v>
      </c>
      <c r="AC72" s="725"/>
      <c r="AD72" s="725"/>
      <c r="AE72" s="725"/>
      <c r="AF72" s="725"/>
      <c r="AG72" s="725"/>
      <c r="AH72" s="725"/>
      <c r="AI72" s="725"/>
      <c r="AJ72" s="340"/>
      <c r="AU72" s="1022"/>
    </row>
    <row r="73" spans="2:49" ht="15.95" customHeight="1">
      <c r="B73" s="338"/>
      <c r="E73" s="341" t="s">
        <v>167</v>
      </c>
      <c r="G73" s="722"/>
      <c r="H73" s="722"/>
      <c r="I73" s="722"/>
      <c r="J73" s="722"/>
      <c r="K73" s="722"/>
      <c r="L73" s="722"/>
      <c r="M73" s="722"/>
      <c r="AC73" s="348">
        <f>Z146/10</f>
        <v>3.17</v>
      </c>
      <c r="AD73" s="348">
        <v>3.4899999999999998</v>
      </c>
      <c r="AE73" s="348">
        <v>3.5151855670103092</v>
      </c>
      <c r="AF73" s="348">
        <v>3.5405528855351256</v>
      </c>
      <c r="AG73" s="348">
        <v>3.5661032671833173</v>
      </c>
      <c r="AH73" s="348">
        <v>3.5918380330289699</v>
      </c>
      <c r="AI73" s="348">
        <v>3.6177585136796946</v>
      </c>
      <c r="AJ73" s="340"/>
      <c r="AU73" s="1022"/>
    </row>
    <row r="74" spans="2:49" ht="15.95" customHeight="1">
      <c r="B74" s="338"/>
      <c r="E74" s="272" t="s">
        <v>130</v>
      </c>
      <c r="G74" s="722"/>
      <c r="H74" s="722"/>
      <c r="I74" s="722"/>
      <c r="J74" s="722"/>
      <c r="K74" s="722"/>
      <c r="L74" s="722"/>
      <c r="M74" s="722"/>
      <c r="U74" s="923">
        <f>AN74*$AU$74</f>
        <v>0.57535500000000006</v>
      </c>
      <c r="V74" s="923">
        <f t="shared" ref="V74:AA74" si="10">AO74*$AU$74</f>
        <v>0.63343499999999997</v>
      </c>
      <c r="W74" s="923">
        <f t="shared" si="10"/>
        <v>0.63800618041237112</v>
      </c>
      <c r="X74" s="923">
        <f t="shared" si="10"/>
        <v>0.64261034872462541</v>
      </c>
      <c r="Y74" s="923">
        <f t="shared" si="10"/>
        <v>0.6472477429937723</v>
      </c>
      <c r="Z74" s="923">
        <f t="shared" si="10"/>
        <v>0.65191860299475812</v>
      </c>
      <c r="AA74" s="923">
        <f t="shared" si="10"/>
        <v>0.65662317023286465</v>
      </c>
      <c r="AC74" s="725"/>
      <c r="AD74" s="725"/>
      <c r="AE74" s="725"/>
      <c r="AF74" s="725"/>
      <c r="AG74" s="725"/>
      <c r="AH74" s="725"/>
      <c r="AI74" s="725"/>
      <c r="AJ74" s="340"/>
      <c r="AN74" s="342">
        <f t="shared" ref="AN74:AT74" si="11">((AF150)/AF149)*$AD$128*0.33</f>
        <v>1.1507100000000001</v>
      </c>
      <c r="AO74" s="342">
        <f t="shared" si="11"/>
        <v>1.2668699999999999</v>
      </c>
      <c r="AP74" s="342">
        <f t="shared" si="11"/>
        <v>1.2760123608247422</v>
      </c>
      <c r="AQ74" s="342">
        <f t="shared" si="11"/>
        <v>1.2852206974492508</v>
      </c>
      <c r="AR74" s="342">
        <f t="shared" si="11"/>
        <v>1.2944954859875446</v>
      </c>
      <c r="AS74" s="342">
        <f t="shared" si="11"/>
        <v>1.3038372059895162</v>
      </c>
      <c r="AT74" s="342">
        <f t="shared" si="11"/>
        <v>1.3132463404657293</v>
      </c>
      <c r="AU74" s="1021">
        <v>0.5</v>
      </c>
      <c r="AW74" s="272">
        <f>U74*G68</f>
        <v>298.61097106500006</v>
      </c>
    </row>
    <row r="75" spans="2:49" ht="15.95" customHeight="1">
      <c r="B75" s="343"/>
      <c r="C75" s="344"/>
      <c r="D75" s="344"/>
      <c r="E75" s="344"/>
      <c r="F75" s="345" t="s">
        <v>98</v>
      </c>
      <c r="G75" s="723"/>
      <c r="H75" s="722"/>
      <c r="I75" s="722"/>
      <c r="J75" s="722"/>
      <c r="K75" s="722"/>
      <c r="L75" s="722"/>
      <c r="M75" s="722"/>
      <c r="N75" s="344"/>
      <c r="O75" s="344"/>
      <c r="P75" s="344"/>
      <c r="Q75" s="344"/>
      <c r="R75" s="344"/>
      <c r="S75" s="344"/>
      <c r="T75" s="344"/>
      <c r="U75" s="344"/>
      <c r="V75" s="344"/>
      <c r="W75" s="344"/>
      <c r="X75" s="344"/>
      <c r="Y75" s="344"/>
      <c r="Z75" s="344"/>
      <c r="AA75" s="344"/>
      <c r="AB75" s="344"/>
      <c r="AC75" s="726"/>
      <c r="AD75" s="726"/>
      <c r="AE75" s="726"/>
      <c r="AF75" s="726"/>
      <c r="AG75" s="726"/>
      <c r="AH75" s="726"/>
      <c r="AI75" s="726"/>
      <c r="AJ75" s="346"/>
      <c r="AK75" s="345">
        <v>1.9599999999999999E-3</v>
      </c>
      <c r="AL75" s="345">
        <v>1.9599999999999999E-3</v>
      </c>
      <c r="AU75" s="1022"/>
    </row>
    <row r="76" spans="2:49" ht="15.95" customHeight="1">
      <c r="B76" s="335" t="s">
        <v>291</v>
      </c>
      <c r="C76" s="266" t="s">
        <v>291</v>
      </c>
      <c r="D76" s="336"/>
      <c r="E76" s="336"/>
      <c r="F76" s="336"/>
      <c r="G76" s="721">
        <f>Y142</f>
        <v>682.18100000000004</v>
      </c>
      <c r="H76" s="721">
        <v>603.91600000000005</v>
      </c>
      <c r="I76" s="721">
        <v>560.88796972110197</v>
      </c>
      <c r="J76" s="721">
        <v>508.69901723221244</v>
      </c>
      <c r="K76" s="721">
        <v>457.22911778584614</v>
      </c>
      <c r="L76" s="721">
        <v>406.47064673273252</v>
      </c>
      <c r="M76" s="721">
        <v>356.41605176959928</v>
      </c>
      <c r="N76" s="336"/>
      <c r="O76" s="336"/>
      <c r="P76" s="336"/>
      <c r="Q76" s="336"/>
      <c r="R76" s="336"/>
      <c r="S76" s="336"/>
      <c r="T76" s="336"/>
      <c r="U76" s="336"/>
      <c r="V76" s="336"/>
      <c r="W76" s="336"/>
      <c r="X76" s="336"/>
      <c r="Y76" s="336"/>
      <c r="Z76" s="336"/>
      <c r="AA76" s="336"/>
      <c r="AB76" s="266">
        <v>1</v>
      </c>
      <c r="AC76" s="727"/>
      <c r="AD76" s="725"/>
      <c r="AE76" s="725"/>
      <c r="AF76" s="725"/>
      <c r="AG76" s="725"/>
      <c r="AH76" s="725"/>
      <c r="AI76" s="725"/>
      <c r="AJ76" s="337">
        <v>1</v>
      </c>
      <c r="AK76" s="336"/>
      <c r="AL76" s="336"/>
      <c r="AU76" s="1022"/>
    </row>
    <row r="77" spans="2:49" ht="15.95" customHeight="1">
      <c r="B77" s="338"/>
      <c r="D77" s="268" t="str">
        <f>AGR_Comm!D63</f>
        <v>AGR_LAND</v>
      </c>
      <c r="G77" s="722"/>
      <c r="H77" s="722"/>
      <c r="I77" s="722"/>
      <c r="J77" s="722"/>
      <c r="K77" s="722"/>
      <c r="L77" s="722"/>
      <c r="M77" s="722"/>
      <c r="N77" s="268">
        <v>1</v>
      </c>
      <c r="O77" s="268">
        <v>1</v>
      </c>
      <c r="P77" s="268">
        <v>1</v>
      </c>
      <c r="Q77" s="268">
        <v>1</v>
      </c>
      <c r="R77" s="268">
        <v>1</v>
      </c>
      <c r="S77" s="268">
        <v>1</v>
      </c>
      <c r="T77" s="268">
        <v>1</v>
      </c>
      <c r="AC77" s="725"/>
      <c r="AD77" s="725"/>
      <c r="AE77" s="725"/>
      <c r="AF77" s="725"/>
      <c r="AG77" s="725"/>
      <c r="AH77" s="725"/>
      <c r="AI77" s="725"/>
      <c r="AJ77" s="340"/>
      <c r="AU77" s="1022"/>
    </row>
    <row r="78" spans="2:49" ht="15.95" customHeight="1">
      <c r="B78" s="338"/>
      <c r="D78" s="268" t="str">
        <f>AGR_Comm!D93</f>
        <v>AGR_MACH_WORK</v>
      </c>
      <c r="G78" s="722"/>
      <c r="H78" s="722"/>
      <c r="I78" s="722"/>
      <c r="J78" s="722"/>
      <c r="K78" s="722"/>
      <c r="L78" s="722"/>
      <c r="M78" s="722"/>
      <c r="N78" s="581">
        <f>AGR_SVC!N127</f>
        <v>2.1309746907923733E-3</v>
      </c>
      <c r="O78" s="581">
        <f>AGR_SVC!AP127</f>
        <v>2.1259493362246148E-3</v>
      </c>
      <c r="P78" s="581">
        <f>AGR_SVC!BD127</f>
        <v>1.9418735632483017E-3</v>
      </c>
      <c r="Q78" s="581">
        <f>AGR_SVC!BR127</f>
        <v>1.9586587471185023E-3</v>
      </c>
      <c r="R78" s="581">
        <f>AGR_SVC!CF127</f>
        <v>1.9729902228831321E-3</v>
      </c>
      <c r="S78" s="581">
        <f>AGR_SVC!CT127</f>
        <v>1.9836839367574832E-3</v>
      </c>
      <c r="T78" s="581">
        <f>AGR_SVC!AB127</f>
        <v>1.9887726408130656E-3</v>
      </c>
      <c r="AC78" s="725"/>
      <c r="AD78" s="725"/>
      <c r="AE78" s="725"/>
      <c r="AF78" s="725"/>
      <c r="AG78" s="725"/>
      <c r="AH78" s="725"/>
      <c r="AI78" s="725"/>
      <c r="AJ78" s="340"/>
      <c r="AU78" s="1022"/>
    </row>
    <row r="79" spans="2:49" ht="15.95" customHeight="1">
      <c r="B79" s="338"/>
      <c r="D79" s="268" t="str">
        <f>AGR_Comm!D94</f>
        <v>AGR_DRY_SVC</v>
      </c>
      <c r="G79" s="722"/>
      <c r="H79" s="722"/>
      <c r="I79" s="722"/>
      <c r="J79" s="722"/>
      <c r="K79" s="722"/>
      <c r="L79" s="722"/>
      <c r="M79" s="722"/>
      <c r="N79" s="581">
        <f>AGR_SVC!O127</f>
        <v>1.7990248739863996E-4</v>
      </c>
      <c r="O79" s="581">
        <f>AGR_SVC!AQ127</f>
        <v>1.7617162125637109E-4</v>
      </c>
      <c r="P79" s="581">
        <f>AGR_SVC!BE127</f>
        <v>1.725896978078103E-4</v>
      </c>
      <c r="Q79" s="581">
        <f>AGR_SVC!BS127</f>
        <v>2.0505408347135364E-4</v>
      </c>
      <c r="R79" s="581">
        <f>AGR_SVC!CG127</f>
        <v>2.5151809383757188E-4</v>
      </c>
      <c r="S79" s="581">
        <f>AGR_SVC!CU127</f>
        <v>3.2352152345944957E-4</v>
      </c>
      <c r="T79" s="581">
        <f>AGR_SVC!AC127</f>
        <v>4.5009338866265473E-4</v>
      </c>
      <c r="AC79" s="725"/>
      <c r="AD79" s="725"/>
      <c r="AE79" s="725"/>
      <c r="AF79" s="725"/>
      <c r="AG79" s="725"/>
      <c r="AH79" s="725"/>
      <c r="AI79" s="725"/>
      <c r="AJ79" s="340"/>
      <c r="AU79" s="1022"/>
    </row>
    <row r="80" spans="2:49" ht="15.95" customHeight="1">
      <c r="B80" s="338"/>
      <c r="D80" s="268" t="str">
        <f>AGR_Comm!D97</f>
        <v>AGR_OTH_SVC</v>
      </c>
      <c r="G80" s="722"/>
      <c r="H80" s="722"/>
      <c r="I80" s="722"/>
      <c r="J80" s="722"/>
      <c r="K80" s="722"/>
      <c r="L80" s="722"/>
      <c r="M80" s="722"/>
      <c r="N80" s="581">
        <f>AGR_SVC!R127</f>
        <v>1.0377115579542566E-3</v>
      </c>
      <c r="O80" s="581">
        <f>AGR_SVC!AT127</f>
        <v>1.0555305127630044E-3</v>
      </c>
      <c r="P80" s="581">
        <f>AGR_SVC!BH127</f>
        <v>1.0735147412046686E-3</v>
      </c>
      <c r="Q80" s="581">
        <f>AGR_SVC!BV127</f>
        <v>1.2211347532595368E-3</v>
      </c>
      <c r="R80" s="581">
        <f>AGR_SVC!CJ127</f>
        <v>1.4067727301026287E-3</v>
      </c>
      <c r="S80" s="581">
        <f>AGR_SVC!CX127</f>
        <v>1.6470186822110508E-3</v>
      </c>
      <c r="T80" s="581">
        <f>AGR_SVC!AF127</f>
        <v>1.9697509451956992E-3</v>
      </c>
      <c r="AC80" s="725"/>
      <c r="AD80" s="725"/>
      <c r="AE80" s="725"/>
      <c r="AF80" s="725"/>
      <c r="AG80" s="725"/>
      <c r="AH80" s="725"/>
      <c r="AI80" s="725"/>
      <c r="AJ80" s="340"/>
      <c r="AU80" s="1022"/>
    </row>
    <row r="81" spans="2:49" ht="15.95" customHeight="1">
      <c r="B81" s="338"/>
      <c r="E81" s="341" t="s">
        <v>168</v>
      </c>
      <c r="G81" s="722"/>
      <c r="H81" s="722"/>
      <c r="I81" s="722"/>
      <c r="J81" s="722"/>
      <c r="K81" s="722"/>
      <c r="L81" s="722"/>
      <c r="M81" s="722"/>
      <c r="AC81" s="348">
        <f>Z142/10</f>
        <v>3.5700000000000003</v>
      </c>
      <c r="AD81" s="348">
        <v>3.8200000000000003</v>
      </c>
      <c r="AE81" s="348">
        <v>3.8475670103092785</v>
      </c>
      <c r="AF81" s="348">
        <v>3.8753329578063558</v>
      </c>
      <c r="AG81" s="348">
        <v>3.9032992781204223</v>
      </c>
      <c r="AH81" s="348">
        <v>3.9314674172408788</v>
      </c>
      <c r="AI81" s="348">
        <v>3.9598388315921018</v>
      </c>
      <c r="AJ81" s="340"/>
      <c r="AU81" s="1022"/>
    </row>
    <row r="82" spans="2:49" ht="15.95" customHeight="1">
      <c r="B82" s="338"/>
      <c r="E82" s="272" t="s">
        <v>131</v>
      </c>
      <c r="G82" s="722"/>
      <c r="H82" s="722"/>
      <c r="I82" s="722"/>
      <c r="J82" s="722"/>
      <c r="K82" s="722"/>
      <c r="L82" s="722"/>
      <c r="M82" s="722"/>
      <c r="U82" s="923">
        <f>AN82*$AU$82</f>
        <v>0.82467000000000013</v>
      </c>
      <c r="V82" s="923">
        <f t="shared" ref="V82:AA82" si="12">AO82*$AU$82</f>
        <v>0.88241999999999998</v>
      </c>
      <c r="W82" s="923">
        <f t="shared" si="12"/>
        <v>0.88878797938144338</v>
      </c>
      <c r="X82" s="923">
        <f t="shared" si="12"/>
        <v>0.89520191325326826</v>
      </c>
      <c r="Y82" s="923">
        <f t="shared" si="12"/>
        <v>0.90166213324581757</v>
      </c>
      <c r="Z82" s="923">
        <f t="shared" si="12"/>
        <v>0.90816897338264291</v>
      </c>
      <c r="AA82" s="923">
        <f t="shared" si="12"/>
        <v>0.91472277009777547</v>
      </c>
      <c r="AC82" s="725"/>
      <c r="AD82" s="725"/>
      <c r="AE82" s="725"/>
      <c r="AF82" s="725"/>
      <c r="AG82" s="725"/>
      <c r="AH82" s="725"/>
      <c r="AI82" s="725"/>
      <c r="AJ82" s="340"/>
      <c r="AN82" s="342">
        <f t="shared" ref="AN82:AT82" si="13">((AF152)/AF151)*$AE$128*0.33</f>
        <v>1.6493400000000003</v>
      </c>
      <c r="AO82" s="342">
        <f t="shared" si="13"/>
        <v>1.76484</v>
      </c>
      <c r="AP82" s="342">
        <f t="shared" si="13"/>
        <v>1.7775759587628868</v>
      </c>
      <c r="AQ82" s="342">
        <f t="shared" si="13"/>
        <v>1.7904038265065365</v>
      </c>
      <c r="AR82" s="342">
        <f t="shared" si="13"/>
        <v>1.8033242664916351</v>
      </c>
      <c r="AS82" s="342">
        <f t="shared" si="13"/>
        <v>1.8163379467652858</v>
      </c>
      <c r="AT82" s="342">
        <f t="shared" si="13"/>
        <v>1.8294455401955509</v>
      </c>
      <c r="AU82" s="1021">
        <v>0.5</v>
      </c>
      <c r="AW82" s="272">
        <f>U82*G76</f>
        <v>562.57420527000011</v>
      </c>
    </row>
    <row r="83" spans="2:49">
      <c r="B83" s="343"/>
      <c r="C83" s="344"/>
      <c r="D83" s="344"/>
      <c r="E83" s="344"/>
      <c r="F83" s="345" t="s">
        <v>98</v>
      </c>
      <c r="G83" s="723"/>
      <c r="H83" s="722"/>
      <c r="I83" s="722"/>
      <c r="J83" s="722"/>
      <c r="K83" s="722"/>
      <c r="L83" s="722"/>
      <c r="M83" s="722"/>
      <c r="N83" s="344"/>
      <c r="O83" s="344"/>
      <c r="P83" s="344"/>
      <c r="Q83" s="344"/>
      <c r="R83" s="344"/>
      <c r="S83" s="344"/>
      <c r="T83" s="344"/>
      <c r="U83" s="344"/>
      <c r="V83" s="344"/>
      <c r="W83" s="344"/>
      <c r="X83" s="344"/>
      <c r="Y83" s="344"/>
      <c r="Z83" s="344"/>
      <c r="AA83" s="344"/>
      <c r="AB83" s="344"/>
      <c r="AC83" s="726"/>
      <c r="AD83" s="726"/>
      <c r="AE83" s="726"/>
      <c r="AF83" s="726"/>
      <c r="AG83" s="726"/>
      <c r="AH83" s="726"/>
      <c r="AI83" s="726"/>
      <c r="AJ83" s="346"/>
      <c r="AK83" s="345">
        <v>2.96E-3</v>
      </c>
      <c r="AL83" s="345">
        <v>2.96E-3</v>
      </c>
      <c r="AU83" s="1022"/>
    </row>
    <row r="84" spans="2:49" ht="15.95" customHeight="1">
      <c r="B84" s="347" t="s">
        <v>292</v>
      </c>
      <c r="C84" s="266" t="s">
        <v>292</v>
      </c>
      <c r="D84" s="336"/>
      <c r="E84" s="336"/>
      <c r="F84" s="336"/>
      <c r="G84" s="721">
        <f>Y154+Y156</f>
        <v>116.38</v>
      </c>
      <c r="H84" s="721">
        <v>83.955171122994656</v>
      </c>
      <c r="I84" s="721">
        <v>70.408306422449712</v>
      </c>
      <c r="J84" s="721">
        <v>61.630596536094274</v>
      </c>
      <c r="K84" s="721">
        <v>52.972615256014684</v>
      </c>
      <c r="L84" s="721">
        <v>44.43311444713418</v>
      </c>
      <c r="M84" s="721">
        <v>36.010857595915716</v>
      </c>
      <c r="N84" s="336"/>
      <c r="O84" s="336"/>
      <c r="P84" s="336"/>
      <c r="Q84" s="336"/>
      <c r="R84" s="336"/>
      <c r="S84" s="336"/>
      <c r="T84" s="336"/>
      <c r="U84" s="336"/>
      <c r="V84" s="336"/>
      <c r="W84" s="336"/>
      <c r="X84" s="336"/>
      <c r="Y84" s="336"/>
      <c r="Z84" s="336"/>
      <c r="AA84" s="336"/>
      <c r="AB84" s="266">
        <v>1</v>
      </c>
      <c r="AC84" s="727"/>
      <c r="AD84" s="725"/>
      <c r="AE84" s="725"/>
      <c r="AF84" s="725"/>
      <c r="AG84" s="725"/>
      <c r="AH84" s="725"/>
      <c r="AI84" s="725"/>
      <c r="AJ84" s="337">
        <v>1</v>
      </c>
      <c r="AK84" s="336"/>
      <c r="AL84" s="336"/>
      <c r="AU84" s="1022"/>
    </row>
    <row r="85" spans="2:49" ht="15.95" customHeight="1">
      <c r="B85" s="338"/>
      <c r="D85" s="268" t="str">
        <f>AGR_Comm!D63</f>
        <v>AGR_LAND</v>
      </c>
      <c r="G85" s="722"/>
      <c r="H85" s="722"/>
      <c r="I85" s="722"/>
      <c r="J85" s="722"/>
      <c r="K85" s="722"/>
      <c r="L85" s="722"/>
      <c r="M85" s="722"/>
      <c r="N85" s="268">
        <v>1</v>
      </c>
      <c r="O85" s="268">
        <v>1</v>
      </c>
      <c r="P85" s="268">
        <v>1</v>
      </c>
      <c r="Q85" s="268">
        <v>1</v>
      </c>
      <c r="R85" s="268">
        <v>1</v>
      </c>
      <c r="S85" s="268">
        <v>1</v>
      </c>
      <c r="T85" s="268">
        <v>1</v>
      </c>
      <c r="AC85" s="725"/>
      <c r="AD85" s="725"/>
      <c r="AE85" s="725"/>
      <c r="AF85" s="725"/>
      <c r="AG85" s="725"/>
      <c r="AH85" s="725"/>
      <c r="AI85" s="725"/>
      <c r="AJ85" s="340"/>
      <c r="AU85" s="1022"/>
    </row>
    <row r="86" spans="2:49" ht="15.95" customHeight="1">
      <c r="B86" s="338"/>
      <c r="D86" s="268" t="str">
        <f>AGR_Comm!D93</f>
        <v>AGR_MACH_WORK</v>
      </c>
      <c r="G86" s="722"/>
      <c r="H86" s="722"/>
      <c r="I86" s="722"/>
      <c r="J86" s="722"/>
      <c r="K86" s="722"/>
      <c r="L86" s="722"/>
      <c r="M86" s="722"/>
      <c r="N86" s="581">
        <f>AGR_SVC!N128</f>
        <v>2.2831871687061145E-3</v>
      </c>
      <c r="O86" s="581">
        <f>AGR_SVC!AP128</f>
        <v>2.2778028602406589E-3</v>
      </c>
      <c r="P86" s="581">
        <f>AGR_SVC!BD128</f>
        <v>2.0805788177660376E-3</v>
      </c>
      <c r="Q86" s="581">
        <f>AGR_SVC!BR128</f>
        <v>2.0985629433412528E-3</v>
      </c>
      <c r="R86" s="581">
        <f>AGR_SVC!CF128</f>
        <v>2.113918095946213E-3</v>
      </c>
      <c r="S86" s="581">
        <f>AGR_SVC!CT128</f>
        <v>2.125375646525875E-3</v>
      </c>
      <c r="T86" s="581">
        <f>AGR_SVC!AB128</f>
        <v>2.1308278294425703E-3</v>
      </c>
      <c r="AC86" s="725"/>
      <c r="AD86" s="725"/>
      <c r="AE86" s="725"/>
      <c r="AF86" s="725"/>
      <c r="AG86" s="725"/>
      <c r="AH86" s="725"/>
      <c r="AI86" s="725"/>
      <c r="AJ86" s="340"/>
      <c r="AU86" s="1022"/>
    </row>
    <row r="87" spans="2:49" ht="15.95" customHeight="1">
      <c r="B87" s="338"/>
      <c r="D87" s="268" t="str">
        <f>AGR_Comm!D94</f>
        <v>AGR_DRY_SVC</v>
      </c>
      <c r="G87" s="722"/>
      <c r="H87" s="722"/>
      <c r="I87" s="722"/>
      <c r="J87" s="722"/>
      <c r="K87" s="722"/>
      <c r="L87" s="722"/>
      <c r="M87" s="722"/>
      <c r="N87" s="581">
        <f>AGR_SVC!O128</f>
        <v>1.2850177671331427E-4</v>
      </c>
      <c r="O87" s="581">
        <f>AGR_SVC!AQ128</f>
        <v>1.2583687232597935E-4</v>
      </c>
      <c r="P87" s="581">
        <f>AGR_SVC!BE128</f>
        <v>1.2327835557700737E-4</v>
      </c>
      <c r="Q87" s="581">
        <f>AGR_SVC!BS128</f>
        <v>1.4646720247953832E-4</v>
      </c>
      <c r="R87" s="581">
        <f>AGR_SVC!CG128</f>
        <v>1.7965578131255136E-4</v>
      </c>
      <c r="S87" s="581">
        <f>AGR_SVC!CU128</f>
        <v>2.3108680247103543E-4</v>
      </c>
      <c r="T87" s="581">
        <f>AGR_SVC!AC128</f>
        <v>3.2149527761618198E-4</v>
      </c>
      <c r="AC87" s="725"/>
      <c r="AD87" s="725"/>
      <c r="AE87" s="725"/>
      <c r="AF87" s="725"/>
      <c r="AG87" s="725"/>
      <c r="AH87" s="725"/>
      <c r="AI87" s="725"/>
      <c r="AJ87" s="340"/>
      <c r="AU87" s="1022"/>
    </row>
    <row r="88" spans="2:49" ht="15.95" customHeight="1">
      <c r="B88" s="338"/>
      <c r="D88" s="268" t="str">
        <f>AGR_Comm!D97</f>
        <v>AGR_OTH_SVC</v>
      </c>
      <c r="G88" s="722"/>
      <c r="H88" s="722"/>
      <c r="I88" s="722"/>
      <c r="J88" s="722"/>
      <c r="K88" s="722"/>
      <c r="L88" s="722"/>
      <c r="M88" s="722"/>
      <c r="N88" s="581">
        <f>AGR_SVC!R128</f>
        <v>1.0377115579542566E-3</v>
      </c>
      <c r="O88" s="581">
        <f>AGR_SVC!AT128</f>
        <v>1.0555305127630044E-3</v>
      </c>
      <c r="P88" s="581">
        <f>AGR_SVC!BH128</f>
        <v>1.0735147412046686E-3</v>
      </c>
      <c r="Q88" s="581">
        <f>AGR_SVC!BV128</f>
        <v>1.2211347532595368E-3</v>
      </c>
      <c r="R88" s="581">
        <f>AGR_SVC!CJ128</f>
        <v>1.4067727301026287E-3</v>
      </c>
      <c r="S88" s="581">
        <f>AGR_SVC!CX128</f>
        <v>1.6470186822110508E-3</v>
      </c>
      <c r="T88" s="581">
        <f>AGR_SVC!AF128</f>
        <v>1.9697509451956992E-3</v>
      </c>
      <c r="AC88" s="725"/>
      <c r="AD88" s="725"/>
      <c r="AE88" s="725"/>
      <c r="AF88" s="725"/>
      <c r="AG88" s="725"/>
      <c r="AH88" s="725"/>
      <c r="AI88" s="725"/>
      <c r="AJ88" s="340"/>
      <c r="AU88" s="1022"/>
    </row>
    <row r="89" spans="2:49" ht="15.95" customHeight="1">
      <c r="B89" s="338"/>
      <c r="E89" s="341" t="s">
        <v>169</v>
      </c>
      <c r="G89" s="722"/>
      <c r="H89" s="722"/>
      <c r="I89" s="722"/>
      <c r="J89" s="722"/>
      <c r="K89" s="722"/>
      <c r="L89" s="722"/>
      <c r="M89" s="722"/>
      <c r="AC89" s="348">
        <f>(Z154+Z156)/2/10</f>
        <v>1.7049999999999996</v>
      </c>
      <c r="AD89" s="348">
        <v>1.87</v>
      </c>
      <c r="AE89" s="348">
        <v>1.8832155477031802</v>
      </c>
      <c r="AF89" s="348">
        <v>1.8965244915032027</v>
      </c>
      <c r="AG89" s="348">
        <v>1.9099274914431545</v>
      </c>
      <c r="AH89" s="348">
        <v>1.9234252122307387</v>
      </c>
      <c r="AI89" s="348">
        <v>1.9370183232712384</v>
      </c>
      <c r="AJ89" s="340"/>
      <c r="AU89" s="1022"/>
    </row>
    <row r="90" spans="2:49" ht="15.95" customHeight="1">
      <c r="B90" s="338"/>
      <c r="E90" s="272" t="s">
        <v>132</v>
      </c>
      <c r="G90" s="722"/>
      <c r="H90" s="722"/>
      <c r="I90" s="722"/>
      <c r="J90" s="722"/>
      <c r="K90" s="722"/>
      <c r="L90" s="722"/>
      <c r="M90" s="722"/>
      <c r="U90" s="923">
        <f>AN90*$AU$90</f>
        <v>0.44667378686200382</v>
      </c>
      <c r="V90" s="923">
        <f t="shared" ref="V90:AA90" si="14">AO90*$AU$90</f>
        <v>0.52453499999999997</v>
      </c>
      <c r="W90" s="923">
        <f t="shared" si="14"/>
        <v>0.52824196113074195</v>
      </c>
      <c r="X90" s="923">
        <f t="shared" si="14"/>
        <v>0.53197511986664836</v>
      </c>
      <c r="Y90" s="923">
        <f t="shared" si="14"/>
        <v>0.53573466134980485</v>
      </c>
      <c r="Z90" s="923">
        <f t="shared" si="14"/>
        <v>0.53952077203072224</v>
      </c>
      <c r="AA90" s="923">
        <f t="shared" si="14"/>
        <v>0.54333363967758241</v>
      </c>
      <c r="AC90" s="725"/>
      <c r="AD90" s="725"/>
      <c r="AE90" s="725"/>
      <c r="AF90" s="725"/>
      <c r="AG90" s="725"/>
      <c r="AH90" s="725"/>
      <c r="AI90" s="725"/>
      <c r="AJ90" s="340"/>
      <c r="AN90" s="342">
        <f t="shared" ref="AN90:AT90" si="15">(((AF154))/(AF153))*$AF$128*0.33</f>
        <v>0.89334757372400764</v>
      </c>
      <c r="AO90" s="342">
        <f t="shared" si="15"/>
        <v>1.0490699999999999</v>
      </c>
      <c r="AP90" s="342">
        <f t="shared" si="15"/>
        <v>1.0564839222614839</v>
      </c>
      <c r="AQ90" s="342">
        <f t="shared" si="15"/>
        <v>1.0639502397332967</v>
      </c>
      <c r="AR90" s="342">
        <f t="shared" si="15"/>
        <v>1.0714693226996097</v>
      </c>
      <c r="AS90" s="342">
        <f t="shared" si="15"/>
        <v>1.0790415440614445</v>
      </c>
      <c r="AT90" s="342">
        <f t="shared" si="15"/>
        <v>1.0866672793551648</v>
      </c>
      <c r="AU90" s="1021">
        <v>0.5</v>
      </c>
      <c r="AW90" s="272">
        <f>U90*G84</f>
        <v>51.983895315000005</v>
      </c>
    </row>
    <row r="91" spans="2:49" ht="15.95" customHeight="1">
      <c r="B91" s="343"/>
      <c r="C91" s="344"/>
      <c r="D91" s="344"/>
      <c r="E91" s="344"/>
      <c r="F91" s="345" t="s">
        <v>98</v>
      </c>
      <c r="G91" s="723"/>
      <c r="H91" s="722"/>
      <c r="I91" s="722"/>
      <c r="J91" s="722"/>
      <c r="K91" s="722"/>
      <c r="L91" s="722"/>
      <c r="M91" s="722"/>
      <c r="N91" s="344"/>
      <c r="T91" s="344"/>
      <c r="U91" s="344"/>
      <c r="V91" s="344"/>
      <c r="W91" s="344"/>
      <c r="X91" s="344"/>
      <c r="Y91" s="344"/>
      <c r="Z91" s="344"/>
      <c r="AA91" s="344"/>
      <c r="AB91" s="344"/>
      <c r="AC91" s="726"/>
      <c r="AD91" s="726"/>
      <c r="AE91" s="726"/>
      <c r="AF91" s="726"/>
      <c r="AG91" s="726"/>
      <c r="AH91" s="726"/>
      <c r="AI91" s="726"/>
      <c r="AJ91" s="346"/>
      <c r="AK91" s="345">
        <v>4.6799999999999999E-5</v>
      </c>
      <c r="AL91" s="345">
        <v>4.6799999999999999E-5</v>
      </c>
      <c r="AU91" s="1022"/>
    </row>
    <row r="92" spans="2:49" ht="15.95" customHeight="1">
      <c r="B92" s="335" t="s">
        <v>293</v>
      </c>
      <c r="C92" s="266" t="s">
        <v>293</v>
      </c>
      <c r="D92" s="336"/>
      <c r="E92" s="336"/>
      <c r="F92" s="336"/>
      <c r="G92" s="721">
        <f>Y164</f>
        <v>43.308999999999997</v>
      </c>
      <c r="H92" s="721">
        <v>37.813000000000002</v>
      </c>
      <c r="I92" s="721">
        <v>40.751431082548528</v>
      </c>
      <c r="J92" s="721">
        <v>32.192782712549409</v>
      </c>
      <c r="K92" s="721">
        <v>23.946337023583844</v>
      </c>
      <c r="L92" s="721">
        <v>16.003287691249081</v>
      </c>
      <c r="M92" s="721">
        <v>8.355050945138796</v>
      </c>
      <c r="N92" s="336"/>
      <c r="O92" s="336"/>
      <c r="P92" s="336"/>
      <c r="Q92" s="336"/>
      <c r="R92" s="336"/>
      <c r="S92" s="336"/>
      <c r="T92" s="336"/>
      <c r="U92" s="336"/>
      <c r="V92" s="336"/>
      <c r="W92" s="336"/>
      <c r="X92" s="336"/>
      <c r="Y92" s="336"/>
      <c r="Z92" s="336"/>
      <c r="AA92" s="336"/>
      <c r="AB92" s="266">
        <v>1</v>
      </c>
      <c r="AC92" s="727"/>
      <c r="AD92" s="725"/>
      <c r="AE92" s="725"/>
      <c r="AF92" s="725"/>
      <c r="AG92" s="725"/>
      <c r="AH92" s="725"/>
      <c r="AI92" s="725"/>
      <c r="AJ92" s="337">
        <v>1</v>
      </c>
      <c r="AK92" s="336"/>
      <c r="AL92" s="336"/>
      <c r="AU92" s="1022"/>
    </row>
    <row r="93" spans="2:49" ht="15.95" customHeight="1">
      <c r="B93" s="338"/>
      <c r="D93" s="339" t="s">
        <v>144</v>
      </c>
      <c r="G93" s="722"/>
      <c r="H93" s="722"/>
      <c r="I93" s="722"/>
      <c r="J93" s="722"/>
      <c r="K93" s="722"/>
      <c r="L93" s="722"/>
      <c r="M93" s="722"/>
      <c r="N93" s="339">
        <v>1</v>
      </c>
      <c r="O93" s="339">
        <v>1</v>
      </c>
      <c r="P93" s="339">
        <v>1</v>
      </c>
      <c r="Q93" s="339">
        <v>1</v>
      </c>
      <c r="R93" s="339">
        <v>1</v>
      </c>
      <c r="S93" s="339">
        <v>1</v>
      </c>
      <c r="T93" s="339">
        <v>1</v>
      </c>
      <c r="AC93" s="725"/>
      <c r="AD93" s="725"/>
      <c r="AE93" s="725"/>
      <c r="AF93" s="725"/>
      <c r="AG93" s="725"/>
      <c r="AH93" s="725"/>
      <c r="AI93" s="725"/>
      <c r="AJ93" s="340"/>
      <c r="AU93" s="1022"/>
    </row>
    <row r="94" spans="2:49" ht="15.95" customHeight="1">
      <c r="B94" s="338"/>
      <c r="E94" s="341" t="s">
        <v>170</v>
      </c>
      <c r="G94" s="722"/>
      <c r="H94" s="722"/>
      <c r="I94" s="722"/>
      <c r="J94" s="722"/>
      <c r="K94" s="722"/>
      <c r="L94" s="722"/>
      <c r="M94" s="722"/>
      <c r="AC94" s="348">
        <f>Z164/10</f>
        <v>17.990000000000002</v>
      </c>
      <c r="AD94" s="348">
        <v>18.600000000000001</v>
      </c>
      <c r="AE94" s="348">
        <v>18.962337662337664</v>
      </c>
      <c r="AF94" s="348">
        <v>19.331733850565019</v>
      </c>
      <c r="AG94" s="348">
        <v>19.70832606843317</v>
      </c>
      <c r="AH94" s="348">
        <v>20.092254498337713</v>
      </c>
      <c r="AI94" s="348">
        <v>20.483662053500137</v>
      </c>
      <c r="AJ94" s="340"/>
      <c r="AU94" s="1022"/>
    </row>
    <row r="95" spans="2:49" ht="15.95" customHeight="1">
      <c r="B95" s="338" t="s">
        <v>90</v>
      </c>
      <c r="E95" s="272" t="s">
        <v>133</v>
      </c>
      <c r="G95" s="722"/>
      <c r="H95" s="722"/>
      <c r="I95" s="722"/>
      <c r="J95" s="722"/>
      <c r="K95" s="722"/>
      <c r="L95" s="722"/>
      <c r="M95" s="722"/>
      <c r="U95" s="272">
        <f>AN95*AU95</f>
        <v>0</v>
      </c>
      <c r="V95" s="272"/>
      <c r="W95" s="272"/>
      <c r="X95" s="272"/>
      <c r="Y95" s="272"/>
      <c r="Z95" s="272"/>
      <c r="AA95" s="272"/>
      <c r="AC95" s="725"/>
      <c r="AD95" s="725"/>
      <c r="AE95" s="725"/>
      <c r="AF95" s="725"/>
      <c r="AG95" s="725"/>
      <c r="AH95" s="725"/>
      <c r="AI95" s="725"/>
      <c r="AJ95" s="340"/>
      <c r="AN95" s="272">
        <v>0</v>
      </c>
      <c r="AU95" s="1021">
        <v>0</v>
      </c>
      <c r="AW95" s="272">
        <f>U95*G92</f>
        <v>0</v>
      </c>
    </row>
    <row r="96" spans="2:49" ht="15.95" customHeight="1">
      <c r="B96" s="343"/>
      <c r="C96" s="344"/>
      <c r="D96" s="344"/>
      <c r="E96" s="344"/>
      <c r="F96" s="345" t="s">
        <v>98</v>
      </c>
      <c r="G96" s="723"/>
      <c r="H96" s="722"/>
      <c r="I96" s="722"/>
      <c r="J96" s="722"/>
      <c r="K96" s="722"/>
      <c r="L96" s="722"/>
      <c r="M96" s="722"/>
      <c r="N96" s="344"/>
      <c r="O96" s="344"/>
      <c r="P96" s="344"/>
      <c r="Q96" s="344"/>
      <c r="R96" s="344"/>
      <c r="S96" s="344"/>
      <c r="T96" s="344"/>
      <c r="U96" s="344"/>
      <c r="V96" s="344"/>
      <c r="W96" s="344"/>
      <c r="X96" s="344"/>
      <c r="Y96" s="344"/>
      <c r="Z96" s="344"/>
      <c r="AA96" s="344"/>
      <c r="AB96" s="344"/>
      <c r="AC96" s="726"/>
      <c r="AD96" s="726"/>
      <c r="AE96" s="726"/>
      <c r="AF96" s="726"/>
      <c r="AG96" s="726"/>
      <c r="AH96" s="726"/>
      <c r="AI96" s="726"/>
      <c r="AJ96" s="346"/>
      <c r="AK96" s="345">
        <v>1.5900000000000001E-3</v>
      </c>
      <c r="AL96" s="345">
        <v>1.5900000000000001E-3</v>
      </c>
      <c r="AU96" s="1022"/>
    </row>
    <row r="97" spans="2:49" ht="15.95" customHeight="1">
      <c r="B97" s="335" t="s">
        <v>294</v>
      </c>
      <c r="C97" s="266" t="s">
        <v>294</v>
      </c>
      <c r="D97" s="336"/>
      <c r="E97" s="336"/>
      <c r="F97" s="336"/>
      <c r="G97" s="721">
        <f>Y162</f>
        <v>206.142</v>
      </c>
      <c r="H97" s="721">
        <v>213.75700000000003</v>
      </c>
      <c r="I97" s="721">
        <v>230.36795953540653</v>
      </c>
      <c r="J97" s="721">
        <v>237.18848046999307</v>
      </c>
      <c r="K97" s="721">
        <v>243.66423113575738</v>
      </c>
      <c r="L97" s="721">
        <v>249.80589711446012</v>
      </c>
      <c r="M97" s="721">
        <v>255.62388150639833</v>
      </c>
      <c r="N97" s="336"/>
      <c r="O97" s="336"/>
      <c r="P97" s="336"/>
      <c r="Q97" s="336"/>
      <c r="R97" s="336"/>
      <c r="S97" s="336"/>
      <c r="T97" s="336"/>
      <c r="U97" s="336"/>
      <c r="V97" s="336"/>
      <c r="W97" s="336"/>
      <c r="X97" s="336"/>
      <c r="Y97" s="336"/>
      <c r="Z97" s="336"/>
      <c r="AA97" s="336"/>
      <c r="AB97" s="266">
        <v>1</v>
      </c>
      <c r="AC97" s="727"/>
      <c r="AD97" s="725"/>
      <c r="AE97" s="725"/>
      <c r="AF97" s="725"/>
      <c r="AG97" s="725"/>
      <c r="AH97" s="725"/>
      <c r="AI97" s="725"/>
      <c r="AJ97" s="337">
        <v>1</v>
      </c>
      <c r="AK97" s="336"/>
      <c r="AL97" s="336"/>
      <c r="AU97" s="1022"/>
    </row>
    <row r="98" spans="2:49" ht="15.95" customHeight="1">
      <c r="B98" s="338"/>
      <c r="D98" s="339" t="s">
        <v>144</v>
      </c>
      <c r="G98" s="722"/>
      <c r="H98" s="722"/>
      <c r="I98" s="722"/>
      <c r="J98" s="722"/>
      <c r="K98" s="722"/>
      <c r="L98" s="722"/>
      <c r="M98" s="722"/>
      <c r="N98" s="339">
        <v>1</v>
      </c>
      <c r="O98" s="339">
        <v>1</v>
      </c>
      <c r="P98" s="339">
        <v>1</v>
      </c>
      <c r="Q98" s="339">
        <v>1</v>
      </c>
      <c r="R98" s="339">
        <v>1</v>
      </c>
      <c r="S98" s="339">
        <v>1</v>
      </c>
      <c r="T98" s="339">
        <v>1</v>
      </c>
      <c r="AC98" s="725"/>
      <c r="AD98" s="725"/>
      <c r="AE98" s="725"/>
      <c r="AF98" s="725"/>
      <c r="AG98" s="725"/>
      <c r="AH98" s="725"/>
      <c r="AI98" s="725"/>
      <c r="AJ98" s="340"/>
      <c r="AU98" s="1022"/>
    </row>
    <row r="99" spans="2:49" ht="15.95" customHeight="1">
      <c r="B99" s="338"/>
      <c r="E99" s="341" t="s">
        <v>171</v>
      </c>
      <c r="G99" s="722"/>
      <c r="H99" s="722"/>
      <c r="I99" s="722"/>
      <c r="J99" s="722"/>
      <c r="K99" s="722"/>
      <c r="L99" s="722"/>
      <c r="M99" s="722"/>
      <c r="AC99" s="348">
        <f>Z162/10</f>
        <v>2.4899999999999998</v>
      </c>
      <c r="AD99" s="348">
        <v>2.5300000000000002</v>
      </c>
      <c r="AE99" s="348">
        <v>2.5792857142857146</v>
      </c>
      <c r="AF99" s="348">
        <v>2.6295315398886832</v>
      </c>
      <c r="AG99" s="348">
        <v>2.6807561802761248</v>
      </c>
      <c r="AH99" s="348">
        <v>2.7329787032685169</v>
      </c>
      <c r="AI99" s="348">
        <v>2.7862185481373842</v>
      </c>
      <c r="AJ99" s="340"/>
      <c r="AU99" s="1022"/>
    </row>
    <row r="100" spans="2:49" ht="15.95" customHeight="1">
      <c r="B100" s="338" t="s">
        <v>90</v>
      </c>
      <c r="E100" s="272" t="s">
        <v>134</v>
      </c>
      <c r="G100" s="722"/>
      <c r="H100" s="722"/>
      <c r="I100" s="722"/>
      <c r="J100" s="722"/>
      <c r="K100" s="722"/>
      <c r="L100" s="722"/>
      <c r="M100" s="722"/>
      <c r="U100" s="272">
        <f>AN100*AU100</f>
        <v>0</v>
      </c>
      <c r="V100" s="272"/>
      <c r="W100" s="272"/>
      <c r="X100" s="272"/>
      <c r="Y100" s="272"/>
      <c r="Z100" s="272"/>
      <c r="AA100" s="272"/>
      <c r="AC100" s="725"/>
      <c r="AD100" s="725"/>
      <c r="AE100" s="725"/>
      <c r="AF100" s="725"/>
      <c r="AG100" s="725"/>
      <c r="AH100" s="725"/>
      <c r="AI100" s="725"/>
      <c r="AJ100" s="340"/>
      <c r="AN100" s="272">
        <v>0</v>
      </c>
      <c r="AU100" s="1021">
        <v>0</v>
      </c>
      <c r="AW100" s="272">
        <f>U100*G97</f>
        <v>0</v>
      </c>
    </row>
    <row r="101" spans="2:49" ht="15.95" customHeight="1">
      <c r="B101" s="343"/>
      <c r="C101" s="344"/>
      <c r="D101" s="344"/>
      <c r="E101" s="344"/>
      <c r="F101" s="345" t="s">
        <v>98</v>
      </c>
      <c r="G101" s="723"/>
      <c r="H101" s="722"/>
      <c r="I101" s="722"/>
      <c r="J101" s="722"/>
      <c r="K101" s="722"/>
      <c r="L101" s="722"/>
      <c r="M101" s="722"/>
      <c r="N101" s="344"/>
      <c r="O101" s="344"/>
      <c r="P101" s="344"/>
      <c r="Q101" s="344"/>
      <c r="R101" s="344"/>
      <c r="S101" s="344"/>
      <c r="T101" s="344"/>
      <c r="U101" s="344"/>
      <c r="V101" s="344"/>
      <c r="W101" s="344"/>
      <c r="X101" s="344"/>
      <c r="Y101" s="344"/>
      <c r="Z101" s="344"/>
      <c r="AA101" s="344"/>
      <c r="AB101" s="344"/>
      <c r="AC101" s="726"/>
      <c r="AD101" s="726"/>
      <c r="AE101" s="726"/>
      <c r="AF101" s="726"/>
      <c r="AG101" s="726"/>
      <c r="AH101" s="726"/>
      <c r="AI101" s="726"/>
      <c r="AJ101" s="346"/>
      <c r="AK101" s="345">
        <v>1.5900000000000001E-3</v>
      </c>
      <c r="AL101" s="345">
        <v>1.5900000000000001E-3</v>
      </c>
      <c r="AU101" s="1022"/>
    </row>
    <row r="102" spans="2:49" ht="15.95" customHeight="1">
      <c r="B102" s="335" t="s">
        <v>295</v>
      </c>
      <c r="C102" s="266" t="s">
        <v>295</v>
      </c>
      <c r="D102" s="336"/>
      <c r="E102" s="336"/>
      <c r="F102" s="336"/>
      <c r="G102" s="721">
        <f>Y158</f>
        <v>196.15100000000001</v>
      </c>
      <c r="H102" s="721">
        <v>214.19</v>
      </c>
      <c r="I102" s="721">
        <v>171.58287976712933</v>
      </c>
      <c r="J102" s="721">
        <v>183.72261604026733</v>
      </c>
      <c r="K102" s="721">
        <v>195.55720195494121</v>
      </c>
      <c r="L102" s="721">
        <v>207.09208836123113</v>
      </c>
      <c r="M102" s="721">
        <v>218.33264065375658</v>
      </c>
      <c r="N102" s="336"/>
      <c r="O102" s="336"/>
      <c r="P102" s="336"/>
      <c r="Q102" s="336"/>
      <c r="R102" s="336"/>
      <c r="S102" s="336"/>
      <c r="T102" s="336"/>
      <c r="U102" s="336"/>
      <c r="V102" s="336"/>
      <c r="W102" s="336"/>
      <c r="X102" s="336"/>
      <c r="Y102" s="336"/>
      <c r="Z102" s="336"/>
      <c r="AA102" s="336"/>
      <c r="AB102" s="266">
        <v>1</v>
      </c>
      <c r="AC102" s="727"/>
      <c r="AD102" s="725"/>
      <c r="AE102" s="725"/>
      <c r="AF102" s="725"/>
      <c r="AG102" s="725"/>
      <c r="AH102" s="725"/>
      <c r="AI102" s="725"/>
      <c r="AJ102" s="337">
        <v>1</v>
      </c>
      <c r="AK102" s="336"/>
      <c r="AL102" s="336"/>
      <c r="AU102" s="1022"/>
    </row>
    <row r="103" spans="2:49" ht="15.95" customHeight="1">
      <c r="B103" s="338"/>
      <c r="D103" s="339" t="s">
        <v>144</v>
      </c>
      <c r="G103" s="722"/>
      <c r="H103" s="722"/>
      <c r="I103" s="722"/>
      <c r="J103" s="722"/>
      <c r="K103" s="722"/>
      <c r="L103" s="722"/>
      <c r="M103" s="722"/>
      <c r="N103" s="339">
        <v>1</v>
      </c>
      <c r="O103" s="339">
        <v>1</v>
      </c>
      <c r="P103" s="339">
        <v>1</v>
      </c>
      <c r="Q103" s="339">
        <v>1</v>
      </c>
      <c r="R103" s="339">
        <v>1</v>
      </c>
      <c r="S103" s="339">
        <v>1</v>
      </c>
      <c r="T103" s="339">
        <v>1</v>
      </c>
      <c r="AC103" s="725"/>
      <c r="AD103" s="725"/>
      <c r="AE103" s="725"/>
      <c r="AF103" s="725"/>
      <c r="AG103" s="725"/>
      <c r="AH103" s="725"/>
      <c r="AI103" s="725"/>
      <c r="AJ103" s="340"/>
      <c r="AU103" s="1022"/>
    </row>
    <row r="104" spans="2:49" ht="15.95" customHeight="1">
      <c r="B104" s="338"/>
      <c r="E104" s="341" t="s">
        <v>172</v>
      </c>
      <c r="G104" s="722"/>
      <c r="H104" s="722"/>
      <c r="I104" s="722"/>
      <c r="J104" s="722"/>
      <c r="K104" s="722"/>
      <c r="L104" s="722"/>
      <c r="M104" s="722"/>
      <c r="AC104" s="348">
        <f>Z158/10</f>
        <v>30.2</v>
      </c>
      <c r="AD104" s="348">
        <v>32.700000000000003</v>
      </c>
      <c r="AE104" s="348">
        <v>33.084269509981851</v>
      </c>
      <c r="AF104" s="348">
        <v>33.473054709758863</v>
      </c>
      <c r="AG104" s="348">
        <v>33.866408664832704</v>
      </c>
      <c r="AH104" s="348">
        <v>34.264385064296938</v>
      </c>
      <c r="AI104" s="348">
        <v>34.66703822816504</v>
      </c>
      <c r="AJ104" s="340"/>
      <c r="AU104" s="1022"/>
    </row>
    <row r="105" spans="2:49" ht="15.95" customHeight="1">
      <c r="B105" s="338" t="s">
        <v>90</v>
      </c>
      <c r="E105" s="272" t="s">
        <v>135</v>
      </c>
      <c r="G105" s="722"/>
      <c r="H105" s="722"/>
      <c r="I105" s="722"/>
      <c r="J105" s="722"/>
      <c r="K105" s="722"/>
      <c r="L105" s="722"/>
      <c r="M105" s="722"/>
      <c r="U105" s="272">
        <f>AN105*AU105</f>
        <v>0</v>
      </c>
      <c r="V105" s="272"/>
      <c r="W105" s="272"/>
      <c r="X105" s="272"/>
      <c r="Y105" s="272"/>
      <c r="Z105" s="272"/>
      <c r="AA105" s="272"/>
      <c r="AC105" s="725"/>
      <c r="AD105" s="725"/>
      <c r="AE105" s="725"/>
      <c r="AF105" s="725"/>
      <c r="AG105" s="725"/>
      <c r="AH105" s="725"/>
      <c r="AI105" s="725"/>
      <c r="AJ105" s="340"/>
      <c r="AN105" s="272">
        <v>0</v>
      </c>
      <c r="AU105" s="1021">
        <v>0</v>
      </c>
      <c r="AW105" s="272">
        <f>U105*G102</f>
        <v>0</v>
      </c>
    </row>
    <row r="106" spans="2:49" ht="15.95" customHeight="1">
      <c r="B106" s="343"/>
      <c r="C106" s="344"/>
      <c r="D106" s="344"/>
      <c r="E106" s="344"/>
      <c r="F106" s="345" t="s">
        <v>98</v>
      </c>
      <c r="G106" s="723"/>
      <c r="H106" s="722"/>
      <c r="I106" s="722"/>
      <c r="J106" s="722"/>
      <c r="K106" s="722"/>
      <c r="L106" s="722"/>
      <c r="M106" s="722"/>
      <c r="N106" s="344"/>
      <c r="O106" s="344"/>
      <c r="P106" s="344"/>
      <c r="Q106" s="344"/>
      <c r="R106" s="344"/>
      <c r="S106" s="344"/>
      <c r="T106" s="344"/>
      <c r="U106" s="354"/>
      <c r="V106" s="354"/>
      <c r="W106" s="354"/>
      <c r="X106" s="354"/>
      <c r="Y106" s="354"/>
      <c r="Z106" s="354"/>
      <c r="AA106" s="354"/>
      <c r="AB106" s="344"/>
      <c r="AC106" s="726"/>
      <c r="AD106" s="726"/>
      <c r="AE106" s="726"/>
      <c r="AF106" s="726"/>
      <c r="AG106" s="726"/>
      <c r="AH106" s="726"/>
      <c r="AI106" s="726"/>
      <c r="AJ106" s="346"/>
      <c r="AK106" s="345">
        <v>8.0999999999999996E-4</v>
      </c>
      <c r="AL106" s="345">
        <v>8.0999999999999996E-4</v>
      </c>
      <c r="AU106" s="1022"/>
    </row>
    <row r="107" spans="2:49" ht="15.95" customHeight="1">
      <c r="B107" s="335" t="s">
        <v>297</v>
      </c>
      <c r="C107" s="266" t="s">
        <v>297</v>
      </c>
      <c r="D107" s="336"/>
      <c r="E107" s="336"/>
      <c r="F107" s="336"/>
      <c r="G107" s="721">
        <f>Y160</f>
        <v>1104.548</v>
      </c>
      <c r="H107" s="721">
        <v>1199.6780000000001</v>
      </c>
      <c r="I107" s="721">
        <v>1273.7649389896881</v>
      </c>
      <c r="J107" s="721">
        <v>1153.646594834069</v>
      </c>
      <c r="K107" s="721">
        <v>1036.1800299712315</v>
      </c>
      <c r="L107" s="721">
        <v>921.31945418420378</v>
      </c>
      <c r="M107" s="721">
        <v>809.01978788941472</v>
      </c>
      <c r="N107" s="336"/>
      <c r="O107" s="336"/>
      <c r="P107" s="336"/>
      <c r="Q107" s="336"/>
      <c r="R107" s="336"/>
      <c r="S107" s="336"/>
      <c r="T107" s="336"/>
      <c r="U107" s="336"/>
      <c r="V107" s="336"/>
      <c r="W107" s="336"/>
      <c r="X107" s="336"/>
      <c r="Y107" s="336"/>
      <c r="Z107" s="336"/>
      <c r="AA107" s="336"/>
      <c r="AB107" s="266">
        <v>1</v>
      </c>
      <c r="AC107" s="727"/>
      <c r="AD107" s="725"/>
      <c r="AE107" s="725"/>
      <c r="AF107" s="725"/>
      <c r="AG107" s="725"/>
      <c r="AH107" s="725"/>
      <c r="AI107" s="725"/>
      <c r="AJ107" s="337">
        <v>1</v>
      </c>
      <c r="AK107" s="336"/>
      <c r="AL107" s="336"/>
      <c r="AU107" s="1022"/>
    </row>
    <row r="108" spans="2:49" ht="15.95" customHeight="1">
      <c r="B108" s="338"/>
      <c r="D108" s="339" t="s">
        <v>144</v>
      </c>
      <c r="G108" s="722"/>
      <c r="H108" s="722"/>
      <c r="I108" s="722"/>
      <c r="J108" s="722"/>
      <c r="K108" s="722"/>
      <c r="L108" s="722"/>
      <c r="M108" s="722"/>
      <c r="N108" s="339">
        <v>1</v>
      </c>
      <c r="O108" s="339">
        <v>1</v>
      </c>
      <c r="P108" s="339">
        <v>1</v>
      </c>
      <c r="Q108" s="339">
        <v>1</v>
      </c>
      <c r="R108" s="339">
        <v>1</v>
      </c>
      <c r="S108" s="339">
        <v>1</v>
      </c>
      <c r="T108" s="339">
        <v>1</v>
      </c>
      <c r="AC108" s="725"/>
      <c r="AD108" s="725"/>
      <c r="AE108" s="725"/>
      <c r="AF108" s="725"/>
      <c r="AG108" s="725"/>
      <c r="AH108" s="725"/>
      <c r="AI108" s="725"/>
      <c r="AJ108" s="340"/>
      <c r="AU108" s="1022"/>
    </row>
    <row r="109" spans="2:49" ht="15.95" customHeight="1">
      <c r="B109" s="338"/>
      <c r="E109" s="341" t="s">
        <v>173</v>
      </c>
      <c r="G109" s="722"/>
      <c r="H109" s="722"/>
      <c r="I109" s="722"/>
      <c r="J109" s="722"/>
      <c r="K109" s="722"/>
      <c r="L109" s="722"/>
      <c r="M109" s="722"/>
      <c r="AC109" s="348">
        <f>Z160/10</f>
        <v>3.1399999999999997</v>
      </c>
      <c r="AD109" s="348">
        <v>3.22</v>
      </c>
      <c r="AE109" s="348">
        <v>3.2583610108303249</v>
      </c>
      <c r="AF109" s="348">
        <v>3.2971790300929245</v>
      </c>
      <c r="AG109" s="348">
        <v>3.3364595022925876</v>
      </c>
      <c r="AH109" s="348">
        <v>3.3762079367964342</v>
      </c>
      <c r="AI109" s="348">
        <v>3.4164299086066445</v>
      </c>
      <c r="AJ109" s="340"/>
      <c r="AU109" s="1022"/>
    </row>
    <row r="110" spans="2:49" ht="15.95" customHeight="1">
      <c r="B110" s="338" t="s">
        <v>90</v>
      </c>
      <c r="E110" s="272" t="s">
        <v>137</v>
      </c>
      <c r="G110" s="722"/>
      <c r="H110" s="722"/>
      <c r="I110" s="722"/>
      <c r="J110" s="722"/>
      <c r="K110" s="722"/>
      <c r="L110" s="722"/>
      <c r="M110" s="722"/>
      <c r="U110" s="272">
        <f>AN110*AU110</f>
        <v>0</v>
      </c>
      <c r="V110" s="272"/>
      <c r="W110" s="272"/>
      <c r="X110" s="272"/>
      <c r="Y110" s="272"/>
      <c r="Z110" s="272"/>
      <c r="AA110" s="272"/>
      <c r="AC110" s="725"/>
      <c r="AD110" s="725"/>
      <c r="AE110" s="725"/>
      <c r="AF110" s="725"/>
      <c r="AG110" s="725"/>
      <c r="AH110" s="725"/>
      <c r="AI110" s="725"/>
      <c r="AJ110" s="340"/>
      <c r="AN110" s="272">
        <v>0</v>
      </c>
      <c r="AU110" s="1021">
        <v>0</v>
      </c>
      <c r="AW110" s="272">
        <f>U110*G107</f>
        <v>0</v>
      </c>
    </row>
    <row r="111" spans="2:49" ht="15.95" customHeight="1">
      <c r="B111" s="343"/>
      <c r="C111" s="344"/>
      <c r="D111" s="344"/>
      <c r="E111" s="344"/>
      <c r="F111" s="345" t="s">
        <v>98</v>
      </c>
      <c r="G111" s="723"/>
      <c r="H111" s="722"/>
      <c r="I111" s="722"/>
      <c r="J111" s="722"/>
      <c r="K111" s="722"/>
      <c r="L111" s="722"/>
      <c r="M111" s="722"/>
      <c r="N111" s="344"/>
      <c r="O111" s="344"/>
      <c r="P111" s="344"/>
      <c r="Q111" s="344"/>
      <c r="R111" s="344"/>
      <c r="S111" s="344"/>
      <c r="T111" s="344"/>
      <c r="U111" s="344"/>
      <c r="V111" s="344"/>
      <c r="W111" s="344"/>
      <c r="X111" s="344"/>
      <c r="Y111" s="344"/>
      <c r="Z111" s="344"/>
      <c r="AA111" s="344"/>
      <c r="AB111" s="344"/>
      <c r="AC111" s="726"/>
      <c r="AD111" s="726"/>
      <c r="AE111" s="726"/>
      <c r="AF111" s="726"/>
      <c r="AG111" s="726"/>
      <c r="AH111" s="726"/>
      <c r="AI111" s="726"/>
      <c r="AJ111" s="346"/>
      <c r="AK111" s="345">
        <v>1.4E-3</v>
      </c>
      <c r="AL111" s="345">
        <v>1.4E-3</v>
      </c>
      <c r="AU111" s="1022"/>
    </row>
    <row r="112" spans="2:49" ht="15.95" customHeight="1">
      <c r="B112" s="335" t="s">
        <v>298</v>
      </c>
      <c r="C112" s="266" t="s">
        <v>298</v>
      </c>
      <c r="D112" s="336"/>
      <c r="E112" s="336"/>
      <c r="F112" s="336"/>
      <c r="G112" s="721">
        <v>0</v>
      </c>
      <c r="H112" s="721">
        <v>0</v>
      </c>
      <c r="I112" s="721">
        <v>0</v>
      </c>
      <c r="J112" s="721">
        <v>0</v>
      </c>
      <c r="K112" s="721">
        <v>0</v>
      </c>
      <c r="L112" s="721">
        <v>0</v>
      </c>
      <c r="M112" s="721">
        <v>0</v>
      </c>
      <c r="N112" s="336"/>
      <c r="O112" s="336"/>
      <c r="P112" s="336"/>
      <c r="Q112" s="336"/>
      <c r="R112" s="336"/>
      <c r="S112" s="336"/>
      <c r="T112" s="336"/>
      <c r="U112" s="336"/>
      <c r="V112" s="336"/>
      <c r="W112" s="336"/>
      <c r="X112" s="336"/>
      <c r="Y112" s="336"/>
      <c r="Z112" s="336"/>
      <c r="AA112" s="336"/>
      <c r="AB112" s="266">
        <v>1</v>
      </c>
      <c r="AC112" s="727"/>
      <c r="AD112" s="725"/>
      <c r="AE112" s="725"/>
      <c r="AF112" s="725"/>
      <c r="AG112" s="725"/>
      <c r="AH112" s="725"/>
      <c r="AI112" s="725"/>
      <c r="AJ112" s="337">
        <v>1</v>
      </c>
      <c r="AK112" s="336"/>
      <c r="AL112" s="336"/>
      <c r="AU112" s="1022"/>
    </row>
    <row r="113" spans="2:49" ht="15.95" customHeight="1">
      <c r="B113" s="338"/>
      <c r="D113" s="339" t="s">
        <v>144</v>
      </c>
      <c r="G113" s="722"/>
      <c r="H113" s="722"/>
      <c r="I113" s="722"/>
      <c r="J113" s="722"/>
      <c r="K113" s="722"/>
      <c r="L113" s="722"/>
      <c r="M113" s="722"/>
      <c r="N113" s="339">
        <v>1</v>
      </c>
      <c r="O113" s="339">
        <v>1</v>
      </c>
      <c r="P113" s="339">
        <v>1</v>
      </c>
      <c r="Q113" s="339">
        <v>1</v>
      </c>
      <c r="R113" s="339">
        <v>1</v>
      </c>
      <c r="S113" s="339">
        <v>1</v>
      </c>
      <c r="T113" s="339">
        <v>1</v>
      </c>
      <c r="AC113" s="725"/>
      <c r="AD113" s="725"/>
      <c r="AE113" s="725"/>
      <c r="AF113" s="725"/>
      <c r="AG113" s="725"/>
      <c r="AH113" s="725"/>
      <c r="AI113" s="725"/>
      <c r="AJ113" s="340"/>
      <c r="AU113" s="1022"/>
    </row>
    <row r="114" spans="2:49" ht="15.95" customHeight="1">
      <c r="B114" s="338"/>
      <c r="E114" s="341" t="s">
        <v>174</v>
      </c>
      <c r="G114" s="722"/>
      <c r="H114" s="722"/>
      <c r="I114" s="722"/>
      <c r="J114" s="722"/>
      <c r="K114" s="722"/>
      <c r="L114" s="722"/>
      <c r="M114" s="722"/>
      <c r="AC114" s="348">
        <v>0</v>
      </c>
      <c r="AD114" s="348">
        <v>0</v>
      </c>
      <c r="AE114" s="348">
        <v>0</v>
      </c>
      <c r="AF114" s="348">
        <v>0</v>
      </c>
      <c r="AG114" s="348">
        <v>0</v>
      </c>
      <c r="AH114" s="348">
        <v>0</v>
      </c>
      <c r="AI114" s="348">
        <v>0</v>
      </c>
      <c r="AJ114" s="340"/>
      <c r="AU114" s="1022"/>
    </row>
    <row r="115" spans="2:49" ht="15.95" customHeight="1">
      <c r="B115" s="338" t="s">
        <v>90</v>
      </c>
      <c r="E115" s="272" t="s">
        <v>138</v>
      </c>
      <c r="G115" s="722"/>
      <c r="H115" s="722"/>
      <c r="I115" s="722"/>
      <c r="J115" s="722"/>
      <c r="K115" s="722"/>
      <c r="L115" s="722"/>
      <c r="M115" s="722"/>
      <c r="U115" s="272">
        <f>AN115*AU115</f>
        <v>0</v>
      </c>
      <c r="V115" s="272"/>
      <c r="W115" s="272"/>
      <c r="X115" s="272"/>
      <c r="Y115" s="272"/>
      <c r="Z115" s="272"/>
      <c r="AA115" s="272"/>
      <c r="AC115" s="725"/>
      <c r="AD115" s="725"/>
      <c r="AE115" s="725"/>
      <c r="AF115" s="725"/>
      <c r="AG115" s="725"/>
      <c r="AH115" s="725"/>
      <c r="AI115" s="725"/>
      <c r="AJ115" s="340"/>
      <c r="AN115" s="272">
        <v>0</v>
      </c>
      <c r="AU115" s="1021">
        <v>0</v>
      </c>
      <c r="AW115" s="272">
        <f>U115*G112</f>
        <v>0</v>
      </c>
    </row>
    <row r="116" spans="2:49" ht="15.95" customHeight="1">
      <c r="B116" s="343"/>
      <c r="C116" s="344"/>
      <c r="D116" s="344"/>
      <c r="E116" s="344"/>
      <c r="F116" s="345" t="s">
        <v>98</v>
      </c>
      <c r="G116" s="723"/>
      <c r="H116" s="722"/>
      <c r="I116" s="722"/>
      <c r="J116" s="722"/>
      <c r="K116" s="722"/>
      <c r="L116" s="722"/>
      <c r="M116" s="722"/>
      <c r="N116" s="344"/>
      <c r="O116" s="344"/>
      <c r="P116" s="344"/>
      <c r="Q116" s="344"/>
      <c r="R116" s="344"/>
      <c r="S116" s="344"/>
      <c r="T116" s="344"/>
      <c r="U116" s="344"/>
      <c r="V116" s="344"/>
      <c r="W116" s="344"/>
      <c r="X116" s="344"/>
      <c r="Y116" s="344"/>
      <c r="Z116" s="344"/>
      <c r="AA116" s="344"/>
      <c r="AB116" s="344"/>
      <c r="AC116" s="726"/>
      <c r="AD116" s="726"/>
      <c r="AE116" s="726"/>
      <c r="AF116" s="726"/>
      <c r="AG116" s="726"/>
      <c r="AH116" s="726"/>
      <c r="AI116" s="726"/>
      <c r="AJ116" s="346"/>
      <c r="AK116" s="345">
        <v>1.3450000000000001E-3</v>
      </c>
      <c r="AL116" s="345">
        <v>1.3450000000000001E-3</v>
      </c>
      <c r="AU116" s="1022"/>
    </row>
    <row r="117" spans="2:49" ht="15.95" customHeight="1">
      <c r="B117" s="335" t="s">
        <v>299</v>
      </c>
      <c r="C117" s="266" t="s">
        <v>299</v>
      </c>
      <c r="D117" s="336"/>
      <c r="E117" s="336"/>
      <c r="F117" s="336"/>
      <c r="G117" s="721">
        <v>0</v>
      </c>
      <c r="H117" s="721">
        <v>0</v>
      </c>
      <c r="I117" s="721">
        <v>0</v>
      </c>
      <c r="J117" s="721">
        <v>0</v>
      </c>
      <c r="K117" s="721">
        <v>0</v>
      </c>
      <c r="L117" s="721">
        <v>0</v>
      </c>
      <c r="M117" s="721">
        <v>0</v>
      </c>
      <c r="N117" s="336"/>
      <c r="O117" s="336"/>
      <c r="P117" s="336"/>
      <c r="Q117" s="336"/>
      <c r="R117" s="336"/>
      <c r="S117" s="336"/>
      <c r="T117" s="336"/>
      <c r="U117" s="336"/>
      <c r="V117" s="336"/>
      <c r="W117" s="336"/>
      <c r="X117" s="336"/>
      <c r="Y117" s="336"/>
      <c r="Z117" s="336"/>
      <c r="AA117" s="336"/>
      <c r="AB117" s="266">
        <v>1</v>
      </c>
      <c r="AC117" s="727"/>
      <c r="AD117" s="725"/>
      <c r="AE117" s="725"/>
      <c r="AF117" s="725"/>
      <c r="AG117" s="725"/>
      <c r="AH117" s="725"/>
      <c r="AI117" s="725"/>
      <c r="AJ117" s="337">
        <v>1</v>
      </c>
      <c r="AK117" s="336"/>
      <c r="AL117" s="336"/>
      <c r="AU117" s="1022"/>
    </row>
    <row r="118" spans="2:49" ht="15.95" customHeight="1">
      <c r="B118" s="338"/>
      <c r="D118" s="339" t="s">
        <v>144</v>
      </c>
      <c r="G118" s="722"/>
      <c r="H118" s="722"/>
      <c r="I118" s="722"/>
      <c r="J118" s="722"/>
      <c r="K118" s="722"/>
      <c r="L118" s="722"/>
      <c r="M118" s="722"/>
      <c r="N118" s="339">
        <v>1</v>
      </c>
      <c r="O118" s="339">
        <v>1</v>
      </c>
      <c r="P118" s="339">
        <v>1</v>
      </c>
      <c r="Q118" s="339">
        <v>1</v>
      </c>
      <c r="R118" s="339">
        <v>1</v>
      </c>
      <c r="S118" s="339">
        <v>1</v>
      </c>
      <c r="T118" s="339">
        <v>1</v>
      </c>
      <c r="AC118" s="725"/>
      <c r="AD118" s="725"/>
      <c r="AE118" s="725"/>
      <c r="AF118" s="725"/>
      <c r="AG118" s="725"/>
      <c r="AH118" s="725"/>
      <c r="AI118" s="725"/>
      <c r="AJ118" s="340"/>
      <c r="AU118" s="1022"/>
    </row>
    <row r="119" spans="2:49" ht="15.95" customHeight="1">
      <c r="B119" s="338"/>
      <c r="E119" s="341" t="s">
        <v>175</v>
      </c>
      <c r="G119" s="722"/>
      <c r="H119" s="722"/>
      <c r="I119" s="722"/>
      <c r="J119" s="722"/>
      <c r="K119" s="722"/>
      <c r="L119" s="722"/>
      <c r="M119" s="722"/>
      <c r="AC119" s="348">
        <v>0</v>
      </c>
      <c r="AD119" s="348">
        <v>0</v>
      </c>
      <c r="AE119" s="348">
        <v>0</v>
      </c>
      <c r="AF119" s="348">
        <v>0</v>
      </c>
      <c r="AG119" s="348">
        <v>0</v>
      </c>
      <c r="AH119" s="348">
        <v>0</v>
      </c>
      <c r="AI119" s="348">
        <v>0</v>
      </c>
      <c r="AJ119" s="340"/>
      <c r="AU119" s="1022"/>
    </row>
    <row r="120" spans="2:49" ht="15.95" customHeight="1">
      <c r="B120" s="338" t="s">
        <v>90</v>
      </c>
      <c r="E120" s="272" t="s">
        <v>139</v>
      </c>
      <c r="G120" s="722"/>
      <c r="H120" s="722"/>
      <c r="I120" s="722"/>
      <c r="J120" s="722"/>
      <c r="K120" s="722"/>
      <c r="L120" s="722"/>
      <c r="M120" s="722"/>
      <c r="U120" s="272">
        <f>AN120*AU120</f>
        <v>0</v>
      </c>
      <c r="V120" s="272"/>
      <c r="W120" s="272"/>
      <c r="X120" s="272"/>
      <c r="Y120" s="272"/>
      <c r="Z120" s="272"/>
      <c r="AA120" s="272"/>
      <c r="AJ120" s="340"/>
      <c r="AN120" s="272">
        <v>0</v>
      </c>
      <c r="AU120" s="1021">
        <v>0</v>
      </c>
      <c r="AW120" s="272">
        <f>U120*G117</f>
        <v>0</v>
      </c>
    </row>
    <row r="121" spans="2:49" ht="15.95" customHeight="1">
      <c r="B121" s="343"/>
      <c r="C121" s="344"/>
      <c r="D121" s="344"/>
      <c r="E121" s="344"/>
      <c r="F121" s="345" t="s">
        <v>98</v>
      </c>
      <c r="G121" s="723"/>
      <c r="H121" s="723"/>
      <c r="I121" s="723"/>
      <c r="J121" s="723"/>
      <c r="K121" s="723"/>
      <c r="L121" s="723"/>
      <c r="M121" s="723"/>
      <c r="N121" s="344"/>
      <c r="O121" s="344"/>
      <c r="P121" s="344"/>
      <c r="Q121" s="344"/>
      <c r="R121" s="344"/>
      <c r="S121" s="344"/>
      <c r="T121" s="344"/>
      <c r="U121" s="344"/>
      <c r="V121" s="344"/>
      <c r="W121" s="344"/>
      <c r="X121" s="344"/>
      <c r="Y121" s="344"/>
      <c r="Z121" s="344"/>
      <c r="AA121" s="344"/>
      <c r="AB121" s="344"/>
      <c r="AC121" s="344"/>
      <c r="AD121" s="344"/>
      <c r="AE121" s="344"/>
      <c r="AF121" s="344"/>
      <c r="AG121" s="344"/>
      <c r="AH121" s="344"/>
      <c r="AI121" s="344"/>
      <c r="AJ121" s="346"/>
      <c r="AK121" s="345">
        <v>2.0999999999999999E-3</v>
      </c>
      <c r="AL121" s="345">
        <v>2.0999999999999999E-3</v>
      </c>
    </row>
    <row r="122" spans="2:49" ht="15.95" customHeight="1"/>
    <row r="123" spans="2:49" ht="15.95" customHeight="1">
      <c r="G123" s="718"/>
    </row>
    <row r="124" spans="2:49" ht="15.95" customHeight="1" thickBot="1"/>
    <row r="125" spans="2:49" ht="15.95" customHeight="1">
      <c r="X125" s="358" t="s">
        <v>395</v>
      </c>
      <c r="Y125" s="359" t="s">
        <v>396</v>
      </c>
      <c r="Z125" s="360" t="s">
        <v>397</v>
      </c>
      <c r="AA125" s="360" t="s">
        <v>398</v>
      </c>
      <c r="AB125" s="361" t="s">
        <v>399</v>
      </c>
      <c r="AC125" s="362" t="s">
        <v>400</v>
      </c>
      <c r="AD125" s="362" t="s">
        <v>401</v>
      </c>
      <c r="AE125" s="362" t="s">
        <v>402</v>
      </c>
      <c r="AF125" s="362" t="s">
        <v>403</v>
      </c>
      <c r="AG125" s="362" t="s">
        <v>404</v>
      </c>
    </row>
    <row r="126" spans="2:49" ht="15.95" customHeight="1" thickBot="1">
      <c r="X126" s="365" t="s">
        <v>372</v>
      </c>
      <c r="Y126" s="366" t="s">
        <v>372</v>
      </c>
      <c r="Z126" s="367" t="s">
        <v>372</v>
      </c>
      <c r="AA126" s="367" t="s">
        <v>372</v>
      </c>
      <c r="AB126" s="368" t="s">
        <v>372</v>
      </c>
      <c r="AC126" s="369" t="s">
        <v>372</v>
      </c>
      <c r="AD126" s="369" t="s">
        <v>372</v>
      </c>
      <c r="AE126" s="369" t="s">
        <v>372</v>
      </c>
      <c r="AF126" s="369" t="s">
        <v>372</v>
      </c>
      <c r="AG126" s="369" t="s">
        <v>372</v>
      </c>
    </row>
    <row r="127" spans="2:49">
      <c r="X127" s="372" t="s">
        <v>405</v>
      </c>
      <c r="Y127" s="373">
        <v>12668906.699999999</v>
      </c>
      <c r="Z127" s="374">
        <v>3000622.1</v>
      </c>
      <c r="AA127" s="374">
        <v>6821561.2000000002</v>
      </c>
      <c r="AB127" s="375">
        <v>2079958.5</v>
      </c>
      <c r="AC127" s="376">
        <v>6195235.9000000004</v>
      </c>
      <c r="AD127" s="376">
        <v>1657986.3</v>
      </c>
      <c r="AE127" s="376">
        <v>2959751.9</v>
      </c>
      <c r="AF127" s="376">
        <v>117575.3</v>
      </c>
      <c r="AG127" s="376">
        <v>4294.8</v>
      </c>
    </row>
    <row r="128" spans="2:49" ht="16.5" customHeight="1">
      <c r="X128" s="372" t="s">
        <v>410</v>
      </c>
      <c r="Y128" s="377">
        <v>0.89</v>
      </c>
      <c r="Z128" s="378">
        <v>0.8</v>
      </c>
      <c r="AA128" s="378">
        <v>1.3</v>
      </c>
      <c r="AB128" s="379">
        <v>0.9</v>
      </c>
      <c r="AC128" s="380">
        <v>1.1000000000000001</v>
      </c>
      <c r="AD128" s="380">
        <v>1.1000000000000001</v>
      </c>
      <c r="AE128" s="380">
        <v>1.4</v>
      </c>
      <c r="AF128" s="380">
        <v>1.7</v>
      </c>
      <c r="AG128" s="380">
        <v>1.4</v>
      </c>
    </row>
    <row r="129" spans="2:39">
      <c r="D129" s="243" t="s">
        <v>337</v>
      </c>
      <c r="E129" s="42"/>
      <c r="X129" s="372" t="s">
        <v>411</v>
      </c>
      <c r="Y129" s="377">
        <v>0.85</v>
      </c>
      <c r="Z129" s="378">
        <v>0.86</v>
      </c>
      <c r="AA129" s="378">
        <v>0.52</v>
      </c>
      <c r="AB129" s="379">
        <v>0.86</v>
      </c>
      <c r="AC129" s="380">
        <v>0.86</v>
      </c>
      <c r="AD129" s="380">
        <v>0.86</v>
      </c>
      <c r="AE129" s="380">
        <v>0.86</v>
      </c>
      <c r="AF129" s="380">
        <v>0.86</v>
      </c>
      <c r="AG129" s="380">
        <v>0.89</v>
      </c>
    </row>
    <row r="130" spans="2:39">
      <c r="B130" s="71" t="s">
        <v>179</v>
      </c>
      <c r="C130" s="72" t="s">
        <v>358</v>
      </c>
      <c r="D130" s="71" t="s">
        <v>306</v>
      </c>
      <c r="E130" s="163" t="s">
        <v>359</v>
      </c>
      <c r="X130" s="372" t="s">
        <v>413</v>
      </c>
      <c r="Y130" s="377">
        <v>0.01</v>
      </c>
      <c r="Z130" s="378">
        <v>0.01</v>
      </c>
      <c r="AA130" s="378">
        <v>0</v>
      </c>
      <c r="AB130" s="379">
        <v>0</v>
      </c>
      <c r="AC130" s="380">
        <v>0.01</v>
      </c>
      <c r="AD130" s="380">
        <v>0</v>
      </c>
      <c r="AE130" s="380">
        <v>0.01</v>
      </c>
      <c r="AF130" s="380">
        <v>0</v>
      </c>
      <c r="AG130" s="380">
        <v>0</v>
      </c>
    </row>
    <row r="131" spans="2:39" ht="13.5" customHeight="1" thickBot="1">
      <c r="B131" s="74" t="s">
        <v>348</v>
      </c>
      <c r="C131" s="74" t="s">
        <v>349</v>
      </c>
      <c r="D131" s="74" t="s">
        <v>351</v>
      </c>
      <c r="E131" s="74" t="s">
        <v>361</v>
      </c>
      <c r="X131" s="383" t="s">
        <v>415</v>
      </c>
      <c r="Y131" s="384">
        <v>0.9</v>
      </c>
      <c r="Z131" s="385">
        <v>0.9</v>
      </c>
      <c r="AA131" s="385">
        <v>0.9</v>
      </c>
      <c r="AB131" s="386">
        <v>0.9</v>
      </c>
      <c r="AC131" s="387">
        <v>0.9</v>
      </c>
      <c r="AD131" s="387">
        <v>0.9</v>
      </c>
      <c r="AE131" s="387">
        <v>0.9</v>
      </c>
      <c r="AF131" s="387">
        <v>0.9</v>
      </c>
      <c r="AG131" s="387">
        <v>0.9</v>
      </c>
    </row>
    <row r="132" spans="2:39">
      <c r="B132" s="320" t="str">
        <f>AGR_Proc!D32</f>
        <v>AGR_IMP_DUMMY_LAND</v>
      </c>
      <c r="C132" s="320" t="str">
        <f>AGR_Proc!E32</f>
        <v>Dummy Land Import</v>
      </c>
      <c r="D132" s="320" t="str">
        <f>AGR_Comm!D63</f>
        <v>AGR_LAND</v>
      </c>
      <c r="E132" s="320">
        <v>1E-3</v>
      </c>
    </row>
    <row r="133" spans="2:39" ht="13.5" thickBot="1">
      <c r="B133" s="323"/>
      <c r="C133" s="323"/>
      <c r="D133" s="323"/>
      <c r="E133" s="323"/>
      <c r="X133" s="265" t="s">
        <v>394</v>
      </c>
    </row>
    <row r="134" spans="2:39">
      <c r="X134" s="355"/>
      <c r="Y134" s="356"/>
      <c r="Z134" s="356"/>
      <c r="AA134" s="356"/>
      <c r="AB134" s="356"/>
      <c r="AC134" s="357"/>
    </row>
    <row r="135" spans="2:39" ht="15.75">
      <c r="X135" s="944" t="s">
        <v>816</v>
      </c>
      <c r="Y135" s="945"/>
      <c r="Z135" s="945"/>
      <c r="AA135" s="946"/>
      <c r="AB135" s="432"/>
      <c r="AC135" s="364" t="s">
        <v>360</v>
      </c>
    </row>
    <row r="136" spans="2:39">
      <c r="C136" s="344"/>
      <c r="D136" s="344"/>
      <c r="E136" s="344"/>
      <c r="X136" s="370"/>
      <c r="Y136" s="363"/>
      <c r="Z136" s="363"/>
      <c r="AA136" s="363"/>
      <c r="AB136" s="363"/>
      <c r="AC136" s="371"/>
      <c r="AM136" s="722"/>
    </row>
    <row r="137" spans="2:39">
      <c r="X137" s="942" t="s">
        <v>406</v>
      </c>
      <c r="Y137" s="943" t="s">
        <v>407</v>
      </c>
      <c r="Z137" s="943" t="s">
        <v>408</v>
      </c>
      <c r="AA137" s="943" t="s">
        <v>409</v>
      </c>
      <c r="AB137" s="363"/>
      <c r="AC137" s="371"/>
      <c r="AF137" s="915">
        <v>2024</v>
      </c>
      <c r="AG137" s="915">
        <v>2025</v>
      </c>
      <c r="AH137" s="915">
        <v>2030</v>
      </c>
      <c r="AI137" s="915">
        <v>2035</v>
      </c>
      <c r="AJ137" s="915">
        <v>2040</v>
      </c>
      <c r="AK137" s="915">
        <v>2045</v>
      </c>
      <c r="AL137" s="915">
        <v>2050</v>
      </c>
    </row>
    <row r="138" spans="2:39">
      <c r="X138" s="942"/>
      <c r="Y138" s="943"/>
      <c r="Z138" s="943"/>
      <c r="AA138" s="943"/>
      <c r="AB138" s="363"/>
      <c r="AC138" s="371"/>
    </row>
    <row r="139" spans="2:39">
      <c r="X139" s="950" t="s">
        <v>412</v>
      </c>
      <c r="Y139" s="951"/>
      <c r="Z139" s="951"/>
      <c r="AA139" s="951"/>
      <c r="AB139" s="951"/>
      <c r="AC139" s="952"/>
      <c r="AD139" s="914" t="str">
        <f>C28</f>
        <v>AGR_LAND_CROP_WHEAT</v>
      </c>
      <c r="AE139" s="916" t="s">
        <v>941</v>
      </c>
      <c r="AF139" s="917">
        <f t="shared" ref="AF139:AL139" si="16">G28</f>
        <v>2385.6930000000002</v>
      </c>
      <c r="AG139" s="918">
        <f t="shared" si="16"/>
        <v>2414.1109999999999</v>
      </c>
      <c r="AH139" s="918">
        <f t="shared" si="16"/>
        <v>2428.6907322480297</v>
      </c>
      <c r="AI139" s="918">
        <f t="shared" si="16"/>
        <v>2190.4247839195932</v>
      </c>
      <c r="AJ139" s="918">
        <f t="shared" si="16"/>
        <v>1956.1428704727355</v>
      </c>
      <c r="AK139" s="918">
        <f t="shared" si="16"/>
        <v>1725.7935106684015</v>
      </c>
      <c r="AL139" s="919">
        <f t="shared" si="16"/>
        <v>1499.325819186625</v>
      </c>
    </row>
    <row r="140" spans="2:39">
      <c r="X140" s="370" t="s">
        <v>414</v>
      </c>
      <c r="Y140" s="381">
        <v>2385.6930000000002</v>
      </c>
      <c r="Z140" s="363">
        <v>52</v>
      </c>
      <c r="AA140" s="382">
        <v>124145899</v>
      </c>
      <c r="AB140" s="363"/>
      <c r="AC140" s="371"/>
      <c r="AD140" s="914"/>
      <c r="AE140" s="916" t="s">
        <v>942</v>
      </c>
      <c r="AF140" s="920">
        <v>12405.603600000002</v>
      </c>
      <c r="AG140" s="921">
        <v>13494.88049</v>
      </c>
      <c r="AH140" s="921">
        <v>13696.233569097454</v>
      </c>
      <c r="AI140" s="921">
        <v>12461.61739082309</v>
      </c>
      <c r="AJ140" s="921">
        <v>11227.001212548726</v>
      </c>
      <c r="AK140" s="921">
        <v>9992.3850342743626</v>
      </c>
      <c r="AL140" s="922">
        <v>8757.7688560000006</v>
      </c>
    </row>
    <row r="141" spans="2:39">
      <c r="X141" s="950" t="s">
        <v>416</v>
      </c>
      <c r="Y141" s="951"/>
      <c r="Z141" s="951"/>
      <c r="AA141" s="951"/>
      <c r="AB141" s="951"/>
      <c r="AC141" s="952"/>
      <c r="AD141" s="914" t="str">
        <f>C36</f>
        <v>AGR_LAND_CROP_BARLEY</v>
      </c>
      <c r="AF141" s="917">
        <f t="shared" ref="AF141:AL141" si="17">G36</f>
        <v>695.31399999999996</v>
      </c>
      <c r="AG141" s="918">
        <f t="shared" si="17"/>
        <v>620.62599999999998</v>
      </c>
      <c r="AH141" s="918">
        <f t="shared" si="17"/>
        <v>671.35790636676734</v>
      </c>
      <c r="AI141" s="918">
        <f t="shared" si="17"/>
        <v>601.65783341846043</v>
      </c>
      <c r="AJ141" s="918">
        <f t="shared" si="17"/>
        <v>533.67350141039867</v>
      </c>
      <c r="AK141" s="918">
        <f t="shared" si="17"/>
        <v>467.37185585348521</v>
      </c>
      <c r="AL141" s="919">
        <f t="shared" si="17"/>
        <v>402.72041468099223</v>
      </c>
    </row>
    <row r="142" spans="2:39">
      <c r="X142" s="370" t="s">
        <v>417</v>
      </c>
      <c r="Y142" s="363">
        <v>682.18100000000004</v>
      </c>
      <c r="Z142" s="363">
        <v>35.700000000000003</v>
      </c>
      <c r="AA142" s="382">
        <v>24385526</v>
      </c>
      <c r="AB142" s="363"/>
      <c r="AC142" s="371"/>
      <c r="AF142" s="920">
        <v>3017.6627599999997</v>
      </c>
      <c r="AG142" s="921">
        <v>2991.41732</v>
      </c>
      <c r="AH142" s="921">
        <v>3279.0299302482513</v>
      </c>
      <c r="AI142" s="921">
        <v>2977.7284014361885</v>
      </c>
      <c r="AJ142" s="921">
        <v>2676.4268726241257</v>
      </c>
      <c r="AK142" s="921">
        <v>2375.125343812063</v>
      </c>
      <c r="AL142" s="922">
        <v>2073.8238149999997</v>
      </c>
    </row>
    <row r="143" spans="2:39">
      <c r="X143" s="950" t="s">
        <v>418</v>
      </c>
      <c r="Y143" s="951"/>
      <c r="Z143" s="951"/>
      <c r="AA143" s="951"/>
      <c r="AB143" s="951"/>
      <c r="AC143" s="952"/>
      <c r="AD143" s="914" t="str">
        <f>C44</f>
        <v>AGR_LAND_CROP_MAIZE</v>
      </c>
      <c r="AF143" s="917">
        <f>G44</f>
        <v>1276.7270000000001</v>
      </c>
      <c r="AG143" s="918">
        <f t="shared" ref="AG143:AL143" si="18">H44</f>
        <v>1341.8119999999999</v>
      </c>
      <c r="AH143" s="918">
        <f t="shared" si="18"/>
        <v>1379.8494899338393</v>
      </c>
      <c r="AI143" s="918">
        <f t="shared" si="18"/>
        <v>1084.3560131831975</v>
      </c>
      <c r="AJ143" s="918">
        <f t="shared" si="18"/>
        <v>798.94852710191037</v>
      </c>
      <c r="AK143" s="918">
        <f t="shared" si="18"/>
        <v>523.36153020267045</v>
      </c>
      <c r="AL143" s="919">
        <f t="shared" si="18"/>
        <v>257.33577835231188</v>
      </c>
    </row>
    <row r="144" spans="2:39">
      <c r="X144" s="370" t="s">
        <v>417</v>
      </c>
      <c r="Y144" s="363">
        <v>695.31399999999996</v>
      </c>
      <c r="Z144" s="363">
        <v>43.4</v>
      </c>
      <c r="AA144" s="382">
        <v>30161612</v>
      </c>
      <c r="AB144" s="363"/>
      <c r="AC144" s="371"/>
      <c r="AD144" s="914"/>
      <c r="AF144" s="920">
        <v>9396.7107199999991</v>
      </c>
      <c r="AG144" s="921">
        <v>10533.224199999999</v>
      </c>
      <c r="AH144" s="921">
        <v>11028.193910440143</v>
      </c>
      <c r="AI144" s="921">
        <v>8823.6360865801071</v>
      </c>
      <c r="AJ144" s="921">
        <v>6619.0782627200715</v>
      </c>
      <c r="AK144" s="921">
        <v>4414.5204388600359</v>
      </c>
      <c r="AL144" s="922">
        <v>2209.9626149999999</v>
      </c>
    </row>
    <row r="145" spans="24:38">
      <c r="X145" s="950" t="s">
        <v>419</v>
      </c>
      <c r="Y145" s="951"/>
      <c r="Z145" s="951"/>
      <c r="AA145" s="951"/>
      <c r="AB145" s="951"/>
      <c r="AC145" s="952"/>
      <c r="AD145" s="914" t="str">
        <f>C52</f>
        <v>AGR_LAND_CROP_CER-MIX</v>
      </c>
      <c r="AF145" s="917">
        <f>G52</f>
        <v>252.4</v>
      </c>
      <c r="AG145" s="918">
        <f t="shared" ref="AG145:AL145" si="19">H52</f>
        <v>197.244</v>
      </c>
      <c r="AH145" s="918">
        <f t="shared" si="19"/>
        <v>165.41704109737631</v>
      </c>
      <c r="AI145" s="918">
        <f t="shared" si="19"/>
        <v>263.45817585049758</v>
      </c>
      <c r="AJ145" s="918">
        <f t="shared" si="19"/>
        <v>360.11514856258532</v>
      </c>
      <c r="AK145" s="918">
        <f t="shared" si="19"/>
        <v>455.40255794324582</v>
      </c>
      <c r="AL145" s="919">
        <f t="shared" si="19"/>
        <v>549.3348659722509</v>
      </c>
    </row>
    <row r="146" spans="24:38">
      <c r="X146" s="370" t="s">
        <v>414</v>
      </c>
      <c r="Y146" s="363">
        <v>519.00300000000004</v>
      </c>
      <c r="Z146" s="363">
        <v>31.7</v>
      </c>
      <c r="AA146" s="382">
        <v>16475645</v>
      </c>
      <c r="AB146" s="363"/>
      <c r="AC146" s="371"/>
      <c r="AD146" s="914"/>
      <c r="AF146" s="920">
        <v>832.92</v>
      </c>
      <c r="AG146" s="921">
        <v>710.07839999999999</v>
      </c>
      <c r="AH146" s="921">
        <v>599.7098380420781</v>
      </c>
      <c r="AI146" s="921">
        <v>961.90244853155855</v>
      </c>
      <c r="AJ146" s="921">
        <v>1324.0950590210391</v>
      </c>
      <c r="AK146" s="921">
        <v>1686.2876695105197</v>
      </c>
      <c r="AL146" s="922">
        <v>2048.4802799999998</v>
      </c>
    </row>
    <row r="147" spans="24:38">
      <c r="X147" s="950" t="s">
        <v>420</v>
      </c>
      <c r="Y147" s="951"/>
      <c r="Z147" s="951"/>
      <c r="AA147" s="951"/>
      <c r="AB147" s="951"/>
      <c r="AC147" s="952"/>
      <c r="AD147" s="914" t="str">
        <f>C60</f>
        <v>AGR_LAND_CROP_TRITICALE</v>
      </c>
      <c r="AF147" s="917">
        <f>G60</f>
        <v>1147.0340000000001</v>
      </c>
      <c r="AG147" s="918">
        <f t="shared" ref="AG147:AL147" si="20">H60</f>
        <v>1115.5039999999999</v>
      </c>
      <c r="AH147" s="918">
        <f t="shared" si="20"/>
        <v>1036.0261588958863</v>
      </c>
      <c r="AI147" s="918">
        <f t="shared" si="20"/>
        <v>966.49993336724128</v>
      </c>
      <c r="AJ147" s="918">
        <f t="shared" si="20"/>
        <v>897.9168058806622</v>
      </c>
      <c r="AK147" s="918">
        <f t="shared" si="20"/>
        <v>830.26683131141351</v>
      </c>
      <c r="AL147" s="919">
        <f t="shared" si="20"/>
        <v>763.54015863102313</v>
      </c>
    </row>
    <row r="148" spans="24:38">
      <c r="X148" s="370" t="s">
        <v>417</v>
      </c>
      <c r="Y148" s="381">
        <v>1147.0340000000001</v>
      </c>
      <c r="Z148" s="363">
        <v>44</v>
      </c>
      <c r="AA148" s="382">
        <v>50521954</v>
      </c>
      <c r="AB148" s="363"/>
      <c r="AC148" s="371"/>
      <c r="AD148" s="914"/>
      <c r="AF148" s="920">
        <v>5046.9496000000008</v>
      </c>
      <c r="AG148" s="921">
        <v>5265.1788800000004</v>
      </c>
      <c r="AH148" s="921">
        <v>4925.3324434833467</v>
      </c>
      <c r="AI148" s="921">
        <v>4627.95882061251</v>
      </c>
      <c r="AJ148" s="921">
        <v>4330.5851977416733</v>
      </c>
      <c r="AK148" s="921">
        <v>4033.2115748708366</v>
      </c>
      <c r="AL148" s="922">
        <v>3735.8379519999999</v>
      </c>
    </row>
    <row r="149" spans="24:38">
      <c r="X149" s="950" t="s">
        <v>421</v>
      </c>
      <c r="Y149" s="951"/>
      <c r="Z149" s="951"/>
      <c r="AA149" s="951"/>
      <c r="AB149" s="951"/>
      <c r="AC149" s="952"/>
      <c r="AD149" s="914" t="str">
        <f>C68</f>
        <v>AGR_LAND_CROP_OATS</v>
      </c>
      <c r="AF149" s="917">
        <f>G68</f>
        <v>519.00300000000004</v>
      </c>
      <c r="AG149" s="918">
        <f t="shared" ref="AG149:AL149" si="21">H68</f>
        <v>528.65300000000002</v>
      </c>
      <c r="AH149" s="918">
        <f t="shared" si="21"/>
        <v>490.98733575028598</v>
      </c>
      <c r="AI149" s="918">
        <f t="shared" si="21"/>
        <v>425.9450577823394</v>
      </c>
      <c r="AJ149" s="918">
        <f t="shared" si="21"/>
        <v>361.80960391150643</v>
      </c>
      <c r="AK149" s="918">
        <f t="shared" si="21"/>
        <v>298.57131862351798</v>
      </c>
      <c r="AL149" s="919">
        <f t="shared" si="21"/>
        <v>236.22063821246601</v>
      </c>
    </row>
    <row r="150" spans="24:38">
      <c r="X150" s="370" t="s">
        <v>417</v>
      </c>
      <c r="Y150" s="363">
        <v>252.4</v>
      </c>
      <c r="Z150" s="363">
        <v>33</v>
      </c>
      <c r="AA150" s="382">
        <v>8334447</v>
      </c>
      <c r="AB150" s="363"/>
      <c r="AC150" s="371"/>
      <c r="AD150" s="914"/>
      <c r="AF150" s="920">
        <v>1645.2395100000001</v>
      </c>
      <c r="AG150" s="921">
        <v>1844.9989699999999</v>
      </c>
      <c r="AH150" s="921">
        <v>1725.91159621425</v>
      </c>
      <c r="AI150" s="921">
        <v>1508.0810034106876</v>
      </c>
      <c r="AJ150" s="921">
        <v>1290.2504106071251</v>
      </c>
      <c r="AK150" s="921">
        <v>1072.4198178035626</v>
      </c>
      <c r="AL150" s="922">
        <v>854.58922499999994</v>
      </c>
    </row>
    <row r="151" spans="24:38">
      <c r="X151" s="950" t="s">
        <v>422</v>
      </c>
      <c r="Y151" s="951"/>
      <c r="Z151" s="951"/>
      <c r="AA151" s="951"/>
      <c r="AB151" s="951"/>
      <c r="AC151" s="952"/>
      <c r="AD151" s="914" t="str">
        <f>C76</f>
        <v>AGR_LAND_CROP_RYE</v>
      </c>
      <c r="AF151" s="917">
        <f>G76</f>
        <v>682.18100000000004</v>
      </c>
      <c r="AG151" s="918">
        <f t="shared" ref="AG151:AL151" si="22">H76</f>
        <v>603.91600000000005</v>
      </c>
      <c r="AH151" s="918">
        <f t="shared" si="22"/>
        <v>560.88796972110197</v>
      </c>
      <c r="AI151" s="918">
        <f t="shared" si="22"/>
        <v>508.69901723221244</v>
      </c>
      <c r="AJ151" s="918">
        <f t="shared" si="22"/>
        <v>457.22911778584614</v>
      </c>
      <c r="AK151" s="918">
        <f t="shared" si="22"/>
        <v>406.47064673273252</v>
      </c>
      <c r="AL151" s="919">
        <f t="shared" si="22"/>
        <v>356.41605176959928</v>
      </c>
    </row>
    <row r="152" spans="24:38" ht="15">
      <c r="X152" s="370" t="s">
        <v>417</v>
      </c>
      <c r="Y152" s="363">
        <v>1276.7270000000001</v>
      </c>
      <c r="Z152" s="363">
        <v>73.599999999999994</v>
      </c>
      <c r="AA152" s="382">
        <v>93980760</v>
      </c>
      <c r="AB152" s="388"/>
      <c r="AC152" s="389"/>
      <c r="AD152" s="914"/>
      <c r="AF152" s="920">
        <v>2435.3861700000002</v>
      </c>
      <c r="AG152" s="921">
        <v>2306.9591200000004</v>
      </c>
      <c r="AH152" s="921">
        <v>2158.0540487782614</v>
      </c>
      <c r="AI152" s="921">
        <v>1971.3780670836961</v>
      </c>
      <c r="AJ152" s="921">
        <v>1784.7020853891308</v>
      </c>
      <c r="AK152" s="921">
        <v>1598.0261036945656</v>
      </c>
      <c r="AL152" s="922">
        <v>1411.3501220000001</v>
      </c>
    </row>
    <row r="153" spans="24:38">
      <c r="X153" s="950" t="s">
        <v>423</v>
      </c>
      <c r="Y153" s="951"/>
      <c r="Z153" s="951"/>
      <c r="AA153" s="951"/>
      <c r="AB153" s="951"/>
      <c r="AC153" s="952"/>
      <c r="AD153" s="914" t="str">
        <f>C84</f>
        <v>AGR_LAND_CROP_MILL-BUCK</v>
      </c>
      <c r="AF153" s="917">
        <f>G84</f>
        <v>116.38</v>
      </c>
      <c r="AG153" s="918">
        <f t="shared" ref="AG153:AL153" si="23">H84</f>
        <v>83.955171122994656</v>
      </c>
      <c r="AH153" s="918">
        <f t="shared" si="23"/>
        <v>70.408306422449712</v>
      </c>
      <c r="AI153" s="918">
        <f t="shared" si="23"/>
        <v>61.630596536094274</v>
      </c>
      <c r="AJ153" s="918">
        <f t="shared" si="23"/>
        <v>52.972615256014684</v>
      </c>
      <c r="AK153" s="918">
        <f t="shared" si="23"/>
        <v>44.43311444713418</v>
      </c>
      <c r="AL153" s="919">
        <f t="shared" si="23"/>
        <v>36.010857595915716</v>
      </c>
    </row>
    <row r="154" spans="24:38">
      <c r="X154" s="370" t="s">
        <v>417</v>
      </c>
      <c r="Y154" s="363">
        <v>93.600999999999999</v>
      </c>
      <c r="Z154" s="363">
        <v>15.2</v>
      </c>
      <c r="AA154" s="382">
        <v>1422008</v>
      </c>
      <c r="AB154" s="363"/>
      <c r="AC154" s="371"/>
      <c r="AD154" s="914"/>
      <c r="AF154" s="920">
        <v>185.32583</v>
      </c>
      <c r="AG154" s="921">
        <v>156.99617000000001</v>
      </c>
      <c r="AH154" s="921">
        <v>132.59401734220697</v>
      </c>
      <c r="AI154" s="921">
        <v>116.88393575665523</v>
      </c>
      <c r="AJ154" s="921">
        <v>101.1738541711035</v>
      </c>
      <c r="AK154" s="921">
        <v>85.463772585551766</v>
      </c>
      <c r="AL154" s="922">
        <v>69.753691000000003</v>
      </c>
    </row>
    <row r="155" spans="24:38">
      <c r="X155" s="950" t="s">
        <v>424</v>
      </c>
      <c r="Y155" s="951"/>
      <c r="Z155" s="951"/>
      <c r="AA155" s="951"/>
      <c r="AB155" s="951"/>
      <c r="AC155" s="952"/>
      <c r="AD155" s="914"/>
      <c r="AF155" s="722"/>
    </row>
    <row r="156" spans="24:38">
      <c r="X156" s="370" t="s">
        <v>417</v>
      </c>
      <c r="Y156" s="363">
        <v>22.779</v>
      </c>
      <c r="Z156" s="363">
        <v>18.899999999999999</v>
      </c>
      <c r="AA156" s="382">
        <v>431612</v>
      </c>
      <c r="AB156" s="363"/>
      <c r="AC156" s="371"/>
      <c r="AF156" s="722"/>
    </row>
    <row r="157" spans="24:38">
      <c r="X157" s="950" t="s">
        <v>817</v>
      </c>
      <c r="Y157" s="951"/>
      <c r="Z157" s="951"/>
      <c r="AA157" s="951"/>
      <c r="AB157" s="951"/>
      <c r="AC157" s="952"/>
      <c r="AD157" s="914"/>
      <c r="AF157" s="722"/>
    </row>
    <row r="158" spans="24:38">
      <c r="X158" s="390" t="s">
        <v>414</v>
      </c>
      <c r="Y158" s="391">
        <v>196.15100000000001</v>
      </c>
      <c r="Z158" s="392">
        <v>302</v>
      </c>
      <c r="AA158" s="393">
        <v>59201683</v>
      </c>
      <c r="AB158" s="392"/>
      <c r="AC158" s="394"/>
      <c r="AD158" s="914"/>
      <c r="AF158" s="722"/>
    </row>
    <row r="159" spans="24:38">
      <c r="X159" s="950" t="s">
        <v>425</v>
      </c>
      <c r="Y159" s="951"/>
      <c r="Z159" s="951"/>
      <c r="AA159" s="951"/>
      <c r="AB159" s="951"/>
      <c r="AC159" s="952"/>
    </row>
    <row r="160" spans="24:38">
      <c r="X160" s="370" t="s">
        <v>417</v>
      </c>
      <c r="Y160" s="381">
        <v>1104.548</v>
      </c>
      <c r="Z160" s="363">
        <v>31.4</v>
      </c>
      <c r="AA160" s="382">
        <v>34713263</v>
      </c>
      <c r="AB160" s="363"/>
      <c r="AC160" s="371"/>
      <c r="AD160" s="914"/>
      <c r="AF160" s="722"/>
    </row>
    <row r="161" spans="24:32">
      <c r="X161" s="947" t="s">
        <v>426</v>
      </c>
      <c r="Y161" s="948"/>
      <c r="Z161" s="948"/>
      <c r="AA161" s="948"/>
      <c r="AB161" s="948"/>
      <c r="AC161" s="949"/>
      <c r="AD161" s="914"/>
      <c r="AF161" s="722"/>
    </row>
    <row r="162" spans="24:32">
      <c r="X162" s="397" t="s">
        <v>417</v>
      </c>
      <c r="Y162" s="395">
        <v>206.142</v>
      </c>
      <c r="Z162" s="395">
        <v>24.9</v>
      </c>
      <c r="AA162" s="398">
        <v>5138244</v>
      </c>
      <c r="AB162" s="395"/>
      <c r="AC162" s="396"/>
      <c r="AD162" s="914"/>
      <c r="AF162" s="722"/>
    </row>
    <row r="163" spans="24:32">
      <c r="X163" s="947" t="s">
        <v>427</v>
      </c>
      <c r="Y163" s="948"/>
      <c r="Z163" s="948"/>
      <c r="AA163" s="948"/>
      <c r="AB163" s="948"/>
      <c r="AC163" s="949"/>
      <c r="AD163" s="914"/>
    </row>
    <row r="164" spans="24:32" ht="13.5" thickBot="1">
      <c r="X164" s="399" t="s">
        <v>428</v>
      </c>
      <c r="Y164" s="400">
        <v>43.308999999999997</v>
      </c>
      <c r="Z164" s="400">
        <v>179.9</v>
      </c>
      <c r="AA164" s="401">
        <v>7791301</v>
      </c>
      <c r="AB164" s="402"/>
      <c r="AC164" s="403"/>
      <c r="AD164" s="914"/>
    </row>
    <row r="165" spans="24:32">
      <c r="AD165" s="914"/>
    </row>
    <row r="166" spans="24:32">
      <c r="AD166" s="914"/>
    </row>
  </sheetData>
  <mergeCells count="18">
    <mergeCell ref="X143:AC143"/>
    <mergeCell ref="X141:AC141"/>
    <mergeCell ref="X139:AC139"/>
    <mergeCell ref="X153:AC153"/>
    <mergeCell ref="X151:AC151"/>
    <mergeCell ref="X149:AC149"/>
    <mergeCell ref="X147:AC147"/>
    <mergeCell ref="X145:AC145"/>
    <mergeCell ref="X163:AC163"/>
    <mergeCell ref="X161:AC161"/>
    <mergeCell ref="X159:AC159"/>
    <mergeCell ref="X157:AC157"/>
    <mergeCell ref="X155:AC155"/>
    <mergeCell ref="X137:X138"/>
    <mergeCell ref="Y137:Y138"/>
    <mergeCell ref="Z137:Z138"/>
    <mergeCell ref="AA137:AA138"/>
    <mergeCell ref="X135:AA135"/>
  </mergeCells>
  <phoneticPr fontId="54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FCCB-0461-4928-A46F-0A6DC8E34E8C}">
  <dimension ref="B2:AF79"/>
  <sheetViews>
    <sheetView tabSelected="1" topLeftCell="A4" zoomScaleNormal="100" workbookViewId="0">
      <pane xSplit="2" topLeftCell="U1" activePane="topRight" state="frozen"/>
      <selection pane="topRight" activeCell="AD41" sqref="AD41"/>
    </sheetView>
  </sheetViews>
  <sheetFormatPr defaultColWidth="9.140625" defaultRowHeight="12.75"/>
  <cols>
    <col min="1" max="1" width="5.5703125" style="265" customWidth="1"/>
    <col min="2" max="2" width="28.42578125" style="265" bestFit="1" customWidth="1"/>
    <col min="3" max="3" width="24.85546875" style="265" bestFit="1" customWidth="1"/>
    <col min="4" max="4" width="31.42578125" style="265" customWidth="1"/>
    <col min="5" max="5" width="48.5703125" style="265" bestFit="1" customWidth="1"/>
    <col min="6" max="6" width="40.140625" style="265" customWidth="1"/>
    <col min="7" max="7" width="11.140625" style="265" bestFit="1" customWidth="1"/>
    <col min="8" max="8" width="11.140625" style="265" customWidth="1"/>
    <col min="9" max="9" width="14.5703125" style="265" customWidth="1"/>
    <col min="10" max="10" width="12.5703125" style="265" customWidth="1"/>
    <col min="11" max="11" width="11.5703125" style="265" bestFit="1" customWidth="1"/>
    <col min="12" max="12" width="13.42578125" style="265" bestFit="1" customWidth="1"/>
    <col min="13" max="13" width="11.5703125" style="265" bestFit="1" customWidth="1"/>
    <col min="14" max="14" width="11.140625" style="265" customWidth="1"/>
    <col min="15" max="15" width="14.42578125" style="265" customWidth="1"/>
    <col min="16" max="16" width="12.42578125" style="265" customWidth="1"/>
    <col min="17" max="17" width="15.5703125" style="265" customWidth="1"/>
    <col min="18" max="18" width="12.28515625" style="265" bestFit="1" customWidth="1"/>
    <col min="19" max="19" width="13" style="265" customWidth="1"/>
    <col min="20" max="20" width="12.28515625" style="265" customWidth="1"/>
    <col min="21" max="16384" width="9.140625" style="265"/>
  </cols>
  <sheetData>
    <row r="2" spans="2:30">
      <c r="E2" s="243" t="s">
        <v>337</v>
      </c>
      <c r="F2" s="234"/>
      <c r="G2" s="234"/>
      <c r="H2" s="234"/>
      <c r="I2" s="42"/>
      <c r="J2" s="42"/>
      <c r="K2" s="42"/>
    </row>
    <row r="3" spans="2:30" ht="51">
      <c r="B3" s="71" t="s">
        <v>179</v>
      </c>
      <c r="C3" s="72" t="s">
        <v>304</v>
      </c>
      <c r="D3" s="71" t="s">
        <v>305</v>
      </c>
      <c r="E3" s="71" t="s">
        <v>306</v>
      </c>
      <c r="F3" s="71" t="s">
        <v>338</v>
      </c>
      <c r="G3" s="71" t="s">
        <v>855</v>
      </c>
      <c r="H3" s="71" t="s">
        <v>433</v>
      </c>
      <c r="I3" s="71" t="s">
        <v>434</v>
      </c>
      <c r="J3" s="71" t="s">
        <v>435</v>
      </c>
      <c r="K3" s="71" t="s">
        <v>436</v>
      </c>
      <c r="L3" s="71" t="s">
        <v>437</v>
      </c>
      <c r="M3" s="71" t="s">
        <v>340</v>
      </c>
      <c r="N3" s="73" t="s">
        <v>890</v>
      </c>
      <c r="O3" s="73" t="s">
        <v>929</v>
      </c>
      <c r="P3" s="73" t="s">
        <v>930</v>
      </c>
      <c r="Q3" s="73" t="s">
        <v>931</v>
      </c>
      <c r="R3" s="73" t="s">
        <v>932</v>
      </c>
      <c r="S3" s="73" t="s">
        <v>933</v>
      </c>
      <c r="T3" s="73" t="s">
        <v>501</v>
      </c>
      <c r="U3" s="73" t="s">
        <v>342</v>
      </c>
      <c r="V3" s="73" t="s">
        <v>343</v>
      </c>
      <c r="W3" s="73" t="s">
        <v>344</v>
      </c>
      <c r="Y3" s="73" t="s">
        <v>345</v>
      </c>
      <c r="Z3" s="73" t="s">
        <v>346</v>
      </c>
      <c r="AA3" s="73"/>
      <c r="AB3" s="73" t="s">
        <v>347</v>
      </c>
    </row>
    <row r="4" spans="2:30" ht="79.5" thickBot="1">
      <c r="B4" s="74" t="s">
        <v>348</v>
      </c>
      <c r="C4" s="74" t="s">
        <v>349</v>
      </c>
      <c r="D4" s="74" t="s">
        <v>350</v>
      </c>
      <c r="E4" s="74" t="s">
        <v>351</v>
      </c>
      <c r="F4" s="74"/>
      <c r="G4" s="74" t="s">
        <v>352</v>
      </c>
      <c r="H4" s="74" t="s">
        <v>352</v>
      </c>
      <c r="I4" s="74" t="s">
        <v>352</v>
      </c>
      <c r="J4" s="74" t="s">
        <v>352</v>
      </c>
      <c r="K4" s="74" t="s">
        <v>352</v>
      </c>
      <c r="L4" s="74" t="s">
        <v>352</v>
      </c>
      <c r="M4" s="74" t="s">
        <v>352</v>
      </c>
      <c r="N4" s="577" t="s">
        <v>889</v>
      </c>
      <c r="O4" s="577"/>
      <c r="P4" s="577"/>
      <c r="Q4" s="577"/>
      <c r="R4" s="577"/>
      <c r="S4" s="577"/>
      <c r="T4" s="577"/>
      <c r="U4" s="74" t="s">
        <v>354</v>
      </c>
      <c r="V4" s="74" t="s">
        <v>355</v>
      </c>
      <c r="W4" s="74"/>
      <c r="Y4" s="74"/>
      <c r="Z4" s="74"/>
      <c r="AA4" s="74"/>
      <c r="AB4" s="74" t="s">
        <v>73</v>
      </c>
      <c r="AD4" s="265" t="s">
        <v>487</v>
      </c>
    </row>
    <row r="5" spans="2:30">
      <c r="B5" s="266" t="s">
        <v>253</v>
      </c>
      <c r="C5" s="320" t="s">
        <v>254</v>
      </c>
      <c r="E5" s="320"/>
      <c r="F5" s="320"/>
      <c r="G5" s="729">
        <f>K75/1000</f>
        <v>2101.1590000000001</v>
      </c>
      <c r="H5" s="729">
        <v>2091.0349999999999</v>
      </c>
      <c r="I5" s="729">
        <v>1970.9298986220986</v>
      </c>
      <c r="J5" s="729">
        <v>1654.0253077510333</v>
      </c>
      <c r="K5" s="729">
        <v>1426.6883593119505</v>
      </c>
      <c r="L5" s="729">
        <v>1242.5277968086386</v>
      </c>
      <c r="M5" s="729">
        <v>1080.14382844436</v>
      </c>
      <c r="N5" s="177"/>
      <c r="O5" s="177"/>
      <c r="P5" s="177"/>
      <c r="Q5" s="177"/>
      <c r="R5" s="177"/>
      <c r="S5" s="177"/>
      <c r="T5" s="177"/>
      <c r="U5" s="87"/>
      <c r="V5" s="404">
        <v>1</v>
      </c>
      <c r="W5" s="404">
        <v>1</v>
      </c>
    </row>
    <row r="6" spans="2:30">
      <c r="B6" s="267"/>
      <c r="C6" s="555"/>
      <c r="D6" s="556" t="str">
        <f>$D$70</f>
        <v>AGR_LIVESTOCK_FOOD</v>
      </c>
      <c r="E6" s="552"/>
      <c r="F6" s="552"/>
      <c r="G6" s="730"/>
      <c r="H6" s="730"/>
      <c r="I6" s="730"/>
      <c r="J6" s="730"/>
      <c r="K6" s="730"/>
      <c r="L6" s="730"/>
      <c r="M6" s="731"/>
      <c r="N6" s="568">
        <v>1</v>
      </c>
      <c r="O6" s="568">
        <v>1</v>
      </c>
      <c r="P6" s="568">
        <v>1</v>
      </c>
      <c r="Q6" s="568">
        <v>1</v>
      </c>
      <c r="R6" s="568">
        <v>1</v>
      </c>
      <c r="S6" s="568">
        <v>1</v>
      </c>
      <c r="T6" s="568">
        <v>1</v>
      </c>
      <c r="U6" s="553"/>
      <c r="V6" s="553"/>
      <c r="W6" s="553"/>
    </row>
    <row r="7" spans="2:30">
      <c r="B7" s="267"/>
      <c r="C7" s="555"/>
      <c r="D7" s="556" t="str">
        <f>AGR_Comm!$D$93</f>
        <v>AGR_MACH_WORK</v>
      </c>
      <c r="E7" s="267"/>
      <c r="F7" s="267"/>
      <c r="G7" s="732"/>
      <c r="H7" s="732"/>
      <c r="I7" s="732"/>
      <c r="J7" s="732"/>
      <c r="K7" s="732"/>
      <c r="L7" s="732"/>
      <c r="M7" s="731"/>
      <c r="N7" s="578">
        <f>AGR_SVC!N139</f>
        <v>2.4603961685548377E-4</v>
      </c>
      <c r="O7" s="578">
        <f>AGR_SVC!AP139</f>
        <v>2.4074424265195515E-4</v>
      </c>
      <c r="P7" s="578">
        <f>AGR_SVC!BD139</f>
        <v>2.3137145912626708E-4</v>
      </c>
      <c r="Q7" s="578">
        <f>AGR_SVC!BR139</f>
        <v>2.4705136832606299E-4</v>
      </c>
      <c r="R7" s="578">
        <f>AGR_SVC!CF139</f>
        <v>2.5320281210263466E-4</v>
      </c>
      <c r="S7" s="578">
        <f>AGR_SVC!CT139</f>
        <v>2.525929757258108E-4</v>
      </c>
      <c r="T7" s="578">
        <f>AGR_SVC!AB139</f>
        <v>2.466950008366495E-4</v>
      </c>
      <c r="U7" s="405"/>
      <c r="V7" s="405"/>
      <c r="W7" s="405"/>
    </row>
    <row r="8" spans="2:30">
      <c r="B8" s="267"/>
      <c r="C8" s="555"/>
      <c r="D8" s="556" t="str">
        <f>AGR_Comm!$D$95</f>
        <v>AGR_LIV_HT</v>
      </c>
      <c r="E8" s="267"/>
      <c r="F8" s="267"/>
      <c r="G8" s="732"/>
      <c r="H8" s="732"/>
      <c r="I8" s="732"/>
      <c r="J8" s="732"/>
      <c r="K8" s="732"/>
      <c r="L8" s="732"/>
      <c r="M8" s="732"/>
      <c r="N8" s="578">
        <f>AGR_SVC!P139</f>
        <v>1.0790472261381486E-4</v>
      </c>
      <c r="O8" s="578">
        <f>AGR_SVC!AR139</f>
        <v>1.0539017205496234E-4</v>
      </c>
      <c r="P8" s="578">
        <f>AGR_SVC!BF139</f>
        <v>1.067485150775939E-4</v>
      </c>
      <c r="Q8" s="578">
        <f>AGR_SVC!BT139</f>
        <v>1.2116691361236526E-4</v>
      </c>
      <c r="R8" s="578">
        <f>AGR_SVC!CH139</f>
        <v>1.3347865489402941E-4</v>
      </c>
      <c r="S8" s="578">
        <f>AGR_SVC!CV139</f>
        <v>1.4522954351154353E-4</v>
      </c>
      <c r="T8" s="578">
        <f>AGR_SVC!AD139</f>
        <v>1.5782254347973995E-4</v>
      </c>
      <c r="U8" s="405"/>
      <c r="V8" s="405"/>
      <c r="W8" s="405"/>
    </row>
    <row r="9" spans="2:30">
      <c r="B9" s="267"/>
      <c r="C9" s="555"/>
      <c r="D9" s="556" t="str">
        <f>AGR_Comm!$D$96</f>
        <v>AGR_LIV_ELC_SVC</v>
      </c>
      <c r="E9" s="267"/>
      <c r="F9" s="267"/>
      <c r="G9" s="732"/>
      <c r="H9" s="732"/>
      <c r="I9" s="732"/>
      <c r="J9" s="732"/>
      <c r="K9" s="732"/>
      <c r="L9" s="732"/>
      <c r="M9" s="732"/>
      <c r="N9" s="578">
        <f>AGR_SVC!Q139</f>
        <v>3.6661359528255492E-4</v>
      </c>
      <c r="O9" s="578">
        <f>AGR_SVC!AS139</f>
        <v>4.0364576012754321E-4</v>
      </c>
      <c r="P9" s="578">
        <f>AGR_SVC!BG139</f>
        <v>6.416397644859645E-4</v>
      </c>
      <c r="Q9" s="578">
        <f>AGR_SVC!BU139</f>
        <v>1.0188577961987399E-3</v>
      </c>
      <c r="R9" s="578">
        <f>AGR_SVC!CI139</f>
        <v>1.4760099149261018E-3</v>
      </c>
      <c r="S9" s="578">
        <f>AGR_SVC!CW139</f>
        <v>2.0332710095379157E-3</v>
      </c>
      <c r="T9" s="578">
        <f>AGR_SVC!AE139</f>
        <v>2.7283267786732011E-3</v>
      </c>
      <c r="U9" s="405"/>
      <c r="V9" s="405"/>
      <c r="W9" s="405"/>
    </row>
    <row r="10" spans="2:30">
      <c r="B10" s="267"/>
      <c r="C10" s="555"/>
      <c r="D10" s="557" t="str">
        <f>AGR_Comm!$D$97</f>
        <v>AGR_OTH_SVC</v>
      </c>
      <c r="E10" s="267"/>
      <c r="F10" s="267"/>
      <c r="G10" s="732"/>
      <c r="H10" s="732"/>
      <c r="I10" s="732"/>
      <c r="J10" s="732"/>
      <c r="K10" s="732"/>
      <c r="L10" s="732"/>
      <c r="M10" s="732"/>
      <c r="N10" s="579">
        <f>AGR_SVC!R139</f>
        <v>3.7755318964465847E-4</v>
      </c>
      <c r="O10" s="579">
        <f>AGR_SVC!AT139</f>
        <v>3.7446316981153789E-4</v>
      </c>
      <c r="P10" s="579">
        <f>AGR_SVC!BH139</f>
        <v>4.0066884098645763E-4</v>
      </c>
      <c r="Q10" s="579">
        <f>AGR_SVC!BV139</f>
        <v>4.8147074792276795E-4</v>
      </c>
      <c r="R10" s="579">
        <f>AGR_SVC!CJ139</f>
        <v>5.6286952972193745E-4</v>
      </c>
      <c r="S10" s="579">
        <f>AGR_SVC!CX139</f>
        <v>6.5166671667626908E-4</v>
      </c>
      <c r="T10" s="579">
        <f>AGR_SVC!AF139</f>
        <v>7.5581472777052966E-4</v>
      </c>
      <c r="U10" s="569"/>
      <c r="V10" s="405"/>
      <c r="W10" s="405"/>
    </row>
    <row r="11" spans="2:30">
      <c r="B11" s="269"/>
      <c r="C11" s="552"/>
      <c r="D11" s="267"/>
      <c r="E11" s="270" t="s">
        <v>152</v>
      </c>
      <c r="F11" s="269"/>
      <c r="G11" s="733"/>
      <c r="H11" s="733"/>
      <c r="I11" s="733"/>
      <c r="J11" s="733"/>
      <c r="K11" s="733"/>
      <c r="L11" s="733"/>
      <c r="M11" s="733"/>
      <c r="N11" s="177"/>
      <c r="O11" s="177"/>
      <c r="P11" s="177"/>
      <c r="Q11" s="177"/>
      <c r="R11" s="177"/>
      <c r="S11" s="177"/>
      <c r="T11" s="177"/>
      <c r="U11" s="405"/>
      <c r="V11" s="238"/>
      <c r="W11" s="238"/>
      <c r="AB11" s="554"/>
    </row>
    <row r="12" spans="2:30">
      <c r="B12" s="269"/>
      <c r="C12" s="269"/>
      <c r="D12" s="269"/>
      <c r="E12" s="271" t="s">
        <v>106</v>
      </c>
      <c r="F12" s="269"/>
      <c r="G12" s="733"/>
      <c r="H12" s="733"/>
      <c r="I12" s="733"/>
      <c r="J12" s="733"/>
      <c r="K12" s="733"/>
      <c r="L12" s="733"/>
      <c r="M12" s="733"/>
      <c r="N12" s="238"/>
      <c r="O12" s="238"/>
      <c r="P12" s="238"/>
      <c r="Q12" s="238"/>
      <c r="R12" s="238"/>
      <c r="S12" s="238"/>
      <c r="T12" s="238"/>
      <c r="U12" s="406">
        <f>Y12*Z12</f>
        <v>7.0925000000000002</v>
      </c>
      <c r="V12" s="238"/>
      <c r="W12" s="238"/>
      <c r="Y12" s="280">
        <v>14.185</v>
      </c>
      <c r="Z12" s="1023">
        <v>0.5</v>
      </c>
      <c r="AB12" s="564">
        <f>U12*M5</f>
        <v>7660.9201032416231</v>
      </c>
      <c r="AD12" s="1026">
        <f>AB12/AB64</f>
        <v>0.38035368699118965</v>
      </c>
    </row>
    <row r="13" spans="2:30">
      <c r="B13" s="269"/>
      <c r="C13" s="269"/>
      <c r="D13" s="269"/>
      <c r="E13" s="269"/>
      <c r="F13" s="558" t="s">
        <v>100</v>
      </c>
      <c r="G13" s="733"/>
      <c r="H13" s="733"/>
      <c r="I13" s="733"/>
      <c r="J13" s="733"/>
      <c r="K13" s="733"/>
      <c r="L13" s="733"/>
      <c r="M13" s="733"/>
      <c r="N13" s="238"/>
      <c r="O13" s="238"/>
      <c r="P13" s="238"/>
      <c r="Q13" s="238"/>
      <c r="R13" s="238"/>
      <c r="S13" s="238"/>
      <c r="T13" s="238"/>
      <c r="U13" s="563">
        <v>0.1056</v>
      </c>
      <c r="V13" s="238"/>
      <c r="W13" s="238"/>
      <c r="Y13" s="433"/>
      <c r="AD13" s="1026"/>
    </row>
    <row r="14" spans="2:30">
      <c r="B14" s="269"/>
      <c r="C14" s="269"/>
      <c r="D14" s="269"/>
      <c r="E14" s="269"/>
      <c r="F14" s="559" t="s">
        <v>102</v>
      </c>
      <c r="G14" s="733"/>
      <c r="H14" s="733"/>
      <c r="I14" s="733"/>
      <c r="J14" s="733"/>
      <c r="K14" s="733"/>
      <c r="L14" s="733"/>
      <c r="M14" s="733"/>
      <c r="N14" s="238"/>
      <c r="O14" s="238"/>
      <c r="P14" s="238"/>
      <c r="Q14" s="238"/>
      <c r="R14" s="238"/>
      <c r="S14" s="238"/>
      <c r="T14" s="238"/>
      <c r="U14" s="562">
        <f>0.01438</f>
        <v>1.438E-2</v>
      </c>
      <c r="V14" s="238"/>
      <c r="W14" s="238"/>
      <c r="Y14" s="433"/>
      <c r="AD14" s="1026"/>
    </row>
    <row r="15" spans="2:30">
      <c r="B15" s="269"/>
      <c r="C15" s="269"/>
      <c r="D15" s="269"/>
      <c r="E15" s="269"/>
      <c r="F15" s="559" t="s">
        <v>98</v>
      </c>
      <c r="G15" s="733"/>
      <c r="H15" s="733"/>
      <c r="I15" s="733"/>
      <c r="J15" s="733"/>
      <c r="K15" s="733"/>
      <c r="L15" s="733"/>
      <c r="M15" s="733"/>
      <c r="N15" s="238"/>
      <c r="O15" s="238"/>
      <c r="P15" s="238"/>
      <c r="Q15" s="238"/>
      <c r="R15" s="238"/>
      <c r="S15" s="238"/>
      <c r="T15" s="238"/>
      <c r="U15" s="562">
        <f>120/1000000</f>
        <v>1.2E-4</v>
      </c>
      <c r="V15" s="238"/>
      <c r="W15" s="238"/>
      <c r="Y15" s="433"/>
      <c r="AD15" s="1026"/>
    </row>
    <row r="16" spans="2:30">
      <c r="B16" s="273" t="s">
        <v>255</v>
      </c>
      <c r="C16" s="549" t="s">
        <v>256</v>
      </c>
      <c r="D16" s="549"/>
      <c r="E16" s="549"/>
      <c r="F16" s="560"/>
      <c r="G16" s="734">
        <f>(J75-K75)/1000</f>
        <v>4089.768</v>
      </c>
      <c r="H16" s="734">
        <v>4052.27</v>
      </c>
      <c r="I16" s="734">
        <v>3819.5152641105351</v>
      </c>
      <c r="J16" s="734">
        <v>3205.3777836527279</v>
      </c>
      <c r="K16" s="734">
        <v>2764.815719387308</v>
      </c>
      <c r="L16" s="734">
        <v>2407.9262734357599</v>
      </c>
      <c r="M16" s="734">
        <v>2093.2382440706288</v>
      </c>
      <c r="N16" s="551"/>
      <c r="O16" s="551"/>
      <c r="P16" s="551"/>
      <c r="Q16" s="551"/>
      <c r="R16" s="551"/>
      <c r="S16" s="551"/>
      <c r="T16" s="551"/>
      <c r="U16" s="561"/>
      <c r="V16" s="550">
        <v>1</v>
      </c>
      <c r="W16" s="550">
        <v>1</v>
      </c>
      <c r="Y16" s="433"/>
      <c r="AD16" s="1026"/>
    </row>
    <row r="17" spans="2:30">
      <c r="B17" s="274"/>
      <c r="C17" s="545"/>
      <c r="D17" s="546" t="str">
        <f>$D$70</f>
        <v>AGR_LIVESTOCK_FOOD</v>
      </c>
      <c r="E17" s="545"/>
      <c r="F17" s="545"/>
      <c r="G17" s="735"/>
      <c r="H17" s="735"/>
      <c r="I17" s="735"/>
      <c r="J17" s="735"/>
      <c r="K17" s="735"/>
      <c r="L17" s="735"/>
      <c r="M17" s="735"/>
      <c r="N17" s="548">
        <v>1</v>
      </c>
      <c r="O17" s="548">
        <v>1</v>
      </c>
      <c r="P17" s="548">
        <v>1</v>
      </c>
      <c r="Q17" s="548">
        <v>1</v>
      </c>
      <c r="R17" s="548">
        <v>1</v>
      </c>
      <c r="S17" s="548">
        <v>1</v>
      </c>
      <c r="T17" s="548">
        <v>1</v>
      </c>
      <c r="U17" s="547"/>
      <c r="V17" s="547"/>
      <c r="W17" s="547"/>
      <c r="Y17" s="433"/>
      <c r="AD17" s="1026"/>
    </row>
    <row r="18" spans="2:30">
      <c r="B18" s="274"/>
      <c r="C18" s="274"/>
      <c r="D18" s="275" t="str">
        <f>AGR_Comm!$D$93</f>
        <v>AGR_MACH_WORK</v>
      </c>
      <c r="E18" s="274"/>
      <c r="F18" s="274"/>
      <c r="G18" s="736"/>
      <c r="H18" s="736"/>
      <c r="I18" s="736"/>
      <c r="J18" s="736"/>
      <c r="K18" s="736"/>
      <c r="L18" s="736"/>
      <c r="M18" s="736"/>
      <c r="N18" s="580">
        <f>AGR_SVC!N140</f>
        <v>1.8452971264161283E-4</v>
      </c>
      <c r="O18" s="580">
        <f>AGR_SVC!AP140</f>
        <v>1.8055818198896637E-4</v>
      </c>
      <c r="P18" s="580">
        <f>AGR_SVC!BD140</f>
        <v>1.735285943447003E-4</v>
      </c>
      <c r="Q18" s="580">
        <f>AGR_SVC!BR140</f>
        <v>1.8528852624454724E-4</v>
      </c>
      <c r="R18" s="580">
        <f>AGR_SVC!CF140</f>
        <v>1.8990210907697601E-4</v>
      </c>
      <c r="S18" s="580">
        <f>AGR_SVC!CT140</f>
        <v>1.8944473179435811E-4</v>
      </c>
      <c r="T18" s="580">
        <f>AGR_SVC!AB140</f>
        <v>1.8502125062748714E-4</v>
      </c>
      <c r="U18" s="239"/>
      <c r="V18" s="239"/>
      <c r="W18" s="239"/>
      <c r="Y18" s="433"/>
      <c r="AD18" s="1026"/>
    </row>
    <row r="19" spans="2:30">
      <c r="B19" s="274"/>
      <c r="C19" s="274"/>
      <c r="D19" s="275" t="str">
        <f>AGR_Comm!$D$95</f>
        <v>AGR_LIV_HT</v>
      </c>
      <c r="E19" s="274"/>
      <c r="F19" s="274"/>
      <c r="G19" s="736"/>
      <c r="H19" s="736"/>
      <c r="I19" s="736"/>
      <c r="J19" s="736"/>
      <c r="K19" s="736"/>
      <c r="L19" s="736"/>
      <c r="M19" s="736"/>
      <c r="N19" s="580">
        <f>AGR_SVC!P140</f>
        <v>5.3952361306907428E-5</v>
      </c>
      <c r="O19" s="580">
        <f>AGR_SVC!AR140</f>
        <v>5.2695086027481169E-5</v>
      </c>
      <c r="P19" s="580">
        <f>AGR_SVC!BF140</f>
        <v>5.337425753879695E-5</v>
      </c>
      <c r="Q19" s="580">
        <f>AGR_SVC!BT140</f>
        <v>6.0583456806182628E-5</v>
      </c>
      <c r="R19" s="580">
        <f>AGR_SVC!CH140</f>
        <v>6.6739327447014706E-5</v>
      </c>
      <c r="S19" s="580">
        <f>AGR_SVC!CV140</f>
        <v>7.2614771755771763E-5</v>
      </c>
      <c r="T19" s="580">
        <f>AGR_SVC!AD140</f>
        <v>7.8911271739869976E-5</v>
      </c>
      <c r="U19" s="239"/>
      <c r="V19" s="239"/>
      <c r="W19" s="239"/>
      <c r="Y19" s="433"/>
      <c r="AD19" s="1026"/>
    </row>
    <row r="20" spans="2:30">
      <c r="B20" s="274"/>
      <c r="C20" s="274"/>
      <c r="D20" s="275" t="str">
        <f>AGR_Comm!$D$96</f>
        <v>AGR_LIV_ELC_SVC</v>
      </c>
      <c r="E20" s="274"/>
      <c r="F20" s="274"/>
      <c r="G20" s="736"/>
      <c r="H20" s="736"/>
      <c r="I20" s="736"/>
      <c r="J20" s="736"/>
      <c r="K20" s="736"/>
      <c r="L20" s="736"/>
      <c r="M20" s="736"/>
      <c r="N20" s="580">
        <f>AGR_SVC!Q140</f>
        <v>7.3322719056510989E-5</v>
      </c>
      <c r="O20" s="580">
        <f>AGR_SVC!AS140</f>
        <v>8.0729152025508643E-5</v>
      </c>
      <c r="P20" s="580">
        <f>AGR_SVC!BG140</f>
        <v>1.2832795289719289E-4</v>
      </c>
      <c r="Q20" s="580">
        <f>AGR_SVC!BU140</f>
        <v>2.0377155923974799E-4</v>
      </c>
      <c r="R20" s="580">
        <f>AGR_SVC!CI140</f>
        <v>2.9520198298522038E-4</v>
      </c>
      <c r="S20" s="580">
        <f>AGR_SVC!CW140</f>
        <v>4.0665420190758315E-4</v>
      </c>
      <c r="T20" s="580">
        <f>AGR_SVC!AE140</f>
        <v>5.4566535573464029E-4</v>
      </c>
      <c r="U20" s="239"/>
      <c r="V20" s="239"/>
      <c r="W20" s="239"/>
      <c r="Y20" s="433"/>
      <c r="AD20" s="1026"/>
    </row>
    <row r="21" spans="2:30">
      <c r="B21" s="274"/>
      <c r="C21" s="274"/>
      <c r="D21" s="275" t="str">
        <f>AGR_Comm!$D$97</f>
        <v>AGR_OTH_SVC</v>
      </c>
      <c r="E21" s="274"/>
      <c r="F21" s="274"/>
      <c r="G21" s="736"/>
      <c r="H21" s="736"/>
      <c r="I21" s="736"/>
      <c r="J21" s="736"/>
      <c r="K21" s="736"/>
      <c r="L21" s="736"/>
      <c r="M21" s="736"/>
      <c r="N21" s="580">
        <f>AGR_SVC!R140</f>
        <v>2.0765425430456218E-4</v>
      </c>
      <c r="O21" s="580">
        <f>AGR_SVC!AT140</f>
        <v>2.0595474339634587E-4</v>
      </c>
      <c r="P21" s="580">
        <f>AGR_SVC!BH140</f>
        <v>2.2036786254255172E-4</v>
      </c>
      <c r="Q21" s="580">
        <f>AGR_SVC!BV140</f>
        <v>2.6480891135752238E-4</v>
      </c>
      <c r="R21" s="580">
        <f>AGR_SVC!CJ140</f>
        <v>3.0957824134706562E-4</v>
      </c>
      <c r="S21" s="580">
        <f>AGR_SVC!CX140</f>
        <v>3.5841669417194802E-4</v>
      </c>
      <c r="T21" s="580">
        <f>AGR_SVC!AF140</f>
        <v>4.1569810027379132E-4</v>
      </c>
      <c r="U21" s="239"/>
      <c r="V21" s="239"/>
      <c r="W21" s="239"/>
      <c r="Y21" s="433"/>
      <c r="AD21" s="1026"/>
    </row>
    <row r="22" spans="2:30">
      <c r="B22" s="274"/>
      <c r="C22" s="274"/>
      <c r="D22" s="274"/>
      <c r="E22" s="270" t="s">
        <v>153</v>
      </c>
      <c r="F22" s="274"/>
      <c r="G22" s="736"/>
      <c r="H22" s="736"/>
      <c r="I22" s="736"/>
      <c r="J22" s="736"/>
      <c r="K22" s="736"/>
      <c r="L22" s="736"/>
      <c r="M22" s="736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Y22" s="433"/>
      <c r="Z22" s="554"/>
      <c r="AB22" s="554"/>
      <c r="AD22" s="1026"/>
    </row>
    <row r="23" spans="2:30">
      <c r="B23" s="274"/>
      <c r="C23" s="274"/>
      <c r="D23" s="274"/>
      <c r="E23" s="271" t="s">
        <v>108</v>
      </c>
      <c r="F23" s="274"/>
      <c r="G23" s="736"/>
      <c r="H23" s="736"/>
      <c r="I23" s="736"/>
      <c r="J23" s="736"/>
      <c r="K23" s="736"/>
      <c r="L23" s="736"/>
      <c r="M23" s="736"/>
      <c r="N23" s="239"/>
      <c r="O23" s="239"/>
      <c r="P23" s="239"/>
      <c r="Q23" s="239"/>
      <c r="R23" s="239"/>
      <c r="S23" s="239"/>
      <c r="T23" s="239"/>
      <c r="U23" s="406">
        <f>Y23*Z23</f>
        <v>2.9369999999999998</v>
      </c>
      <c r="V23" s="239"/>
      <c r="W23" s="239"/>
      <c r="Y23" s="280">
        <v>5.8739999999999997</v>
      </c>
      <c r="Z23" s="1024">
        <v>0.5</v>
      </c>
      <c r="AB23" s="565">
        <f>U23*M16</f>
        <v>6147.8407228354363</v>
      </c>
      <c r="AD23" s="1026">
        <f>AB23/AB64</f>
        <v>0.30523146755904601</v>
      </c>
    </row>
    <row r="24" spans="2:30">
      <c r="B24" s="274"/>
      <c r="C24" s="274"/>
      <c r="D24" s="274"/>
      <c r="E24" s="274"/>
      <c r="F24" s="276" t="s">
        <v>100</v>
      </c>
      <c r="G24" s="736"/>
      <c r="H24" s="736"/>
      <c r="I24" s="736"/>
      <c r="J24" s="736"/>
      <c r="K24" s="736"/>
      <c r="L24" s="736"/>
      <c r="M24" s="736"/>
      <c r="N24" s="239"/>
      <c r="O24" s="239"/>
      <c r="P24" s="239"/>
      <c r="Q24" s="239"/>
      <c r="R24" s="239"/>
      <c r="S24" s="239"/>
      <c r="T24" s="239"/>
      <c r="U24" s="409">
        <v>5.3100000000000001E-2</v>
      </c>
      <c r="V24" s="239"/>
      <c r="W24" s="239"/>
      <c r="Y24" s="433"/>
      <c r="AD24" s="1026"/>
    </row>
    <row r="25" spans="2:30">
      <c r="B25" s="274"/>
      <c r="C25" s="274"/>
      <c r="D25" s="274"/>
      <c r="E25" s="274"/>
      <c r="F25" s="276" t="s">
        <v>102</v>
      </c>
      <c r="G25" s="736"/>
      <c r="H25" s="736"/>
      <c r="I25" s="736"/>
      <c r="J25" s="736"/>
      <c r="K25" s="736"/>
      <c r="L25" s="736"/>
      <c r="M25" s="736"/>
      <c r="N25" s="239"/>
      <c r="O25" s="239"/>
      <c r="P25" s="239"/>
      <c r="Q25" s="239"/>
      <c r="R25" s="239"/>
      <c r="S25" s="239"/>
      <c r="T25" s="239"/>
      <c r="U25" s="409">
        <v>8.5800000000000008E-3</v>
      </c>
      <c r="V25" s="239"/>
      <c r="W25" s="239"/>
      <c r="Y25" s="433"/>
      <c r="AD25" s="1026"/>
    </row>
    <row r="26" spans="2:30">
      <c r="B26" s="274"/>
      <c r="C26" s="274"/>
      <c r="D26" s="274"/>
      <c r="E26" s="274"/>
      <c r="F26" s="276" t="s">
        <v>98</v>
      </c>
      <c r="G26" s="736"/>
      <c r="H26" s="736"/>
      <c r="I26" s="736"/>
      <c r="J26" s="736"/>
      <c r="K26" s="736"/>
      <c r="L26" s="736"/>
      <c r="M26" s="736"/>
      <c r="N26" s="239"/>
      <c r="O26" s="239"/>
      <c r="P26" s="239"/>
      <c r="Q26" s="239"/>
      <c r="R26" s="239"/>
      <c r="S26" s="239"/>
      <c r="T26" s="239"/>
      <c r="U26" s="409">
        <v>1.44E-4</v>
      </c>
      <c r="V26" s="239"/>
      <c r="W26" s="239"/>
      <c r="Y26" s="433"/>
      <c r="AD26" s="1026"/>
    </row>
    <row r="27" spans="2:30">
      <c r="B27" s="273" t="s">
        <v>257</v>
      </c>
      <c r="C27" s="269" t="s">
        <v>258</v>
      </c>
      <c r="E27" s="269"/>
      <c r="F27" s="269"/>
      <c r="G27" s="737">
        <f>N75/1000</f>
        <v>269.53800000000001</v>
      </c>
      <c r="H27" s="737">
        <v>267.89400000000001</v>
      </c>
      <c r="I27" s="737">
        <v>252.50667457095099</v>
      </c>
      <c r="J27" s="737">
        <v>211.90628363210342</v>
      </c>
      <c r="K27" s="737">
        <v>182.78089622101771</v>
      </c>
      <c r="L27" s="737">
        <v>159.18707319497449</v>
      </c>
      <c r="M27" s="737">
        <v>138.38316947218644</v>
      </c>
      <c r="N27" s="177"/>
      <c r="O27" s="177"/>
      <c r="P27" s="177"/>
      <c r="Q27" s="177"/>
      <c r="R27" s="177"/>
      <c r="S27" s="177"/>
      <c r="T27" s="177"/>
      <c r="U27" s="238"/>
      <c r="V27" s="407">
        <v>1</v>
      </c>
      <c r="W27" s="407">
        <v>1</v>
      </c>
      <c r="Y27" s="433"/>
      <c r="AD27" s="1026"/>
    </row>
    <row r="28" spans="2:30">
      <c r="B28" s="269"/>
      <c r="C28" s="269"/>
      <c r="D28" s="275" t="str">
        <f>$D$70</f>
        <v>AGR_LIVESTOCK_FOOD</v>
      </c>
      <c r="E28" s="269"/>
      <c r="F28" s="269"/>
      <c r="G28" s="733"/>
      <c r="H28" s="733"/>
      <c r="I28" s="733"/>
      <c r="J28" s="733"/>
      <c r="K28" s="733"/>
      <c r="L28" s="733"/>
      <c r="M28" s="733"/>
      <c r="N28" s="408">
        <v>1</v>
      </c>
      <c r="O28" s="408">
        <v>1</v>
      </c>
      <c r="P28" s="408">
        <v>1</v>
      </c>
      <c r="Q28" s="408">
        <v>1</v>
      </c>
      <c r="R28" s="408">
        <v>1</v>
      </c>
      <c r="S28" s="408">
        <v>1</v>
      </c>
      <c r="T28" s="408">
        <v>1</v>
      </c>
      <c r="U28" s="238"/>
      <c r="V28" s="238"/>
      <c r="W28" s="238"/>
      <c r="Y28" s="433"/>
      <c r="AD28" s="1026"/>
    </row>
    <row r="29" spans="2:30">
      <c r="B29" s="269"/>
      <c r="C29" s="269"/>
      <c r="D29" s="269"/>
      <c r="E29" s="270" t="s">
        <v>154</v>
      </c>
      <c r="F29" s="269"/>
      <c r="G29" s="733"/>
      <c r="H29" s="733"/>
      <c r="I29" s="733"/>
      <c r="J29" s="733"/>
      <c r="K29" s="733"/>
      <c r="L29" s="733"/>
      <c r="M29" s="733"/>
      <c r="N29" s="238"/>
      <c r="O29" s="238"/>
      <c r="P29" s="238"/>
      <c r="Q29" s="238"/>
      <c r="R29" s="238"/>
      <c r="S29" s="238"/>
      <c r="T29" s="238"/>
      <c r="U29" s="238"/>
      <c r="V29" s="238"/>
      <c r="W29" s="238"/>
      <c r="Y29" s="566"/>
      <c r="Z29" s="554"/>
      <c r="AA29" s="554"/>
      <c r="AB29" s="554"/>
      <c r="AD29" s="1026"/>
    </row>
    <row r="30" spans="2:30">
      <c r="B30" s="269" t="s">
        <v>90</v>
      </c>
      <c r="C30" s="269"/>
      <c r="D30" s="269"/>
      <c r="E30" s="271" t="s">
        <v>110</v>
      </c>
      <c r="F30" s="269"/>
      <c r="G30" s="733"/>
      <c r="H30" s="733"/>
      <c r="I30" s="733"/>
      <c r="J30" s="733"/>
      <c r="K30" s="733"/>
      <c r="L30" s="733"/>
      <c r="M30" s="733"/>
      <c r="N30" s="238"/>
      <c r="O30" s="238"/>
      <c r="P30" s="238"/>
      <c r="Q30" s="238"/>
      <c r="R30" s="238"/>
      <c r="S30" s="238"/>
      <c r="T30" s="238"/>
      <c r="U30" s="406">
        <f>Y30*Z30</f>
        <v>0.34200000000000003</v>
      </c>
      <c r="V30" s="238"/>
      <c r="W30" s="238"/>
      <c r="Y30" s="567">
        <v>0.68400000000000005</v>
      </c>
      <c r="Z30" s="1024">
        <v>0.5</v>
      </c>
      <c r="AA30" s="555"/>
      <c r="AB30" s="564">
        <f>U30*M27</f>
        <v>47.327043959487767</v>
      </c>
      <c r="AD30" s="1026"/>
    </row>
    <row r="31" spans="2:30">
      <c r="B31" s="269"/>
      <c r="C31" s="269"/>
      <c r="D31" s="269"/>
      <c r="E31" s="269"/>
      <c r="F31" s="276" t="s">
        <v>100</v>
      </c>
      <c r="G31" s="733"/>
      <c r="H31" s="733"/>
      <c r="I31" s="733"/>
      <c r="J31" s="733"/>
      <c r="K31" s="733"/>
      <c r="L31" s="733"/>
      <c r="M31" s="733"/>
      <c r="N31" s="238"/>
      <c r="O31" s="238"/>
      <c r="P31" s="238"/>
      <c r="Q31" s="238"/>
      <c r="R31" s="238"/>
      <c r="S31" s="238"/>
      <c r="T31" s="238"/>
      <c r="U31" s="409">
        <v>8.0000000000000002E-3</v>
      </c>
      <c r="V31" s="238"/>
      <c r="W31" s="238"/>
      <c r="Y31" s="433"/>
      <c r="AD31" s="1026"/>
    </row>
    <row r="32" spans="2:30">
      <c r="B32" s="269"/>
      <c r="C32" s="269"/>
      <c r="D32" s="269"/>
      <c r="E32" s="269"/>
      <c r="F32" s="276" t="s">
        <v>102</v>
      </c>
      <c r="G32" s="733"/>
      <c r="H32" s="733"/>
      <c r="I32" s="733"/>
      <c r="J32" s="733"/>
      <c r="K32" s="733"/>
      <c r="L32" s="733"/>
      <c r="M32" s="733"/>
      <c r="N32" s="238"/>
      <c r="O32" s="238"/>
      <c r="P32" s="238"/>
      <c r="Q32" s="238"/>
      <c r="R32" s="238"/>
      <c r="S32" s="238"/>
      <c r="T32" s="238"/>
      <c r="U32" s="409">
        <v>1.1299999999999999E-3</v>
      </c>
      <c r="V32" s="238"/>
      <c r="W32" s="238"/>
      <c r="Y32" s="433"/>
      <c r="AD32" s="1026"/>
    </row>
    <row r="33" spans="2:30">
      <c r="B33" s="269"/>
      <c r="C33" s="269"/>
      <c r="D33" s="269"/>
      <c r="E33" s="269"/>
      <c r="F33" s="276" t="s">
        <v>98</v>
      </c>
      <c r="G33" s="733"/>
      <c r="H33" s="733"/>
      <c r="I33" s="733"/>
      <c r="J33" s="733"/>
      <c r="K33" s="733"/>
      <c r="L33" s="733"/>
      <c r="M33" s="733"/>
      <c r="N33" s="238"/>
      <c r="O33" s="238"/>
      <c r="P33" s="238"/>
      <c r="Q33" s="238"/>
      <c r="R33" s="238"/>
      <c r="S33" s="238"/>
      <c r="T33" s="238"/>
      <c r="U33" s="409">
        <v>1.8E-5</v>
      </c>
      <c r="V33" s="238"/>
      <c r="W33" s="238"/>
      <c r="Y33" s="433"/>
      <c r="AD33" s="1026"/>
    </row>
    <row r="34" spans="2:30">
      <c r="B34" s="273" t="s">
        <v>259</v>
      </c>
      <c r="C34" s="274" t="s">
        <v>260</v>
      </c>
      <c r="D34" s="274"/>
      <c r="E34" s="274"/>
      <c r="F34" s="274"/>
      <c r="G34" s="737">
        <f>L75/1000</f>
        <v>9078.25</v>
      </c>
      <c r="H34" s="737">
        <v>9225.2209999999995</v>
      </c>
      <c r="I34" s="737">
        <v>8695.3417280420745</v>
      </c>
      <c r="J34" s="737">
        <v>7297.2231471956711</v>
      </c>
      <c r="K34" s="737">
        <v>6294.2587822681853</v>
      </c>
      <c r="L34" s="737">
        <v>5481.7798478757122</v>
      </c>
      <c r="M34" s="737">
        <v>4765.3748163877262</v>
      </c>
      <c r="N34" s="239"/>
      <c r="O34" s="239"/>
      <c r="P34" s="239"/>
      <c r="Q34" s="239"/>
      <c r="R34" s="239"/>
      <c r="S34" s="239"/>
      <c r="T34" s="239"/>
      <c r="U34" s="239"/>
      <c r="V34" s="407">
        <v>1</v>
      </c>
      <c r="W34" s="407">
        <v>1</v>
      </c>
      <c r="Y34" s="433"/>
      <c r="AD34" s="1026"/>
    </row>
    <row r="35" spans="2:30">
      <c r="B35" s="274"/>
      <c r="C35" s="274"/>
      <c r="D35" s="275" t="str">
        <f>$D$70</f>
        <v>AGR_LIVESTOCK_FOOD</v>
      </c>
      <c r="E35" s="274"/>
      <c r="F35" s="274"/>
      <c r="G35" s="736"/>
      <c r="H35" s="736"/>
      <c r="I35" s="736"/>
      <c r="J35" s="736"/>
      <c r="K35" s="736"/>
      <c r="L35" s="736"/>
      <c r="M35" s="736"/>
      <c r="N35" s="408">
        <v>1</v>
      </c>
      <c r="O35" s="408">
        <v>1</v>
      </c>
      <c r="P35" s="408">
        <v>1</v>
      </c>
      <c r="Q35" s="408">
        <v>1</v>
      </c>
      <c r="R35" s="408">
        <v>1</v>
      </c>
      <c r="S35" s="408">
        <v>1</v>
      </c>
      <c r="T35" s="408">
        <v>1</v>
      </c>
      <c r="U35" s="239"/>
      <c r="V35" s="239"/>
      <c r="W35" s="239"/>
      <c r="Y35" s="433"/>
      <c r="AD35" s="1026"/>
    </row>
    <row r="36" spans="2:30">
      <c r="B36" s="274"/>
      <c r="C36" s="274"/>
      <c r="D36" s="275" t="str">
        <f>AGR_Comm!$D$93</f>
        <v>AGR_MACH_WORK</v>
      </c>
      <c r="E36" s="274"/>
      <c r="F36" s="274"/>
      <c r="G36" s="736"/>
      <c r="H36" s="736"/>
      <c r="I36" s="736"/>
      <c r="J36" s="736"/>
      <c r="K36" s="736"/>
      <c r="L36" s="736"/>
      <c r="M36" s="736"/>
      <c r="N36" s="580">
        <f>AGR_SVC!N141</f>
        <v>4.4287131033987078E-5</v>
      </c>
      <c r="O36" s="580">
        <f>AGR_SVC!AP141</f>
        <v>4.3333963677351927E-5</v>
      </c>
      <c r="P36" s="580">
        <f>AGR_SVC!BD141</f>
        <v>4.1646862642728071E-5</v>
      </c>
      <c r="Q36" s="580">
        <f>AGR_SVC!BR141</f>
        <v>4.4469246298691332E-5</v>
      </c>
      <c r="R36" s="580">
        <f>AGR_SVC!CF141</f>
        <v>4.5576506178474236E-5</v>
      </c>
      <c r="S36" s="580">
        <f>AGR_SVC!CT141</f>
        <v>4.5466735630645945E-5</v>
      </c>
      <c r="T36" s="580">
        <f>AGR_SVC!AB141</f>
        <v>4.4405100150596908E-5</v>
      </c>
      <c r="U36" s="239"/>
      <c r="V36" s="239"/>
      <c r="W36" s="239"/>
      <c r="Y36" s="433"/>
      <c r="AD36" s="1026"/>
    </row>
    <row r="37" spans="2:30">
      <c r="B37" s="274"/>
      <c r="C37" s="274"/>
      <c r="D37" s="275" t="str">
        <f>AGR_Comm!$D$95</f>
        <v>AGR_LIV_HT</v>
      </c>
      <c r="E37" s="274"/>
      <c r="F37" s="274"/>
      <c r="G37" s="736"/>
      <c r="H37" s="736"/>
      <c r="I37" s="736"/>
      <c r="J37" s="736"/>
      <c r="K37" s="736"/>
      <c r="L37" s="736"/>
      <c r="M37" s="736"/>
      <c r="N37" s="580">
        <f>AGR_SVC!P141</f>
        <v>3.3450464010282606E-4</v>
      </c>
      <c r="O37" s="580">
        <f>AGR_SVC!AR141</f>
        <v>3.2670953337038324E-4</v>
      </c>
      <c r="P37" s="580">
        <f>AGR_SVC!BF141</f>
        <v>3.3092039674054109E-4</v>
      </c>
      <c r="Q37" s="580">
        <f>AGR_SVC!BT141</f>
        <v>3.7561743219833232E-4</v>
      </c>
      <c r="R37" s="580">
        <f>AGR_SVC!CH141</f>
        <v>4.1378383017149121E-4</v>
      </c>
      <c r="S37" s="580">
        <f>AGR_SVC!CV141</f>
        <v>4.5021158488578494E-4</v>
      </c>
      <c r="T37" s="580">
        <f>AGR_SVC!AD141</f>
        <v>4.892498847871939E-4</v>
      </c>
      <c r="U37" s="239"/>
      <c r="V37" s="239"/>
      <c r="W37" s="239"/>
      <c r="Y37" s="433"/>
      <c r="AD37" s="1026"/>
    </row>
    <row r="38" spans="2:30">
      <c r="B38" s="274"/>
      <c r="C38" s="274"/>
      <c r="D38" s="275" t="str">
        <f>AGR_Comm!$D$96</f>
        <v>AGR_LIV_ELC_SVC</v>
      </c>
      <c r="E38" s="274"/>
      <c r="F38" s="274"/>
      <c r="G38" s="736"/>
      <c r="H38" s="736"/>
      <c r="I38" s="736"/>
      <c r="J38" s="736"/>
      <c r="K38" s="736"/>
      <c r="L38" s="736"/>
      <c r="M38" s="736"/>
      <c r="N38" s="580">
        <f>AGR_SVC!Q141</f>
        <v>9.165339882063873E-5</v>
      </c>
      <c r="O38" s="580">
        <f>AGR_SVC!AS141</f>
        <v>1.009114400318858E-4</v>
      </c>
      <c r="P38" s="580">
        <f>AGR_SVC!BG141</f>
        <v>1.6040994112149112E-4</v>
      </c>
      <c r="Q38" s="580">
        <f>AGR_SVC!BU141</f>
        <v>2.5471444904968498E-4</v>
      </c>
      <c r="R38" s="580">
        <f>AGR_SVC!CI141</f>
        <v>3.6900247873152545E-4</v>
      </c>
      <c r="S38" s="580">
        <f>AGR_SVC!CW141</f>
        <v>5.0831775238447893E-4</v>
      </c>
      <c r="T38" s="580">
        <f>AGR_SVC!AE141</f>
        <v>6.8208169466830028E-4</v>
      </c>
      <c r="U38" s="239"/>
      <c r="V38" s="239"/>
      <c r="W38" s="239"/>
      <c r="Y38" s="433"/>
      <c r="AD38" s="1026"/>
    </row>
    <row r="39" spans="2:30">
      <c r="B39" s="274"/>
      <c r="C39" s="274"/>
      <c r="D39" s="275" t="str">
        <f>AGR_Comm!$D$97</f>
        <v>AGR_OTH_SVC</v>
      </c>
      <c r="E39" s="274"/>
      <c r="F39" s="274"/>
      <c r="G39" s="736"/>
      <c r="H39" s="736"/>
      <c r="I39" s="736"/>
      <c r="J39" s="736"/>
      <c r="K39" s="736"/>
      <c r="L39" s="736"/>
      <c r="M39" s="736"/>
      <c r="N39" s="580">
        <f>AGR_SVC!R141</f>
        <v>3.0204255171572679E-4</v>
      </c>
      <c r="O39" s="580">
        <f>AGR_SVC!AT141</f>
        <v>2.9957053584923031E-4</v>
      </c>
      <c r="P39" s="580">
        <f>AGR_SVC!BH141</f>
        <v>3.2053507278916613E-4</v>
      </c>
      <c r="Q39" s="580">
        <f>AGR_SVC!BV141</f>
        <v>3.8517659833821436E-4</v>
      </c>
      <c r="R39" s="580">
        <f>AGR_SVC!CJ141</f>
        <v>4.5029562377754998E-4</v>
      </c>
      <c r="S39" s="580">
        <f>AGR_SVC!CX141</f>
        <v>5.2133337334101524E-4</v>
      </c>
      <c r="T39" s="580">
        <f>AGR_SVC!AF141</f>
        <v>6.0465178221642379E-4</v>
      </c>
      <c r="U39" s="239"/>
      <c r="V39" s="239"/>
      <c r="W39" s="239"/>
      <c r="Y39" s="433"/>
      <c r="AD39" s="1026"/>
    </row>
    <row r="40" spans="2:30">
      <c r="B40" s="274"/>
      <c r="C40" s="274"/>
      <c r="D40" s="274"/>
      <c r="E40" s="270" t="s">
        <v>155</v>
      </c>
      <c r="F40" s="274"/>
      <c r="G40" s="736"/>
      <c r="H40" s="736"/>
      <c r="I40" s="736"/>
      <c r="J40" s="736"/>
      <c r="K40" s="736"/>
      <c r="L40" s="736"/>
      <c r="M40" s="736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Y40" s="433"/>
      <c r="AD40" s="1026"/>
    </row>
    <row r="41" spans="2:30">
      <c r="B41" s="274"/>
      <c r="C41" s="274"/>
      <c r="D41" s="274"/>
      <c r="E41" s="271" t="s">
        <v>112</v>
      </c>
      <c r="F41" s="274"/>
      <c r="G41" s="736"/>
      <c r="H41" s="736"/>
      <c r="I41" s="736"/>
      <c r="J41" s="736"/>
      <c r="K41" s="736"/>
      <c r="L41" s="736"/>
      <c r="M41" s="736"/>
      <c r="N41" s="239"/>
      <c r="O41" s="239"/>
      <c r="P41" s="239"/>
      <c r="Q41" s="239"/>
      <c r="R41" s="239"/>
      <c r="S41" s="239"/>
      <c r="T41" s="239"/>
      <c r="U41" s="406">
        <f>Y41*Z41</f>
        <v>1.0329999999999999</v>
      </c>
      <c r="V41" s="239"/>
      <c r="W41" s="239"/>
      <c r="Y41" s="280">
        <v>2.0659999999999998</v>
      </c>
      <c r="Z41" s="1025">
        <v>0.5</v>
      </c>
      <c r="AB41" s="272">
        <f>U41*M34</f>
        <v>4922.6321853285208</v>
      </c>
      <c r="AD41" s="1026">
        <f>AB41/AB64</f>
        <v>0.24440162228019349</v>
      </c>
    </row>
    <row r="42" spans="2:30">
      <c r="B42" s="274"/>
      <c r="C42" s="274"/>
      <c r="D42" s="274"/>
      <c r="E42" s="274"/>
      <c r="F42" s="276" t="s">
        <v>100</v>
      </c>
      <c r="G42" s="736"/>
      <c r="H42" s="736"/>
      <c r="I42" s="736"/>
      <c r="J42" s="736"/>
      <c r="K42" s="736"/>
      <c r="L42" s="736"/>
      <c r="M42" s="736"/>
      <c r="N42" s="239"/>
      <c r="O42" s="239"/>
      <c r="P42" s="239"/>
      <c r="Q42" s="239"/>
      <c r="R42" s="239"/>
      <c r="S42" s="239"/>
      <c r="T42" s="239"/>
      <c r="U42" s="409">
        <v>1.5E-3</v>
      </c>
      <c r="V42" s="239"/>
      <c r="W42" s="239"/>
      <c r="Y42" s="433"/>
      <c r="AD42" s="1026"/>
    </row>
    <row r="43" spans="2:30">
      <c r="B43" s="274"/>
      <c r="C43" s="274"/>
      <c r="D43" s="274"/>
      <c r="E43" s="274"/>
      <c r="F43" s="276" t="s">
        <v>102</v>
      </c>
      <c r="G43" s="736"/>
      <c r="H43" s="736"/>
      <c r="I43" s="736"/>
      <c r="J43" s="736"/>
      <c r="K43" s="736"/>
      <c r="L43" s="736"/>
      <c r="M43" s="736"/>
      <c r="N43" s="239"/>
      <c r="O43" s="239"/>
      <c r="P43" s="239"/>
      <c r="Q43" s="239"/>
      <c r="R43" s="239"/>
      <c r="S43" s="239"/>
      <c r="T43" s="239"/>
      <c r="U43" s="409">
        <v>4.2399999999999998E-3</v>
      </c>
      <c r="V43" s="239"/>
      <c r="W43" s="239"/>
      <c r="Y43" s="433"/>
      <c r="AD43" s="1026"/>
    </row>
    <row r="44" spans="2:30">
      <c r="B44" s="274"/>
      <c r="C44" s="274"/>
      <c r="D44" s="274"/>
      <c r="E44" s="274"/>
      <c r="F44" s="276" t="s">
        <v>98</v>
      </c>
      <c r="G44" s="736"/>
      <c r="H44" s="736"/>
      <c r="I44" s="736"/>
      <c r="J44" s="736"/>
      <c r="K44" s="736"/>
      <c r="L44" s="736"/>
      <c r="M44" s="736"/>
      <c r="N44" s="239"/>
      <c r="O44" s="239"/>
      <c r="P44" s="239"/>
      <c r="Q44" s="239"/>
      <c r="R44" s="239"/>
      <c r="S44" s="239"/>
      <c r="T44" s="239"/>
      <c r="U44" s="409">
        <v>2.5999999999999998E-4</v>
      </c>
      <c r="V44" s="239"/>
      <c r="W44" s="239"/>
      <c r="Y44" s="433"/>
      <c r="AD44" s="1026"/>
    </row>
    <row r="45" spans="2:30">
      <c r="B45" s="273" t="s">
        <v>261</v>
      </c>
      <c r="C45" s="269" t="s">
        <v>262</v>
      </c>
      <c r="E45" s="269"/>
      <c r="F45" s="269"/>
      <c r="G45" s="737">
        <f>P75/1000</f>
        <v>64.180000000000007</v>
      </c>
      <c r="H45" s="737">
        <v>64.180000000000007</v>
      </c>
      <c r="I45" s="737">
        <v>60.49362200707607</v>
      </c>
      <c r="J45" s="737">
        <v>50.766890201006369</v>
      </c>
      <c r="K45" s="737">
        <v>43.789252164904468</v>
      </c>
      <c r="L45" s="737">
        <v>38.136824108242308</v>
      </c>
      <c r="M45" s="737">
        <v>33.152783626079447</v>
      </c>
      <c r="N45" s="177"/>
      <c r="O45" s="177"/>
      <c r="P45" s="177"/>
      <c r="Q45" s="177"/>
      <c r="R45" s="177"/>
      <c r="S45" s="177"/>
      <c r="T45" s="177"/>
      <c r="U45" s="238"/>
      <c r="V45" s="407">
        <v>1</v>
      </c>
      <c r="W45" s="407">
        <v>1</v>
      </c>
      <c r="Y45" s="433"/>
      <c r="AD45" s="1026"/>
    </row>
    <row r="46" spans="2:30">
      <c r="B46" s="269"/>
      <c r="C46" s="269"/>
      <c r="D46" s="275" t="str">
        <f>$D$70</f>
        <v>AGR_LIVESTOCK_FOOD</v>
      </c>
      <c r="E46" s="269"/>
      <c r="F46" s="269"/>
      <c r="G46" s="733"/>
      <c r="H46" s="733"/>
      <c r="I46" s="733"/>
      <c r="J46" s="733"/>
      <c r="K46" s="733"/>
      <c r="L46" s="733"/>
      <c r="M46" s="733"/>
      <c r="N46" s="408">
        <v>1</v>
      </c>
      <c r="O46" s="408">
        <v>1</v>
      </c>
      <c r="P46" s="408">
        <v>1</v>
      </c>
      <c r="Q46" s="408">
        <v>1</v>
      </c>
      <c r="R46" s="408">
        <v>1</v>
      </c>
      <c r="S46" s="408">
        <v>1</v>
      </c>
      <c r="T46" s="408">
        <v>1</v>
      </c>
      <c r="U46" s="238"/>
      <c r="V46" s="238"/>
      <c r="W46" s="238"/>
      <c r="Y46" s="433"/>
      <c r="AD46" s="1026"/>
    </row>
    <row r="47" spans="2:30">
      <c r="B47" s="269"/>
      <c r="C47" s="269"/>
      <c r="D47" s="269"/>
      <c r="E47" s="270" t="s">
        <v>156</v>
      </c>
      <c r="F47" s="269"/>
      <c r="G47" s="733"/>
      <c r="H47" s="733"/>
      <c r="I47" s="733"/>
      <c r="J47" s="733"/>
      <c r="K47" s="733"/>
      <c r="L47" s="733"/>
      <c r="M47" s="733"/>
      <c r="N47" s="238"/>
      <c r="O47" s="238"/>
      <c r="P47" s="238"/>
      <c r="Q47" s="238"/>
      <c r="R47" s="238"/>
      <c r="S47" s="238"/>
      <c r="T47" s="238"/>
      <c r="U47" s="238"/>
      <c r="V47" s="238"/>
      <c r="W47" s="238"/>
      <c r="Y47" s="433"/>
      <c r="AD47" s="1026"/>
    </row>
    <row r="48" spans="2:30">
      <c r="B48" s="269" t="s">
        <v>90</v>
      </c>
      <c r="C48" s="269"/>
      <c r="D48" s="269"/>
      <c r="E48" s="271" t="s">
        <v>114</v>
      </c>
      <c r="F48" s="269"/>
      <c r="G48" s="733"/>
      <c r="H48" s="733"/>
      <c r="I48" s="733"/>
      <c r="J48" s="733"/>
      <c r="K48" s="733"/>
      <c r="L48" s="733"/>
      <c r="M48" s="733"/>
      <c r="N48" s="238"/>
      <c r="O48" s="238"/>
      <c r="P48" s="238"/>
      <c r="Q48" s="238"/>
      <c r="R48" s="238"/>
      <c r="S48" s="238"/>
      <c r="T48" s="238"/>
      <c r="U48" s="406">
        <f>Y48*Z48</f>
        <v>0</v>
      </c>
      <c r="V48" s="238"/>
      <c r="W48" s="238"/>
      <c r="Y48" s="280">
        <v>0.76500000000000001</v>
      </c>
      <c r="Z48" s="1025">
        <v>0</v>
      </c>
      <c r="AB48" s="272">
        <f>U48*M45</f>
        <v>0</v>
      </c>
      <c r="AD48" s="1026"/>
    </row>
    <row r="49" spans="2:32">
      <c r="B49" s="269"/>
      <c r="C49" s="269"/>
      <c r="D49" s="269"/>
      <c r="E49" s="269"/>
      <c r="F49" s="276" t="s">
        <v>100</v>
      </c>
      <c r="G49" s="733"/>
      <c r="H49" s="733"/>
      <c r="I49" s="733"/>
      <c r="J49" s="733"/>
      <c r="K49" s="733"/>
      <c r="L49" s="733"/>
      <c r="M49" s="733"/>
      <c r="N49" s="238"/>
      <c r="O49" s="238"/>
      <c r="P49" s="238"/>
      <c r="Q49" s="238"/>
      <c r="R49" s="238"/>
      <c r="S49" s="238"/>
      <c r="T49" s="238"/>
      <c r="U49" s="409">
        <v>5.00000000000004E-3</v>
      </c>
      <c r="V49" s="238"/>
      <c r="W49" s="238"/>
      <c r="Y49" s="433"/>
      <c r="AD49" s="1026"/>
    </row>
    <row r="50" spans="2:32">
      <c r="B50" s="269"/>
      <c r="C50" s="269"/>
      <c r="D50" s="269"/>
      <c r="E50" s="269"/>
      <c r="F50" s="276" t="s">
        <v>102</v>
      </c>
      <c r="G50" s="733"/>
      <c r="H50" s="733"/>
      <c r="I50" s="733"/>
      <c r="J50" s="733"/>
      <c r="K50" s="733"/>
      <c r="L50" s="733"/>
      <c r="M50" s="733"/>
      <c r="N50" s="238"/>
      <c r="O50" s="238"/>
      <c r="P50" s="238"/>
      <c r="Q50" s="238"/>
      <c r="R50" s="238"/>
      <c r="S50" s="238"/>
      <c r="T50" s="238"/>
      <c r="U50" s="409">
        <v>1.6100000000000001E-3</v>
      </c>
      <c r="V50" s="238"/>
      <c r="W50" s="238"/>
      <c r="Y50" s="433"/>
      <c r="AD50" s="1026"/>
      <c r="AF50" s="277" t="s">
        <v>356</v>
      </c>
    </row>
    <row r="51" spans="2:32">
      <c r="B51" s="269"/>
      <c r="C51" s="269"/>
      <c r="D51" s="269"/>
      <c r="E51" s="269"/>
      <c r="F51" s="276" t="s">
        <v>98</v>
      </c>
      <c r="G51" s="733"/>
      <c r="H51" s="733"/>
      <c r="I51" s="733"/>
      <c r="J51" s="733"/>
      <c r="K51" s="733"/>
      <c r="L51" s="733"/>
      <c r="M51" s="733"/>
      <c r="N51" s="238"/>
      <c r="O51" s="238"/>
      <c r="P51" s="238"/>
      <c r="Q51" s="238"/>
      <c r="R51" s="238"/>
      <c r="S51" s="238"/>
      <c r="T51" s="238"/>
      <c r="U51" s="409">
        <v>1.8E-5</v>
      </c>
      <c r="V51" s="238"/>
      <c r="W51" s="238"/>
      <c r="Y51" s="433"/>
      <c r="AD51" s="1026"/>
    </row>
    <row r="52" spans="2:32">
      <c r="B52" s="273" t="s">
        <v>265</v>
      </c>
      <c r="C52" s="278" t="s">
        <v>266</v>
      </c>
      <c r="D52" s="279"/>
      <c r="E52" s="278"/>
      <c r="F52" s="278"/>
      <c r="G52" s="737">
        <f>K79/1000</f>
        <v>268862.57400000002</v>
      </c>
      <c r="H52" s="737">
        <v>272993.99099999998</v>
      </c>
      <c r="I52" s="737">
        <v>257313.73171949401</v>
      </c>
      <c r="J52" s="737">
        <v>215940.41705564849</v>
      </c>
      <c r="K52" s="737">
        <v>186260.55954195483</v>
      </c>
      <c r="L52" s="737">
        <v>162217.57272318608</v>
      </c>
      <c r="M52" s="737">
        <v>141017.61786916296</v>
      </c>
      <c r="N52" s="410"/>
      <c r="O52" s="410"/>
      <c r="P52" s="410"/>
      <c r="Q52" s="410"/>
      <c r="R52" s="410"/>
      <c r="S52" s="410"/>
      <c r="T52" s="410"/>
      <c r="U52" s="240"/>
      <c r="V52" s="407">
        <v>1</v>
      </c>
      <c r="W52" s="407">
        <v>1</v>
      </c>
      <c r="Y52" s="433"/>
      <c r="AD52" s="1026"/>
    </row>
    <row r="53" spans="2:32">
      <c r="B53" s="278"/>
      <c r="C53" s="278"/>
      <c r="D53" s="275" t="str">
        <f>$D$70</f>
        <v>AGR_LIVESTOCK_FOOD</v>
      </c>
      <c r="E53" s="278"/>
      <c r="F53" s="278"/>
      <c r="G53" s="240"/>
      <c r="H53" s="240"/>
      <c r="I53" s="240"/>
      <c r="J53" s="240"/>
      <c r="K53" s="240"/>
      <c r="L53" s="240"/>
      <c r="M53" s="240"/>
      <c r="N53" s="408">
        <v>1</v>
      </c>
      <c r="O53" s="408">
        <v>1</v>
      </c>
      <c r="P53" s="408">
        <v>1</v>
      </c>
      <c r="Q53" s="408">
        <v>1</v>
      </c>
      <c r="R53" s="408">
        <v>1</v>
      </c>
      <c r="S53" s="408">
        <v>1</v>
      </c>
      <c r="T53" s="408">
        <v>1</v>
      </c>
      <c r="U53" s="240"/>
      <c r="V53" s="240"/>
      <c r="W53" s="240"/>
      <c r="Y53" s="433"/>
      <c r="AD53" s="1026"/>
    </row>
    <row r="54" spans="2:32">
      <c r="B54" s="278"/>
      <c r="C54" s="278"/>
      <c r="D54" s="275" t="str">
        <f>AGR_Comm!$D$93</f>
        <v>AGR_MACH_WORK</v>
      </c>
      <c r="E54" s="278"/>
      <c r="F54" s="278"/>
      <c r="G54" s="240"/>
      <c r="H54" s="240"/>
      <c r="I54" s="240"/>
      <c r="J54" s="240"/>
      <c r="K54" s="240"/>
      <c r="L54" s="240"/>
      <c r="M54" s="240"/>
      <c r="N54" s="580">
        <f>AGR_SVC!N142</f>
        <v>2.4603961685548378E-6</v>
      </c>
      <c r="O54" s="580">
        <f>AGR_SVC!AP142</f>
        <v>2.4074424265195518E-6</v>
      </c>
      <c r="P54" s="580">
        <f>AGR_SVC!BD142</f>
        <v>2.3137145912626709E-6</v>
      </c>
      <c r="Q54" s="580">
        <f>AGR_SVC!BR142</f>
        <v>2.47051368326063E-6</v>
      </c>
      <c r="R54" s="580">
        <f>AGR_SVC!CF142</f>
        <v>2.5320281210263464E-6</v>
      </c>
      <c r="S54" s="580">
        <f>AGR_SVC!CT142</f>
        <v>2.525929757258108E-6</v>
      </c>
      <c r="T54" s="580">
        <f>AGR_SVC!AB142</f>
        <v>2.4669500083664948E-6</v>
      </c>
      <c r="U54" s="240"/>
      <c r="V54" s="240"/>
      <c r="W54" s="240"/>
      <c r="Y54" s="433"/>
      <c r="AD54" s="1026"/>
    </row>
    <row r="55" spans="2:32">
      <c r="B55" s="278"/>
      <c r="C55" s="278"/>
      <c r="D55" s="275" t="str">
        <f>AGR_Comm!$D$95</f>
        <v>AGR_LIV_HT</v>
      </c>
      <c r="E55" s="278"/>
      <c r="F55" s="278"/>
      <c r="G55" s="240"/>
      <c r="H55" s="240"/>
      <c r="I55" s="240"/>
      <c r="J55" s="240"/>
      <c r="K55" s="240"/>
      <c r="L55" s="240"/>
      <c r="M55" s="240"/>
      <c r="N55" s="580">
        <f>AGR_SVC!P142</f>
        <v>2.6976180653453714E-5</v>
      </c>
      <c r="O55" s="580">
        <f>AGR_SVC!AR142</f>
        <v>2.6347543013740584E-5</v>
      </c>
      <c r="P55" s="580">
        <f>AGR_SVC!BF142</f>
        <v>2.6687128769398475E-5</v>
      </c>
      <c r="Q55" s="580">
        <f>AGR_SVC!BT142</f>
        <v>3.0291728403091314E-5</v>
      </c>
      <c r="R55" s="580">
        <f>AGR_SVC!CH142</f>
        <v>3.3369663723507353E-5</v>
      </c>
      <c r="S55" s="580">
        <f>AGR_SVC!CV142</f>
        <v>3.6307385877885881E-5</v>
      </c>
      <c r="T55" s="580">
        <f>AGR_SVC!AD142</f>
        <v>3.9455635869934988E-5</v>
      </c>
      <c r="U55" s="240"/>
      <c r="V55" s="240"/>
      <c r="W55" s="240"/>
      <c r="Y55" s="433"/>
      <c r="AD55" s="1026"/>
    </row>
    <row r="56" spans="2:32">
      <c r="B56" s="278"/>
      <c r="C56" s="278"/>
      <c r="D56" s="275" t="str">
        <f>AGR_Comm!$D$96</f>
        <v>AGR_LIV_ELC_SVC</v>
      </c>
      <c r="E56" s="278"/>
      <c r="F56" s="278"/>
      <c r="G56" s="240"/>
      <c r="H56" s="240"/>
      <c r="I56" s="240"/>
      <c r="J56" s="240"/>
      <c r="K56" s="240"/>
      <c r="L56" s="240"/>
      <c r="M56" s="240"/>
      <c r="N56" s="580">
        <f>AGR_SVC!Q142</f>
        <v>5.4992039292383237E-6</v>
      </c>
      <c r="O56" s="580">
        <f>AGR_SVC!AS142</f>
        <v>6.054686401913148E-6</v>
      </c>
      <c r="P56" s="580">
        <f>AGR_SVC!BG142</f>
        <v>9.6245964672894677E-6</v>
      </c>
      <c r="Q56" s="580">
        <f>AGR_SVC!BU142</f>
        <v>1.5282866942981098E-5</v>
      </c>
      <c r="R56" s="580">
        <f>AGR_SVC!CI142</f>
        <v>2.2140148723891527E-5</v>
      </c>
      <c r="S56" s="580">
        <f>AGR_SVC!CW142</f>
        <v>3.0499065143068735E-5</v>
      </c>
      <c r="T56" s="580">
        <f>AGR_SVC!AE142</f>
        <v>4.0924901680098015E-5</v>
      </c>
      <c r="U56" s="240"/>
      <c r="V56" s="240"/>
      <c r="W56" s="240"/>
      <c r="Y56" s="433"/>
      <c r="AD56" s="1026"/>
    </row>
    <row r="57" spans="2:32">
      <c r="B57" s="278"/>
      <c r="C57" s="278"/>
      <c r="D57" s="275" t="str">
        <f>AGR_Comm!$D$97</f>
        <v>AGR_OTH_SVC</v>
      </c>
      <c r="E57" s="278"/>
      <c r="F57" s="278"/>
      <c r="G57" s="240"/>
      <c r="H57" s="240"/>
      <c r="I57" s="240"/>
      <c r="J57" s="240"/>
      <c r="K57" s="240"/>
      <c r="L57" s="240"/>
      <c r="M57" s="240"/>
      <c r="N57" s="580">
        <f>AGR_SVC!R142</f>
        <v>7.5510637928931695E-6</v>
      </c>
      <c r="O57" s="580">
        <f>AGR_SVC!AT142</f>
        <v>7.4892633962307583E-6</v>
      </c>
      <c r="P57" s="580">
        <f>AGR_SVC!BH142</f>
        <v>8.0133768197291532E-6</v>
      </c>
      <c r="Q57" s="580">
        <f>AGR_SVC!BV142</f>
        <v>9.6294149584553589E-6</v>
      </c>
      <c r="R57" s="580">
        <f>AGR_SVC!CJ142</f>
        <v>1.125739059443875E-5</v>
      </c>
      <c r="S57" s="580">
        <f>AGR_SVC!CX142</f>
        <v>1.3033334333525382E-5</v>
      </c>
      <c r="T57" s="580">
        <f>AGR_SVC!AF142</f>
        <v>1.5116294555410593E-5</v>
      </c>
      <c r="U57" s="240"/>
      <c r="V57" s="240"/>
      <c r="W57" s="240"/>
      <c r="Y57" s="433"/>
      <c r="AD57" s="1026"/>
    </row>
    <row r="58" spans="2:32">
      <c r="B58" s="278"/>
      <c r="C58" s="278"/>
      <c r="D58" s="278"/>
      <c r="E58" s="270" t="s">
        <v>158</v>
      </c>
      <c r="F58" s="278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Y58" s="433"/>
      <c r="AD58" s="1026"/>
    </row>
    <row r="59" spans="2:32">
      <c r="B59" s="278"/>
      <c r="C59" s="278"/>
      <c r="D59" s="278"/>
      <c r="E59" s="271" t="s">
        <v>118</v>
      </c>
      <c r="F59" s="278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406">
        <f>Y59*Z59</f>
        <v>0.01</v>
      </c>
      <c r="V59" s="240"/>
      <c r="W59" s="240"/>
      <c r="Y59" s="280">
        <v>0.02</v>
      </c>
      <c r="Z59" s="1025">
        <v>0.5</v>
      </c>
      <c r="AB59" s="272">
        <f>U59*M52</f>
        <v>1410.1761786916297</v>
      </c>
      <c r="AD59" s="1026">
        <f>AB59/AB64</f>
        <v>7.0013223169570926E-2</v>
      </c>
    </row>
    <row r="60" spans="2:32">
      <c r="B60" s="278"/>
      <c r="C60" s="278"/>
      <c r="D60" s="278"/>
      <c r="E60" s="278"/>
      <c r="F60" s="276" t="s">
        <v>102</v>
      </c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409">
        <f>0.012/1000</f>
        <v>1.2E-5</v>
      </c>
      <c r="V60" s="241"/>
      <c r="W60" s="241"/>
    </row>
    <row r="61" spans="2:32" ht="13.5" thickBot="1">
      <c r="B61" s="281"/>
      <c r="C61" s="281"/>
      <c r="D61" s="281"/>
      <c r="E61" s="281"/>
      <c r="F61" s="282" t="s">
        <v>98</v>
      </c>
      <c r="G61" s="411"/>
      <c r="H61" s="411"/>
      <c r="I61" s="411"/>
      <c r="J61" s="411"/>
      <c r="K61" s="411"/>
      <c r="L61" s="411"/>
      <c r="M61" s="411"/>
      <c r="N61" s="411"/>
      <c r="O61" s="411"/>
      <c r="P61" s="411"/>
      <c r="Q61" s="411"/>
      <c r="R61" s="411"/>
      <c r="S61" s="411"/>
      <c r="T61" s="411"/>
      <c r="U61" s="412">
        <v>2.5000000000000001E-4</v>
      </c>
      <c r="V61" s="413"/>
      <c r="W61" s="413"/>
    </row>
    <row r="63" spans="2:32">
      <c r="AB63" s="265">
        <f>SUM(AB12:AB59)</f>
        <v>20188.896234056698</v>
      </c>
    </row>
    <row r="64" spans="2:32">
      <c r="AB64" s="265">
        <f>AB63-AB30</f>
        <v>20141.569190097209</v>
      </c>
    </row>
    <row r="65" spans="2:16" ht="12.75" customHeight="1"/>
    <row r="67" spans="2:16" ht="12.75" customHeight="1" thickBot="1">
      <c r="D67" s="248" t="s">
        <v>303</v>
      </c>
      <c r="E67" s="42"/>
      <c r="I67" s="265" t="s">
        <v>357</v>
      </c>
    </row>
    <row r="68" spans="2:16" ht="12.75" customHeight="1">
      <c r="B68" s="249" t="s">
        <v>179</v>
      </c>
      <c r="C68" s="250" t="s">
        <v>358</v>
      </c>
      <c r="D68" s="249" t="s">
        <v>306</v>
      </c>
      <c r="E68" s="251" t="s">
        <v>359</v>
      </c>
      <c r="I68" s="283" t="s">
        <v>813</v>
      </c>
      <c r="J68" s="284"/>
      <c r="K68" s="284"/>
      <c r="L68" s="284"/>
      <c r="M68" s="284"/>
      <c r="N68" s="285" t="s">
        <v>360</v>
      </c>
      <c r="O68" s="286"/>
      <c r="P68" s="287"/>
    </row>
    <row r="69" spans="2:16" ht="12.75" customHeight="1" thickBot="1">
      <c r="B69" s="252" t="s">
        <v>348</v>
      </c>
      <c r="C69" s="252" t="s">
        <v>349</v>
      </c>
      <c r="D69" s="252" t="s">
        <v>351</v>
      </c>
      <c r="E69" s="252" t="s">
        <v>361</v>
      </c>
      <c r="I69" s="288"/>
      <c r="J69" s="229"/>
      <c r="K69" s="229"/>
      <c r="L69" s="229"/>
      <c r="M69" s="229"/>
      <c r="N69" s="229"/>
      <c r="O69" s="229"/>
      <c r="P69" s="289"/>
    </row>
    <row r="70" spans="2:16">
      <c r="B70" s="290" t="str">
        <f>AGR_Proc!D31</f>
        <v>AGR_IMP_DUMMY_FOOD_LIV</v>
      </c>
      <c r="C70" s="290" t="str">
        <f>AGR_Proc!E31</f>
        <v>Dummy Energy Import</v>
      </c>
      <c r="D70" s="290" t="str">
        <f>AGR_Comm!D62</f>
        <v>AGR_LIVESTOCK_FOOD</v>
      </c>
      <c r="E70" s="290">
        <v>1E-3</v>
      </c>
      <c r="I70" s="291" t="s">
        <v>814</v>
      </c>
      <c r="J70" s="292"/>
      <c r="K70" s="292"/>
      <c r="L70" s="292"/>
      <c r="M70" s="292"/>
      <c r="N70" s="292"/>
      <c r="O70" s="292"/>
      <c r="P70" s="293"/>
    </row>
    <row r="71" spans="2:16">
      <c r="I71" s="294"/>
      <c r="J71" s="295"/>
      <c r="K71" s="295"/>
      <c r="L71" s="295"/>
      <c r="M71" s="295"/>
      <c r="N71" s="295"/>
      <c r="O71" s="295"/>
      <c r="P71" s="296"/>
    </row>
    <row r="72" spans="2:16">
      <c r="I72" s="297" t="s">
        <v>362</v>
      </c>
      <c r="J72" s="298" t="s">
        <v>363</v>
      </c>
      <c r="K72" s="298"/>
      <c r="L72" s="298" t="s">
        <v>364</v>
      </c>
      <c r="M72" s="298"/>
      <c r="N72" s="298" t="s">
        <v>365</v>
      </c>
      <c r="O72" s="299" t="s">
        <v>366</v>
      </c>
      <c r="P72" s="300" t="s">
        <v>367</v>
      </c>
    </row>
    <row r="73" spans="2:16">
      <c r="I73" s="297"/>
      <c r="J73" s="298" t="s">
        <v>368</v>
      </c>
      <c r="K73" s="299" t="s">
        <v>369</v>
      </c>
      <c r="L73" s="298" t="s">
        <v>368</v>
      </c>
      <c r="M73" s="299" t="s">
        <v>370</v>
      </c>
      <c r="N73" s="298"/>
      <c r="O73" s="299"/>
      <c r="P73" s="300"/>
    </row>
    <row r="74" spans="2:16">
      <c r="I74" s="297"/>
      <c r="J74" s="298" t="s">
        <v>371</v>
      </c>
      <c r="K74" s="298"/>
      <c r="L74" s="298"/>
      <c r="M74" s="298"/>
      <c r="N74" s="298"/>
      <c r="O74" s="298"/>
      <c r="P74" s="301" t="s">
        <v>372</v>
      </c>
    </row>
    <row r="75" spans="2:16" ht="13.5" thickBot="1">
      <c r="I75" s="302" t="s">
        <v>373</v>
      </c>
      <c r="J75" s="303">
        <v>6190927</v>
      </c>
      <c r="K75" s="303">
        <v>2101159</v>
      </c>
      <c r="L75" s="303">
        <v>9078250</v>
      </c>
      <c r="M75" s="303">
        <v>599707</v>
      </c>
      <c r="N75" s="303">
        <v>269538</v>
      </c>
      <c r="O75" s="303">
        <v>244679548</v>
      </c>
      <c r="P75" s="304">
        <v>64180</v>
      </c>
    </row>
    <row r="76" spans="2:16">
      <c r="I76" s="305" t="s">
        <v>815</v>
      </c>
      <c r="J76" s="306"/>
      <c r="K76" s="306"/>
      <c r="L76" s="306"/>
      <c r="M76" s="306"/>
      <c r="N76" s="307"/>
      <c r="O76" s="308"/>
      <c r="P76" s="309"/>
    </row>
    <row r="77" spans="2:16">
      <c r="I77" s="297" t="s">
        <v>374</v>
      </c>
      <c r="J77" s="298" t="s">
        <v>375</v>
      </c>
      <c r="K77" s="298"/>
      <c r="L77" s="298" t="s">
        <v>376</v>
      </c>
      <c r="M77" s="298"/>
      <c r="P77" s="310"/>
    </row>
    <row r="78" spans="2:16">
      <c r="I78" s="297"/>
      <c r="J78" s="298" t="s">
        <v>371</v>
      </c>
      <c r="K78" s="298"/>
      <c r="L78" s="298"/>
      <c r="M78" s="298"/>
      <c r="P78" s="310"/>
    </row>
    <row r="79" spans="2:16" ht="13.5" thickBot="1">
      <c r="I79" s="311" t="s">
        <v>377</v>
      </c>
      <c r="J79" s="312">
        <v>214987216</v>
      </c>
      <c r="K79" s="312">
        <v>268862574</v>
      </c>
      <c r="L79" s="312">
        <v>185713737</v>
      </c>
      <c r="M79" s="312">
        <v>244679548</v>
      </c>
      <c r="N79" s="313"/>
      <c r="O79" s="313"/>
      <c r="P79" s="314"/>
    </row>
  </sheetData>
  <phoneticPr fontId="54" type="noConversion"/>
  <hyperlinks>
    <hyperlink ref="AF50" r:id="rId1" xr:uid="{2A2DAE22-9692-46E6-A949-D382B8D551A3}"/>
  </hyperlinks>
  <pageMargins left="0.7" right="0.7" top="0.75" bottom="0.75" header="0.3" footer="0.3"/>
  <pageSetup paperSize="9" orientation="portrait" r:id="rId2"/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0F72-FB64-4B70-AECF-ECE1C02A9588}">
  <dimension ref="A1:CX164"/>
  <sheetViews>
    <sheetView zoomScaleNormal="100" workbookViewId="0">
      <selection activeCell="AF38" sqref="AF38"/>
    </sheetView>
  </sheetViews>
  <sheetFormatPr defaultRowHeight="12.75"/>
  <cols>
    <col min="1" max="1" width="3.42578125" customWidth="1"/>
    <col min="2" max="2" width="39" customWidth="1"/>
    <col min="3" max="3" width="27.42578125" customWidth="1"/>
    <col min="4" max="4" width="28.42578125" customWidth="1"/>
    <col min="5" max="6" width="20.42578125" customWidth="1"/>
    <col min="7" max="7" width="14.5703125" bestFit="1" customWidth="1"/>
    <col min="8" max="8" width="13.7109375" customWidth="1"/>
    <col min="9" max="10" width="14.7109375" customWidth="1"/>
    <col min="11" max="11" width="12.7109375" bestFit="1" customWidth="1"/>
    <col min="12" max="12" width="12.7109375" customWidth="1"/>
    <col min="13" max="14" width="11.7109375" customWidth="1"/>
    <col min="15" max="15" width="13.42578125" bestFit="1" customWidth="1"/>
    <col min="16" max="16" width="12.28515625" bestFit="1" customWidth="1"/>
    <col min="17" max="17" width="16" bestFit="1" customWidth="1"/>
    <col min="18" max="18" width="12.85546875" bestFit="1" customWidth="1"/>
    <col min="19" max="19" width="9.7109375" bestFit="1" customWidth="1"/>
    <col min="20" max="20" width="12.7109375" bestFit="1" customWidth="1"/>
    <col min="21" max="21" width="10.28515625" customWidth="1"/>
    <col min="22" max="22" width="14" customWidth="1"/>
    <col min="23" max="24" width="15.28515625" bestFit="1" customWidth="1"/>
    <col min="25" max="25" width="14.5703125" bestFit="1" customWidth="1"/>
    <col min="26" max="26" width="15.7109375" bestFit="1" customWidth="1"/>
    <col min="27" max="27" width="15.42578125" bestFit="1" customWidth="1"/>
    <col min="28" max="28" width="15.28515625" bestFit="1" customWidth="1"/>
    <col min="29" max="29" width="13.42578125" bestFit="1" customWidth="1"/>
    <col min="30" max="30" width="13.5703125" bestFit="1" customWidth="1"/>
    <col min="31" max="31" width="15.5703125" bestFit="1" customWidth="1"/>
    <col min="32" max="32" width="21.7109375" bestFit="1" customWidth="1"/>
    <col min="33" max="33" width="15.140625" bestFit="1" customWidth="1"/>
    <col min="34" max="34" width="12.140625" bestFit="1" customWidth="1"/>
    <col min="35" max="35" width="14.5703125" bestFit="1" customWidth="1"/>
    <col min="36" max="36" width="13.42578125" bestFit="1" customWidth="1"/>
    <col min="37" max="37" width="14.7109375" bestFit="1" customWidth="1"/>
    <col min="38" max="38" width="12.42578125" customWidth="1"/>
    <col min="39" max="39" width="9.7109375" bestFit="1" customWidth="1"/>
    <col min="40" max="40" width="15.7109375" bestFit="1" customWidth="1"/>
    <col min="41" max="41" width="14.85546875" bestFit="1" customWidth="1"/>
    <col min="42" max="42" width="16.140625" bestFit="1" customWidth="1"/>
    <col min="43" max="43" width="13.5703125" bestFit="1" customWidth="1"/>
    <col min="44" max="44" width="13.42578125" bestFit="1" customWidth="1"/>
    <col min="45" max="45" width="16.5703125" bestFit="1" customWidth="1"/>
    <col min="46" max="46" width="13.42578125" bestFit="1" customWidth="1"/>
    <col min="47" max="47" width="9" bestFit="1" customWidth="1"/>
    <col min="48" max="48" width="12.28515625" customWidth="1"/>
    <col min="49" max="49" width="14.7109375" bestFit="1" customWidth="1"/>
    <col min="50" max="50" width="13.5703125" bestFit="1" customWidth="1"/>
    <col min="51" max="51" width="15.28515625" bestFit="1" customWidth="1"/>
    <col min="52" max="52" width="13.28515625" customWidth="1"/>
    <col min="53" max="53" width="11.42578125" customWidth="1"/>
    <col min="54" max="54" width="16.28515625" customWidth="1"/>
    <col min="55" max="55" width="13" customWidth="1"/>
    <col min="56" max="56" width="16.7109375" customWidth="1"/>
    <col min="57" max="59" width="12.42578125" bestFit="1" customWidth="1"/>
    <col min="60" max="60" width="11.140625" customWidth="1"/>
    <col min="61" max="61" width="9.140625" bestFit="1" customWidth="1"/>
    <col min="62" max="62" width="12.5703125" bestFit="1" customWidth="1"/>
    <col min="63" max="63" width="12.7109375" customWidth="1"/>
    <col min="64" max="64" width="13.5703125" bestFit="1" customWidth="1"/>
    <col min="65" max="65" width="15.140625" bestFit="1" customWidth="1"/>
    <col min="66" max="66" width="13" customWidth="1"/>
    <col min="67" max="67" width="10.140625" bestFit="1" customWidth="1"/>
    <col min="68" max="68" width="15.42578125" customWidth="1"/>
    <col min="69" max="69" width="13.42578125" customWidth="1"/>
    <col min="70" max="70" width="15.7109375" customWidth="1"/>
    <col min="71" max="71" width="13.7109375" customWidth="1"/>
    <col min="72" max="72" width="13.140625" customWidth="1"/>
    <col min="73" max="73" width="15.85546875" customWidth="1"/>
    <col min="74" max="74" width="15.140625" customWidth="1"/>
    <col min="75" max="75" width="9.140625" bestFit="1" customWidth="1"/>
    <col min="76" max="76" width="12.140625" customWidth="1"/>
    <col min="77" max="78" width="13.5703125" bestFit="1" customWidth="1"/>
    <col min="79" max="79" width="15.42578125" customWidth="1"/>
    <col min="80" max="80" width="14" customWidth="1"/>
    <col min="81" max="81" width="11.85546875" customWidth="1"/>
    <col min="82" max="82" width="14.85546875" customWidth="1"/>
    <col min="83" max="83" width="14.42578125" customWidth="1"/>
    <col min="84" max="84" width="15" bestFit="1" customWidth="1"/>
    <col min="85" max="86" width="12.5703125" bestFit="1" customWidth="1"/>
    <col min="87" max="87" width="14.85546875" bestFit="1" customWidth="1"/>
    <col min="88" max="88" width="13.140625" bestFit="1" customWidth="1"/>
    <col min="89" max="89" width="9" bestFit="1" customWidth="1"/>
    <col min="90" max="90" width="10.28515625" bestFit="1" customWidth="1"/>
    <col min="91" max="92" width="10" bestFit="1" customWidth="1"/>
    <col min="93" max="93" width="15.28515625" customWidth="1"/>
    <col min="94" max="94" width="13.5703125" bestFit="1" customWidth="1"/>
    <col min="95" max="95" width="10.140625" bestFit="1" customWidth="1"/>
    <col min="96" max="96" width="10.28515625" bestFit="1" customWidth="1"/>
    <col min="97" max="97" width="11.28515625" bestFit="1" customWidth="1"/>
    <col min="98" max="98" width="10.7109375" bestFit="1" customWidth="1"/>
    <col min="99" max="99" width="15.7109375" bestFit="1" customWidth="1"/>
    <col min="100" max="101" width="9" bestFit="1" customWidth="1"/>
    <col min="102" max="102" width="13" bestFit="1" customWidth="1"/>
    <col min="103" max="103" width="9" bestFit="1" customWidth="1"/>
    <col min="104" max="108" width="10" bestFit="1" customWidth="1"/>
  </cols>
  <sheetData>
    <row r="1" spans="1:41">
      <c r="A1" s="177"/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</row>
    <row r="2" spans="1:41" ht="18">
      <c r="A2" s="177"/>
      <c r="B2" s="259" t="s">
        <v>896</v>
      </c>
      <c r="C2" s="63"/>
      <c r="D2" s="63"/>
      <c r="E2" s="63"/>
      <c r="F2" s="63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AG2" s="742" t="s">
        <v>919</v>
      </c>
      <c r="AH2" s="742"/>
      <c r="AI2" s="742"/>
      <c r="AJ2" s="742"/>
      <c r="AK2" s="742"/>
      <c r="AL2" s="742"/>
      <c r="AM2" s="742"/>
    </row>
    <row r="3" spans="1:41">
      <c r="A3" s="177"/>
      <c r="B3" s="177"/>
      <c r="C3" s="177"/>
      <c r="D3" s="177"/>
      <c r="E3" s="177"/>
      <c r="F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</row>
    <row r="4" spans="1:41">
      <c r="A4" s="177"/>
      <c r="B4" s="177"/>
      <c r="C4" s="177"/>
      <c r="D4" s="177"/>
      <c r="E4" s="243" t="s">
        <v>337</v>
      </c>
      <c r="F4" s="177"/>
      <c r="L4" s="177"/>
      <c r="M4" s="243"/>
      <c r="N4" s="177"/>
      <c r="O4" s="177"/>
      <c r="P4" s="177"/>
      <c r="Q4" s="177"/>
      <c r="R4" s="177"/>
      <c r="S4" s="243"/>
      <c r="T4" s="243"/>
      <c r="U4" s="243"/>
      <c r="V4" s="244"/>
      <c r="W4" s="244"/>
      <c r="X4" s="42"/>
      <c r="Y4" s="177"/>
      <c r="AO4" s="38" t="s">
        <v>918</v>
      </c>
    </row>
    <row r="5" spans="1:41">
      <c r="A5" s="177"/>
      <c r="B5" s="71" t="s">
        <v>179</v>
      </c>
      <c r="C5" s="72" t="s">
        <v>358</v>
      </c>
      <c r="D5" s="71" t="s">
        <v>305</v>
      </c>
      <c r="E5" s="71" t="s">
        <v>306</v>
      </c>
      <c r="F5" s="71" t="s">
        <v>909</v>
      </c>
      <c r="G5" s="71" t="s">
        <v>920</v>
      </c>
      <c r="H5" s="71" t="s">
        <v>921</v>
      </c>
      <c r="I5" s="71" t="s">
        <v>922</v>
      </c>
      <c r="J5" s="71" t="s">
        <v>923</v>
      </c>
      <c r="K5" s="71" t="s">
        <v>924</v>
      </c>
      <c r="L5" s="71" t="s">
        <v>910</v>
      </c>
      <c r="M5" s="71" t="s">
        <v>855</v>
      </c>
      <c r="N5" s="71" t="s">
        <v>433</v>
      </c>
      <c r="O5" s="71" t="s">
        <v>434</v>
      </c>
      <c r="P5" s="71" t="s">
        <v>435</v>
      </c>
      <c r="Q5" s="71" t="s">
        <v>436</v>
      </c>
      <c r="R5" s="71" t="s">
        <v>437</v>
      </c>
      <c r="S5" s="71" t="s">
        <v>340</v>
      </c>
      <c r="T5" s="71" t="s">
        <v>389</v>
      </c>
      <c r="U5" s="71" t="s">
        <v>439</v>
      </c>
      <c r="V5" s="245" t="s">
        <v>441</v>
      </c>
      <c r="W5" s="245" t="s">
        <v>442</v>
      </c>
      <c r="X5" s="245" t="s">
        <v>343</v>
      </c>
      <c r="Y5" s="245" t="s">
        <v>444</v>
      </c>
      <c r="AA5" s="738" t="s">
        <v>880</v>
      </c>
      <c r="AB5" s="739"/>
      <c r="AC5" s="738" t="s">
        <v>880</v>
      </c>
      <c r="AD5" s="739"/>
      <c r="AF5" t="s">
        <v>868</v>
      </c>
      <c r="AG5" s="743">
        <v>2024</v>
      </c>
      <c r="AH5" s="743">
        <v>2025</v>
      </c>
      <c r="AI5" s="743">
        <v>2030</v>
      </c>
      <c r="AJ5" s="743">
        <v>2035</v>
      </c>
      <c r="AK5" s="743">
        <v>2040</v>
      </c>
      <c r="AL5" s="743">
        <v>2045</v>
      </c>
      <c r="AM5" s="743">
        <v>2050</v>
      </c>
    </row>
    <row r="6" spans="1:41" ht="13.5" thickBot="1">
      <c r="A6" s="177"/>
      <c r="B6" s="74" t="s">
        <v>348</v>
      </c>
      <c r="C6" s="74" t="s">
        <v>349</v>
      </c>
      <c r="D6" s="74" t="s">
        <v>350</v>
      </c>
      <c r="E6" s="74" t="s">
        <v>351</v>
      </c>
      <c r="F6" s="74" t="s">
        <v>898</v>
      </c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 t="s">
        <v>487</v>
      </c>
      <c r="V6" s="74"/>
      <c r="W6" s="74"/>
      <c r="X6" s="74" t="s">
        <v>899</v>
      </c>
      <c r="Y6" s="74"/>
      <c r="AA6" s="740">
        <v>2024</v>
      </c>
      <c r="AB6" s="741"/>
      <c r="AC6" s="740">
        <v>2050</v>
      </c>
      <c r="AD6" s="741"/>
    </row>
    <row r="7" spans="1:41" ht="15.95" customHeight="1">
      <c r="A7" s="177"/>
      <c r="B7" s="643" t="str">
        <f>AGR_Proc!D72</f>
        <v>AGR_PRC_MECH_WORK</v>
      </c>
      <c r="C7" s="643" t="s">
        <v>897</v>
      </c>
      <c r="D7" s="643" t="str">
        <f>SECTF!E12</f>
        <v>AGR_OIL_GSL</v>
      </c>
      <c r="E7" s="643"/>
      <c r="F7" s="696">
        <f>N65/N70</f>
        <v>1.2003485219001025E-3</v>
      </c>
      <c r="G7" s="696">
        <f>AP65/AP70</f>
        <v>1.2226854838037963E-3</v>
      </c>
      <c r="H7" s="696">
        <f>BD65/BD70</f>
        <v>1.3490979395250689E-3</v>
      </c>
      <c r="I7" s="696">
        <f>BR65/BR70</f>
        <v>1.5067233599203509E-3</v>
      </c>
      <c r="J7" s="696">
        <f>CF65/CF70</f>
        <v>1.7087503277075028E-3</v>
      </c>
      <c r="K7" s="696">
        <f>CT65/CT70</f>
        <v>1.9770156812188707E-3</v>
      </c>
      <c r="L7" s="696">
        <f>AB65/AB70</f>
        <v>2.3504831548707234E-3</v>
      </c>
      <c r="M7" s="904">
        <f>N104</f>
        <v>23.352101633700002</v>
      </c>
      <c r="N7" s="904">
        <f>AP104</f>
        <v>22.920578494100003</v>
      </c>
      <c r="O7" s="904">
        <f>BD104</f>
        <v>20.762962795300002</v>
      </c>
      <c r="P7" s="904">
        <f>BR104</f>
        <v>18.605347096499997</v>
      </c>
      <c r="Q7" s="904">
        <f>CF104</f>
        <v>16.447731397699997</v>
      </c>
      <c r="R7" s="904">
        <f>CT104</f>
        <v>14.290115698899999</v>
      </c>
      <c r="S7" s="904">
        <f>AB104</f>
        <v>12.1325</v>
      </c>
      <c r="T7" s="643"/>
      <c r="U7" s="643">
        <f>N84</f>
        <v>0.25</v>
      </c>
      <c r="V7" s="643"/>
      <c r="W7" s="643"/>
      <c r="X7" s="643">
        <v>1</v>
      </c>
      <c r="Y7" s="643">
        <v>1</v>
      </c>
      <c r="AA7" s="692">
        <f>M7*X7/(F7*U7+F8*U8+F9*U9)</f>
        <v>77.33080943280001</v>
      </c>
      <c r="AB7" s="647" t="b">
        <f>AA7=N72</f>
        <v>1</v>
      </c>
      <c r="AC7" s="646">
        <f>S7*X7/(L7*U7+L8*U8+L9*U9)</f>
        <v>38.290000000000006</v>
      </c>
      <c r="AD7" s="647" t="b">
        <f>AC7=AB72</f>
        <v>1</v>
      </c>
      <c r="AF7" s="745" t="s">
        <v>867</v>
      </c>
      <c r="AG7" s="744">
        <f t="shared" ref="AG7:AG19" si="0">G57</f>
        <v>13000</v>
      </c>
      <c r="AH7" s="226">
        <f>ROUND(AG7+AO7, 6)</f>
        <v>12500</v>
      </c>
      <c r="AI7" s="226">
        <f>ROUND(AH7+(5*AO7),6)</f>
        <v>10000</v>
      </c>
      <c r="AJ7" s="226">
        <f>ROUND(AI7+(5*AO7),6)</f>
        <v>7500</v>
      </c>
      <c r="AK7" s="226">
        <f>ROUND(AJ7+(5*AO7),6)</f>
        <v>5000</v>
      </c>
      <c r="AL7" s="226">
        <f>ROUND(AK7+(5*AO7),6)</f>
        <v>2500</v>
      </c>
      <c r="AM7" s="744">
        <f t="shared" ref="AM7:AM19" si="1">U57</f>
        <v>0</v>
      </c>
      <c r="AO7">
        <f>(AM7-AG7)/26</f>
        <v>-500</v>
      </c>
    </row>
    <row r="8" spans="1:41" ht="15.95" customHeight="1">
      <c r="A8" s="177"/>
      <c r="B8" s="198"/>
      <c r="C8" s="198"/>
      <c r="D8" s="198" t="str">
        <f>SECTF!E14</f>
        <v>AGR_OIL_DSL</v>
      </c>
      <c r="E8" s="198"/>
      <c r="F8" s="697">
        <f>N66/N70</f>
        <v>0.99472624267363452</v>
      </c>
      <c r="G8" s="697">
        <f>AP66/AP70</f>
        <v>0.99412363981042928</v>
      </c>
      <c r="H8" s="697">
        <f>BD66/BD70</f>
        <v>0.9907133048095873</v>
      </c>
      <c r="I8" s="697">
        <f>BR66/BR70</f>
        <v>0.9864609114427364</v>
      </c>
      <c r="J8" s="697">
        <f>CF66/CF70</f>
        <v>0.98101066023586447</v>
      </c>
      <c r="K8" s="697">
        <f>CT66/CT70</f>
        <v>0.97377344045895964</v>
      </c>
      <c r="L8" s="697">
        <f>AB66/AB70</f>
        <v>0.96369809349699664</v>
      </c>
      <c r="M8" s="905"/>
      <c r="N8" s="905"/>
      <c r="O8" s="905"/>
      <c r="P8" s="905"/>
      <c r="Q8" s="905"/>
      <c r="R8" s="905"/>
      <c r="S8" s="905"/>
      <c r="T8" s="198"/>
      <c r="U8" s="198">
        <f>N85</f>
        <v>0.3</v>
      </c>
      <c r="V8" s="198"/>
      <c r="W8" s="198"/>
      <c r="X8" s="198"/>
      <c r="Y8" s="198">
        <v>1</v>
      </c>
      <c r="AA8" s="693"/>
      <c r="AB8" s="645"/>
      <c r="AC8" s="648"/>
      <c r="AD8" s="645"/>
      <c r="AF8" s="745" t="s">
        <v>862</v>
      </c>
      <c r="AG8" s="744">
        <f t="shared" si="0"/>
        <v>160</v>
      </c>
      <c r="AH8" s="226">
        <f t="shared" ref="AH8:AH19" si="2">ROUND(AG8+AO8, 6)</f>
        <v>153.84615400000001</v>
      </c>
      <c r="AI8" s="226">
        <f t="shared" ref="AI8:AI19" si="3">ROUND(AH8+(5*AO8),6)</f>
        <v>123.07692299999999</v>
      </c>
      <c r="AJ8" s="226">
        <f t="shared" ref="AJ8:AJ19" si="4">ROUND(AI8+(5*AO8),6)</f>
        <v>92.307692000000003</v>
      </c>
      <c r="AK8" s="226">
        <f t="shared" ref="AK8:AK19" si="5">ROUND(AJ8+(5*AO8),6)</f>
        <v>61.538460999999998</v>
      </c>
      <c r="AL8" s="226">
        <f t="shared" ref="AL8:AL19" si="6">ROUND(AK8+(5*AO8),6)</f>
        <v>30.76923</v>
      </c>
      <c r="AM8" s="744">
        <f t="shared" si="1"/>
        <v>0</v>
      </c>
      <c r="AO8">
        <f t="shared" ref="AO8:AO19" si="7">(AM8-AG8)/26</f>
        <v>-6.1538461538461542</v>
      </c>
    </row>
    <row r="9" spans="1:41" ht="15.95" customHeight="1">
      <c r="A9" s="177"/>
      <c r="B9" s="198"/>
      <c r="C9" s="198"/>
      <c r="D9" s="198" t="str">
        <f>SECTF!E30</f>
        <v>AGR_ELC</v>
      </c>
      <c r="E9" s="198"/>
      <c r="F9" s="697">
        <f>N68/N70</f>
        <v>4.0734088044653534E-3</v>
      </c>
      <c r="G9" s="697">
        <f>AP68/AP70</f>
        <v>4.653674705766781E-3</v>
      </c>
      <c r="H9" s="697">
        <f>BD68/BD70</f>
        <v>7.9375972508875757E-3</v>
      </c>
      <c r="I9" s="697">
        <f>BR68/BR70</f>
        <v>1.203236519734322E-2</v>
      </c>
      <c r="J9" s="697">
        <f>CF68/CF70</f>
        <v>1.7280589436428059E-2</v>
      </c>
      <c r="K9" s="697">
        <f>CT68/CT70</f>
        <v>2.4249543859821445E-2</v>
      </c>
      <c r="L9" s="697">
        <f>AB68/AB70</f>
        <v>3.395142334813267E-2</v>
      </c>
      <c r="M9" s="905"/>
      <c r="N9" s="905"/>
      <c r="O9" s="905"/>
      <c r="P9" s="905"/>
      <c r="Q9" s="905"/>
      <c r="R9" s="905"/>
      <c r="S9" s="905"/>
      <c r="T9" s="198"/>
      <c r="U9" s="198">
        <f>N87</f>
        <v>0.8</v>
      </c>
      <c r="V9" s="198"/>
      <c r="W9" s="198"/>
      <c r="X9" s="198"/>
      <c r="Y9" s="198">
        <v>1</v>
      </c>
      <c r="AA9" s="693"/>
      <c r="AB9" s="645"/>
      <c r="AC9" s="648"/>
      <c r="AD9" s="645"/>
      <c r="AF9" s="745" t="s">
        <v>859</v>
      </c>
      <c r="AG9" s="744">
        <f t="shared" si="0"/>
        <v>1847.8183999999999</v>
      </c>
      <c r="AH9" s="226">
        <f t="shared" si="2"/>
        <v>1815.21</v>
      </c>
      <c r="AI9" s="226">
        <f t="shared" si="3"/>
        <v>1652.1679999999999</v>
      </c>
      <c r="AJ9" s="226">
        <f t="shared" si="4"/>
        <v>1489.126</v>
      </c>
      <c r="AK9" s="226">
        <f t="shared" si="5"/>
        <v>1326.0840000000001</v>
      </c>
      <c r="AL9" s="226">
        <f t="shared" si="6"/>
        <v>1163.0419999999999</v>
      </c>
      <c r="AM9" s="744">
        <f t="shared" si="1"/>
        <v>1000</v>
      </c>
      <c r="AO9">
        <f t="shared" si="7"/>
        <v>-32.608399999999996</v>
      </c>
    </row>
    <row r="10" spans="1:41" ht="15.95" customHeight="1">
      <c r="A10" s="177"/>
      <c r="B10" s="701"/>
      <c r="C10" s="701"/>
      <c r="D10" s="701"/>
      <c r="E10" s="701" t="str">
        <f>AGR_Comm!D93</f>
        <v>AGR_MACH_WORK</v>
      </c>
      <c r="F10" s="702"/>
      <c r="G10" s="702"/>
      <c r="H10" s="702"/>
      <c r="I10" s="702"/>
      <c r="J10" s="702"/>
      <c r="K10" s="702"/>
      <c r="L10" s="702"/>
      <c r="M10" s="906"/>
      <c r="N10" s="906"/>
      <c r="O10" s="906"/>
      <c r="P10" s="906"/>
      <c r="Q10" s="906"/>
      <c r="R10" s="906"/>
      <c r="S10" s="906"/>
      <c r="T10" s="701"/>
      <c r="U10" s="701"/>
      <c r="V10" s="701"/>
      <c r="W10" s="701"/>
      <c r="X10" s="701"/>
      <c r="Y10" s="701"/>
      <c r="AA10" s="693"/>
      <c r="AB10" s="645"/>
      <c r="AC10" s="648"/>
      <c r="AD10" s="645"/>
      <c r="AF10" s="745" t="s">
        <v>860</v>
      </c>
      <c r="AG10" s="744">
        <f t="shared" si="0"/>
        <v>16349.378145999999</v>
      </c>
      <c r="AH10" s="226">
        <f t="shared" si="2"/>
        <v>16105.171294</v>
      </c>
      <c r="AI10" s="226">
        <f t="shared" si="3"/>
        <v>14884.137035</v>
      </c>
      <c r="AJ10" s="226">
        <f t="shared" si="4"/>
        <v>13663.102776</v>
      </c>
      <c r="AK10" s="226">
        <f t="shared" si="5"/>
        <v>12442.068517</v>
      </c>
      <c r="AL10" s="226">
        <f t="shared" si="6"/>
        <v>11221.034258</v>
      </c>
      <c r="AM10" s="744">
        <f t="shared" si="1"/>
        <v>10000</v>
      </c>
      <c r="AO10">
        <f t="shared" si="7"/>
        <v>-244.20685176923072</v>
      </c>
    </row>
    <row r="11" spans="1:41" ht="15.95" customHeight="1">
      <c r="A11" s="177"/>
      <c r="B11" s="197" t="str">
        <f>AGR_Proc!D73</f>
        <v>AGR_PRC_DRY_SVC</v>
      </c>
      <c r="C11" s="197" t="s">
        <v>904</v>
      </c>
      <c r="D11" s="197" t="str">
        <f>SECTF!E8</f>
        <v>AGR_HC</v>
      </c>
      <c r="E11" s="197"/>
      <c r="F11" s="698">
        <f>O57/O70</f>
        <v>0.17413255851542628</v>
      </c>
      <c r="G11" s="698">
        <f>AQ57/AQ70</f>
        <v>0.16811989366325497</v>
      </c>
      <c r="H11" s="698">
        <f>BE57/BE70</f>
        <v>0.13730349032956404</v>
      </c>
      <c r="I11" s="698">
        <f>BS57/BS70</f>
        <v>0.10517308491806104</v>
      </c>
      <c r="J11" s="698">
        <f>CG57/CG70</f>
        <v>7.1642803638362881E-2</v>
      </c>
      <c r="K11" s="698">
        <f>CU57/CU70</f>
        <v>3.661912326585804E-2</v>
      </c>
      <c r="L11" s="698">
        <f>AC57/AC70</f>
        <v>0</v>
      </c>
      <c r="M11" s="907">
        <f>O104</f>
        <v>5.5134242940529994</v>
      </c>
      <c r="N11" s="907">
        <f>AQ104</f>
        <v>5.5054656673440006</v>
      </c>
      <c r="O11" s="907">
        <f>BE104</f>
        <v>5.4656725337115004</v>
      </c>
      <c r="P11" s="907">
        <f>BS104</f>
        <v>5.4258794000790003</v>
      </c>
      <c r="Q11" s="907">
        <f>CG104</f>
        <v>5.3860862664465001</v>
      </c>
      <c r="R11" s="907">
        <f>CU104</f>
        <v>5.346293132814</v>
      </c>
      <c r="S11" s="907">
        <f>AC104</f>
        <v>5.3064999999999998</v>
      </c>
      <c r="T11" s="197"/>
      <c r="U11" s="197">
        <f>O76</f>
        <v>0.65</v>
      </c>
      <c r="V11" s="197"/>
      <c r="W11" s="197"/>
      <c r="X11" s="197">
        <v>1</v>
      </c>
      <c r="Y11" s="197">
        <v>1</v>
      </c>
      <c r="AA11" s="693"/>
      <c r="AB11" s="645"/>
      <c r="AC11" s="648"/>
      <c r="AD11" s="645"/>
      <c r="AF11" s="745" t="s">
        <v>951</v>
      </c>
      <c r="AG11" s="744">
        <f t="shared" si="0"/>
        <v>556.87785699999995</v>
      </c>
      <c r="AH11" s="226">
        <f t="shared" si="2"/>
        <v>823.92101600000001</v>
      </c>
      <c r="AI11" s="226">
        <f t="shared" si="3"/>
        <v>2159.1368130000001</v>
      </c>
      <c r="AJ11" s="226">
        <f t="shared" si="4"/>
        <v>3494.3526099999999</v>
      </c>
      <c r="AK11" s="226">
        <f t="shared" si="5"/>
        <v>4829.5684069999998</v>
      </c>
      <c r="AL11" s="226">
        <f t="shared" si="6"/>
        <v>6164.7842039999996</v>
      </c>
      <c r="AM11" s="744">
        <f t="shared" si="1"/>
        <v>7500</v>
      </c>
      <c r="AO11">
        <f t="shared" si="7"/>
        <v>267.04315934615386</v>
      </c>
    </row>
    <row r="12" spans="1:41" ht="15.95" customHeight="1">
      <c r="A12" s="177"/>
      <c r="B12" s="197"/>
      <c r="C12" s="197"/>
      <c r="D12" s="197" t="str">
        <f>SECTF!E10</f>
        <v>AGR_BC</v>
      </c>
      <c r="E12" s="197"/>
      <c r="F12" s="698">
        <f>O58/O70</f>
        <v>2.1431699509590926E-3</v>
      </c>
      <c r="G12" s="698">
        <f>AQ58/AQ70</f>
        <v>2.0691679240784598E-3</v>
      </c>
      <c r="H12" s="698">
        <f>BE58/BE70</f>
        <v>1.6898891106922997E-3</v>
      </c>
      <c r="I12" s="698">
        <f>BS58/BS70</f>
        <v>1.2944379639074966E-3</v>
      </c>
      <c r="J12" s="698">
        <f>CG58/CG70</f>
        <v>8.8175757552601036E-4</v>
      </c>
      <c r="K12" s="698">
        <f>CU58/CU70</f>
        <v>4.5069689046621497E-4</v>
      </c>
      <c r="L12" s="698">
        <f>AC58/AC70</f>
        <v>0</v>
      </c>
      <c r="M12" s="907"/>
      <c r="N12" s="907"/>
      <c r="O12" s="907"/>
      <c r="P12" s="907"/>
      <c r="Q12" s="907"/>
      <c r="R12" s="907"/>
      <c r="S12" s="907"/>
      <c r="T12" s="197"/>
      <c r="U12" s="197">
        <f>O77</f>
        <v>0.6</v>
      </c>
      <c r="V12" s="197"/>
      <c r="W12" s="197"/>
      <c r="X12" s="197"/>
      <c r="Y12" s="197">
        <v>1</v>
      </c>
      <c r="AA12" s="693"/>
      <c r="AB12" s="645"/>
      <c r="AC12" s="648"/>
      <c r="AD12" s="645"/>
      <c r="AF12" s="745" t="s">
        <v>952</v>
      </c>
      <c r="AG12" s="744">
        <f t="shared" si="0"/>
        <v>41.778839999999995</v>
      </c>
      <c r="AH12" s="226">
        <f t="shared" si="2"/>
        <v>136.32580799999999</v>
      </c>
      <c r="AI12" s="226">
        <f t="shared" si="3"/>
        <v>609.06064600000002</v>
      </c>
      <c r="AJ12" s="226">
        <f t="shared" si="4"/>
        <v>1081.795484</v>
      </c>
      <c r="AK12" s="226">
        <f t="shared" si="5"/>
        <v>1554.5303220000001</v>
      </c>
      <c r="AL12" s="226">
        <f t="shared" si="6"/>
        <v>2027.2651599999999</v>
      </c>
      <c r="AM12" s="744">
        <f t="shared" si="1"/>
        <v>2500</v>
      </c>
      <c r="AO12">
        <f t="shared" si="7"/>
        <v>94.546967692307689</v>
      </c>
    </row>
    <row r="13" spans="1:41">
      <c r="A13" s="177"/>
      <c r="B13" s="197"/>
      <c r="C13" s="197"/>
      <c r="D13" s="197" t="str">
        <f>SECTF!E20</f>
        <v>AGR_NAT_GAS</v>
      </c>
      <c r="E13" s="197"/>
      <c r="F13" s="698">
        <f>O59/O70</f>
        <v>0.11138031196057432</v>
      </c>
      <c r="G13" s="698">
        <f>AQ59/AQ70</f>
        <v>0.10986224838353173</v>
      </c>
      <c r="H13" s="698">
        <f>BE59/BE70</f>
        <v>0.10208179485486682</v>
      </c>
      <c r="I13" s="698">
        <f>BS59/BS70</f>
        <v>9.3969585151015556E-2</v>
      </c>
      <c r="J13" s="698">
        <f>CG59/CG70</f>
        <v>8.5503938057977319E-2</v>
      </c>
      <c r="K13" s="698">
        <f>CU59/CU70</f>
        <v>7.6661241050466122E-2</v>
      </c>
      <c r="L13" s="698">
        <f>AC59/AC70</f>
        <v>6.741573033707865E-2</v>
      </c>
      <c r="M13" s="907"/>
      <c r="N13" s="907"/>
      <c r="O13" s="907"/>
      <c r="P13" s="907"/>
      <c r="Q13" s="907"/>
      <c r="R13" s="907"/>
      <c r="S13" s="907"/>
      <c r="T13" s="197"/>
      <c r="U13" s="197">
        <f>O78</f>
        <v>0.8</v>
      </c>
      <c r="V13" s="197"/>
      <c r="W13" s="197"/>
      <c r="X13" s="197"/>
      <c r="Y13" s="197">
        <v>1</v>
      </c>
      <c r="AA13" s="693"/>
      <c r="AB13" s="645"/>
      <c r="AC13" s="648"/>
      <c r="AD13" s="645"/>
      <c r="AF13" s="745" t="s">
        <v>863</v>
      </c>
      <c r="AG13" s="744">
        <f t="shared" si="0"/>
        <v>47.083199999999998</v>
      </c>
      <c r="AH13" s="226">
        <f t="shared" si="2"/>
        <v>45.272308000000002</v>
      </c>
      <c r="AI13" s="226">
        <f t="shared" si="3"/>
        <v>36.217846000000002</v>
      </c>
      <c r="AJ13" s="226">
        <f t="shared" si="4"/>
        <v>27.163384000000001</v>
      </c>
      <c r="AK13" s="226">
        <f t="shared" si="5"/>
        <v>18.108922</v>
      </c>
      <c r="AL13" s="226">
        <f t="shared" si="6"/>
        <v>9.0544600000000006</v>
      </c>
      <c r="AM13" s="744">
        <f t="shared" si="1"/>
        <v>0</v>
      </c>
      <c r="AO13">
        <f t="shared" si="7"/>
        <v>-1.8108923076923076</v>
      </c>
    </row>
    <row r="14" spans="1:41">
      <c r="A14" s="177"/>
      <c r="B14" s="197"/>
      <c r="C14" s="197"/>
      <c r="D14" s="197" t="str">
        <f>SECTF!E24</f>
        <v>AGR_BIOM</v>
      </c>
      <c r="E14" s="197"/>
      <c r="F14" s="698">
        <f>O60/O70</f>
        <v>0.21899684974609052</v>
      </c>
      <c r="G14" s="698">
        <f>AQ60/AQ70</f>
        <v>0.21660797483006292</v>
      </c>
      <c r="H14" s="698">
        <f>BE60/BE70</f>
        <v>0.20436439654490285</v>
      </c>
      <c r="I14" s="698">
        <f>BS60/BS70</f>
        <v>0.19159875580059249</v>
      </c>
      <c r="J14" s="698">
        <f>CG60/CG70</f>
        <v>0.17827693432369757</v>
      </c>
      <c r="K14" s="698">
        <f>CU60/CU70</f>
        <v>0.16436177466564716</v>
      </c>
      <c r="L14" s="698">
        <f>AC60/AC70</f>
        <v>0.14981273408239701</v>
      </c>
      <c r="M14" s="907"/>
      <c r="N14" s="907"/>
      <c r="O14" s="907"/>
      <c r="P14" s="907"/>
      <c r="Q14" s="907"/>
      <c r="R14" s="907"/>
      <c r="S14" s="907"/>
      <c r="T14" s="197"/>
      <c r="U14" s="197">
        <f>O79</f>
        <v>0.68</v>
      </c>
      <c r="V14" s="197"/>
      <c r="W14" s="197"/>
      <c r="X14" s="197"/>
      <c r="Y14" s="197">
        <v>1</v>
      </c>
      <c r="AA14" s="693"/>
      <c r="AB14" s="645"/>
      <c r="AC14" s="648"/>
      <c r="AD14" s="645"/>
      <c r="AF14" s="745" t="s">
        <v>864</v>
      </c>
      <c r="AG14" s="744">
        <f t="shared" si="0"/>
        <v>1840</v>
      </c>
      <c r="AH14" s="226">
        <f t="shared" si="2"/>
        <v>1788.461538</v>
      </c>
      <c r="AI14" s="226">
        <f t="shared" si="3"/>
        <v>1530.7692300000001</v>
      </c>
      <c r="AJ14" s="226">
        <f t="shared" si="4"/>
        <v>1273.076922</v>
      </c>
      <c r="AK14" s="226">
        <f t="shared" si="5"/>
        <v>1015.3846140000001</v>
      </c>
      <c r="AL14" s="226">
        <f t="shared" si="6"/>
        <v>757.69230600000003</v>
      </c>
      <c r="AM14" s="744">
        <f t="shared" si="1"/>
        <v>500</v>
      </c>
      <c r="AO14">
        <f t="shared" si="7"/>
        <v>-51.53846153846154</v>
      </c>
    </row>
    <row r="15" spans="1:41">
      <c r="A15" s="177"/>
      <c r="B15" s="197"/>
      <c r="C15" s="197"/>
      <c r="D15" s="197" t="str">
        <f>SECTF!E22</f>
        <v>AGR_BIOG</v>
      </c>
      <c r="E15" s="197"/>
      <c r="F15" s="698">
        <f>O61/O70</f>
        <v>7.4592743092305918E-3</v>
      </c>
      <c r="G15" s="698">
        <f>AQ61/AQ70</f>
        <v>1.1081401087747279E-2</v>
      </c>
      <c r="H15" s="698">
        <f>BE61/BE70</f>
        <v>2.9645702052395122E-2</v>
      </c>
      <c r="I15" s="698">
        <f>BS61/BS70</f>
        <v>4.9001579171357106E-2</v>
      </c>
      <c r="J15" s="698">
        <f>CG61/CG70</f>
        <v>6.9200764208148399E-2</v>
      </c>
      <c r="K15" s="698">
        <f>CU61/CU70</f>
        <v>9.0299597069476226E-2</v>
      </c>
      <c r="L15" s="698">
        <f>AC61/AC70</f>
        <v>0.11235955056179775</v>
      </c>
      <c r="M15" s="907"/>
      <c r="N15" s="907"/>
      <c r="O15" s="907"/>
      <c r="P15" s="907"/>
      <c r="Q15" s="907"/>
      <c r="R15" s="907"/>
      <c r="S15" s="907"/>
      <c r="T15" s="197"/>
      <c r="U15" s="197">
        <f>O80</f>
        <v>0.75</v>
      </c>
      <c r="V15" s="197"/>
      <c r="W15" s="197"/>
      <c r="X15" s="197"/>
      <c r="Y15" s="197">
        <v>1</v>
      </c>
      <c r="AA15" s="693"/>
      <c r="AB15" s="645"/>
      <c r="AC15" s="648"/>
      <c r="AD15" s="645"/>
      <c r="AF15" s="745" t="s">
        <v>861</v>
      </c>
      <c r="AG15" s="744">
        <f t="shared" si="0"/>
        <v>103.137692</v>
      </c>
      <c r="AH15" s="226">
        <f t="shared" si="2"/>
        <v>103.01701199999999</v>
      </c>
      <c r="AI15" s="226">
        <f t="shared" si="3"/>
        <v>102.41361000000001</v>
      </c>
      <c r="AJ15" s="226">
        <f t="shared" si="4"/>
        <v>101.810208</v>
      </c>
      <c r="AK15" s="226">
        <f t="shared" si="5"/>
        <v>101.206806</v>
      </c>
      <c r="AL15" s="226">
        <f t="shared" si="6"/>
        <v>100.603404</v>
      </c>
      <c r="AM15" s="744">
        <f t="shared" si="1"/>
        <v>100</v>
      </c>
      <c r="AO15">
        <f t="shared" si="7"/>
        <v>-0.12068046153846158</v>
      </c>
    </row>
    <row r="16" spans="1:41">
      <c r="A16" s="177"/>
      <c r="B16" s="197"/>
      <c r="C16" s="197"/>
      <c r="D16" s="197" t="str">
        <f>SECTF!E33</f>
        <v>AGR_OTH_FUE</v>
      </c>
      <c r="E16" s="197"/>
      <c r="F16" s="698">
        <f>(O62+O63)/O70</f>
        <v>1.1902903369307807E-3</v>
      </c>
      <c r="G16" s="698">
        <f>(AQ62+AQ63)/AQ70</f>
        <v>2.4424204761093952E-3</v>
      </c>
      <c r="H16" s="698">
        <f>(BE62+BE63)/BE70</f>
        <v>8.8598989186197668E-3</v>
      </c>
      <c r="I16" s="698">
        <f>(BS62+BS63)/BS70</f>
        <v>1.5551016692640113E-2</v>
      </c>
      <c r="J16" s="698">
        <f>(CG62+CG63)/CG70</f>
        <v>2.2533656910375094E-2</v>
      </c>
      <c r="K16" s="698">
        <f>(CU62+CU63)/CU70</f>
        <v>2.9827295669386085E-2</v>
      </c>
      <c r="L16" s="698">
        <f>(AC62+AC63)/AC70</f>
        <v>3.7453183520599252E-2</v>
      </c>
      <c r="M16" s="907"/>
      <c r="N16" s="907"/>
      <c r="O16" s="907"/>
      <c r="P16" s="907"/>
      <c r="Q16" s="907"/>
      <c r="R16" s="907"/>
      <c r="S16" s="907"/>
      <c r="T16" s="197"/>
      <c r="U16" s="197">
        <f>(O81+O82)/2</f>
        <v>0.65</v>
      </c>
      <c r="V16" s="197"/>
      <c r="W16" s="197"/>
      <c r="X16" s="197"/>
      <c r="Y16" s="197">
        <v>1</v>
      </c>
      <c r="AA16" s="693"/>
      <c r="AB16" s="645"/>
      <c r="AC16" s="648"/>
      <c r="AD16" s="645"/>
      <c r="AF16" s="745" t="s">
        <v>865</v>
      </c>
      <c r="AG16" s="744">
        <f t="shared" si="0"/>
        <v>85469.983900000007</v>
      </c>
      <c r="AH16" s="226">
        <f t="shared" si="2"/>
        <v>83759.599904000002</v>
      </c>
      <c r="AI16" s="226">
        <f t="shared" si="3"/>
        <v>75207.679923000003</v>
      </c>
      <c r="AJ16" s="226">
        <f t="shared" si="4"/>
        <v>66655.759942000004</v>
      </c>
      <c r="AK16" s="226">
        <f t="shared" si="5"/>
        <v>58103.839960999998</v>
      </c>
      <c r="AL16" s="226">
        <f t="shared" si="6"/>
        <v>49551.919979999999</v>
      </c>
      <c r="AM16" s="744">
        <f t="shared" si="1"/>
        <v>41000</v>
      </c>
      <c r="AO16">
        <f t="shared" si="7"/>
        <v>-1710.3839961538465</v>
      </c>
    </row>
    <row r="17" spans="1:41">
      <c r="A17" s="177"/>
      <c r="B17" s="197"/>
      <c r="C17" s="197"/>
      <c r="D17" s="197" t="str">
        <f>SECTF!E16</f>
        <v>AGR_OIL_LPG</v>
      </c>
      <c r="E17" s="197"/>
      <c r="F17" s="698">
        <f>O64/O70</f>
        <v>8.626259052610348E-2</v>
      </c>
      <c r="G17" s="698">
        <f>AQ64/AQ70</f>
        <v>8.4189269805026778E-2</v>
      </c>
      <c r="H17" s="698">
        <f>BE64/BE70</f>
        <v>7.3562985358834723E-2</v>
      </c>
      <c r="I17" s="698">
        <f>BS64/BS70</f>
        <v>6.2483599371540556E-2</v>
      </c>
      <c r="J17" s="698">
        <f>CG64/CG70</f>
        <v>5.0921500362751816E-2</v>
      </c>
      <c r="K17" s="698">
        <f>CU64/CU70</f>
        <v>3.8844439131408726E-2</v>
      </c>
      <c r="L17" s="698">
        <f>AC64/AC70</f>
        <v>2.6217228464419477E-2</v>
      </c>
      <c r="M17" s="907"/>
      <c r="N17" s="907"/>
      <c r="O17" s="907"/>
      <c r="P17" s="907"/>
      <c r="Q17" s="907"/>
      <c r="R17" s="907"/>
      <c r="S17" s="907"/>
      <c r="T17" s="197"/>
      <c r="U17" s="197">
        <f>O83</f>
        <v>0.8</v>
      </c>
      <c r="V17" s="197"/>
      <c r="W17" s="197"/>
      <c r="X17" s="197"/>
      <c r="Y17" s="197">
        <v>1</v>
      </c>
      <c r="AA17" s="693"/>
      <c r="AB17" s="645"/>
      <c r="AC17" s="648"/>
      <c r="AD17" s="645"/>
      <c r="AF17" s="745" t="s">
        <v>866</v>
      </c>
      <c r="AG17" s="744">
        <f t="shared" si="0"/>
        <v>3094.61735</v>
      </c>
      <c r="AH17" s="226">
        <f t="shared" si="2"/>
        <v>2975.5936059999999</v>
      </c>
      <c r="AI17" s="226">
        <f t="shared" si="3"/>
        <v>2380.4748850000001</v>
      </c>
      <c r="AJ17" s="226">
        <f t="shared" si="4"/>
        <v>1785.356164</v>
      </c>
      <c r="AK17" s="226">
        <f t="shared" si="5"/>
        <v>1190.237443</v>
      </c>
      <c r="AL17" s="226">
        <f t="shared" si="6"/>
        <v>595.11872200000005</v>
      </c>
      <c r="AM17" s="744">
        <f t="shared" si="1"/>
        <v>0</v>
      </c>
      <c r="AO17">
        <f t="shared" si="7"/>
        <v>-119.02374423076922</v>
      </c>
    </row>
    <row r="18" spans="1:41">
      <c r="A18" s="177"/>
      <c r="B18" s="197"/>
      <c r="C18" s="197"/>
      <c r="D18" s="197" t="str">
        <f>SECTF!E14</f>
        <v>AGR_OIL_DSL</v>
      </c>
      <c r="E18" s="197"/>
      <c r="F18" s="698">
        <f>O66/O70</f>
        <v>0.11448543825214842</v>
      </c>
      <c r="G18" s="698">
        <f>AQ66/AQ70</f>
        <v>0.11265324023309808</v>
      </c>
      <c r="H18" s="698">
        <f>BE66/BE70</f>
        <v>0.10326276953016578</v>
      </c>
      <c r="I18" s="698">
        <f>BS66/BS70</f>
        <v>9.3471892008771457E-2</v>
      </c>
      <c r="J18" s="698">
        <f>CG66/CG70</f>
        <v>8.3254439939215691E-2</v>
      </c>
      <c r="K18" s="698">
        <f>CU66/CU70</f>
        <v>7.2581914632302166E-2</v>
      </c>
      <c r="L18" s="698">
        <f>AC66/AC70</f>
        <v>6.142322097378277E-2</v>
      </c>
      <c r="M18" s="907"/>
      <c r="N18" s="907"/>
      <c r="O18" s="907"/>
      <c r="P18" s="907"/>
      <c r="Q18" s="907"/>
      <c r="R18" s="907"/>
      <c r="S18" s="907"/>
      <c r="T18" s="197"/>
      <c r="U18" s="197">
        <f>O85</f>
        <v>0.75</v>
      </c>
      <c r="V18" s="197"/>
      <c r="W18" s="197"/>
      <c r="X18" s="197"/>
      <c r="Y18" s="197">
        <v>1</v>
      </c>
      <c r="AA18" s="694">
        <f>M11*X11/(F11*U11+F12*U12+F13*U13+F14*U14+F15*U15+F16*U16+F17*U17+F18*U18+F19*U19+F20*U20)</f>
        <v>7.465576863299999</v>
      </c>
      <c r="AB18" s="647" t="b">
        <f>AA18=O72</f>
        <v>1</v>
      </c>
      <c r="AC18" s="649">
        <f>S11*X11/(L11*U11+L12*U12+L13*U13+L14*U14+L15*U15+L16*U16+L17*U17+L18*U18+L19*U19+L20*U20)</f>
        <v>6.6749999999999989</v>
      </c>
      <c r="AD18" s="647" t="b">
        <f>AC18=AC72</f>
        <v>1</v>
      </c>
      <c r="AF18" s="745" t="s">
        <v>677</v>
      </c>
      <c r="AG18" s="744">
        <f t="shared" si="0"/>
        <v>6300</v>
      </c>
      <c r="AH18" s="226">
        <f t="shared" si="2"/>
        <v>7057.6923079999997</v>
      </c>
      <c r="AI18" s="226">
        <f t="shared" si="3"/>
        <v>10846.153845999999</v>
      </c>
      <c r="AJ18" s="226">
        <f t="shared" si="4"/>
        <v>14634.615384000001</v>
      </c>
      <c r="AK18" s="226">
        <f t="shared" si="5"/>
        <v>18423.076922</v>
      </c>
      <c r="AL18" s="226">
        <f t="shared" si="6"/>
        <v>22211.53846</v>
      </c>
      <c r="AM18" s="744">
        <f t="shared" si="1"/>
        <v>26000</v>
      </c>
      <c r="AO18">
        <f t="shared" si="7"/>
        <v>757.69230769230774</v>
      </c>
    </row>
    <row r="19" spans="1:41">
      <c r="A19" s="177"/>
      <c r="B19" s="197"/>
      <c r="C19" s="197"/>
      <c r="D19" s="197" t="str">
        <f>SECTF!E18</f>
        <v>AGR_OIL_FUE</v>
      </c>
      <c r="E19" s="197"/>
      <c r="F19" s="698">
        <f>O67/O70</f>
        <v>0.16580727285591645</v>
      </c>
      <c r="G19" s="698">
        <f>AQ67/AQ70</f>
        <v>0.16008207380025002</v>
      </c>
      <c r="H19" s="698">
        <f>BE67/BE70</f>
        <v>0.13073900414094702</v>
      </c>
      <c r="I19" s="698">
        <f>BS67/BS70</f>
        <v>0.10014475490418973</v>
      </c>
      <c r="J19" s="698">
        <f>CG67/CG70</f>
        <v>6.8217557929500905E-2</v>
      </c>
      <c r="K19" s="698">
        <f>CU67/CU70</f>
        <v>3.4868361341980653E-2</v>
      </c>
      <c r="L19" s="698">
        <f>AC67/AC70</f>
        <v>0</v>
      </c>
      <c r="M19" s="907"/>
      <c r="N19" s="907"/>
      <c r="O19" s="907"/>
      <c r="P19" s="907"/>
      <c r="Q19" s="907"/>
      <c r="R19" s="907"/>
      <c r="S19" s="907"/>
      <c r="T19" s="197"/>
      <c r="U19" s="197">
        <f>O86</f>
        <v>0.75</v>
      </c>
      <c r="V19" s="197"/>
      <c r="W19" s="197"/>
      <c r="X19" s="197"/>
      <c r="Y19" s="197">
        <v>1</v>
      </c>
      <c r="AA19" s="693"/>
      <c r="AB19" s="645"/>
      <c r="AC19" s="648"/>
      <c r="AD19" s="645"/>
      <c r="AF19" s="745" t="s">
        <v>854</v>
      </c>
      <c r="AG19" s="744">
        <f t="shared" si="0"/>
        <v>620</v>
      </c>
      <c r="AH19" s="226">
        <f t="shared" si="2"/>
        <v>711.53846199999998</v>
      </c>
      <c r="AI19" s="226">
        <f t="shared" si="3"/>
        <v>1169.2307699999999</v>
      </c>
      <c r="AJ19" s="226">
        <f t="shared" si="4"/>
        <v>1626.923078</v>
      </c>
      <c r="AK19" s="226">
        <f t="shared" si="5"/>
        <v>2084.6153859999999</v>
      </c>
      <c r="AL19" s="226">
        <f t="shared" si="6"/>
        <v>2542.3076940000001</v>
      </c>
      <c r="AM19" s="744">
        <f t="shared" si="1"/>
        <v>3000</v>
      </c>
      <c r="AO19">
        <f t="shared" si="7"/>
        <v>91.538461538461533</v>
      </c>
    </row>
    <row r="20" spans="1:41">
      <c r="A20" s="177"/>
      <c r="B20" s="197"/>
      <c r="C20" s="197"/>
      <c r="D20" s="197" t="str">
        <f>SECTF!E30</f>
        <v>AGR_ELC</v>
      </c>
      <c r="E20" s="197"/>
      <c r="F20" s="698">
        <f>O68/O70</f>
        <v>0.11814224354662001</v>
      </c>
      <c r="G20" s="698">
        <f>AQ68/AQ70</f>
        <v>0.13289230979684044</v>
      </c>
      <c r="H20" s="698">
        <f>BE68/BE70</f>
        <v>0.2084900691590115</v>
      </c>
      <c r="I20" s="698">
        <f>BS68/BS70</f>
        <v>0.28731129401792432</v>
      </c>
      <c r="J20" s="698">
        <f>CG68/CG70</f>
        <v>0.36956664705444425</v>
      </c>
      <c r="K20" s="698">
        <f>CU68/CU70</f>
        <v>0.45548555628300857</v>
      </c>
      <c r="L20" s="698">
        <f>AC68/AC70</f>
        <v>0.54531835205992518</v>
      </c>
      <c r="M20" s="907"/>
      <c r="N20" s="907"/>
      <c r="O20" s="907"/>
      <c r="P20" s="907"/>
      <c r="Q20" s="907"/>
      <c r="R20" s="907"/>
      <c r="S20" s="907"/>
      <c r="T20" s="197"/>
      <c r="U20" s="197">
        <f>O87</f>
        <v>0.85</v>
      </c>
      <c r="V20" s="197"/>
      <c r="W20" s="197"/>
      <c r="X20" s="197"/>
      <c r="Y20" s="197">
        <v>1</v>
      </c>
      <c r="AA20" s="693"/>
      <c r="AB20" s="645"/>
      <c r="AC20" s="648"/>
      <c r="AD20" s="645"/>
      <c r="AF20" s="864" t="s">
        <v>870</v>
      </c>
      <c r="AG20" s="865">
        <f>SUM(AG7:AG19)</f>
        <v>129430.675385</v>
      </c>
      <c r="AH20" s="865">
        <f t="shared" ref="AH20:AM20" si="8">SUM(AH7:AH19)</f>
        <v>127975.64941</v>
      </c>
      <c r="AI20" s="865">
        <f t="shared" si="8"/>
        <v>120700.519527</v>
      </c>
      <c r="AJ20" s="865">
        <f t="shared" si="8"/>
        <v>113425.38964400001</v>
      </c>
      <c r="AK20" s="865">
        <f t="shared" si="8"/>
        <v>106150.25976100001</v>
      </c>
      <c r="AL20" s="865">
        <f t="shared" si="8"/>
        <v>98875.129877999992</v>
      </c>
      <c r="AM20" s="865">
        <f t="shared" si="8"/>
        <v>91600</v>
      </c>
    </row>
    <row r="21" spans="1:41">
      <c r="A21" s="177"/>
      <c r="B21" s="703"/>
      <c r="C21" s="703"/>
      <c r="D21" s="703"/>
      <c r="E21" s="703" t="str">
        <f>AGR_Comm!D94</f>
        <v>AGR_DRY_SVC</v>
      </c>
      <c r="F21" s="704"/>
      <c r="G21" s="704"/>
      <c r="H21" s="704"/>
      <c r="I21" s="704"/>
      <c r="J21" s="704"/>
      <c r="K21" s="704"/>
      <c r="L21" s="704"/>
      <c r="M21" s="908"/>
      <c r="N21" s="908"/>
      <c r="O21" s="908"/>
      <c r="P21" s="908"/>
      <c r="Q21" s="908"/>
      <c r="R21" s="908"/>
      <c r="S21" s="908"/>
      <c r="T21" s="703"/>
      <c r="U21" s="703"/>
      <c r="V21" s="703"/>
      <c r="W21" s="703"/>
      <c r="X21" s="703"/>
      <c r="Y21" s="703"/>
      <c r="AA21" s="693"/>
      <c r="AB21" s="645"/>
      <c r="AC21" s="648"/>
      <c r="AD21" s="645"/>
    </row>
    <row r="22" spans="1:41">
      <c r="A22" s="177"/>
      <c r="B22" s="410" t="str">
        <f>AGR_Proc!D74</f>
        <v>AGR_PRC_LIV_HT</v>
      </c>
      <c r="C22" s="410" t="s">
        <v>903</v>
      </c>
      <c r="D22" s="410" t="str">
        <f>SECTF!E8</f>
        <v>AGR_HC</v>
      </c>
      <c r="E22" s="410"/>
      <c r="F22" s="700">
        <f>P57/P70</f>
        <v>0.39642403185417113</v>
      </c>
      <c r="G22" s="700">
        <f>AR57/AR70</f>
        <v>0.38534184034896835</v>
      </c>
      <c r="H22" s="700">
        <f>BF57/BF70</f>
        <v>0.32608830630497287</v>
      </c>
      <c r="I22" s="700">
        <f>BT57/BT70</f>
        <v>0.25956632343271463</v>
      </c>
      <c r="J22" s="700">
        <f>CH57/CH70</f>
        <v>0.18435110737077381</v>
      </c>
      <c r="K22" s="700">
        <f>CV57/CV70</f>
        <v>9.8619452857608023E-2</v>
      </c>
      <c r="L22" s="700">
        <f>AD57/AD70</f>
        <v>0</v>
      </c>
      <c r="M22" s="903">
        <f>P104</f>
        <v>10.736979736049998</v>
      </c>
      <c r="N22" s="903">
        <f>AR104</f>
        <v>10.640597823193399</v>
      </c>
      <c r="O22" s="903">
        <f>BF104</f>
        <v>10.158688258350798</v>
      </c>
      <c r="P22" s="903">
        <f>BT104</f>
        <v>9.6767786935082007</v>
      </c>
      <c r="Q22" s="903">
        <f>CH104</f>
        <v>9.1948691286655997</v>
      </c>
      <c r="R22" s="903">
        <f>CV104</f>
        <v>8.7129595638230004</v>
      </c>
      <c r="S22" s="903">
        <f>AD104</f>
        <v>8.2310499999999998</v>
      </c>
      <c r="T22" s="410"/>
      <c r="U22" s="410">
        <f>P76</f>
        <v>0.7</v>
      </c>
      <c r="V22" s="410"/>
      <c r="W22" s="410"/>
      <c r="X22" s="410">
        <v>1</v>
      </c>
      <c r="Y22" s="410">
        <v>1</v>
      </c>
      <c r="AA22" s="693"/>
      <c r="AB22" s="645"/>
      <c r="AC22" s="648"/>
      <c r="AD22" s="645"/>
    </row>
    <row r="23" spans="1:41">
      <c r="A23" s="177"/>
      <c r="B23" s="410"/>
      <c r="C23" s="410"/>
      <c r="D23" s="410" t="str">
        <f>SECTF!E10</f>
        <v>AGR_BC</v>
      </c>
      <c r="E23" s="410"/>
      <c r="F23" s="700">
        <f>P58/P70</f>
        <v>4.336946673276402E-3</v>
      </c>
      <c r="G23" s="700">
        <f>AR58/AR70</f>
        <v>4.2157056080334796E-3</v>
      </c>
      <c r="H23" s="700">
        <f>BF58/BF70</f>
        <v>3.5674618103375606E-3</v>
      </c>
      <c r="I23" s="700">
        <f>BT58/BT70</f>
        <v>2.8396999391999298E-3</v>
      </c>
      <c r="J23" s="700">
        <f>CH58/CH70</f>
        <v>2.0168326099987872E-3</v>
      </c>
      <c r="K23" s="700">
        <f>CV58/CV70</f>
        <v>1.0789136453155195E-3</v>
      </c>
      <c r="L23" s="700">
        <f>AD58/AD70</f>
        <v>0</v>
      </c>
      <c r="M23" s="903"/>
      <c r="N23" s="903"/>
      <c r="O23" s="903"/>
      <c r="P23" s="903"/>
      <c r="Q23" s="903"/>
      <c r="R23" s="903"/>
      <c r="S23" s="903"/>
      <c r="T23" s="410"/>
      <c r="U23" s="410">
        <f>P77</f>
        <v>0.6</v>
      </c>
      <c r="V23" s="410"/>
      <c r="W23" s="410"/>
      <c r="X23" s="410"/>
      <c r="Y23" s="410">
        <v>1</v>
      </c>
      <c r="AA23" s="693"/>
      <c r="AB23" s="645"/>
      <c r="AC23" s="648"/>
      <c r="AD23" s="645"/>
    </row>
    <row r="24" spans="1:41">
      <c r="A24" s="177"/>
      <c r="B24" s="410"/>
      <c r="C24" s="410"/>
      <c r="D24" s="410" t="str">
        <f>SECTF!E20</f>
        <v>AGR_NAT_GAS</v>
      </c>
      <c r="E24" s="410"/>
      <c r="F24" s="700">
        <f>P59/P70</f>
        <v>3.7565108731401203E-2</v>
      </c>
      <c r="G24" s="700">
        <f>AR59/AR70</f>
        <v>3.7305405974392046E-2</v>
      </c>
      <c r="H24" s="700">
        <f>BF59/BF70</f>
        <v>3.5916844323418289E-2</v>
      </c>
      <c r="I24" s="700">
        <f>BT59/BT70</f>
        <v>3.4357952084272413E-2</v>
      </c>
      <c r="J24" s="700">
        <f>CH59/CH70</f>
        <v>3.2595340515555363E-2</v>
      </c>
      <c r="K24" s="700">
        <f>CV59/CV70</f>
        <v>3.0586284184111502E-2</v>
      </c>
      <c r="L24" s="700">
        <f>AD59/AD70</f>
        <v>2.827521206409048E-2</v>
      </c>
      <c r="M24" s="903"/>
      <c r="N24" s="903"/>
      <c r="O24" s="903"/>
      <c r="P24" s="903"/>
      <c r="Q24" s="903"/>
      <c r="R24" s="903"/>
      <c r="S24" s="903"/>
      <c r="T24" s="410"/>
      <c r="U24" s="410">
        <f>P78</f>
        <v>0.85</v>
      </c>
      <c r="V24" s="410"/>
      <c r="W24" s="410"/>
      <c r="X24" s="410"/>
      <c r="Y24" s="410">
        <v>1</v>
      </c>
      <c r="AA24" s="693"/>
      <c r="AB24" s="645"/>
      <c r="AC24" s="648"/>
      <c r="AD24" s="645"/>
    </row>
    <row r="25" spans="1:41">
      <c r="A25" s="177"/>
      <c r="B25" s="410"/>
      <c r="C25" s="410"/>
      <c r="D25" s="410" t="str">
        <f>SECTF!E24</f>
        <v>AGR_BIOM</v>
      </c>
      <c r="E25" s="410"/>
      <c r="F25" s="700">
        <f>P60/P70</f>
        <v>0.38776927197111583</v>
      </c>
      <c r="G25" s="700">
        <f>AR60/AR70</f>
        <v>0.38615088372406531</v>
      </c>
      <c r="H25" s="700">
        <f>BF60/BF70</f>
        <v>0.37749779173199877</v>
      </c>
      <c r="I25" s="700">
        <f>BT60/BT70</f>
        <v>0.36778325155181418</v>
      </c>
      <c r="J25" s="700">
        <f>CH60/CH70</f>
        <v>0.3567991947476431</v>
      </c>
      <c r="K25" s="700">
        <f>CV60/CV70</f>
        <v>0.34427936947302434</v>
      </c>
      <c r="L25" s="700">
        <f>AD60/AD70</f>
        <v>0.32987747408105561</v>
      </c>
      <c r="M25" s="903"/>
      <c r="N25" s="903"/>
      <c r="O25" s="903"/>
      <c r="P25" s="903"/>
      <c r="Q25" s="903"/>
      <c r="R25" s="903"/>
      <c r="S25" s="903"/>
      <c r="T25" s="410"/>
      <c r="U25" s="410">
        <f>P79</f>
        <v>0.7</v>
      </c>
      <c r="V25" s="410"/>
      <c r="W25" s="410"/>
      <c r="X25" s="410"/>
      <c r="Y25" s="410">
        <v>1</v>
      </c>
      <c r="AA25" s="693"/>
      <c r="AB25" s="645"/>
      <c r="AC25" s="648"/>
      <c r="AD25" s="645"/>
    </row>
    <row r="26" spans="1:41">
      <c r="A26" s="177"/>
      <c r="B26" s="410"/>
      <c r="C26" s="410"/>
      <c r="D26" s="410" t="str">
        <f>SECTF!E22</f>
        <v>AGR_BIOG</v>
      </c>
      <c r="E26" s="410"/>
      <c r="F26" s="700">
        <f>P61/P70</f>
        <v>2.0755191611493643E-2</v>
      </c>
      <c r="G26" s="700">
        <f>AR61/AR70</f>
        <v>3.1043587970523999E-2</v>
      </c>
      <c r="H26" s="700">
        <f>BF61/BF70</f>
        <v>8.6052910341675073E-2</v>
      </c>
      <c r="I26" s="700">
        <f>BT61/BT70</f>
        <v>0.14781005714529358</v>
      </c>
      <c r="J26" s="700">
        <f>CH61/CH70</f>
        <v>0.2176377582997088</v>
      </c>
      <c r="K26" s="700">
        <f>CV61/CV70</f>
        <v>0.29722862653425558</v>
      </c>
      <c r="L26" s="700">
        <f>AD61/AD70</f>
        <v>0.38878416588124409</v>
      </c>
      <c r="M26" s="903"/>
      <c r="N26" s="903"/>
      <c r="O26" s="903"/>
      <c r="P26" s="903"/>
      <c r="Q26" s="903"/>
      <c r="R26" s="903"/>
      <c r="S26" s="903"/>
      <c r="T26" s="410"/>
      <c r="U26" s="410">
        <f>P80</f>
        <v>0.8</v>
      </c>
      <c r="V26" s="410"/>
      <c r="W26" s="410"/>
      <c r="X26" s="410"/>
      <c r="Y26" s="410">
        <v>1</v>
      </c>
      <c r="AA26" s="693"/>
      <c r="AB26" s="645"/>
      <c r="AC26" s="648"/>
      <c r="AD26" s="645"/>
    </row>
    <row r="27" spans="1:41">
      <c r="A27" s="177"/>
      <c r="B27" s="410"/>
      <c r="C27" s="410"/>
      <c r="D27" s="410" t="str">
        <f>SECTF!E33</f>
        <v>AGR_OTH_FUE</v>
      </c>
      <c r="E27" s="410"/>
      <c r="F27" s="700">
        <f>(P62+P63)/P70</f>
        <v>2.5682162169340969E-3</v>
      </c>
      <c r="G27" s="700">
        <f>(AR62+AR63)/Q70</f>
        <v>1.8703739309137272E-2</v>
      </c>
      <c r="H27" s="700">
        <f>(BF62+BF63)/BF70</f>
        <v>1.8835026449673452E-2</v>
      </c>
      <c r="I27" s="700">
        <f>(BT62+BT63)/BT70</f>
        <v>3.4219817916382102E-2</v>
      </c>
      <c r="J27" s="700">
        <f>(CH62+CH63)/CH70</f>
        <v>5.1615126418512979E-2</v>
      </c>
      <c r="K27" s="700">
        <f>(CV62+CV63)/CV70</f>
        <v>7.1442611556978647E-2</v>
      </c>
      <c r="L27" s="700">
        <f>(AD62+AD63)/AD70</f>
        <v>9.4250706880301599E-2</v>
      </c>
      <c r="M27" s="903"/>
      <c r="N27" s="903"/>
      <c r="O27" s="903"/>
      <c r="P27" s="903"/>
      <c r="Q27" s="903"/>
      <c r="R27" s="903"/>
      <c r="S27" s="903"/>
      <c r="T27" s="410"/>
      <c r="U27" s="410">
        <f>(P81+P82)/2</f>
        <v>0.7</v>
      </c>
      <c r="V27" s="410"/>
      <c r="W27" s="410"/>
      <c r="X27" s="410"/>
      <c r="Y27" s="410">
        <v>1</v>
      </c>
      <c r="AA27" s="693"/>
      <c r="AB27" s="645"/>
      <c r="AC27" s="648"/>
      <c r="AD27" s="645"/>
    </row>
    <row r="28" spans="1:41">
      <c r="A28" s="177"/>
      <c r="B28" s="410"/>
      <c r="C28" s="410"/>
      <c r="D28" s="410" t="str">
        <f>SECTF!E16</f>
        <v>AGR_OIL_LPG</v>
      </c>
      <c r="E28" s="410"/>
      <c r="F28" s="700">
        <f>P64/P70</f>
        <v>5.6109247585513451E-2</v>
      </c>
      <c r="G28" s="700">
        <f>AR64/AR70</f>
        <v>5.5133524835701317E-2</v>
      </c>
      <c r="H28" s="700">
        <f>BF64/BF70</f>
        <v>4.9916594555446746E-2</v>
      </c>
      <c r="I28" s="700">
        <f>BT64/BT70</f>
        <v>4.4059719478743577E-2</v>
      </c>
      <c r="J28" s="700">
        <f>CH64/CH70</f>
        <v>3.7437455599629153E-2</v>
      </c>
      <c r="K28" s="700">
        <f>CV64/CV70</f>
        <v>2.9889280260855727E-2</v>
      </c>
      <c r="L28" s="700">
        <f>AD64/AD70</f>
        <v>2.1206409048067861E-2</v>
      </c>
      <c r="M28" s="903"/>
      <c r="N28" s="903"/>
      <c r="O28" s="903"/>
      <c r="P28" s="903"/>
      <c r="Q28" s="903"/>
      <c r="R28" s="903"/>
      <c r="S28" s="903"/>
      <c r="T28" s="410"/>
      <c r="U28" s="410">
        <f>P83</f>
        <v>0.85</v>
      </c>
      <c r="V28" s="410"/>
      <c r="W28" s="410"/>
      <c r="X28" s="410"/>
      <c r="Y28" s="410">
        <v>1</v>
      </c>
      <c r="AA28" s="693"/>
      <c r="AB28" s="645"/>
      <c r="AC28" s="648"/>
      <c r="AD28" s="645"/>
    </row>
    <row r="29" spans="1:41">
      <c r="A29" s="177"/>
      <c r="B29" s="410"/>
      <c r="C29" s="410"/>
      <c r="D29" s="410" t="str">
        <f>SECTF!E18</f>
        <v>AGR_OIL_FUE</v>
      </c>
      <c r="E29" s="410"/>
      <c r="F29" s="700">
        <f>P67/P70</f>
        <v>7.3397135115641832E-2</v>
      </c>
      <c r="G29" s="700">
        <f>AR67/AR70</f>
        <v>7.1345289012147914E-2</v>
      </c>
      <c r="H29" s="700">
        <f>BF67/BF70</f>
        <v>6.0374612935091394E-2</v>
      </c>
      <c r="I29" s="700">
        <f>BT67/BT70</f>
        <v>4.8058197756324486E-2</v>
      </c>
      <c r="J29" s="700">
        <f>CH67/CH70</f>
        <v>3.4132247434632397E-2</v>
      </c>
      <c r="K29" s="700">
        <f>CV67/CV70</f>
        <v>1.8259199077453891E-2</v>
      </c>
      <c r="L29" s="700">
        <f>AD67/AD70</f>
        <v>0</v>
      </c>
      <c r="M29" s="903"/>
      <c r="N29" s="903"/>
      <c r="O29" s="903"/>
      <c r="P29" s="903"/>
      <c r="Q29" s="903"/>
      <c r="R29" s="903"/>
      <c r="S29" s="903"/>
      <c r="T29" s="410"/>
      <c r="U29" s="410">
        <f>P86</f>
        <v>0.8</v>
      </c>
      <c r="V29" s="410"/>
      <c r="W29" s="410"/>
      <c r="X29" s="410"/>
      <c r="Y29" s="410">
        <v>1</v>
      </c>
      <c r="AA29" s="694">
        <f>M22*X22/(F22*U22+F23*U23+F24*U24+F25*U25+F26*U26+F27*U27+F28*U28+F29*U29+F30*U30+F31*U31)</f>
        <v>14.756925740949995</v>
      </c>
      <c r="AB29" s="647" t="b">
        <f>AA29=P72</f>
        <v>1</v>
      </c>
      <c r="AC29" s="649">
        <f>S22*X22/(L22*U22+L23*U23+L24*U24+L25*U25+L26*U26+L27*U27+L28*U28+L29*U29+L30*U30+L31*U31)</f>
        <v>10.610000000000003</v>
      </c>
      <c r="AD29" s="647" t="b">
        <f>AC29=AD72</f>
        <v>1</v>
      </c>
    </row>
    <row r="30" spans="1:41">
      <c r="A30" s="177"/>
      <c r="B30" s="410"/>
      <c r="C30" s="410"/>
      <c r="D30" s="410" t="str">
        <f>SECTF!E30</f>
        <v>AGR_ELC</v>
      </c>
      <c r="E30" s="410"/>
      <c r="F30" s="700">
        <f>P68/P70</f>
        <v>4.2691818815064585E-3</v>
      </c>
      <c r="G30" s="700">
        <f>AR68/AR70</f>
        <v>4.834887364589294E-3</v>
      </c>
      <c r="H30" s="700">
        <f>BF68/BF70</f>
        <v>7.859564305700683E-3</v>
      </c>
      <c r="I30" s="700">
        <f>BT68/BT70</f>
        <v>1.1255269066894001E-2</v>
      </c>
      <c r="J30" s="700">
        <f>CH68/CH70</f>
        <v>1.5094731696656212E-2</v>
      </c>
      <c r="K30" s="700">
        <f>CV68/CV70</f>
        <v>1.9471020178230377E-2</v>
      </c>
      <c r="L30" s="700">
        <f>AD68/AD70</f>
        <v>2.4505183788878417E-2</v>
      </c>
      <c r="M30" s="903"/>
      <c r="N30" s="903"/>
      <c r="O30" s="903"/>
      <c r="P30" s="903"/>
      <c r="Q30" s="903"/>
      <c r="R30" s="903"/>
      <c r="S30" s="903"/>
      <c r="T30" s="410"/>
      <c r="U30" s="410">
        <f>P87</f>
        <v>0.98</v>
      </c>
      <c r="V30" s="410"/>
      <c r="W30" s="410"/>
      <c r="X30" s="410"/>
      <c r="Y30" s="410">
        <v>1</v>
      </c>
      <c r="AA30" s="695"/>
      <c r="AB30" s="644"/>
      <c r="AC30" s="650"/>
      <c r="AD30" s="644"/>
    </row>
    <row r="31" spans="1:41">
      <c r="A31" s="177"/>
      <c r="B31" s="410"/>
      <c r="C31" s="410"/>
      <c r="D31" s="410" t="str">
        <f>SECTF!E32</f>
        <v>AGR_DH</v>
      </c>
      <c r="E31" s="410"/>
      <c r="F31" s="700">
        <f>P69/P70</f>
        <v>1.6805668358946056E-2</v>
      </c>
      <c r="G31" s="700">
        <f>AR69/AR70</f>
        <v>1.9497638430304321E-2</v>
      </c>
      <c r="H31" s="700">
        <f>BF69/BF70</f>
        <v>3.3890887241685264E-2</v>
      </c>
      <c r="I31" s="700">
        <f>BT69/BT70</f>
        <v>5.0049711628360964E-2</v>
      </c>
      <c r="J31" s="700">
        <f>CH69/CH70</f>
        <v>6.8320205306889453E-2</v>
      </c>
      <c r="K31" s="700">
        <f>CV69/CV70</f>
        <v>8.9145242232166105E-2</v>
      </c>
      <c r="L31" s="700">
        <f>AD69/AD70</f>
        <v>0.11310084825636192</v>
      </c>
      <c r="M31" s="903"/>
      <c r="N31" s="903"/>
      <c r="O31" s="903"/>
      <c r="P31" s="903"/>
      <c r="Q31" s="903"/>
      <c r="R31" s="903"/>
      <c r="S31" s="903"/>
      <c r="T31" s="410"/>
      <c r="U31" s="410">
        <f>P88</f>
        <v>0.9</v>
      </c>
      <c r="V31" s="410"/>
      <c r="W31" s="410"/>
      <c r="X31" s="410"/>
      <c r="Y31" s="410">
        <v>1</v>
      </c>
      <c r="AA31" s="694">
        <f>M33*X33/(F33*U33+F34*U34)</f>
        <v>4.0046998390000006</v>
      </c>
      <c r="AB31" s="647" t="b">
        <f>AA31=Q72</f>
        <v>1</v>
      </c>
      <c r="AC31" s="649">
        <f>S33*X33/(L33*U33+L34*U34)</f>
        <v>13.410000000000002</v>
      </c>
      <c r="AD31" s="647" t="b">
        <f>AC31=AE72</f>
        <v>1</v>
      </c>
    </row>
    <row r="32" spans="1:41">
      <c r="A32" s="177"/>
      <c r="B32" s="719"/>
      <c r="C32" s="719"/>
      <c r="D32" s="719"/>
      <c r="E32" s="719" t="str">
        <f>AGR_Comm!D95</f>
        <v>AGR_LIV_HT</v>
      </c>
      <c r="F32" s="720"/>
      <c r="G32" s="720"/>
      <c r="H32" s="720"/>
      <c r="I32" s="720"/>
      <c r="J32" s="720"/>
      <c r="K32" s="720"/>
      <c r="L32" s="720"/>
      <c r="M32" s="909"/>
      <c r="N32" s="909"/>
      <c r="O32" s="909"/>
      <c r="P32" s="909"/>
      <c r="Q32" s="909"/>
      <c r="R32" s="909"/>
      <c r="S32" s="909"/>
      <c r="T32" s="719"/>
      <c r="U32" s="719"/>
      <c r="V32" s="719"/>
      <c r="W32" s="719"/>
      <c r="X32" s="719"/>
      <c r="Y32" s="719"/>
      <c r="AA32" s="693"/>
      <c r="AB32" s="645"/>
      <c r="AC32" s="648"/>
      <c r="AD32" s="645"/>
    </row>
    <row r="33" spans="1:30">
      <c r="A33" s="177"/>
      <c r="B33" s="177" t="str">
        <f>AGR_Proc!D75</f>
        <v>AGR_PRC_LIV_ELC_SVC</v>
      </c>
      <c r="C33" s="177" t="s">
        <v>905</v>
      </c>
      <c r="D33" s="177" t="str">
        <f>SECTF!E14</f>
        <v>AGR_OIL_DSL</v>
      </c>
      <c r="E33" s="177"/>
      <c r="F33" s="699">
        <f>Q66/Q70</f>
        <v>0.2134241949113031</v>
      </c>
      <c r="G33" s="699">
        <f>AS66/AS70</f>
        <v>0.19182574042732936</v>
      </c>
      <c r="H33" s="699">
        <f>BG66/BG70</f>
        <v>0.12179078174565776</v>
      </c>
      <c r="I33" s="699">
        <f>BU66/BU70</f>
        <v>8.3488081911443052E-2</v>
      </c>
      <c r="J33" s="699">
        <f>CI66/CI70</f>
        <v>5.9334576371535969E-2</v>
      </c>
      <c r="K33" s="699">
        <f>CW66/CW70</f>
        <v>4.2712428261603229E-2</v>
      </c>
      <c r="L33" s="699">
        <f>AE66/AE70</f>
        <v>3.0574198359433258E-2</v>
      </c>
      <c r="M33" s="902">
        <f>Q104</f>
        <v>3.3807689565300003</v>
      </c>
      <c r="N33" s="902">
        <f>AS104</f>
        <v>3.7549970737407996</v>
      </c>
      <c r="O33" s="902">
        <f>BG104</f>
        <v>5.6261376587920999</v>
      </c>
      <c r="P33" s="902">
        <f>BU104</f>
        <v>7.4972782438434002</v>
      </c>
      <c r="Q33" s="902">
        <f>CI104</f>
        <v>9.3684188288947006</v>
      </c>
      <c r="R33" s="902">
        <f>CW104</f>
        <v>11.239559413945999</v>
      </c>
      <c r="S33" s="902">
        <f>AE104</f>
        <v>13.110700000000001</v>
      </c>
      <c r="T33" s="177"/>
      <c r="U33" s="177">
        <f>Q85</f>
        <v>0.27</v>
      </c>
      <c r="V33" s="177"/>
      <c r="W33" s="177"/>
      <c r="X33" s="177">
        <v>1</v>
      </c>
      <c r="Y33" s="177">
        <v>1</v>
      </c>
      <c r="AA33" s="695"/>
      <c r="AB33" s="644"/>
      <c r="AC33" s="650"/>
      <c r="AD33" s="644"/>
    </row>
    <row r="34" spans="1:30">
      <c r="A34" s="177"/>
      <c r="B34" s="177"/>
      <c r="C34" s="177"/>
      <c r="D34" s="177" t="str">
        <f>SECTF!E30</f>
        <v>AGR_ELC</v>
      </c>
      <c r="E34" s="177"/>
      <c r="F34" s="699">
        <f>Q68/Q70</f>
        <v>0.78657580508869696</v>
      </c>
      <c r="G34" s="699">
        <f>AS68/AS70</f>
        <v>0.80817425957267075</v>
      </c>
      <c r="H34" s="699">
        <f>BG68/BG70</f>
        <v>0.87820921825434228</v>
      </c>
      <c r="I34" s="699">
        <f>BU68/BU70</f>
        <v>0.91651191808855703</v>
      </c>
      <c r="J34" s="699">
        <f>CI68/CI70</f>
        <v>0.94066542362846417</v>
      </c>
      <c r="K34" s="699">
        <f>CW68/CW70</f>
        <v>0.95728757173839685</v>
      </c>
      <c r="L34" s="699">
        <f>AE68/AE70</f>
        <v>0.96942580164056669</v>
      </c>
      <c r="M34" s="902"/>
      <c r="N34" s="902"/>
      <c r="O34" s="902"/>
      <c r="P34" s="902"/>
      <c r="Q34" s="902"/>
      <c r="R34" s="902"/>
      <c r="S34" s="902"/>
      <c r="T34" s="177"/>
      <c r="U34" s="177">
        <f>Q87</f>
        <v>1</v>
      </c>
      <c r="V34" s="177"/>
      <c r="W34" s="177"/>
      <c r="X34" s="177"/>
      <c r="Y34" s="177">
        <v>1</v>
      </c>
      <c r="AA34" s="693"/>
      <c r="AB34" s="645"/>
      <c r="AC34" s="648"/>
      <c r="AD34" s="645"/>
    </row>
    <row r="35" spans="1:30">
      <c r="A35" s="177"/>
      <c r="B35" s="703"/>
      <c r="C35" s="703"/>
      <c r="D35" s="703"/>
      <c r="E35" s="703" t="str">
        <f>AGR_Comm!D96</f>
        <v>AGR_LIV_ELC_SVC</v>
      </c>
      <c r="F35" s="704"/>
      <c r="G35" s="704"/>
      <c r="H35" s="704"/>
      <c r="I35" s="704"/>
      <c r="J35" s="704"/>
      <c r="K35" s="704"/>
      <c r="L35" s="704"/>
      <c r="M35" s="908"/>
      <c r="N35" s="908"/>
      <c r="O35" s="908"/>
      <c r="P35" s="908"/>
      <c r="Q35" s="908"/>
      <c r="R35" s="908"/>
      <c r="S35" s="908"/>
      <c r="T35" s="703"/>
      <c r="U35" s="703"/>
      <c r="V35" s="703"/>
      <c r="W35" s="703"/>
      <c r="X35" s="703"/>
      <c r="Y35" s="703"/>
      <c r="AA35" s="693"/>
      <c r="AB35" s="645"/>
      <c r="AC35" s="648"/>
      <c r="AD35" s="645"/>
    </row>
    <row r="36" spans="1:30">
      <c r="A36" s="177"/>
      <c r="B36" s="410" t="str">
        <f>AGR_Proc!D76</f>
        <v>AGR_PRC_OTH_SVC</v>
      </c>
      <c r="C36" s="410" t="s">
        <v>906</v>
      </c>
      <c r="D36" s="410" t="str">
        <f>SECTF!E8</f>
        <v>AGR_HC</v>
      </c>
      <c r="E36" s="410"/>
      <c r="F36" s="700">
        <f>R57/R70</f>
        <v>0.22610737383015625</v>
      </c>
      <c r="G36" s="700">
        <f>AT57/AT70</f>
        <v>0.21846892599491596</v>
      </c>
      <c r="H36" s="700">
        <f>BH57/BH70</f>
        <v>0.17913374498662438</v>
      </c>
      <c r="I36" s="700">
        <f>BV57/BV70</f>
        <v>0.13778647655771475</v>
      </c>
      <c r="J36" s="700">
        <f>CJ57/CJ70</f>
        <v>9.4268683965009009E-2</v>
      </c>
      <c r="K36" s="700">
        <f>CX57/CX70</f>
        <v>4.8404847820389146E-2</v>
      </c>
      <c r="L36" s="700">
        <f>AF57/AF70</f>
        <v>0</v>
      </c>
      <c r="M36" s="903">
        <f>R104</f>
        <v>16.036933124069996</v>
      </c>
      <c r="N36" s="903">
        <f>AT104</f>
        <v>16.064320311986002</v>
      </c>
      <c r="O36" s="903">
        <f>BH104</f>
        <v>16.201256249326999</v>
      </c>
      <c r="P36" s="903">
        <f>BV104</f>
        <v>16.338192186668003</v>
      </c>
      <c r="Q36" s="903">
        <f>CJ104</f>
        <v>16.475128124009</v>
      </c>
      <c r="R36" s="903">
        <f>CX104</f>
        <v>16.612064061350001</v>
      </c>
      <c r="S36" s="903">
        <f>AF104</f>
        <v>16.748999999999999</v>
      </c>
      <c r="T36" s="410"/>
      <c r="U36" s="410">
        <f>R76</f>
        <v>0.7</v>
      </c>
      <c r="V36" s="410"/>
      <c r="W36" s="410"/>
      <c r="X36" s="410">
        <v>1</v>
      </c>
      <c r="Y36" s="410">
        <v>1</v>
      </c>
      <c r="AA36" s="693"/>
      <c r="AB36" s="645"/>
      <c r="AC36" s="648"/>
      <c r="AD36" s="645"/>
    </row>
    <row r="37" spans="1:30">
      <c r="A37" s="177"/>
      <c r="B37" s="410"/>
      <c r="C37" s="410"/>
      <c r="D37" s="410" t="str">
        <f>SECTF!E10</f>
        <v>AGR_BC</v>
      </c>
      <c r="E37" s="410"/>
      <c r="F37" s="700">
        <f>R58/R70</f>
        <v>3.0920666506688032E-3</v>
      </c>
      <c r="G37" s="700">
        <f>AT58/AT70</f>
        <v>2.9876092473625285E-3</v>
      </c>
      <c r="H37" s="700">
        <f>BH58/BH70</f>
        <v>2.4496922376022671E-3</v>
      </c>
      <c r="I37" s="700">
        <f>BV58/BV70</f>
        <v>1.8842595022007043E-3</v>
      </c>
      <c r="J37" s="700">
        <f>CJ58/CJ70</f>
        <v>1.2891443848226738E-3</v>
      </c>
      <c r="K37" s="700">
        <f>CX58/CX70</f>
        <v>6.619466203113566E-4</v>
      </c>
      <c r="L37" s="700">
        <f>AF58/AF70</f>
        <v>0</v>
      </c>
      <c r="M37" s="410"/>
      <c r="N37" s="410"/>
      <c r="O37" s="410"/>
      <c r="P37" s="410"/>
      <c r="Q37" s="410"/>
      <c r="R37" s="410"/>
      <c r="S37" s="410"/>
      <c r="T37" s="410"/>
      <c r="U37" s="410">
        <f>R77</f>
        <v>0.6</v>
      </c>
      <c r="V37" s="410"/>
      <c r="W37" s="410"/>
      <c r="X37" s="410"/>
      <c r="Y37" s="410">
        <v>1</v>
      </c>
      <c r="AA37" s="693"/>
      <c r="AB37" s="645"/>
      <c r="AC37" s="648"/>
      <c r="AD37" s="645"/>
    </row>
    <row r="38" spans="1:30">
      <c r="A38" s="177"/>
      <c r="B38" s="410"/>
      <c r="C38" s="410"/>
      <c r="D38" s="410" t="str">
        <f>SECTF!E20</f>
        <v>AGR_NAT_GAS</v>
      </c>
      <c r="E38" s="410"/>
      <c r="F38" s="700">
        <f>R59/R70</f>
        <v>1.7854930159788084E-2</v>
      </c>
      <c r="G38" s="700">
        <f>AT59/AT70</f>
        <v>1.7625199073565842E-2</v>
      </c>
      <c r="H38" s="700">
        <f>BH59/BH70</f>
        <v>1.6442168954836734E-2</v>
      </c>
      <c r="I38" s="700">
        <f>BV59/BV70</f>
        <v>1.519862405114693E-2</v>
      </c>
      <c r="J38" s="700">
        <f>CJ59/CJ70</f>
        <v>1.388979927856167E-2</v>
      </c>
      <c r="K38" s="700">
        <f>CX59/CX70</f>
        <v>1.2510415781938006E-2</v>
      </c>
      <c r="L38" s="700">
        <f>AF59/AF70</f>
        <v>1.1054609772275039E-2</v>
      </c>
      <c r="M38" s="410"/>
      <c r="N38" s="410"/>
      <c r="O38" s="410"/>
      <c r="P38" s="410"/>
      <c r="Q38" s="410"/>
      <c r="R38" s="410"/>
      <c r="S38" s="410"/>
      <c r="T38" s="410"/>
      <c r="U38" s="410">
        <f>R78</f>
        <v>0.85</v>
      </c>
      <c r="V38" s="410"/>
      <c r="W38" s="410"/>
      <c r="X38" s="410"/>
      <c r="Y38" s="410">
        <v>1</v>
      </c>
      <c r="AA38" s="693"/>
      <c r="AB38" s="645"/>
      <c r="AC38" s="648"/>
      <c r="AD38" s="645"/>
    </row>
    <row r="39" spans="1:30">
      <c r="A39" s="177"/>
      <c r="B39" s="410"/>
      <c r="C39" s="410"/>
      <c r="D39" s="410" t="str">
        <f>SECTF!E24</f>
        <v>AGR_BIOM</v>
      </c>
      <c r="E39" s="410"/>
      <c r="F39" s="700">
        <f>R60/R70</f>
        <v>0.34755439760538714</v>
      </c>
      <c r="G39" s="700">
        <f>AT60/AT70</f>
        <v>0.3440291042774013</v>
      </c>
      <c r="H39" s="700">
        <f>BH60/BH70</f>
        <v>0.32587514764122533</v>
      </c>
      <c r="I39" s="700">
        <f>BV60/BV70</f>
        <v>0.30679257324238052</v>
      </c>
      <c r="J39" s="700">
        <f>CJ60/CJ70</f>
        <v>0.28670825942001504</v>
      </c>
      <c r="K39" s="700">
        <f>CX60/CX70</f>
        <v>0.26554120053797764</v>
      </c>
      <c r="L39" s="700">
        <f>AF60/AF70</f>
        <v>0.24320141499005085</v>
      </c>
      <c r="M39" s="410"/>
      <c r="N39" s="410"/>
      <c r="O39" s="410"/>
      <c r="P39" s="410"/>
      <c r="Q39" s="410"/>
      <c r="R39" s="410"/>
      <c r="S39" s="410"/>
      <c r="T39" s="410"/>
      <c r="U39" s="410">
        <f>R79</f>
        <v>0.7</v>
      </c>
      <c r="V39" s="410"/>
      <c r="W39" s="410"/>
      <c r="X39" s="410"/>
      <c r="Y39" s="410">
        <v>1</v>
      </c>
      <c r="AA39" s="693"/>
      <c r="AB39" s="645"/>
      <c r="AC39" s="648"/>
      <c r="AD39" s="645"/>
    </row>
    <row r="40" spans="1:30">
      <c r="A40" s="177"/>
      <c r="B40" s="410"/>
      <c r="C40" s="410"/>
      <c r="D40" s="410" t="str">
        <f>SECTF!E22</f>
        <v>AGR_BIOG</v>
      </c>
      <c r="E40" s="410"/>
      <c r="F40" s="700">
        <f>R61/R70</f>
        <v>7.5333275942995456E-3</v>
      </c>
      <c r="G40" s="700">
        <f>AT61/AT70</f>
        <v>1.1200070900365509E-2</v>
      </c>
      <c r="H40" s="700">
        <f>BH61/BH70</f>
        <v>3.0082442697313604E-2</v>
      </c>
      <c r="I40" s="700">
        <f>BV61/BV70</f>
        <v>4.9930692412964148E-2</v>
      </c>
      <c r="J40" s="700">
        <f>CJ61/CJ70</f>
        <v>7.0820875665069449E-2</v>
      </c>
      <c r="K40" s="700">
        <f>CX61/CX70</f>
        <v>9.2837248385827187E-2</v>
      </c>
      <c r="L40" s="700">
        <f>AF61/AF70</f>
        <v>0.1160734026088879</v>
      </c>
      <c r="M40" s="410"/>
      <c r="N40" s="410"/>
      <c r="O40" s="410"/>
      <c r="P40" s="410"/>
      <c r="Q40" s="410"/>
      <c r="R40" s="410"/>
      <c r="S40" s="410"/>
      <c r="T40" s="410"/>
      <c r="U40" s="410">
        <f>R80</f>
        <v>0.8</v>
      </c>
      <c r="V40" s="410"/>
      <c r="W40" s="410"/>
      <c r="X40" s="410"/>
      <c r="Y40" s="410">
        <v>1</v>
      </c>
      <c r="AA40" s="693"/>
      <c r="AB40" s="645"/>
      <c r="AC40" s="648"/>
      <c r="AD40" s="645"/>
    </row>
    <row r="41" spans="1:30">
      <c r="A41" s="177"/>
      <c r="B41" s="410"/>
      <c r="C41" s="410"/>
      <c r="D41" s="410" t="str">
        <f>SECTF!E33</f>
        <v>AGR_OTH_FUE</v>
      </c>
      <c r="E41" s="410"/>
      <c r="F41" s="700">
        <f>(R62+R63)/R70</f>
        <v>1.6263056946357517E-3</v>
      </c>
      <c r="G41" s="700">
        <f>(AT62+AT63)/AT70</f>
        <v>3.438620987965605E-3</v>
      </c>
      <c r="H41" s="700">
        <f>(BH62+BH63)/BH70</f>
        <v>1.2771374332483185E-2</v>
      </c>
      <c r="I41" s="700">
        <f>(BV62+BV63)/BV70</f>
        <v>2.2581520055092955E-2</v>
      </c>
      <c r="J41" s="700">
        <f>(CJ62+CJ63)/CJ70</f>
        <v>3.2906649213135603E-2</v>
      </c>
      <c r="K41" s="700">
        <f>(CX62+CX63)/CX70</f>
        <v>4.3788405930636924E-2</v>
      </c>
      <c r="L41" s="700">
        <f>(AF62+AF63)/AF70</f>
        <v>5.5273048861375192E-2</v>
      </c>
      <c r="M41" s="410"/>
      <c r="N41" s="410"/>
      <c r="O41" s="410"/>
      <c r="P41" s="410"/>
      <c r="Q41" s="410"/>
      <c r="R41" s="410"/>
      <c r="S41" s="410"/>
      <c r="T41" s="410"/>
      <c r="U41" s="410">
        <f>(R81+R82)/2</f>
        <v>0.7</v>
      </c>
      <c r="V41" s="410"/>
      <c r="W41" s="410"/>
      <c r="X41" s="410"/>
      <c r="Y41" s="410">
        <v>1</v>
      </c>
      <c r="AA41" s="693"/>
      <c r="AB41" s="645"/>
      <c r="AC41" s="648"/>
      <c r="AD41" s="645"/>
    </row>
    <row r="42" spans="1:30">
      <c r="A42" s="177"/>
      <c r="B42" s="410"/>
      <c r="C42" s="410"/>
      <c r="D42" s="410" t="str">
        <f>SECTF!E16</f>
        <v>AGR_OIL_LPG</v>
      </c>
      <c r="E42" s="410"/>
      <c r="F42" s="700">
        <f>R64/R70</f>
        <v>1.4223506593076496E-2</v>
      </c>
      <c r="G42" s="700">
        <f>AT64/AT70</f>
        <v>1.3892382982758245E-2</v>
      </c>
      <c r="H42" s="700">
        <f>BH64/BH70</f>
        <v>1.2187218883564064E-2</v>
      </c>
      <c r="I42" s="700">
        <f>BV64/BV70</f>
        <v>1.039483161299678E-2</v>
      </c>
      <c r="J42" s="700">
        <f>CJ64/CJ70</f>
        <v>8.5083530026754395E-3</v>
      </c>
      <c r="K42" s="700">
        <f>CX64/CX70</f>
        <v>6.5201743585083958E-3</v>
      </c>
      <c r="L42" s="700">
        <f>AF64/AF70</f>
        <v>4.4218439089100158E-3</v>
      </c>
      <c r="M42" s="410"/>
      <c r="N42" s="410"/>
      <c r="O42" s="410"/>
      <c r="P42" s="410"/>
      <c r="Q42" s="410"/>
      <c r="R42" s="410"/>
      <c r="S42" s="410"/>
      <c r="T42" s="410"/>
      <c r="U42" s="410">
        <f t="shared" ref="U42:U47" si="9">R83</f>
        <v>0.85</v>
      </c>
      <c r="V42" s="410"/>
      <c r="W42" s="410"/>
      <c r="X42" s="410"/>
      <c r="Y42" s="410">
        <v>1</v>
      </c>
      <c r="AA42" s="693"/>
      <c r="AB42" s="645"/>
      <c r="AC42" s="648"/>
      <c r="AD42" s="645"/>
    </row>
    <row r="43" spans="1:30">
      <c r="A43" s="177"/>
      <c r="B43" s="410"/>
      <c r="C43" s="410"/>
      <c r="D43" s="410" t="str">
        <f>SECTF!E12</f>
        <v>AGR_OIL_GSL</v>
      </c>
      <c r="E43" s="410"/>
      <c r="F43" s="700">
        <f>R65/R70</f>
        <v>3.9863577232518833E-4</v>
      </c>
      <c r="G43" s="700">
        <f>AT65/AT70</f>
        <v>4.0010695059280657E-4</v>
      </c>
      <c r="H43" s="700">
        <f>BH65/BH70</f>
        <v>4.0768296659776903E-4</v>
      </c>
      <c r="I43" s="700">
        <f>BV65/BV70</f>
        <v>4.1564651371638707E-4</v>
      </c>
      <c r="J43" s="700">
        <f>CJ65/CJ70</f>
        <v>4.2402810710764346E-4</v>
      </c>
      <c r="K43" s="700">
        <f>CX65/CX70</f>
        <v>4.3286155207405595E-4</v>
      </c>
      <c r="L43" s="700">
        <f>AF65/AF70</f>
        <v>4.4218439089100157E-4</v>
      </c>
      <c r="M43" s="410"/>
      <c r="N43" s="410"/>
      <c r="O43" s="410"/>
      <c r="P43" s="410"/>
      <c r="Q43" s="410"/>
      <c r="R43" s="410"/>
      <c r="S43" s="410"/>
      <c r="T43" s="410"/>
      <c r="U43" s="410">
        <f t="shared" si="9"/>
        <v>0.25</v>
      </c>
      <c r="V43" s="410"/>
      <c r="W43" s="410"/>
      <c r="X43" s="410"/>
      <c r="Y43" s="410">
        <v>1</v>
      </c>
      <c r="AA43" s="693"/>
      <c r="AB43" s="645"/>
      <c r="AC43" s="648"/>
      <c r="AD43" s="645"/>
    </row>
    <row r="44" spans="1:30">
      <c r="A44" s="177"/>
      <c r="B44" s="410"/>
      <c r="C44" s="410"/>
      <c r="D44" s="410" t="str">
        <f>SECTF!E14</f>
        <v>AGR_OIL_DSL</v>
      </c>
      <c r="E44" s="410"/>
      <c r="F44" s="700">
        <f>R66/R70</f>
        <v>0.26427888685038958</v>
      </c>
      <c r="G44" s="700">
        <f>AT66/AT70</f>
        <v>0.2602505931774684</v>
      </c>
      <c r="H44" s="700">
        <f>BH66/BH70</f>
        <v>0.23950637077977516</v>
      </c>
      <c r="I44" s="700">
        <f>BV66/BV70</f>
        <v>0.21770103240734925</v>
      </c>
      <c r="J44" s="700">
        <f>CJ66/CJ70</f>
        <v>0.19475102316220338</v>
      </c>
      <c r="K44" s="700">
        <f>CX66/CX70</f>
        <v>0.17056377925973337</v>
      </c>
      <c r="L44" s="700">
        <f>AF66/AF70</f>
        <v>0.14503648021224852</v>
      </c>
      <c r="M44" s="410"/>
      <c r="N44" s="410"/>
      <c r="O44" s="410"/>
      <c r="P44" s="410"/>
      <c r="Q44" s="410"/>
      <c r="R44" s="410"/>
      <c r="S44" s="410"/>
      <c r="T44" s="410"/>
      <c r="U44" s="410">
        <f t="shared" si="9"/>
        <v>0.3</v>
      </c>
      <c r="V44" s="410"/>
      <c r="W44" s="410"/>
      <c r="X44" s="410"/>
      <c r="Y44" s="410">
        <v>1</v>
      </c>
      <c r="AA44" s="693"/>
      <c r="AB44" s="645"/>
      <c r="AC44" s="648"/>
      <c r="AD44" s="645"/>
    </row>
    <row r="45" spans="1:30">
      <c r="A45" s="177"/>
      <c r="B45" s="410"/>
      <c r="C45" s="410"/>
      <c r="D45" s="410" t="str">
        <f>SECTF!E18</f>
        <v>AGR_OIL_FUE</v>
      </c>
      <c r="E45" s="410"/>
      <c r="F45" s="700">
        <f>R67/R70</f>
        <v>2.9902384701612713E-2</v>
      </c>
      <c r="G45" s="700">
        <f>AT67/AT70</f>
        <v>2.8892210635562628E-2</v>
      </c>
      <c r="H45" s="700">
        <f>BH67/BH70</f>
        <v>2.3690187833147445E-2</v>
      </c>
      <c r="I45" s="700">
        <f>BV67/BV70</f>
        <v>1.8222069276900558E-2</v>
      </c>
      <c r="J45" s="700">
        <f>CJ67/CJ70</f>
        <v>1.2466901928609714E-2</v>
      </c>
      <c r="K45" s="700">
        <f>CX67/CX70</f>
        <v>6.4014735941054397E-3</v>
      </c>
      <c r="L45" s="700">
        <f>AF67/AF70</f>
        <v>0</v>
      </c>
      <c r="M45" s="410"/>
      <c r="N45" s="410"/>
      <c r="O45" s="410"/>
      <c r="P45" s="410"/>
      <c r="Q45" s="410"/>
      <c r="R45" s="410"/>
      <c r="S45" s="410"/>
      <c r="T45" s="410"/>
      <c r="U45" s="410">
        <f t="shared" si="9"/>
        <v>0.8</v>
      </c>
      <c r="V45" s="410"/>
      <c r="W45" s="410"/>
      <c r="X45" s="410"/>
      <c r="Y45" s="410">
        <v>1</v>
      </c>
      <c r="AA45" s="694">
        <f>M36*X36/(F36*U36+F37*U37+F38*U38+F39*U39+F40*U40+F41*U41+F42*U42+F43*U43+F44*U44+F45*U45+F46*U46+F47*U47)</f>
        <v>25.872663508950001</v>
      </c>
      <c r="AB45" s="647" t="b">
        <f>AA45=R72</f>
        <v>1</v>
      </c>
      <c r="AC45" s="649">
        <f>S36*X36/(L36*U36+L37*U37+L38*U38+L39*U39+L40*U40+L41*U41+L42*U42+L43*U43+L44*U44+L45*U45+L46*U46+L47*U47)</f>
        <v>22.614999999999995</v>
      </c>
      <c r="AD45" s="647" t="b">
        <f>AC45=AF72</f>
        <v>1</v>
      </c>
    </row>
    <row r="46" spans="1:30">
      <c r="A46" s="177"/>
      <c r="B46" s="410"/>
      <c r="C46" s="410"/>
      <c r="D46" s="410" t="str">
        <f>SECTF!E30</f>
        <v>AGR_ELC</v>
      </c>
      <c r="E46" s="410"/>
      <c r="F46" s="700">
        <f>R68/R70</f>
        <v>7.3050074622050473E-2</v>
      </c>
      <c r="G46" s="700">
        <f>AT68/AT70</f>
        <v>8.2233944455004773E-2</v>
      </c>
      <c r="H46" s="700">
        <f>BH68/BH70</f>
        <v>0.12952747714233728</v>
      </c>
      <c r="I46" s="700">
        <f>BV68/BV70</f>
        <v>0.17924018573677222</v>
      </c>
      <c r="J46" s="700">
        <f>CJ68/CJ70</f>
        <v>0.23156256213640922</v>
      </c>
      <c r="K46" s="700">
        <f>CX68/CX70</f>
        <v>0.28670563707013885</v>
      </c>
      <c r="L46" s="700">
        <f>AF68/AF70</f>
        <v>0.34490382489498123</v>
      </c>
      <c r="M46" s="410"/>
      <c r="N46" s="410"/>
      <c r="O46" s="410"/>
      <c r="P46" s="410"/>
      <c r="Q46" s="410"/>
      <c r="R46" s="410"/>
      <c r="S46" s="410"/>
      <c r="T46" s="410"/>
      <c r="U46" s="410">
        <f t="shared" si="9"/>
        <v>0.9</v>
      </c>
      <c r="V46" s="410"/>
      <c r="W46" s="410"/>
      <c r="X46" s="410"/>
      <c r="Y46" s="410">
        <v>1</v>
      </c>
    </row>
    <row r="47" spans="1:30">
      <c r="A47" s="177"/>
      <c r="B47" s="410"/>
      <c r="C47" s="410"/>
      <c r="D47" s="410" t="str">
        <f>SECTF!E32</f>
        <v>AGR_DH</v>
      </c>
      <c r="E47" s="410"/>
      <c r="F47" s="700">
        <f>R69/R70</f>
        <v>1.4378109925609936E-2</v>
      </c>
      <c r="G47" s="700">
        <f>AT69/AT70</f>
        <v>1.6581231317036194E-2</v>
      </c>
      <c r="H47" s="700">
        <f>BH69/BH70</f>
        <v>2.7926491544492591E-2</v>
      </c>
      <c r="I47" s="700">
        <f>BV69/BV70</f>
        <v>3.9852088630764823E-2</v>
      </c>
      <c r="J47" s="700">
        <f>CJ69/CJ70</f>
        <v>5.2403719736381145E-2</v>
      </c>
      <c r="K47" s="700">
        <f>CX69/CX70</f>
        <v>6.5632009088359713E-2</v>
      </c>
      <c r="L47" s="700">
        <f>AF69/AF70</f>
        <v>7.9593190360380275E-2</v>
      </c>
      <c r="M47" s="410"/>
      <c r="N47" s="410"/>
      <c r="O47" s="410"/>
      <c r="P47" s="410"/>
      <c r="Q47" s="410"/>
      <c r="R47" s="410"/>
      <c r="S47" s="410"/>
      <c r="T47" s="410"/>
      <c r="U47" s="410">
        <f t="shared" si="9"/>
        <v>0.9</v>
      </c>
      <c r="V47" s="410"/>
      <c r="W47" s="410"/>
      <c r="X47" s="410"/>
      <c r="Y47" s="410">
        <v>1</v>
      </c>
    </row>
    <row r="48" spans="1:30" ht="13.5" thickBot="1">
      <c r="A48" s="177"/>
      <c r="B48" s="651"/>
      <c r="C48" s="651"/>
      <c r="D48" s="651"/>
      <c r="E48" s="651" t="str">
        <f>AGR_Comm!D97</f>
        <v>AGR_OTH_SVC</v>
      </c>
      <c r="F48" s="705"/>
      <c r="G48" s="705"/>
      <c r="H48" s="705"/>
      <c r="I48" s="705"/>
      <c r="J48" s="705"/>
      <c r="K48" s="705"/>
      <c r="L48" s="705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</row>
    <row r="49" spans="1:102" ht="13.5" thickTop="1">
      <c r="A49" s="177"/>
      <c r="B49" s="177"/>
      <c r="C49" s="177"/>
      <c r="D49" s="177"/>
      <c r="E49" s="177"/>
      <c r="F49" s="177"/>
      <c r="L49" s="177"/>
      <c r="M49" s="177"/>
      <c r="S49" s="177"/>
      <c r="T49" s="177"/>
      <c r="U49" s="177"/>
      <c r="V49" s="177"/>
      <c r="W49" s="177"/>
      <c r="X49" s="177"/>
      <c r="Y49" s="177"/>
    </row>
    <row r="50" spans="1:102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</row>
    <row r="51" spans="1:102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02" ht="14.25">
      <c r="D52" s="444"/>
      <c r="F52" s="652"/>
      <c r="G52" s="652"/>
      <c r="H52" s="652"/>
      <c r="I52" s="652"/>
      <c r="J52" s="652"/>
      <c r="K52" s="652"/>
      <c r="L52" s="652"/>
      <c r="M52" s="652"/>
      <c r="N52" s="652"/>
      <c r="O52" s="652"/>
      <c r="P52" s="652"/>
      <c r="Q52" s="652"/>
      <c r="R52" s="652"/>
      <c r="T52" s="652"/>
      <c r="U52" s="652"/>
      <c r="V52" s="652"/>
      <c r="W52" s="652"/>
      <c r="X52" s="652"/>
      <c r="Y52" s="652"/>
      <c r="Z52" s="652"/>
      <c r="AA52" s="652"/>
      <c r="AB52" s="652"/>
      <c r="AC52" s="652"/>
      <c r="AD52" s="652"/>
      <c r="AE52" s="652"/>
      <c r="AF52" s="652"/>
    </row>
    <row r="53" spans="1:102" ht="15" thickBot="1">
      <c r="D53" s="444"/>
      <c r="F53" s="978" t="s">
        <v>907</v>
      </c>
      <c r="G53" s="979"/>
      <c r="H53" s="979"/>
      <c r="I53" s="979"/>
      <c r="J53" s="979"/>
      <c r="K53" s="979"/>
      <c r="L53" s="979"/>
      <c r="M53" s="979"/>
      <c r="N53" s="979"/>
      <c r="O53" s="979"/>
      <c r="P53" s="979"/>
      <c r="Q53" s="979"/>
      <c r="R53" s="979"/>
      <c r="S53" s="653"/>
      <c r="T53" s="978" t="s">
        <v>908</v>
      </c>
      <c r="U53" s="979"/>
      <c r="V53" s="979"/>
      <c r="W53" s="979"/>
      <c r="X53" s="979"/>
      <c r="Y53" s="979"/>
      <c r="Z53" s="979"/>
      <c r="AA53" s="979"/>
      <c r="AB53" s="979"/>
      <c r="AC53" s="979"/>
      <c r="AD53" s="979"/>
      <c r="AE53" s="979"/>
      <c r="AF53" s="979"/>
      <c r="AG53" s="653"/>
      <c r="AH53" s="963">
        <v>2025</v>
      </c>
      <c r="AI53" s="964"/>
      <c r="AJ53" s="964"/>
      <c r="AK53" s="964"/>
      <c r="AL53" s="964"/>
      <c r="AM53" s="964"/>
      <c r="AN53" s="964"/>
      <c r="AO53" s="964"/>
      <c r="AP53" s="964"/>
      <c r="AQ53" s="964"/>
      <c r="AR53" s="964"/>
      <c r="AS53" s="964"/>
      <c r="AT53" s="965"/>
      <c r="AU53" s="410"/>
      <c r="AV53" s="953">
        <v>2030</v>
      </c>
      <c r="AW53" s="953"/>
      <c r="AX53" s="953"/>
      <c r="AY53" s="953"/>
      <c r="AZ53" s="953"/>
      <c r="BA53" s="953"/>
      <c r="BB53" s="953"/>
      <c r="BC53" s="953"/>
      <c r="BD53" s="953"/>
      <c r="BE53" s="953"/>
      <c r="BF53" s="953"/>
      <c r="BG53" s="953"/>
      <c r="BH53" s="953"/>
      <c r="BI53" s="410"/>
      <c r="BJ53" s="953">
        <v>2035</v>
      </c>
      <c r="BK53" s="953"/>
      <c r="BL53" s="953"/>
      <c r="BM53" s="953"/>
      <c r="BN53" s="953"/>
      <c r="BO53" s="953"/>
      <c r="BP53" s="953"/>
      <c r="BQ53" s="953"/>
      <c r="BR53" s="953"/>
      <c r="BS53" s="953"/>
      <c r="BT53" s="953"/>
      <c r="BU53" s="953"/>
      <c r="BV53" s="953"/>
      <c r="BW53" s="410"/>
      <c r="BX53" s="1013">
        <v>2040</v>
      </c>
      <c r="BY53" s="1013"/>
      <c r="BZ53" s="1013"/>
      <c r="CA53" s="1013"/>
      <c r="CB53" s="1013"/>
      <c r="CC53" s="1013"/>
      <c r="CD53" s="1013"/>
      <c r="CE53" s="1013"/>
      <c r="CF53" s="1013"/>
      <c r="CG53" s="1013"/>
      <c r="CH53" s="1013"/>
      <c r="CI53" s="1013"/>
      <c r="CJ53" s="1013"/>
      <c r="CK53" s="410"/>
      <c r="CL53" s="995">
        <v>2045</v>
      </c>
      <c r="CM53" s="996"/>
      <c r="CN53" s="996"/>
      <c r="CO53" s="996"/>
      <c r="CP53" s="996"/>
      <c r="CQ53" s="996"/>
      <c r="CR53" s="996"/>
      <c r="CS53" s="996"/>
      <c r="CT53" s="996"/>
      <c r="CU53" s="996"/>
      <c r="CV53" s="996"/>
      <c r="CW53" s="996"/>
      <c r="CX53" s="997"/>
    </row>
    <row r="54" spans="1:102" ht="15" thickBot="1">
      <c r="B54" s="990" t="s">
        <v>853</v>
      </c>
      <c r="C54" s="990"/>
      <c r="D54" s="990"/>
      <c r="F54" s="987" t="s">
        <v>893</v>
      </c>
      <c r="G54" s="985"/>
      <c r="H54" s="604"/>
      <c r="I54" s="987" t="s">
        <v>869</v>
      </c>
      <c r="J54" s="985"/>
      <c r="K54" s="985"/>
      <c r="L54" s="985"/>
      <c r="M54" s="986"/>
      <c r="N54" s="982" t="s">
        <v>891</v>
      </c>
      <c r="O54" s="983"/>
      <c r="P54" s="983"/>
      <c r="Q54" s="983"/>
      <c r="R54" s="984"/>
      <c r="T54" s="987" t="s">
        <v>950</v>
      </c>
      <c r="U54" s="985"/>
      <c r="V54" s="985" t="s">
        <v>869</v>
      </c>
      <c r="W54" s="985"/>
      <c r="X54" s="985"/>
      <c r="Y54" s="985"/>
      <c r="Z54" s="985"/>
      <c r="AA54" s="986"/>
      <c r="AB54" s="982" t="s">
        <v>891</v>
      </c>
      <c r="AC54" s="983"/>
      <c r="AD54" s="983"/>
      <c r="AE54" s="983"/>
      <c r="AF54" s="984"/>
      <c r="AH54" s="966" t="s">
        <v>893</v>
      </c>
      <c r="AI54" s="967"/>
      <c r="AJ54" s="968"/>
      <c r="AK54" s="966" t="s">
        <v>869</v>
      </c>
      <c r="AL54" s="967"/>
      <c r="AM54" s="967"/>
      <c r="AN54" s="967"/>
      <c r="AO54" s="968"/>
      <c r="AP54" s="969" t="s">
        <v>891</v>
      </c>
      <c r="AQ54" s="970"/>
      <c r="AR54" s="970"/>
      <c r="AS54" s="970"/>
      <c r="AT54" s="971"/>
      <c r="AU54" s="410"/>
      <c r="AV54" s="895" t="s">
        <v>893</v>
      </c>
      <c r="AW54" s="896"/>
      <c r="AX54" s="894"/>
      <c r="AY54" s="895" t="s">
        <v>869</v>
      </c>
      <c r="AZ54" s="896"/>
      <c r="BA54" s="896"/>
      <c r="BB54" s="896"/>
      <c r="BC54" s="897"/>
      <c r="BD54" s="898" t="s">
        <v>891</v>
      </c>
      <c r="BE54" s="899"/>
      <c r="BF54" s="899"/>
      <c r="BG54" s="899"/>
      <c r="BH54" s="900"/>
      <c r="BI54" s="410"/>
      <c r="BJ54" s="954" t="s">
        <v>893</v>
      </c>
      <c r="BK54" s="955"/>
      <c r="BL54" s="956"/>
      <c r="BM54" s="954" t="s">
        <v>869</v>
      </c>
      <c r="BN54" s="955"/>
      <c r="BO54" s="955"/>
      <c r="BP54" s="955"/>
      <c r="BQ54" s="956"/>
      <c r="BR54" s="957" t="s">
        <v>891</v>
      </c>
      <c r="BS54" s="958"/>
      <c r="BT54" s="958"/>
      <c r="BU54" s="958"/>
      <c r="BV54" s="959"/>
      <c r="BW54" s="410"/>
      <c r="BX54" s="998" t="s">
        <v>893</v>
      </c>
      <c r="BY54" s="999"/>
      <c r="BZ54" s="1000"/>
      <c r="CA54" s="998" t="s">
        <v>869</v>
      </c>
      <c r="CB54" s="999"/>
      <c r="CC54" s="999"/>
      <c r="CD54" s="999"/>
      <c r="CE54" s="1000"/>
      <c r="CF54" s="1010" t="s">
        <v>891</v>
      </c>
      <c r="CG54" s="1011"/>
      <c r="CH54" s="1011"/>
      <c r="CI54" s="1011"/>
      <c r="CJ54" s="1012"/>
      <c r="CK54" s="410"/>
      <c r="CL54" s="887" t="s">
        <v>893</v>
      </c>
      <c r="CM54" s="888"/>
      <c r="CN54" s="748"/>
      <c r="CO54" s="887" t="s">
        <v>869</v>
      </c>
      <c r="CP54" s="888"/>
      <c r="CQ54" s="888"/>
      <c r="CR54" s="888"/>
      <c r="CS54" s="889"/>
      <c r="CT54" s="876" t="s">
        <v>891</v>
      </c>
      <c r="CU54" s="877"/>
      <c r="CV54" s="877"/>
      <c r="CW54" s="877"/>
      <c r="CX54" s="878"/>
    </row>
    <row r="55" spans="1:102">
      <c r="B55" s="443">
        <v>2024</v>
      </c>
      <c r="C55" s="445" t="s">
        <v>852</v>
      </c>
      <c r="D55" s="443" t="s">
        <v>829</v>
      </c>
      <c r="F55" s="991" t="s">
        <v>868</v>
      </c>
      <c r="G55" s="993" t="s">
        <v>823</v>
      </c>
      <c r="H55" s="478"/>
      <c r="I55" s="910" t="s">
        <v>808</v>
      </c>
      <c r="J55" s="911" t="s">
        <v>809</v>
      </c>
      <c r="K55" s="911" t="s">
        <v>856</v>
      </c>
      <c r="L55" s="911" t="s">
        <v>857</v>
      </c>
      <c r="M55" s="912" t="s">
        <v>858</v>
      </c>
      <c r="N55" s="910" t="s">
        <v>808</v>
      </c>
      <c r="O55" s="911" t="s">
        <v>809</v>
      </c>
      <c r="P55" s="911" t="s">
        <v>856</v>
      </c>
      <c r="Q55" s="911" t="s">
        <v>857</v>
      </c>
      <c r="R55" s="912" t="s">
        <v>858</v>
      </c>
      <c r="T55" s="714" t="s">
        <v>868</v>
      </c>
      <c r="U55" s="716" t="s">
        <v>823</v>
      </c>
      <c r="V55" s="478"/>
      <c r="W55" s="469" t="s">
        <v>808</v>
      </c>
      <c r="X55" s="470" t="s">
        <v>809</v>
      </c>
      <c r="Y55" s="470" t="s">
        <v>856</v>
      </c>
      <c r="Z55" s="470" t="s">
        <v>857</v>
      </c>
      <c r="AA55" s="471" t="s">
        <v>858</v>
      </c>
      <c r="AB55" s="469" t="s">
        <v>808</v>
      </c>
      <c r="AC55" s="470" t="s">
        <v>809</v>
      </c>
      <c r="AD55" s="470" t="s">
        <v>856</v>
      </c>
      <c r="AE55" s="470" t="s">
        <v>857</v>
      </c>
      <c r="AF55" s="471" t="s">
        <v>858</v>
      </c>
      <c r="AH55" s="890" t="s">
        <v>868</v>
      </c>
      <c r="AI55" s="892" t="s">
        <v>823</v>
      </c>
      <c r="AJ55" s="478"/>
      <c r="AK55" s="469" t="s">
        <v>808</v>
      </c>
      <c r="AL55" s="470" t="s">
        <v>809</v>
      </c>
      <c r="AM55" s="470" t="s">
        <v>856</v>
      </c>
      <c r="AN55" s="470" t="s">
        <v>857</v>
      </c>
      <c r="AO55" s="471" t="s">
        <v>858</v>
      </c>
      <c r="AP55" s="469" t="s">
        <v>808</v>
      </c>
      <c r="AQ55" s="470" t="s">
        <v>809</v>
      </c>
      <c r="AR55" s="470" t="s">
        <v>856</v>
      </c>
      <c r="AS55" s="470" t="s">
        <v>857</v>
      </c>
      <c r="AT55" s="471" t="s">
        <v>858</v>
      </c>
      <c r="AU55" s="410"/>
      <c r="AV55" s="890" t="s">
        <v>868</v>
      </c>
      <c r="AW55" s="892" t="s">
        <v>823</v>
      </c>
      <c r="AX55" s="478"/>
      <c r="AY55" s="469" t="s">
        <v>808</v>
      </c>
      <c r="AZ55" s="470" t="s">
        <v>809</v>
      </c>
      <c r="BA55" s="470" t="s">
        <v>856</v>
      </c>
      <c r="BB55" s="470" t="s">
        <v>857</v>
      </c>
      <c r="BC55" s="860" t="s">
        <v>858</v>
      </c>
      <c r="BD55" s="469" t="s">
        <v>808</v>
      </c>
      <c r="BE55" s="470" t="s">
        <v>809</v>
      </c>
      <c r="BF55" s="470" t="s">
        <v>856</v>
      </c>
      <c r="BG55" s="470" t="s">
        <v>857</v>
      </c>
      <c r="BH55" s="471" t="s">
        <v>858</v>
      </c>
      <c r="BI55" s="410"/>
      <c r="BJ55" s="890" t="s">
        <v>868</v>
      </c>
      <c r="BK55" s="892" t="s">
        <v>823</v>
      </c>
      <c r="BL55" s="478"/>
      <c r="BM55" s="469" t="s">
        <v>808</v>
      </c>
      <c r="BN55" s="470" t="s">
        <v>809</v>
      </c>
      <c r="BO55" s="470" t="s">
        <v>856</v>
      </c>
      <c r="BP55" s="470" t="s">
        <v>857</v>
      </c>
      <c r="BQ55" s="860" t="s">
        <v>858</v>
      </c>
      <c r="BR55" s="469" t="s">
        <v>808</v>
      </c>
      <c r="BS55" s="470" t="s">
        <v>809</v>
      </c>
      <c r="BT55" s="470" t="s">
        <v>856</v>
      </c>
      <c r="BU55" s="470" t="s">
        <v>857</v>
      </c>
      <c r="BV55" s="471" t="s">
        <v>858</v>
      </c>
      <c r="BW55" s="410"/>
      <c r="BX55" s="890" t="s">
        <v>868</v>
      </c>
      <c r="BY55" s="892" t="s">
        <v>823</v>
      </c>
      <c r="BZ55" s="478"/>
      <c r="CA55" s="469" t="s">
        <v>808</v>
      </c>
      <c r="CB55" s="470" t="s">
        <v>809</v>
      </c>
      <c r="CC55" s="470" t="s">
        <v>856</v>
      </c>
      <c r="CD55" s="470" t="s">
        <v>857</v>
      </c>
      <c r="CE55" s="860" t="s">
        <v>858</v>
      </c>
      <c r="CF55" s="469" t="s">
        <v>808</v>
      </c>
      <c r="CG55" s="470" t="s">
        <v>809</v>
      </c>
      <c r="CH55" s="470" t="s">
        <v>856</v>
      </c>
      <c r="CI55" s="470" t="s">
        <v>857</v>
      </c>
      <c r="CJ55" s="471" t="s">
        <v>858</v>
      </c>
      <c r="CK55" s="410"/>
      <c r="CL55" s="890" t="s">
        <v>868</v>
      </c>
      <c r="CM55" s="892" t="s">
        <v>823</v>
      </c>
      <c r="CN55" s="478"/>
      <c r="CO55" s="469" t="s">
        <v>808</v>
      </c>
      <c r="CP55" s="470" t="s">
        <v>809</v>
      </c>
      <c r="CQ55" s="470" t="s">
        <v>856</v>
      </c>
      <c r="CR55" s="470" t="s">
        <v>857</v>
      </c>
      <c r="CS55" s="860" t="s">
        <v>858</v>
      </c>
      <c r="CT55" s="469" t="s">
        <v>808</v>
      </c>
      <c r="CU55" s="470" t="s">
        <v>809</v>
      </c>
      <c r="CV55" s="470" t="s">
        <v>856</v>
      </c>
      <c r="CW55" s="470" t="s">
        <v>857</v>
      </c>
      <c r="CX55" s="471" t="s">
        <v>858</v>
      </c>
    </row>
    <row r="56" spans="1:102">
      <c r="B56" s="434" t="s">
        <v>830</v>
      </c>
      <c r="C56" s="435" t="s">
        <v>831</v>
      </c>
      <c r="D56" s="436">
        <v>129449.389635</v>
      </c>
      <c r="F56" s="992"/>
      <c r="G56" s="994"/>
      <c r="H56" s="479" t="s">
        <v>487</v>
      </c>
      <c r="I56" s="481" t="s">
        <v>487</v>
      </c>
      <c r="J56" s="482"/>
      <c r="K56" s="482"/>
      <c r="L56" s="482"/>
      <c r="M56" s="483"/>
      <c r="N56" s="481" t="s">
        <v>823</v>
      </c>
      <c r="O56" s="482"/>
      <c r="P56" s="482"/>
      <c r="Q56" s="482"/>
      <c r="R56" s="483"/>
      <c r="T56" s="715"/>
      <c r="U56" s="717"/>
      <c r="V56" s="479" t="s">
        <v>487</v>
      </c>
      <c r="W56" s="481" t="s">
        <v>487</v>
      </c>
      <c r="X56" s="482"/>
      <c r="Y56" s="482"/>
      <c r="Z56" s="482"/>
      <c r="AA56" s="483"/>
      <c r="AB56" s="481" t="s">
        <v>823</v>
      </c>
      <c r="AC56" s="482"/>
      <c r="AD56" s="482"/>
      <c r="AE56" s="482"/>
      <c r="AF56" s="483"/>
      <c r="AH56" s="891"/>
      <c r="AI56" s="893"/>
      <c r="AJ56" s="479" t="s">
        <v>487</v>
      </c>
      <c r="AK56" s="481" t="s">
        <v>487</v>
      </c>
      <c r="AL56" s="482"/>
      <c r="AM56" s="482"/>
      <c r="AN56" s="482"/>
      <c r="AO56" s="483"/>
      <c r="AP56" s="481" t="s">
        <v>823</v>
      </c>
      <c r="AQ56" s="482"/>
      <c r="AR56" s="482"/>
      <c r="AS56" s="482"/>
      <c r="AT56" s="483"/>
      <c r="AU56" s="410"/>
      <c r="AV56" s="891"/>
      <c r="AW56" s="893"/>
      <c r="AX56" s="479" t="s">
        <v>487</v>
      </c>
      <c r="AY56" s="481" t="s">
        <v>487</v>
      </c>
      <c r="AZ56" s="482"/>
      <c r="BA56" s="482"/>
      <c r="BB56" s="482"/>
      <c r="BC56" s="861"/>
      <c r="BD56" s="481" t="s">
        <v>823</v>
      </c>
      <c r="BE56" s="482"/>
      <c r="BF56" s="482"/>
      <c r="BG56" s="482"/>
      <c r="BH56" s="483"/>
      <c r="BI56" s="410"/>
      <c r="BJ56" s="891"/>
      <c r="BK56" s="893"/>
      <c r="BL56" s="479" t="s">
        <v>487</v>
      </c>
      <c r="BM56" s="481" t="s">
        <v>487</v>
      </c>
      <c r="BN56" s="482"/>
      <c r="BO56" s="482"/>
      <c r="BP56" s="482"/>
      <c r="BQ56" s="861"/>
      <c r="BR56" s="481" t="s">
        <v>823</v>
      </c>
      <c r="BS56" s="482"/>
      <c r="BT56" s="482"/>
      <c r="BU56" s="482"/>
      <c r="BV56" s="483"/>
      <c r="BW56" s="410"/>
      <c r="BX56" s="891"/>
      <c r="BY56" s="893"/>
      <c r="BZ56" s="479" t="s">
        <v>487</v>
      </c>
      <c r="CA56" s="481" t="s">
        <v>487</v>
      </c>
      <c r="CB56" s="482"/>
      <c r="CC56" s="482"/>
      <c r="CD56" s="482"/>
      <c r="CE56" s="861"/>
      <c r="CF56" s="481" t="s">
        <v>823</v>
      </c>
      <c r="CG56" s="482"/>
      <c r="CH56" s="482"/>
      <c r="CI56" s="482"/>
      <c r="CJ56" s="483"/>
      <c r="CK56" s="410"/>
      <c r="CL56" s="891"/>
      <c r="CM56" s="893"/>
      <c r="CN56" s="479" t="s">
        <v>487</v>
      </c>
      <c r="CO56" s="481" t="s">
        <v>487</v>
      </c>
      <c r="CP56" s="482"/>
      <c r="CQ56" s="482"/>
      <c r="CR56" s="482"/>
      <c r="CS56" s="861"/>
      <c r="CT56" s="481" t="s">
        <v>823</v>
      </c>
      <c r="CU56" s="482"/>
      <c r="CV56" s="482"/>
      <c r="CW56" s="482"/>
      <c r="CX56" s="483"/>
    </row>
    <row r="57" spans="1:102">
      <c r="B57" s="434" t="s">
        <v>832</v>
      </c>
      <c r="C57" s="435" t="s">
        <v>831</v>
      </c>
      <c r="D57" s="436">
        <v>31955.870993</v>
      </c>
      <c r="F57" s="605" t="s">
        <v>867</v>
      </c>
      <c r="G57" s="459">
        <f>D58</f>
        <v>13000</v>
      </c>
      <c r="H57" s="464">
        <f t="shared" ref="H57:H70" si="10">G57/$G$70</f>
        <v>0.10043986837996982</v>
      </c>
      <c r="I57" s="457">
        <v>0</v>
      </c>
      <c r="J57" s="455">
        <v>0.1</v>
      </c>
      <c r="K57" s="455">
        <v>0.45</v>
      </c>
      <c r="L57" s="455">
        <v>0</v>
      </c>
      <c r="M57" s="458">
        <v>0.45</v>
      </c>
      <c r="N57" s="472">
        <f>I57*$G$57</f>
        <v>0</v>
      </c>
      <c r="O57" s="473">
        <f>J57*$G$57</f>
        <v>1300</v>
      </c>
      <c r="P57" s="473">
        <f>K57*$G$57</f>
        <v>5850</v>
      </c>
      <c r="Q57" s="473">
        <f>L57*$G$57</f>
        <v>0</v>
      </c>
      <c r="R57" s="474">
        <f>M57*$G$57</f>
        <v>5850</v>
      </c>
      <c r="T57" s="605" t="s">
        <v>867</v>
      </c>
      <c r="U57" s="459">
        <v>0</v>
      </c>
      <c r="V57" s="464">
        <f t="shared" ref="V57:V70" si="11">U57/$U$70</f>
        <v>0</v>
      </c>
      <c r="W57" s="457">
        <v>0</v>
      </c>
      <c r="X57" s="455">
        <v>0.1</v>
      </c>
      <c r="Y57" s="455">
        <v>0.45</v>
      </c>
      <c r="Z57" s="455">
        <v>0</v>
      </c>
      <c r="AA57" s="458">
        <v>0.45</v>
      </c>
      <c r="AB57" s="472">
        <f>W57*U57</f>
        <v>0</v>
      </c>
      <c r="AC57" s="473">
        <f>X57*U57</f>
        <v>0</v>
      </c>
      <c r="AD57" s="473">
        <f>Y57*U57</f>
        <v>0</v>
      </c>
      <c r="AE57" s="473">
        <f>Z57*U57</f>
        <v>0</v>
      </c>
      <c r="AF57" s="474">
        <f>AA57*U57</f>
        <v>0</v>
      </c>
      <c r="AH57" s="749" t="s">
        <v>867</v>
      </c>
      <c r="AI57" s="750">
        <f t="shared" ref="AI57:AI69" si="12">AH7</f>
        <v>12500</v>
      </c>
      <c r="AJ57" s="751">
        <f t="shared" ref="AJ57:AJ69" si="13">AI57/$G$70</f>
        <v>9.6576796519201757E-2</v>
      </c>
      <c r="AK57" s="752">
        <v>0</v>
      </c>
      <c r="AL57" s="753">
        <v>0.1</v>
      </c>
      <c r="AM57" s="753">
        <v>0.45</v>
      </c>
      <c r="AN57" s="753">
        <v>0</v>
      </c>
      <c r="AO57" s="754">
        <v>0.45</v>
      </c>
      <c r="AP57" s="755">
        <f>AK57*$AI$57</f>
        <v>0</v>
      </c>
      <c r="AQ57" s="755">
        <f>AL57*$AI$57</f>
        <v>1250</v>
      </c>
      <c r="AR57" s="755">
        <f>AM57*$AI$57</f>
        <v>5625</v>
      </c>
      <c r="AS57" s="755">
        <f>AN57*$AI$57</f>
        <v>0</v>
      </c>
      <c r="AT57" s="756">
        <f>AO57*$AI$57</f>
        <v>5625</v>
      </c>
      <c r="AU57" s="410"/>
      <c r="AV57" s="749" t="s">
        <v>867</v>
      </c>
      <c r="AW57" s="750">
        <f t="shared" ref="AW57:AW69" si="14">AI7</f>
        <v>10000</v>
      </c>
      <c r="AX57" s="751">
        <f t="shared" ref="AX57:AX69" si="15">AW57/$G$70</f>
        <v>7.7261437215361412E-2</v>
      </c>
      <c r="AY57" s="752">
        <v>0</v>
      </c>
      <c r="AZ57" s="753">
        <v>0.1</v>
      </c>
      <c r="BA57" s="753">
        <v>0.45</v>
      </c>
      <c r="BB57" s="753">
        <v>0</v>
      </c>
      <c r="BC57" s="862">
        <v>0.45</v>
      </c>
      <c r="BD57" s="755">
        <f>AY57*AW57</f>
        <v>0</v>
      </c>
      <c r="BE57" s="799">
        <f>AZ57*AW57</f>
        <v>1000</v>
      </c>
      <c r="BF57" s="799">
        <f>BA57*AW57</f>
        <v>4500</v>
      </c>
      <c r="BG57" s="799">
        <f>BB57*AW57</f>
        <v>0</v>
      </c>
      <c r="BH57" s="801">
        <f>BC57*AW57</f>
        <v>4500</v>
      </c>
      <c r="BI57" s="410"/>
      <c r="BJ57" s="749" t="s">
        <v>867</v>
      </c>
      <c r="BK57" s="750">
        <f t="shared" ref="BK57:BK69" si="16">AJ7</f>
        <v>7500</v>
      </c>
      <c r="BL57" s="751">
        <f t="shared" ref="BL57:BL69" si="17">BK57/$G$70</f>
        <v>5.7946077911521052E-2</v>
      </c>
      <c r="BM57" s="752">
        <v>0</v>
      </c>
      <c r="BN57" s="753">
        <v>0.1</v>
      </c>
      <c r="BO57" s="753">
        <v>0.45</v>
      </c>
      <c r="BP57" s="753">
        <v>0</v>
      </c>
      <c r="BQ57" s="862">
        <v>0.45</v>
      </c>
      <c r="BR57" s="755">
        <f>BM57*BK57</f>
        <v>0</v>
      </c>
      <c r="BS57" s="799">
        <f>BN57*BK57</f>
        <v>750</v>
      </c>
      <c r="BT57" s="799">
        <f>BO57*BK57</f>
        <v>3375</v>
      </c>
      <c r="BU57" s="799">
        <f>BP57*BK57</f>
        <v>0</v>
      </c>
      <c r="BV57" s="801">
        <f>BQ57*BK57</f>
        <v>3375</v>
      </c>
      <c r="BW57" s="410"/>
      <c r="BX57" s="749" t="s">
        <v>867</v>
      </c>
      <c r="BY57" s="750">
        <f t="shared" ref="BY57:BY69" si="18">AK7</f>
        <v>5000</v>
      </c>
      <c r="BZ57" s="751">
        <f t="shared" ref="BZ57:BZ69" si="19">BY57/$G$70</f>
        <v>3.8630718607680706E-2</v>
      </c>
      <c r="CA57" s="752">
        <v>0</v>
      </c>
      <c r="CB57" s="753">
        <v>0.1</v>
      </c>
      <c r="CC57" s="753">
        <v>0.45</v>
      </c>
      <c r="CD57" s="753">
        <v>0</v>
      </c>
      <c r="CE57" s="862">
        <v>0.45</v>
      </c>
      <c r="CF57" s="755">
        <f>CA57*BY57</f>
        <v>0</v>
      </c>
      <c r="CG57" s="799">
        <f>CB57*BY57</f>
        <v>500</v>
      </c>
      <c r="CH57" s="799">
        <f>CC57*BY57</f>
        <v>2250</v>
      </c>
      <c r="CI57" s="799">
        <f>CD57*BY57</f>
        <v>0</v>
      </c>
      <c r="CJ57" s="801">
        <f>CE57*BY57</f>
        <v>2250</v>
      </c>
      <c r="CK57" s="410"/>
      <c r="CL57" s="749" t="s">
        <v>867</v>
      </c>
      <c r="CM57" s="750">
        <f t="shared" ref="CM57:CM69" si="20">AL7</f>
        <v>2500</v>
      </c>
      <c r="CN57" s="751">
        <f t="shared" ref="CN57:CN69" si="21">CM57/$G$70</f>
        <v>1.9315359303840353E-2</v>
      </c>
      <c r="CO57" s="752">
        <v>0</v>
      </c>
      <c r="CP57" s="753">
        <v>0.1</v>
      </c>
      <c r="CQ57" s="753">
        <v>0.45</v>
      </c>
      <c r="CR57" s="753">
        <v>0</v>
      </c>
      <c r="CS57" s="862">
        <v>0.45</v>
      </c>
      <c r="CT57" s="755">
        <f>CO57*CM57</f>
        <v>0</v>
      </c>
      <c r="CU57" s="799">
        <f>CP57*CM57</f>
        <v>250</v>
      </c>
      <c r="CV57" s="799">
        <f>CQ57*CM57</f>
        <v>1125</v>
      </c>
      <c r="CW57" s="799">
        <f>CR57*CM57</f>
        <v>0</v>
      </c>
      <c r="CX57" s="801">
        <f>CS57*CM57</f>
        <v>1125</v>
      </c>
    </row>
    <row r="58" spans="1:102">
      <c r="B58" s="437" t="s">
        <v>833</v>
      </c>
      <c r="C58" s="438" t="s">
        <v>831</v>
      </c>
      <c r="D58" s="439">
        <v>13000</v>
      </c>
      <c r="F58" s="606" t="s">
        <v>862</v>
      </c>
      <c r="G58" s="453">
        <f>D59</f>
        <v>160</v>
      </c>
      <c r="H58" s="465">
        <f t="shared" si="10"/>
        <v>1.2361829954457824E-3</v>
      </c>
      <c r="I58" s="457">
        <v>0</v>
      </c>
      <c r="J58" s="455">
        <v>0.1</v>
      </c>
      <c r="K58" s="455">
        <v>0.4</v>
      </c>
      <c r="L58" s="455">
        <v>0</v>
      </c>
      <c r="M58" s="458">
        <v>0.5</v>
      </c>
      <c r="N58" s="472">
        <f>I58*$G$58</f>
        <v>0</v>
      </c>
      <c r="O58" s="473">
        <f>J58*$G$58</f>
        <v>16</v>
      </c>
      <c r="P58" s="473">
        <f>K58*$G$58</f>
        <v>64</v>
      </c>
      <c r="Q58" s="473">
        <f>L58*$G$58</f>
        <v>0</v>
      </c>
      <c r="R58" s="474">
        <f>M58*$G$58</f>
        <v>80</v>
      </c>
      <c r="T58" s="606" t="s">
        <v>862</v>
      </c>
      <c r="U58" s="453">
        <v>0</v>
      </c>
      <c r="V58" s="464">
        <f t="shared" si="11"/>
        <v>0</v>
      </c>
      <c r="W58" s="457">
        <v>0</v>
      </c>
      <c r="X58" s="455">
        <v>0.1</v>
      </c>
      <c r="Y58" s="455">
        <v>0.4</v>
      </c>
      <c r="Z58" s="455">
        <v>0</v>
      </c>
      <c r="AA58" s="458">
        <v>0.5</v>
      </c>
      <c r="AB58" s="472">
        <f t="shared" ref="AB58:AB69" si="22">W58*U58</f>
        <v>0</v>
      </c>
      <c r="AC58" s="473">
        <f t="shared" ref="AC58:AC69" si="23">X58*U58</f>
        <v>0</v>
      </c>
      <c r="AD58" s="473">
        <f t="shared" ref="AD58:AD69" si="24">Y58*U58</f>
        <v>0</v>
      </c>
      <c r="AE58" s="473">
        <f t="shared" ref="AE58:AE69" si="25">Z58*U58</f>
        <v>0</v>
      </c>
      <c r="AF58" s="474">
        <f t="shared" ref="AF58:AF69" si="26">AA58*U58</f>
        <v>0</v>
      </c>
      <c r="AH58" s="757" t="s">
        <v>862</v>
      </c>
      <c r="AI58" s="750">
        <f t="shared" si="12"/>
        <v>153.84615400000001</v>
      </c>
      <c r="AJ58" s="758">
        <f t="shared" si="13"/>
        <v>1.1886374968095824E-3</v>
      </c>
      <c r="AK58" s="752">
        <v>0</v>
      </c>
      <c r="AL58" s="753">
        <v>0.1</v>
      </c>
      <c r="AM58" s="753">
        <v>0.4</v>
      </c>
      <c r="AN58" s="753">
        <v>0</v>
      </c>
      <c r="AO58" s="754">
        <v>0.5</v>
      </c>
      <c r="AP58" s="755">
        <f>AK58*$AI$58</f>
        <v>0</v>
      </c>
      <c r="AQ58" s="755">
        <f>AL58*$AI$58</f>
        <v>15.384615400000001</v>
      </c>
      <c r="AR58" s="755">
        <f>AM58*$AI$58</f>
        <v>61.538461600000005</v>
      </c>
      <c r="AS58" s="755">
        <f>AN58*$AI$58</f>
        <v>0</v>
      </c>
      <c r="AT58" s="756">
        <f>AO58*$AI$58</f>
        <v>76.923077000000006</v>
      </c>
      <c r="AU58" s="410"/>
      <c r="AV58" s="757" t="s">
        <v>862</v>
      </c>
      <c r="AW58" s="750">
        <f t="shared" si="14"/>
        <v>123.07692299999999</v>
      </c>
      <c r="AX58" s="758">
        <f t="shared" si="15"/>
        <v>9.5090999590243701E-4</v>
      </c>
      <c r="AY58" s="752">
        <v>0</v>
      </c>
      <c r="AZ58" s="753">
        <v>0.1</v>
      </c>
      <c r="BA58" s="753">
        <v>0.4</v>
      </c>
      <c r="BB58" s="753">
        <v>0</v>
      </c>
      <c r="BC58" s="862">
        <v>0.5</v>
      </c>
      <c r="BD58" s="755">
        <f t="shared" ref="BD58:BD69" si="27">AY58*AW58</f>
        <v>0</v>
      </c>
      <c r="BE58" s="799">
        <f t="shared" ref="BE58:BE69" si="28">AZ58*AW58</f>
        <v>12.307692299999999</v>
      </c>
      <c r="BF58" s="799">
        <f t="shared" ref="BF58:BF69" si="29">BA58*AW58</f>
        <v>49.230769199999997</v>
      </c>
      <c r="BG58" s="799">
        <f t="shared" ref="BG58:BG69" si="30">BB58*AW58</f>
        <v>0</v>
      </c>
      <c r="BH58" s="801">
        <f t="shared" ref="BH58:BH69" si="31">BC58*AW58</f>
        <v>61.538461499999997</v>
      </c>
      <c r="BI58" s="410"/>
      <c r="BJ58" s="757" t="s">
        <v>862</v>
      </c>
      <c r="BK58" s="750">
        <f t="shared" si="16"/>
        <v>92.307692000000003</v>
      </c>
      <c r="BL58" s="758">
        <f t="shared" si="17"/>
        <v>7.1318249499529186E-4</v>
      </c>
      <c r="BM58" s="752">
        <v>0</v>
      </c>
      <c r="BN58" s="753">
        <v>0.1</v>
      </c>
      <c r="BO58" s="753">
        <v>0.4</v>
      </c>
      <c r="BP58" s="753">
        <v>0</v>
      </c>
      <c r="BQ58" s="862">
        <v>0.5</v>
      </c>
      <c r="BR58" s="755">
        <f>BM58*BK58</f>
        <v>0</v>
      </c>
      <c r="BS58" s="799">
        <f>BN58*BK58</f>
        <v>9.230769200000001</v>
      </c>
      <c r="BT58" s="799">
        <f>BO58*BK58</f>
        <v>36.923076800000004</v>
      </c>
      <c r="BU58" s="799">
        <f t="shared" ref="BU58:BU69" si="32">BP58*BK58</f>
        <v>0</v>
      </c>
      <c r="BV58" s="801">
        <f t="shared" ref="BV58:BV69" si="33">BQ58*BK58</f>
        <v>46.153846000000001</v>
      </c>
      <c r="BW58" s="410"/>
      <c r="BX58" s="757" t="s">
        <v>862</v>
      </c>
      <c r="BY58" s="750">
        <f t="shared" si="18"/>
        <v>61.538460999999998</v>
      </c>
      <c r="BZ58" s="758">
        <f t="shared" si="19"/>
        <v>4.7545499408814664E-4</v>
      </c>
      <c r="CA58" s="752">
        <v>0</v>
      </c>
      <c r="CB58" s="753">
        <v>0.1</v>
      </c>
      <c r="CC58" s="753">
        <v>0.4</v>
      </c>
      <c r="CD58" s="753">
        <v>0</v>
      </c>
      <c r="CE58" s="862">
        <v>0.5</v>
      </c>
      <c r="CF58" s="755">
        <f t="shared" ref="CF58:CF69" si="34">CA58*BY58</f>
        <v>0</v>
      </c>
      <c r="CG58" s="799">
        <f t="shared" ref="CG58:CG69" si="35">CB58*BY58</f>
        <v>6.1538461</v>
      </c>
      <c r="CH58" s="799">
        <f t="shared" ref="CH58:CH69" si="36">CC58*BY58</f>
        <v>24.6153844</v>
      </c>
      <c r="CI58" s="799">
        <f t="shared" ref="CI58:CI69" si="37">CD58*BY58</f>
        <v>0</v>
      </c>
      <c r="CJ58" s="801">
        <f t="shared" ref="CJ58:CJ69" si="38">CE58*BY58</f>
        <v>30.769230499999999</v>
      </c>
      <c r="CK58" s="410"/>
      <c r="CL58" s="757" t="s">
        <v>862</v>
      </c>
      <c r="CM58" s="750">
        <f t="shared" si="20"/>
        <v>30.76923</v>
      </c>
      <c r="CN58" s="758">
        <f t="shared" si="21"/>
        <v>2.3772749318100146E-4</v>
      </c>
      <c r="CO58" s="752">
        <v>0</v>
      </c>
      <c r="CP58" s="753">
        <v>0.1</v>
      </c>
      <c r="CQ58" s="753">
        <v>0.4</v>
      </c>
      <c r="CR58" s="753">
        <v>0</v>
      </c>
      <c r="CS58" s="862">
        <v>0.5</v>
      </c>
      <c r="CT58" s="755">
        <f t="shared" ref="CT58:CT69" si="39">CO58*CM58</f>
        <v>0</v>
      </c>
      <c r="CU58" s="799">
        <f t="shared" ref="CU58:CU69" si="40">CP58*CM58</f>
        <v>3.0769230000000003</v>
      </c>
      <c r="CV58" s="799">
        <f t="shared" ref="CV58:CV69" si="41">CQ58*CM58</f>
        <v>12.307692000000001</v>
      </c>
      <c r="CW58" s="799">
        <f t="shared" ref="CW58:CW69" si="42">CR58*CM58</f>
        <v>0</v>
      </c>
      <c r="CX58" s="801">
        <f t="shared" ref="CX58:CX69" si="43">CS58*CM58</f>
        <v>15.384615</v>
      </c>
    </row>
    <row r="59" spans="1:102">
      <c r="B59" s="437" t="s">
        <v>834</v>
      </c>
      <c r="C59" s="438" t="s">
        <v>831</v>
      </c>
      <c r="D59" s="439">
        <v>160</v>
      </c>
      <c r="F59" s="607" t="s">
        <v>859</v>
      </c>
      <c r="G59" s="453">
        <f>D60+D61</f>
        <v>1847.8183999999999</v>
      </c>
      <c r="H59" s="465">
        <f t="shared" si="10"/>
        <v>1.4276510529698956E-2</v>
      </c>
      <c r="I59" s="457">
        <v>0</v>
      </c>
      <c r="J59" s="455">
        <v>0.45</v>
      </c>
      <c r="K59" s="455">
        <v>0.3</v>
      </c>
      <c r="L59" s="455">
        <v>0</v>
      </c>
      <c r="M59" s="458">
        <v>0.25</v>
      </c>
      <c r="N59" s="472">
        <f>I59*$G$59</f>
        <v>0</v>
      </c>
      <c r="O59" s="473">
        <f>J59*$G$59</f>
        <v>831.51828</v>
      </c>
      <c r="P59" s="473">
        <f>K59*$G$59</f>
        <v>554.34551999999996</v>
      </c>
      <c r="Q59" s="473">
        <f>L59*$G$59</f>
        <v>0</v>
      </c>
      <c r="R59" s="474">
        <f>M59*$G$59</f>
        <v>461.95459999999997</v>
      </c>
      <c r="T59" s="607" t="s">
        <v>859</v>
      </c>
      <c r="U59" s="453">
        <v>1000</v>
      </c>
      <c r="V59" s="464">
        <f t="shared" si="11"/>
        <v>1.0917030567685589E-2</v>
      </c>
      <c r="W59" s="457">
        <v>0</v>
      </c>
      <c r="X59" s="455">
        <v>0.45</v>
      </c>
      <c r="Y59" s="455">
        <v>0.3</v>
      </c>
      <c r="Z59" s="455">
        <v>0</v>
      </c>
      <c r="AA59" s="458">
        <v>0.25</v>
      </c>
      <c r="AB59" s="472">
        <f t="shared" si="22"/>
        <v>0</v>
      </c>
      <c r="AC59" s="473">
        <f t="shared" si="23"/>
        <v>450</v>
      </c>
      <c r="AD59" s="473">
        <f t="shared" si="24"/>
        <v>300</v>
      </c>
      <c r="AE59" s="473">
        <f t="shared" si="25"/>
        <v>0</v>
      </c>
      <c r="AF59" s="474">
        <f t="shared" si="26"/>
        <v>250</v>
      </c>
      <c r="AH59" s="759" t="s">
        <v>859</v>
      </c>
      <c r="AI59" s="750">
        <f t="shared" si="12"/>
        <v>1815.21</v>
      </c>
      <c r="AJ59" s="758">
        <f t="shared" si="13"/>
        <v>1.4024573344769618E-2</v>
      </c>
      <c r="AK59" s="752">
        <v>0</v>
      </c>
      <c r="AL59" s="753">
        <v>0.45</v>
      </c>
      <c r="AM59" s="753">
        <v>0.3</v>
      </c>
      <c r="AN59" s="753">
        <v>0</v>
      </c>
      <c r="AO59" s="754">
        <v>0.25</v>
      </c>
      <c r="AP59" s="755">
        <f>AK59*$AI$59</f>
        <v>0</v>
      </c>
      <c r="AQ59" s="755">
        <f>AL59*$AI$59</f>
        <v>816.84450000000004</v>
      </c>
      <c r="AR59" s="755">
        <f>AM59*$AI$59</f>
        <v>544.56299999999999</v>
      </c>
      <c r="AS59" s="755">
        <f>AN59*$AI$59</f>
        <v>0</v>
      </c>
      <c r="AT59" s="756">
        <f>AO59*$AI$59</f>
        <v>453.80250000000001</v>
      </c>
      <c r="AU59" s="410"/>
      <c r="AV59" s="759" t="s">
        <v>859</v>
      </c>
      <c r="AW59" s="750">
        <f t="shared" si="14"/>
        <v>1652.1679999999999</v>
      </c>
      <c r="AX59" s="758">
        <f t="shared" si="15"/>
        <v>1.2764887420122922E-2</v>
      </c>
      <c r="AY59" s="752">
        <v>0</v>
      </c>
      <c r="AZ59" s="753">
        <v>0.45</v>
      </c>
      <c r="BA59" s="753">
        <v>0.3</v>
      </c>
      <c r="BB59" s="753">
        <v>0</v>
      </c>
      <c r="BC59" s="862">
        <v>0.25</v>
      </c>
      <c r="BD59" s="755">
        <f t="shared" si="27"/>
        <v>0</v>
      </c>
      <c r="BE59" s="799">
        <f t="shared" si="28"/>
        <v>743.47559999999999</v>
      </c>
      <c r="BF59" s="799">
        <f t="shared" si="29"/>
        <v>495.65039999999993</v>
      </c>
      <c r="BG59" s="799">
        <f t="shared" si="30"/>
        <v>0</v>
      </c>
      <c r="BH59" s="801">
        <f t="shared" si="31"/>
        <v>413.04199999999997</v>
      </c>
      <c r="BI59" s="410"/>
      <c r="BJ59" s="759" t="s">
        <v>859</v>
      </c>
      <c r="BK59" s="750">
        <f t="shared" si="16"/>
        <v>1489.126</v>
      </c>
      <c r="BL59" s="758">
        <f t="shared" si="17"/>
        <v>1.1505201495476227E-2</v>
      </c>
      <c r="BM59" s="752">
        <v>0</v>
      </c>
      <c r="BN59" s="753">
        <v>0.45</v>
      </c>
      <c r="BO59" s="753">
        <v>0.3</v>
      </c>
      <c r="BP59" s="753">
        <v>0</v>
      </c>
      <c r="BQ59" s="862">
        <v>0.25</v>
      </c>
      <c r="BR59" s="755">
        <f t="shared" ref="BR59:BR69" si="44">BM59*BK59</f>
        <v>0</v>
      </c>
      <c r="BS59" s="799">
        <f t="shared" ref="BS59:BS69" si="45">BN59*BK59</f>
        <v>670.10670000000005</v>
      </c>
      <c r="BT59" s="799">
        <f t="shared" ref="BT59:BT69" si="46">BO59*BK59</f>
        <v>446.73779999999999</v>
      </c>
      <c r="BU59" s="799">
        <f t="shared" si="32"/>
        <v>0</v>
      </c>
      <c r="BV59" s="801">
        <f t="shared" si="33"/>
        <v>372.28149999999999</v>
      </c>
      <c r="BW59" s="410"/>
      <c r="BX59" s="759" t="s">
        <v>859</v>
      </c>
      <c r="BY59" s="750">
        <f t="shared" si="18"/>
        <v>1326.0840000000001</v>
      </c>
      <c r="BZ59" s="758">
        <f t="shared" si="19"/>
        <v>1.0245515570829531E-2</v>
      </c>
      <c r="CA59" s="752">
        <v>0</v>
      </c>
      <c r="CB59" s="753">
        <v>0.45</v>
      </c>
      <c r="CC59" s="753">
        <v>0.3</v>
      </c>
      <c r="CD59" s="753">
        <v>0</v>
      </c>
      <c r="CE59" s="862">
        <v>0.25</v>
      </c>
      <c r="CF59" s="755">
        <f t="shared" si="34"/>
        <v>0</v>
      </c>
      <c r="CG59" s="799">
        <f t="shared" si="35"/>
        <v>596.73779999999999</v>
      </c>
      <c r="CH59" s="799">
        <f t="shared" si="36"/>
        <v>397.8252</v>
      </c>
      <c r="CI59" s="799">
        <f t="shared" si="37"/>
        <v>0</v>
      </c>
      <c r="CJ59" s="801">
        <f t="shared" si="38"/>
        <v>331.52100000000002</v>
      </c>
      <c r="CK59" s="410"/>
      <c r="CL59" s="759" t="s">
        <v>859</v>
      </c>
      <c r="CM59" s="750">
        <f t="shared" si="20"/>
        <v>1163.0419999999999</v>
      </c>
      <c r="CN59" s="758">
        <f t="shared" si="21"/>
        <v>8.9858296461828354E-3</v>
      </c>
      <c r="CO59" s="752">
        <v>0</v>
      </c>
      <c r="CP59" s="753">
        <v>0.45</v>
      </c>
      <c r="CQ59" s="753">
        <v>0.3</v>
      </c>
      <c r="CR59" s="753">
        <v>0</v>
      </c>
      <c r="CS59" s="862">
        <v>0.25</v>
      </c>
      <c r="CT59" s="755">
        <f t="shared" si="39"/>
        <v>0</v>
      </c>
      <c r="CU59" s="799">
        <f t="shared" si="40"/>
        <v>523.36889999999994</v>
      </c>
      <c r="CV59" s="799">
        <f t="shared" si="41"/>
        <v>348.91259999999994</v>
      </c>
      <c r="CW59" s="799">
        <f t="shared" si="42"/>
        <v>0</v>
      </c>
      <c r="CX59" s="801">
        <f t="shared" si="43"/>
        <v>290.76049999999998</v>
      </c>
    </row>
    <row r="60" spans="1:102">
      <c r="B60" s="437" t="s">
        <v>835</v>
      </c>
      <c r="C60" s="438" t="s">
        <v>831</v>
      </c>
      <c r="D60" s="439">
        <v>1553.57</v>
      </c>
      <c r="F60" s="607" t="s">
        <v>860</v>
      </c>
      <c r="G60" s="453">
        <f>D62</f>
        <v>16349.378145999999</v>
      </c>
      <c r="H60" s="465">
        <f t="shared" si="10"/>
        <v>0.12631764531373807</v>
      </c>
      <c r="I60" s="457">
        <v>0</v>
      </c>
      <c r="J60" s="455">
        <v>0.1</v>
      </c>
      <c r="K60" s="455">
        <v>0.35</v>
      </c>
      <c r="L60" s="455">
        <v>0</v>
      </c>
      <c r="M60" s="458">
        <v>0.55000000000000004</v>
      </c>
      <c r="N60" s="472">
        <f>I60*$G$60</f>
        <v>0</v>
      </c>
      <c r="O60" s="473">
        <f>J60*$G$60</f>
        <v>1634.9378145999999</v>
      </c>
      <c r="P60" s="473">
        <f>K60*$G$60</f>
        <v>5722.2823510999997</v>
      </c>
      <c r="Q60" s="473">
        <f>L60*$G$60</f>
        <v>0</v>
      </c>
      <c r="R60" s="474">
        <f>M60*$G$60</f>
        <v>8992.1579803000004</v>
      </c>
      <c r="T60" s="607" t="s">
        <v>860</v>
      </c>
      <c r="U60" s="453">
        <v>10000</v>
      </c>
      <c r="V60" s="464">
        <f t="shared" si="11"/>
        <v>0.1091703056768559</v>
      </c>
      <c r="W60" s="457">
        <v>0</v>
      </c>
      <c r="X60" s="455">
        <v>0.1</v>
      </c>
      <c r="Y60" s="455">
        <v>0.35</v>
      </c>
      <c r="Z60" s="455">
        <v>0</v>
      </c>
      <c r="AA60" s="458">
        <v>0.55000000000000004</v>
      </c>
      <c r="AB60" s="472">
        <f t="shared" si="22"/>
        <v>0</v>
      </c>
      <c r="AC60" s="473">
        <f t="shared" si="23"/>
        <v>1000</v>
      </c>
      <c r="AD60" s="473">
        <f t="shared" si="24"/>
        <v>3500</v>
      </c>
      <c r="AE60" s="473">
        <f t="shared" si="25"/>
        <v>0</v>
      </c>
      <c r="AF60" s="474">
        <f t="shared" si="26"/>
        <v>5500</v>
      </c>
      <c r="AH60" s="759" t="s">
        <v>860</v>
      </c>
      <c r="AI60" s="750">
        <f t="shared" si="12"/>
        <v>16105.171294</v>
      </c>
      <c r="AJ60" s="758">
        <f t="shared" si="13"/>
        <v>0.12443086807740218</v>
      </c>
      <c r="AK60" s="752">
        <v>0</v>
      </c>
      <c r="AL60" s="753">
        <v>0.1</v>
      </c>
      <c r="AM60" s="753">
        <v>0.35</v>
      </c>
      <c r="AN60" s="753">
        <v>0</v>
      </c>
      <c r="AO60" s="754">
        <v>0.55000000000000004</v>
      </c>
      <c r="AP60" s="755">
        <f>AK60*$AI$60</f>
        <v>0</v>
      </c>
      <c r="AQ60" s="755">
        <f>AL60*$AI$60</f>
        <v>1610.5171294000002</v>
      </c>
      <c r="AR60" s="755">
        <f>AM60*$AI$60</f>
        <v>5636.8099528999992</v>
      </c>
      <c r="AS60" s="755">
        <f>AN60*$AI$60</f>
        <v>0</v>
      </c>
      <c r="AT60" s="756">
        <f>AO60*$AI$60</f>
        <v>8857.8442117000013</v>
      </c>
      <c r="AU60" s="410"/>
      <c r="AV60" s="759" t="s">
        <v>860</v>
      </c>
      <c r="AW60" s="750">
        <f t="shared" si="14"/>
        <v>14884.137035</v>
      </c>
      <c r="AX60" s="758">
        <f t="shared" si="15"/>
        <v>0.1149969819034488</v>
      </c>
      <c r="AY60" s="752">
        <v>0</v>
      </c>
      <c r="AZ60" s="753">
        <v>0.1</v>
      </c>
      <c r="BA60" s="753">
        <v>0.35</v>
      </c>
      <c r="BB60" s="753">
        <v>0</v>
      </c>
      <c r="BC60" s="862">
        <v>0.55000000000000004</v>
      </c>
      <c r="BD60" s="755">
        <f t="shared" si="27"/>
        <v>0</v>
      </c>
      <c r="BE60" s="799">
        <f t="shared" si="28"/>
        <v>1488.4137035000001</v>
      </c>
      <c r="BF60" s="799">
        <f t="shared" si="29"/>
        <v>5209.4479622499994</v>
      </c>
      <c r="BG60" s="799">
        <f t="shared" si="30"/>
        <v>0</v>
      </c>
      <c r="BH60" s="801">
        <f t="shared" si="31"/>
        <v>8186.2753692500009</v>
      </c>
      <c r="BI60" s="410"/>
      <c r="BJ60" s="759" t="s">
        <v>860</v>
      </c>
      <c r="BK60" s="750">
        <f t="shared" si="16"/>
        <v>13663.102776</v>
      </c>
      <c r="BL60" s="758">
        <f t="shared" si="17"/>
        <v>0.1055630957294954</v>
      </c>
      <c r="BM60" s="752">
        <v>0</v>
      </c>
      <c r="BN60" s="753">
        <v>0.1</v>
      </c>
      <c r="BO60" s="753">
        <v>0.35</v>
      </c>
      <c r="BP60" s="753">
        <v>0</v>
      </c>
      <c r="BQ60" s="862">
        <v>0.55000000000000004</v>
      </c>
      <c r="BR60" s="755">
        <f t="shared" si="44"/>
        <v>0</v>
      </c>
      <c r="BS60" s="799">
        <f t="shared" si="45"/>
        <v>1366.3102776000001</v>
      </c>
      <c r="BT60" s="799">
        <f t="shared" si="46"/>
        <v>4782.0859715999995</v>
      </c>
      <c r="BU60" s="799">
        <f t="shared" si="32"/>
        <v>0</v>
      </c>
      <c r="BV60" s="801">
        <f t="shared" si="33"/>
        <v>7514.7065268000006</v>
      </c>
      <c r="BW60" s="410"/>
      <c r="BX60" s="759" t="s">
        <v>860</v>
      </c>
      <c r="BY60" s="750">
        <f t="shared" si="18"/>
        <v>12442.068517</v>
      </c>
      <c r="BZ60" s="758">
        <f t="shared" si="19"/>
        <v>9.6129209555542022E-2</v>
      </c>
      <c r="CA60" s="752">
        <v>0</v>
      </c>
      <c r="CB60" s="753">
        <v>0.1</v>
      </c>
      <c r="CC60" s="753">
        <v>0.35</v>
      </c>
      <c r="CD60" s="753">
        <v>0</v>
      </c>
      <c r="CE60" s="862">
        <v>0.55000000000000004</v>
      </c>
      <c r="CF60" s="755">
        <f t="shared" si="34"/>
        <v>0</v>
      </c>
      <c r="CG60" s="799">
        <f t="shared" si="35"/>
        <v>1244.2068517</v>
      </c>
      <c r="CH60" s="799">
        <f t="shared" si="36"/>
        <v>4354.7239809499997</v>
      </c>
      <c r="CI60" s="799">
        <f t="shared" si="37"/>
        <v>0</v>
      </c>
      <c r="CJ60" s="801">
        <f t="shared" si="38"/>
        <v>6843.1376843500002</v>
      </c>
      <c r="CK60" s="410"/>
      <c r="CL60" s="759" t="s">
        <v>860</v>
      </c>
      <c r="CM60" s="750">
        <f t="shared" si="20"/>
        <v>11221.034258</v>
      </c>
      <c r="CN60" s="758">
        <f t="shared" si="21"/>
        <v>8.669532338158864E-2</v>
      </c>
      <c r="CO60" s="752">
        <v>0</v>
      </c>
      <c r="CP60" s="753">
        <v>0.1</v>
      </c>
      <c r="CQ60" s="753">
        <v>0.35</v>
      </c>
      <c r="CR60" s="753">
        <v>0</v>
      </c>
      <c r="CS60" s="862">
        <v>0.55000000000000004</v>
      </c>
      <c r="CT60" s="755">
        <f t="shared" si="39"/>
        <v>0</v>
      </c>
      <c r="CU60" s="799">
        <f t="shared" si="40"/>
        <v>1122.1034258</v>
      </c>
      <c r="CV60" s="799">
        <f t="shared" si="41"/>
        <v>3927.3619902999994</v>
      </c>
      <c r="CW60" s="799">
        <f t="shared" si="42"/>
        <v>0</v>
      </c>
      <c r="CX60" s="801">
        <f t="shared" si="43"/>
        <v>6171.5688419000007</v>
      </c>
    </row>
    <row r="61" spans="1:102">
      <c r="B61" s="437" t="s">
        <v>836</v>
      </c>
      <c r="C61" s="438" t="s">
        <v>831</v>
      </c>
      <c r="D61" s="439">
        <v>294.2484</v>
      </c>
      <c r="F61" s="607" t="s">
        <v>925</v>
      </c>
      <c r="G61" s="454">
        <f>D63</f>
        <v>556.87785699999995</v>
      </c>
      <c r="H61" s="465">
        <f t="shared" si="10"/>
        <v>4.3025183585230506E-3</v>
      </c>
      <c r="I61" s="457">
        <v>0</v>
      </c>
      <c r="J61" s="455">
        <v>0.1</v>
      </c>
      <c r="K61" s="455">
        <v>0.55000000000000004</v>
      </c>
      <c r="L61" s="455">
        <v>0</v>
      </c>
      <c r="M61" s="458">
        <v>0.35</v>
      </c>
      <c r="N61" s="472">
        <f>I61*$G$61</f>
        <v>0</v>
      </c>
      <c r="O61" s="473">
        <f>J61*$G$61</f>
        <v>55.687785699999999</v>
      </c>
      <c r="P61" s="473">
        <f>K61*$G$61</f>
        <v>306.28282135000001</v>
      </c>
      <c r="Q61" s="473">
        <f>L61*$G$61</f>
        <v>0</v>
      </c>
      <c r="R61" s="474">
        <f>M61*$G$61</f>
        <v>194.90724994999997</v>
      </c>
      <c r="T61" s="607" t="s">
        <v>951</v>
      </c>
      <c r="U61" s="454">
        <v>7500</v>
      </c>
      <c r="V61" s="464">
        <f t="shared" si="11"/>
        <v>8.1877729257641918E-2</v>
      </c>
      <c r="W61" s="457">
        <v>0</v>
      </c>
      <c r="X61" s="455">
        <v>0.1</v>
      </c>
      <c r="Y61" s="455">
        <v>0.55000000000000004</v>
      </c>
      <c r="Z61" s="455">
        <v>0</v>
      </c>
      <c r="AA61" s="458">
        <v>0.35</v>
      </c>
      <c r="AB61" s="472">
        <f t="shared" si="22"/>
        <v>0</v>
      </c>
      <c r="AC61" s="473">
        <f t="shared" si="23"/>
        <v>750</v>
      </c>
      <c r="AD61" s="473">
        <f t="shared" si="24"/>
        <v>4125</v>
      </c>
      <c r="AE61" s="473">
        <f t="shared" si="25"/>
        <v>0</v>
      </c>
      <c r="AF61" s="474">
        <f t="shared" si="26"/>
        <v>2625</v>
      </c>
      <c r="AH61" s="759" t="s">
        <v>925</v>
      </c>
      <c r="AI61" s="750">
        <f t="shared" si="12"/>
        <v>823.92101600000001</v>
      </c>
      <c r="AJ61" s="758">
        <f t="shared" si="13"/>
        <v>6.3657321848100776E-3</v>
      </c>
      <c r="AK61" s="752">
        <v>0</v>
      </c>
      <c r="AL61" s="753">
        <v>0.1</v>
      </c>
      <c r="AM61" s="753">
        <v>0.55000000000000004</v>
      </c>
      <c r="AN61" s="753">
        <v>0</v>
      </c>
      <c r="AO61" s="754">
        <v>0.35</v>
      </c>
      <c r="AP61" s="755">
        <f>AK61*$AI$61</f>
        <v>0</v>
      </c>
      <c r="AQ61" s="755">
        <f>AL61*$AI$61</f>
        <v>82.392101600000004</v>
      </c>
      <c r="AR61" s="755">
        <f>AM61*$AI$61</f>
        <v>453.15655880000003</v>
      </c>
      <c r="AS61" s="755">
        <f>AN61*$AI$61</f>
        <v>0</v>
      </c>
      <c r="AT61" s="756">
        <f>AO61*$AI$61</f>
        <v>288.37235559999999</v>
      </c>
      <c r="AU61" s="410"/>
      <c r="AV61" s="759" t="s">
        <v>925</v>
      </c>
      <c r="AW61" s="750">
        <f t="shared" si="14"/>
        <v>2159.1368130000001</v>
      </c>
      <c r="AX61" s="758">
        <f t="shared" si="15"/>
        <v>1.6681801331697502E-2</v>
      </c>
      <c r="AY61" s="752">
        <v>0</v>
      </c>
      <c r="AZ61" s="753">
        <v>0.1</v>
      </c>
      <c r="BA61" s="753">
        <v>0.55000000000000004</v>
      </c>
      <c r="BB61" s="753">
        <v>0</v>
      </c>
      <c r="BC61" s="862">
        <v>0.35</v>
      </c>
      <c r="BD61" s="755">
        <f t="shared" si="27"/>
        <v>0</v>
      </c>
      <c r="BE61" s="799">
        <f t="shared" si="28"/>
        <v>215.91368130000001</v>
      </c>
      <c r="BF61" s="799">
        <f t="shared" si="29"/>
        <v>1187.52524715</v>
      </c>
      <c r="BG61" s="799">
        <f t="shared" si="30"/>
        <v>0</v>
      </c>
      <c r="BH61" s="801">
        <f t="shared" si="31"/>
        <v>755.69788455000003</v>
      </c>
      <c r="BI61" s="410"/>
      <c r="BJ61" s="759" t="s">
        <v>925</v>
      </c>
      <c r="BK61" s="750">
        <f t="shared" si="16"/>
        <v>3494.3526099999999</v>
      </c>
      <c r="BL61" s="758">
        <f t="shared" si="17"/>
        <v>2.6997870478584925E-2</v>
      </c>
      <c r="BM61" s="752">
        <v>0</v>
      </c>
      <c r="BN61" s="753">
        <v>0.1</v>
      </c>
      <c r="BO61" s="753">
        <v>0.55000000000000004</v>
      </c>
      <c r="BP61" s="753">
        <v>0</v>
      </c>
      <c r="BQ61" s="862">
        <v>0.35</v>
      </c>
      <c r="BR61" s="755">
        <f t="shared" si="44"/>
        <v>0</v>
      </c>
      <c r="BS61" s="799">
        <f t="shared" si="45"/>
        <v>349.43526100000003</v>
      </c>
      <c r="BT61" s="799">
        <f t="shared" si="46"/>
        <v>1921.8939355</v>
      </c>
      <c r="BU61" s="799">
        <f t="shared" si="32"/>
        <v>0</v>
      </c>
      <c r="BV61" s="801">
        <f t="shared" si="33"/>
        <v>1223.0234134999998</v>
      </c>
      <c r="BW61" s="410"/>
      <c r="BX61" s="759" t="s">
        <v>925</v>
      </c>
      <c r="BY61" s="750">
        <f t="shared" si="18"/>
        <v>4829.5684069999998</v>
      </c>
      <c r="BZ61" s="758">
        <f t="shared" si="19"/>
        <v>3.7313939625472345E-2</v>
      </c>
      <c r="CA61" s="752">
        <v>0</v>
      </c>
      <c r="CB61" s="753">
        <v>0.1</v>
      </c>
      <c r="CC61" s="753">
        <v>0.55000000000000004</v>
      </c>
      <c r="CD61" s="753">
        <v>0</v>
      </c>
      <c r="CE61" s="862">
        <v>0.35</v>
      </c>
      <c r="CF61" s="755">
        <f t="shared" si="34"/>
        <v>0</v>
      </c>
      <c r="CG61" s="799">
        <f t="shared" si="35"/>
        <v>482.95684069999999</v>
      </c>
      <c r="CH61" s="799">
        <f t="shared" si="36"/>
        <v>2656.2626238500002</v>
      </c>
      <c r="CI61" s="799">
        <f t="shared" si="37"/>
        <v>0</v>
      </c>
      <c r="CJ61" s="801">
        <f t="shared" si="38"/>
        <v>1690.3489424499999</v>
      </c>
      <c r="CK61" s="410"/>
      <c r="CL61" s="759" t="s">
        <v>925</v>
      </c>
      <c r="CM61" s="750">
        <f t="shared" si="20"/>
        <v>6164.7842039999996</v>
      </c>
      <c r="CN61" s="758">
        <f t="shared" si="21"/>
        <v>4.7630008772359768E-2</v>
      </c>
      <c r="CO61" s="752">
        <v>0</v>
      </c>
      <c r="CP61" s="753">
        <v>0.1</v>
      </c>
      <c r="CQ61" s="753">
        <v>0.55000000000000004</v>
      </c>
      <c r="CR61" s="753">
        <v>0</v>
      </c>
      <c r="CS61" s="862">
        <v>0.35</v>
      </c>
      <c r="CT61" s="755">
        <f t="shared" si="39"/>
        <v>0</v>
      </c>
      <c r="CU61" s="799">
        <f t="shared" si="40"/>
        <v>616.4784204</v>
      </c>
      <c r="CV61" s="799">
        <f t="shared" si="41"/>
        <v>3390.6313122000001</v>
      </c>
      <c r="CW61" s="799">
        <f t="shared" si="42"/>
        <v>0</v>
      </c>
      <c r="CX61" s="801">
        <f t="shared" si="43"/>
        <v>2157.6744713999997</v>
      </c>
    </row>
    <row r="62" spans="1:102">
      <c r="B62" s="437" t="s">
        <v>837</v>
      </c>
      <c r="C62" s="438" t="s">
        <v>831</v>
      </c>
      <c r="D62" s="439">
        <v>16349.378145999999</v>
      </c>
      <c r="F62" s="607" t="s">
        <v>926</v>
      </c>
      <c r="G62" s="454">
        <f>D64+D65</f>
        <v>41.778839999999995</v>
      </c>
      <c r="H62" s="465">
        <f t="shared" si="10"/>
        <v>3.2278932235906292E-4</v>
      </c>
      <c r="I62" s="457">
        <v>0</v>
      </c>
      <c r="J62" s="455">
        <v>0.1</v>
      </c>
      <c r="K62" s="455">
        <v>0.4</v>
      </c>
      <c r="L62" s="455">
        <v>0</v>
      </c>
      <c r="M62" s="458">
        <v>0.5</v>
      </c>
      <c r="N62" s="472">
        <f>I62*$G$62</f>
        <v>0</v>
      </c>
      <c r="O62" s="473">
        <f>J62*$G$62</f>
        <v>4.1778839999999997</v>
      </c>
      <c r="P62" s="473">
        <f>K62*$G$62</f>
        <v>16.711535999999999</v>
      </c>
      <c r="Q62" s="473">
        <f>L62*$G$62</f>
        <v>0</v>
      </c>
      <c r="R62" s="474">
        <f>M62*$G$62</f>
        <v>20.889419999999998</v>
      </c>
      <c r="T62" s="607" t="s">
        <v>926</v>
      </c>
      <c r="U62" s="454">
        <v>2500</v>
      </c>
      <c r="V62" s="464">
        <f t="shared" si="11"/>
        <v>2.7292576419213975E-2</v>
      </c>
      <c r="W62" s="457">
        <v>0</v>
      </c>
      <c r="X62" s="455">
        <v>0.1</v>
      </c>
      <c r="Y62" s="455">
        <v>0.4</v>
      </c>
      <c r="Z62" s="455">
        <v>0</v>
      </c>
      <c r="AA62" s="458">
        <v>0.5</v>
      </c>
      <c r="AB62" s="472">
        <f t="shared" si="22"/>
        <v>0</v>
      </c>
      <c r="AC62" s="473">
        <f t="shared" si="23"/>
        <v>250</v>
      </c>
      <c r="AD62" s="473">
        <f t="shared" si="24"/>
        <v>1000</v>
      </c>
      <c r="AE62" s="473">
        <f t="shared" si="25"/>
        <v>0</v>
      </c>
      <c r="AF62" s="474">
        <f t="shared" si="26"/>
        <v>1250</v>
      </c>
      <c r="AH62" s="759" t="s">
        <v>926</v>
      </c>
      <c r="AI62" s="750">
        <f t="shared" si="12"/>
        <v>136.32580799999999</v>
      </c>
      <c r="AJ62" s="758">
        <f t="shared" si="13"/>
        <v>1.0532727855625413E-3</v>
      </c>
      <c r="AK62" s="752">
        <v>0</v>
      </c>
      <c r="AL62" s="753">
        <v>0.1</v>
      </c>
      <c r="AM62" s="753">
        <v>0.4</v>
      </c>
      <c r="AN62" s="753">
        <v>0</v>
      </c>
      <c r="AO62" s="754">
        <v>0.5</v>
      </c>
      <c r="AP62" s="755">
        <f>AK62*$AI$62</f>
        <v>0</v>
      </c>
      <c r="AQ62" s="755">
        <f>AL62*$AI$62</f>
        <v>13.632580799999999</v>
      </c>
      <c r="AR62" s="755">
        <f>AM62*$AI$62</f>
        <v>54.530323199999998</v>
      </c>
      <c r="AS62" s="755">
        <f>AN62*$AI$62</f>
        <v>0</v>
      </c>
      <c r="AT62" s="756">
        <f>AO62*$AI$62</f>
        <v>68.162903999999997</v>
      </c>
      <c r="AU62" s="410"/>
      <c r="AV62" s="759" t="s">
        <v>926</v>
      </c>
      <c r="AW62" s="750">
        <f t="shared" si="14"/>
        <v>609.06064600000002</v>
      </c>
      <c r="AX62" s="758">
        <f t="shared" si="15"/>
        <v>4.705690086127646E-3</v>
      </c>
      <c r="AY62" s="752">
        <v>0</v>
      </c>
      <c r="AZ62" s="753">
        <v>0.1</v>
      </c>
      <c r="BA62" s="753">
        <v>0.4</v>
      </c>
      <c r="BB62" s="753">
        <v>0</v>
      </c>
      <c r="BC62" s="862">
        <v>0.5</v>
      </c>
      <c r="BD62" s="755">
        <f t="shared" si="27"/>
        <v>0</v>
      </c>
      <c r="BE62" s="799">
        <f t="shared" si="28"/>
        <v>60.906064600000008</v>
      </c>
      <c r="BF62" s="799">
        <f t="shared" si="29"/>
        <v>243.62425840000003</v>
      </c>
      <c r="BG62" s="799">
        <f t="shared" si="30"/>
        <v>0</v>
      </c>
      <c r="BH62" s="801">
        <f t="shared" si="31"/>
        <v>304.53032300000001</v>
      </c>
      <c r="BI62" s="410"/>
      <c r="BJ62" s="759" t="s">
        <v>926</v>
      </c>
      <c r="BK62" s="750">
        <f t="shared" si="16"/>
        <v>1081.795484</v>
      </c>
      <c r="BL62" s="758">
        <f t="shared" si="17"/>
        <v>8.3581073866927508E-3</v>
      </c>
      <c r="BM62" s="752">
        <v>0</v>
      </c>
      <c r="BN62" s="753">
        <v>0.1</v>
      </c>
      <c r="BO62" s="753">
        <v>0.4</v>
      </c>
      <c r="BP62" s="753">
        <v>0</v>
      </c>
      <c r="BQ62" s="862">
        <v>0.5</v>
      </c>
      <c r="BR62" s="755">
        <f t="shared" si="44"/>
        <v>0</v>
      </c>
      <c r="BS62" s="799">
        <f t="shared" si="45"/>
        <v>108.1795484</v>
      </c>
      <c r="BT62" s="799">
        <f t="shared" si="46"/>
        <v>432.71819360000001</v>
      </c>
      <c r="BU62" s="799">
        <f t="shared" si="32"/>
        <v>0</v>
      </c>
      <c r="BV62" s="801">
        <f t="shared" si="33"/>
        <v>540.89774199999999</v>
      </c>
      <c r="BW62" s="410"/>
      <c r="BX62" s="759" t="s">
        <v>926</v>
      </c>
      <c r="BY62" s="750">
        <f t="shared" si="18"/>
        <v>1554.5303220000001</v>
      </c>
      <c r="BZ62" s="758">
        <f t="shared" si="19"/>
        <v>1.2010524687257855E-2</v>
      </c>
      <c r="CA62" s="752">
        <v>0</v>
      </c>
      <c r="CB62" s="753">
        <v>0.1</v>
      </c>
      <c r="CC62" s="753">
        <v>0.4</v>
      </c>
      <c r="CD62" s="753">
        <v>0</v>
      </c>
      <c r="CE62" s="862">
        <v>0.5</v>
      </c>
      <c r="CF62" s="755">
        <f t="shared" si="34"/>
        <v>0</v>
      </c>
      <c r="CG62" s="799">
        <f t="shared" si="35"/>
        <v>155.45303220000002</v>
      </c>
      <c r="CH62" s="799">
        <f t="shared" si="36"/>
        <v>621.8121288000001</v>
      </c>
      <c r="CI62" s="799">
        <f t="shared" si="37"/>
        <v>0</v>
      </c>
      <c r="CJ62" s="801">
        <f t="shared" si="38"/>
        <v>777.26516100000003</v>
      </c>
      <c r="CK62" s="410"/>
      <c r="CL62" s="759" t="s">
        <v>926</v>
      </c>
      <c r="CM62" s="750">
        <f t="shared" si="20"/>
        <v>2027.2651599999999</v>
      </c>
      <c r="CN62" s="758">
        <f t="shared" si="21"/>
        <v>1.5662941987822959E-2</v>
      </c>
      <c r="CO62" s="752">
        <v>0</v>
      </c>
      <c r="CP62" s="753">
        <v>0.1</v>
      </c>
      <c r="CQ62" s="753">
        <v>0.4</v>
      </c>
      <c r="CR62" s="753">
        <v>0</v>
      </c>
      <c r="CS62" s="862">
        <v>0.5</v>
      </c>
      <c r="CT62" s="755">
        <f t="shared" si="39"/>
        <v>0</v>
      </c>
      <c r="CU62" s="799">
        <f t="shared" si="40"/>
        <v>202.726516</v>
      </c>
      <c r="CV62" s="799">
        <f t="shared" si="41"/>
        <v>810.90606400000001</v>
      </c>
      <c r="CW62" s="799">
        <f t="shared" si="42"/>
        <v>0</v>
      </c>
      <c r="CX62" s="801">
        <f t="shared" si="43"/>
        <v>1013.63258</v>
      </c>
    </row>
    <row r="63" spans="1:102">
      <c r="B63" s="437" t="s">
        <v>927</v>
      </c>
      <c r="C63" s="438" t="s">
        <v>831</v>
      </c>
      <c r="D63" s="439">
        <v>556.87785699999995</v>
      </c>
      <c r="F63" s="607" t="s">
        <v>863</v>
      </c>
      <c r="G63" s="454">
        <f>D67+D68</f>
        <v>47.083199999999998</v>
      </c>
      <c r="H63" s="465">
        <f t="shared" si="10"/>
        <v>3.6377157006983041E-4</v>
      </c>
      <c r="I63" s="457">
        <v>0</v>
      </c>
      <c r="J63" s="455">
        <v>0.1</v>
      </c>
      <c r="K63" s="455">
        <v>0.45</v>
      </c>
      <c r="L63" s="455">
        <v>0</v>
      </c>
      <c r="M63" s="458">
        <v>0.45</v>
      </c>
      <c r="N63" s="472">
        <f>I63*$G$63</f>
        <v>0</v>
      </c>
      <c r="O63" s="473">
        <f>J63*$G$63</f>
        <v>4.7083199999999996</v>
      </c>
      <c r="P63" s="473">
        <f>K63*$G$63</f>
        <v>21.187439999999999</v>
      </c>
      <c r="Q63" s="473">
        <f>L63*$G$63</f>
        <v>0</v>
      </c>
      <c r="R63" s="474">
        <f>M63*$G$63</f>
        <v>21.187439999999999</v>
      </c>
      <c r="T63" s="607" t="s">
        <v>863</v>
      </c>
      <c r="U63" s="454">
        <v>0</v>
      </c>
      <c r="V63" s="464">
        <f t="shared" si="11"/>
        <v>0</v>
      </c>
      <c r="W63" s="457">
        <v>0</v>
      </c>
      <c r="X63" s="455">
        <v>0.1</v>
      </c>
      <c r="Y63" s="455">
        <v>0.45</v>
      </c>
      <c r="Z63" s="455">
        <v>0</v>
      </c>
      <c r="AA63" s="458">
        <v>0.45</v>
      </c>
      <c r="AB63" s="472">
        <f t="shared" si="22"/>
        <v>0</v>
      </c>
      <c r="AC63" s="473">
        <f t="shared" si="23"/>
        <v>0</v>
      </c>
      <c r="AD63" s="473">
        <f t="shared" si="24"/>
        <v>0</v>
      </c>
      <c r="AE63" s="473">
        <f t="shared" si="25"/>
        <v>0</v>
      </c>
      <c r="AF63" s="474">
        <f t="shared" si="26"/>
        <v>0</v>
      </c>
      <c r="AH63" s="759" t="s">
        <v>863</v>
      </c>
      <c r="AI63" s="750">
        <f t="shared" si="12"/>
        <v>45.272308000000002</v>
      </c>
      <c r="AJ63" s="758">
        <f t="shared" si="13"/>
        <v>3.4978035821365042E-4</v>
      </c>
      <c r="AK63" s="752">
        <v>0</v>
      </c>
      <c r="AL63" s="753">
        <v>0.1</v>
      </c>
      <c r="AM63" s="753">
        <v>0.45</v>
      </c>
      <c r="AN63" s="753">
        <v>0</v>
      </c>
      <c r="AO63" s="754">
        <v>0.45</v>
      </c>
      <c r="AP63" s="755">
        <f>AK63*$AI$63</f>
        <v>0</v>
      </c>
      <c r="AQ63" s="755">
        <f>AL63*$AI$63</f>
        <v>4.5272308000000008</v>
      </c>
      <c r="AR63" s="755">
        <f>AM63*$AI$63</f>
        <v>20.372538600000002</v>
      </c>
      <c r="AS63" s="755">
        <f>AN63*$AI$63</f>
        <v>0</v>
      </c>
      <c r="AT63" s="756">
        <f>AO63*$AI$63</f>
        <v>20.372538600000002</v>
      </c>
      <c r="AU63" s="410"/>
      <c r="AV63" s="759" t="s">
        <v>863</v>
      </c>
      <c r="AW63" s="750">
        <f t="shared" si="14"/>
        <v>36.217846000000002</v>
      </c>
      <c r="AX63" s="758">
        <f t="shared" si="15"/>
        <v>2.7982428348046281E-4</v>
      </c>
      <c r="AY63" s="752">
        <v>0</v>
      </c>
      <c r="AZ63" s="753">
        <v>0.1</v>
      </c>
      <c r="BA63" s="753">
        <v>0.45</v>
      </c>
      <c r="BB63" s="753">
        <v>0</v>
      </c>
      <c r="BC63" s="862">
        <v>0.45</v>
      </c>
      <c r="BD63" s="755">
        <f t="shared" si="27"/>
        <v>0</v>
      </c>
      <c r="BE63" s="799">
        <f t="shared" si="28"/>
        <v>3.6217846000000002</v>
      </c>
      <c r="BF63" s="799">
        <f t="shared" si="29"/>
        <v>16.298030700000002</v>
      </c>
      <c r="BG63" s="799">
        <f t="shared" si="30"/>
        <v>0</v>
      </c>
      <c r="BH63" s="801">
        <f t="shared" si="31"/>
        <v>16.298030700000002</v>
      </c>
      <c r="BI63" s="410"/>
      <c r="BJ63" s="759" t="s">
        <v>863</v>
      </c>
      <c r="BK63" s="750">
        <f t="shared" si="16"/>
        <v>27.163384000000001</v>
      </c>
      <c r="BL63" s="758">
        <f t="shared" si="17"/>
        <v>2.0986820874727526E-4</v>
      </c>
      <c r="BM63" s="752">
        <v>0</v>
      </c>
      <c r="BN63" s="753">
        <v>0.1</v>
      </c>
      <c r="BO63" s="753">
        <v>0.45</v>
      </c>
      <c r="BP63" s="753">
        <v>0</v>
      </c>
      <c r="BQ63" s="862">
        <v>0.45</v>
      </c>
      <c r="BR63" s="755">
        <f t="shared" si="44"/>
        <v>0</v>
      </c>
      <c r="BS63" s="799">
        <f t="shared" si="45"/>
        <v>2.7163384000000002</v>
      </c>
      <c r="BT63" s="799">
        <f t="shared" si="46"/>
        <v>12.223522800000001</v>
      </c>
      <c r="BU63" s="799">
        <f t="shared" si="32"/>
        <v>0</v>
      </c>
      <c r="BV63" s="801">
        <f t="shared" si="33"/>
        <v>12.223522800000001</v>
      </c>
      <c r="BW63" s="410"/>
      <c r="BX63" s="759" t="s">
        <v>863</v>
      </c>
      <c r="BY63" s="750">
        <f t="shared" si="18"/>
        <v>18.108922</v>
      </c>
      <c r="BZ63" s="758">
        <f t="shared" si="19"/>
        <v>1.3991213401408768E-4</v>
      </c>
      <c r="CA63" s="752">
        <v>0</v>
      </c>
      <c r="CB63" s="753">
        <v>0.1</v>
      </c>
      <c r="CC63" s="753">
        <v>0.45</v>
      </c>
      <c r="CD63" s="753">
        <v>0</v>
      </c>
      <c r="CE63" s="862">
        <v>0.45</v>
      </c>
      <c r="CF63" s="755">
        <f t="shared" si="34"/>
        <v>0</v>
      </c>
      <c r="CG63" s="799">
        <f t="shared" si="35"/>
        <v>1.8108922000000001</v>
      </c>
      <c r="CH63" s="799">
        <f t="shared" si="36"/>
        <v>8.1490149000000009</v>
      </c>
      <c r="CI63" s="799">
        <f t="shared" si="37"/>
        <v>0</v>
      </c>
      <c r="CJ63" s="801">
        <f t="shared" si="38"/>
        <v>8.1490149000000009</v>
      </c>
      <c r="CK63" s="410"/>
      <c r="CL63" s="759" t="s">
        <v>863</v>
      </c>
      <c r="CM63" s="750">
        <f t="shared" si="20"/>
        <v>9.0544600000000006</v>
      </c>
      <c r="CN63" s="758">
        <f t="shared" si="21"/>
        <v>6.9956059280900127E-5</v>
      </c>
      <c r="CO63" s="752">
        <v>0</v>
      </c>
      <c r="CP63" s="753">
        <v>0.1</v>
      </c>
      <c r="CQ63" s="753">
        <v>0.45</v>
      </c>
      <c r="CR63" s="753">
        <v>0</v>
      </c>
      <c r="CS63" s="862">
        <v>0.45</v>
      </c>
      <c r="CT63" s="755">
        <f t="shared" si="39"/>
        <v>0</v>
      </c>
      <c r="CU63" s="799">
        <f t="shared" si="40"/>
        <v>0.90544600000000008</v>
      </c>
      <c r="CV63" s="799">
        <f t="shared" si="41"/>
        <v>4.0745070000000005</v>
      </c>
      <c r="CW63" s="799">
        <f t="shared" si="42"/>
        <v>0</v>
      </c>
      <c r="CX63" s="801">
        <f t="shared" si="43"/>
        <v>4.0745070000000005</v>
      </c>
    </row>
    <row r="64" spans="1:102">
      <c r="B64" s="440" t="s">
        <v>838</v>
      </c>
      <c r="C64" s="438" t="s">
        <v>831</v>
      </c>
      <c r="D64" s="439">
        <v>37.378839999999997</v>
      </c>
      <c r="F64" s="607" t="s">
        <v>864</v>
      </c>
      <c r="G64" s="454">
        <f>D69</f>
        <v>1840</v>
      </c>
      <c r="H64" s="465">
        <f t="shared" si="10"/>
        <v>1.4216104447626499E-2</v>
      </c>
      <c r="I64" s="457">
        <v>0</v>
      </c>
      <c r="J64" s="455">
        <v>0.35</v>
      </c>
      <c r="K64" s="455">
        <v>0.45</v>
      </c>
      <c r="L64" s="455">
        <v>0</v>
      </c>
      <c r="M64" s="458">
        <v>0.2</v>
      </c>
      <c r="N64" s="472">
        <f>I64*$G$64</f>
        <v>0</v>
      </c>
      <c r="O64" s="473">
        <f>J64*$G$64</f>
        <v>644</v>
      </c>
      <c r="P64" s="473">
        <f>K64*$G$64</f>
        <v>828</v>
      </c>
      <c r="Q64" s="473">
        <f>L64*$G$64</f>
        <v>0</v>
      </c>
      <c r="R64" s="474">
        <f>M64*$G$64</f>
        <v>368</v>
      </c>
      <c r="T64" s="607" t="s">
        <v>864</v>
      </c>
      <c r="U64" s="454">
        <v>500</v>
      </c>
      <c r="V64" s="464">
        <f t="shared" si="11"/>
        <v>5.4585152838427945E-3</v>
      </c>
      <c r="W64" s="457">
        <v>0</v>
      </c>
      <c r="X64" s="455">
        <v>0.35</v>
      </c>
      <c r="Y64" s="455">
        <v>0.45</v>
      </c>
      <c r="Z64" s="455">
        <v>0</v>
      </c>
      <c r="AA64" s="458">
        <v>0.2</v>
      </c>
      <c r="AB64" s="472">
        <f t="shared" si="22"/>
        <v>0</v>
      </c>
      <c r="AC64" s="473">
        <f t="shared" si="23"/>
        <v>175</v>
      </c>
      <c r="AD64" s="473">
        <f t="shared" si="24"/>
        <v>225</v>
      </c>
      <c r="AE64" s="473">
        <f t="shared" si="25"/>
        <v>0</v>
      </c>
      <c r="AF64" s="474">
        <f t="shared" si="26"/>
        <v>100</v>
      </c>
      <c r="AH64" s="759" t="s">
        <v>864</v>
      </c>
      <c r="AI64" s="750">
        <f t="shared" si="12"/>
        <v>1788.461538</v>
      </c>
      <c r="AJ64" s="758">
        <f t="shared" si="13"/>
        <v>1.381791088302757E-2</v>
      </c>
      <c r="AK64" s="752">
        <v>0</v>
      </c>
      <c r="AL64" s="753">
        <v>0.35</v>
      </c>
      <c r="AM64" s="753">
        <v>0.45</v>
      </c>
      <c r="AN64" s="753">
        <v>0</v>
      </c>
      <c r="AO64" s="754">
        <v>0.2</v>
      </c>
      <c r="AP64" s="755">
        <f>AK64*$AI$64</f>
        <v>0</v>
      </c>
      <c r="AQ64" s="755">
        <f>AL64*$AI$64</f>
        <v>625.96153829999992</v>
      </c>
      <c r="AR64" s="755">
        <f>AM64*$AI$64</f>
        <v>804.80769210000005</v>
      </c>
      <c r="AS64" s="755">
        <f>AN64*$AI$64</f>
        <v>0</v>
      </c>
      <c r="AT64" s="756">
        <f>AO64*$AI$64</f>
        <v>357.69230760000005</v>
      </c>
      <c r="AU64" s="410"/>
      <c r="AV64" s="759" t="s">
        <v>864</v>
      </c>
      <c r="AW64" s="750">
        <f t="shared" si="14"/>
        <v>1530.7692300000001</v>
      </c>
      <c r="AX64" s="758">
        <f t="shared" si="15"/>
        <v>1.1826943075485213E-2</v>
      </c>
      <c r="AY64" s="752">
        <v>0</v>
      </c>
      <c r="AZ64" s="753">
        <v>0.35</v>
      </c>
      <c r="BA64" s="753">
        <v>0.45</v>
      </c>
      <c r="BB64" s="753">
        <v>0</v>
      </c>
      <c r="BC64" s="862">
        <v>0.2</v>
      </c>
      <c r="BD64" s="755">
        <f t="shared" si="27"/>
        <v>0</v>
      </c>
      <c r="BE64" s="799">
        <f t="shared" si="28"/>
        <v>535.76923050000005</v>
      </c>
      <c r="BF64" s="799">
        <f t="shared" si="29"/>
        <v>688.84615350000001</v>
      </c>
      <c r="BG64" s="799">
        <f t="shared" si="30"/>
        <v>0</v>
      </c>
      <c r="BH64" s="801">
        <f t="shared" si="31"/>
        <v>306.15384600000004</v>
      </c>
      <c r="BI64" s="410"/>
      <c r="BJ64" s="759" t="s">
        <v>864</v>
      </c>
      <c r="BK64" s="750">
        <f t="shared" si="16"/>
        <v>1273.076922</v>
      </c>
      <c r="BL64" s="758">
        <f t="shared" si="17"/>
        <v>9.8359752679428539E-3</v>
      </c>
      <c r="BM64" s="752">
        <v>0</v>
      </c>
      <c r="BN64" s="753">
        <v>0.35</v>
      </c>
      <c r="BO64" s="753">
        <v>0.45</v>
      </c>
      <c r="BP64" s="753">
        <v>0</v>
      </c>
      <c r="BQ64" s="862">
        <v>0.2</v>
      </c>
      <c r="BR64" s="755">
        <f t="shared" si="44"/>
        <v>0</v>
      </c>
      <c r="BS64" s="799">
        <f t="shared" si="45"/>
        <v>445.57692269999995</v>
      </c>
      <c r="BT64" s="799">
        <f t="shared" si="46"/>
        <v>572.88461489999997</v>
      </c>
      <c r="BU64" s="799">
        <f t="shared" si="32"/>
        <v>0</v>
      </c>
      <c r="BV64" s="801">
        <f t="shared" si="33"/>
        <v>254.61538440000001</v>
      </c>
      <c r="BW64" s="410"/>
      <c r="BX64" s="759" t="s">
        <v>864</v>
      </c>
      <c r="BY64" s="750">
        <f t="shared" si="18"/>
        <v>1015.3846140000001</v>
      </c>
      <c r="BZ64" s="758">
        <f t="shared" si="19"/>
        <v>7.8450074604004983E-3</v>
      </c>
      <c r="CA64" s="752">
        <v>0</v>
      </c>
      <c r="CB64" s="753">
        <v>0.35</v>
      </c>
      <c r="CC64" s="753">
        <v>0.45</v>
      </c>
      <c r="CD64" s="753">
        <v>0</v>
      </c>
      <c r="CE64" s="862">
        <v>0.2</v>
      </c>
      <c r="CF64" s="755">
        <f t="shared" si="34"/>
        <v>0</v>
      </c>
      <c r="CG64" s="799">
        <f t="shared" si="35"/>
        <v>355.38461489999997</v>
      </c>
      <c r="CH64" s="799">
        <f t="shared" si="36"/>
        <v>456.92307630000005</v>
      </c>
      <c r="CI64" s="799">
        <f t="shared" si="37"/>
        <v>0</v>
      </c>
      <c r="CJ64" s="801">
        <f t="shared" si="38"/>
        <v>203.07692280000003</v>
      </c>
      <c r="CK64" s="410"/>
      <c r="CL64" s="759" t="s">
        <v>864</v>
      </c>
      <c r="CM64" s="750">
        <f t="shared" si="20"/>
        <v>757.69230600000003</v>
      </c>
      <c r="CN64" s="758">
        <f t="shared" si="21"/>
        <v>5.8540396528581401E-3</v>
      </c>
      <c r="CO64" s="752">
        <v>0</v>
      </c>
      <c r="CP64" s="753">
        <v>0.35</v>
      </c>
      <c r="CQ64" s="753">
        <v>0.45</v>
      </c>
      <c r="CR64" s="753">
        <v>0</v>
      </c>
      <c r="CS64" s="862">
        <v>0.2</v>
      </c>
      <c r="CT64" s="755">
        <f t="shared" si="39"/>
        <v>0</v>
      </c>
      <c r="CU64" s="799">
        <f t="shared" si="40"/>
        <v>265.19230709999999</v>
      </c>
      <c r="CV64" s="799">
        <f t="shared" si="41"/>
        <v>340.96153770000001</v>
      </c>
      <c r="CW64" s="799">
        <f t="shared" si="42"/>
        <v>0</v>
      </c>
      <c r="CX64" s="801">
        <f t="shared" si="43"/>
        <v>151.5384612</v>
      </c>
    </row>
    <row r="65" spans="2:102">
      <c r="B65" s="437" t="s">
        <v>928</v>
      </c>
      <c r="C65" s="438" t="s">
        <v>831</v>
      </c>
      <c r="D65" s="441">
        <v>4.4000000000000004</v>
      </c>
      <c r="F65" s="607" t="s">
        <v>861</v>
      </c>
      <c r="G65" s="454">
        <f>D70+D71</f>
        <v>103.137692</v>
      </c>
      <c r="H65" s="465">
        <f t="shared" si="10"/>
        <v>7.9685663149952821E-4</v>
      </c>
      <c r="I65" s="457">
        <v>0.9</v>
      </c>
      <c r="J65" s="455">
        <v>0</v>
      </c>
      <c r="K65" s="455">
        <v>0</v>
      </c>
      <c r="L65" s="455">
        <v>0</v>
      </c>
      <c r="M65" s="458">
        <v>0.1</v>
      </c>
      <c r="N65" s="472">
        <f>I65*$G$65</f>
        <v>92.823922800000005</v>
      </c>
      <c r="O65" s="473">
        <f>J65*$G$65</f>
        <v>0</v>
      </c>
      <c r="P65" s="473">
        <f>K65*$G$65</f>
        <v>0</v>
      </c>
      <c r="Q65" s="473">
        <f>L65*$G$65</f>
        <v>0</v>
      </c>
      <c r="R65" s="474">
        <f>M65*$G$65</f>
        <v>10.313769200000001</v>
      </c>
      <c r="T65" s="607" t="s">
        <v>861</v>
      </c>
      <c r="U65" s="454">
        <v>100</v>
      </c>
      <c r="V65" s="464">
        <f t="shared" si="11"/>
        <v>1.0917030567685589E-3</v>
      </c>
      <c r="W65" s="457">
        <v>0.9</v>
      </c>
      <c r="X65" s="455">
        <v>0</v>
      </c>
      <c r="Y65" s="455">
        <v>0</v>
      </c>
      <c r="Z65" s="455">
        <v>0</v>
      </c>
      <c r="AA65" s="458">
        <v>0.1</v>
      </c>
      <c r="AB65" s="472">
        <f t="shared" si="22"/>
        <v>90</v>
      </c>
      <c r="AC65" s="473">
        <f t="shared" si="23"/>
        <v>0</v>
      </c>
      <c r="AD65" s="473">
        <f t="shared" si="24"/>
        <v>0</v>
      </c>
      <c r="AE65" s="473">
        <f t="shared" si="25"/>
        <v>0</v>
      </c>
      <c r="AF65" s="474">
        <f t="shared" si="26"/>
        <v>10</v>
      </c>
      <c r="AH65" s="759" t="s">
        <v>861</v>
      </c>
      <c r="AI65" s="750">
        <f t="shared" si="12"/>
        <v>103.01701199999999</v>
      </c>
      <c r="AJ65" s="758">
        <f t="shared" si="13"/>
        <v>7.9592424047521325E-4</v>
      </c>
      <c r="AK65" s="752">
        <v>0.9</v>
      </c>
      <c r="AL65" s="753">
        <v>0</v>
      </c>
      <c r="AM65" s="753">
        <v>0</v>
      </c>
      <c r="AN65" s="753">
        <v>0</v>
      </c>
      <c r="AO65" s="754">
        <v>0.1</v>
      </c>
      <c r="AP65" s="755">
        <f>AK65*$AI$65</f>
        <v>92.715310799999997</v>
      </c>
      <c r="AQ65" s="755">
        <f>AL65*$AI$65</f>
        <v>0</v>
      </c>
      <c r="AR65" s="755">
        <f>AM65*$AI$65</f>
        <v>0</v>
      </c>
      <c r="AS65" s="755">
        <f>AN65*$AI$65</f>
        <v>0</v>
      </c>
      <c r="AT65" s="756">
        <f>AO65*$AI$65</f>
        <v>10.3017012</v>
      </c>
      <c r="AU65" s="410"/>
      <c r="AV65" s="759" t="s">
        <v>861</v>
      </c>
      <c r="AW65" s="750">
        <f t="shared" si="14"/>
        <v>102.41361000000001</v>
      </c>
      <c r="AX65" s="758">
        <f t="shared" si="15"/>
        <v>7.9126226990135099E-4</v>
      </c>
      <c r="AY65" s="752">
        <v>0.9</v>
      </c>
      <c r="AZ65" s="753">
        <v>0</v>
      </c>
      <c r="BA65" s="753">
        <v>0</v>
      </c>
      <c r="BB65" s="753">
        <v>0</v>
      </c>
      <c r="BC65" s="862">
        <v>0.1</v>
      </c>
      <c r="BD65" s="755">
        <f t="shared" si="27"/>
        <v>92.172249000000008</v>
      </c>
      <c r="BE65" s="799">
        <f t="shared" si="28"/>
        <v>0</v>
      </c>
      <c r="BF65" s="799">
        <f t="shared" si="29"/>
        <v>0</v>
      </c>
      <c r="BG65" s="799">
        <f t="shared" si="30"/>
        <v>0</v>
      </c>
      <c r="BH65" s="801">
        <f t="shared" si="31"/>
        <v>10.241361000000001</v>
      </c>
      <c r="BI65" s="410"/>
      <c r="BJ65" s="759" t="s">
        <v>861</v>
      </c>
      <c r="BK65" s="750">
        <f t="shared" si="16"/>
        <v>101.810208</v>
      </c>
      <c r="BL65" s="758">
        <f t="shared" si="17"/>
        <v>7.8660029932748861E-4</v>
      </c>
      <c r="BM65" s="752">
        <v>0.9</v>
      </c>
      <c r="BN65" s="753">
        <v>0</v>
      </c>
      <c r="BO65" s="753">
        <v>0</v>
      </c>
      <c r="BP65" s="753">
        <v>0</v>
      </c>
      <c r="BQ65" s="862">
        <v>0.1</v>
      </c>
      <c r="BR65" s="755">
        <f t="shared" si="44"/>
        <v>91.629187200000004</v>
      </c>
      <c r="BS65" s="799">
        <f t="shared" si="45"/>
        <v>0</v>
      </c>
      <c r="BT65" s="799">
        <f t="shared" si="46"/>
        <v>0</v>
      </c>
      <c r="BU65" s="799">
        <f t="shared" si="32"/>
        <v>0</v>
      </c>
      <c r="BV65" s="801">
        <f t="shared" si="33"/>
        <v>10.181020800000001</v>
      </c>
      <c r="BW65" s="410"/>
      <c r="BX65" s="759" t="s">
        <v>861</v>
      </c>
      <c r="BY65" s="750">
        <f t="shared" si="18"/>
        <v>101.206806</v>
      </c>
      <c r="BZ65" s="758">
        <f t="shared" si="19"/>
        <v>7.8193832875362624E-4</v>
      </c>
      <c r="CA65" s="752">
        <v>0.9</v>
      </c>
      <c r="CB65" s="753">
        <v>0</v>
      </c>
      <c r="CC65" s="753">
        <v>0</v>
      </c>
      <c r="CD65" s="753">
        <v>0</v>
      </c>
      <c r="CE65" s="862">
        <v>0.1</v>
      </c>
      <c r="CF65" s="755">
        <f t="shared" si="34"/>
        <v>91.0861254</v>
      </c>
      <c r="CG65" s="799">
        <f t="shared" si="35"/>
        <v>0</v>
      </c>
      <c r="CH65" s="799">
        <f t="shared" si="36"/>
        <v>0</v>
      </c>
      <c r="CI65" s="799">
        <f t="shared" si="37"/>
        <v>0</v>
      </c>
      <c r="CJ65" s="801">
        <f t="shared" si="38"/>
        <v>10.1206806</v>
      </c>
      <c r="CK65" s="410"/>
      <c r="CL65" s="759" t="s">
        <v>861</v>
      </c>
      <c r="CM65" s="750">
        <f t="shared" si="20"/>
        <v>100.603404</v>
      </c>
      <c r="CN65" s="758">
        <f t="shared" si="21"/>
        <v>7.7727635817976387E-4</v>
      </c>
      <c r="CO65" s="752">
        <v>0.9</v>
      </c>
      <c r="CP65" s="753">
        <v>0</v>
      </c>
      <c r="CQ65" s="753">
        <v>0</v>
      </c>
      <c r="CR65" s="753">
        <v>0</v>
      </c>
      <c r="CS65" s="862">
        <v>0.1</v>
      </c>
      <c r="CT65" s="755">
        <f t="shared" si="39"/>
        <v>90.543063599999996</v>
      </c>
      <c r="CU65" s="799">
        <f t="shared" si="40"/>
        <v>0</v>
      </c>
      <c r="CV65" s="799">
        <f t="shared" si="41"/>
        <v>0</v>
      </c>
      <c r="CW65" s="799">
        <f t="shared" si="42"/>
        <v>0</v>
      </c>
      <c r="CX65" s="801">
        <f t="shared" si="43"/>
        <v>10.060340400000001</v>
      </c>
    </row>
    <row r="66" spans="2:102">
      <c r="B66" s="434" t="s">
        <v>839</v>
      </c>
      <c r="C66" s="435" t="s">
        <v>831</v>
      </c>
      <c r="D66" s="436">
        <v>97493.518641999995</v>
      </c>
      <c r="F66" s="607" t="s">
        <v>865</v>
      </c>
      <c r="G66" s="454">
        <f>D72+D73</f>
        <v>85469.983900000007</v>
      </c>
      <c r="H66" s="465">
        <f t="shared" si="10"/>
        <v>0.66035337948878003</v>
      </c>
      <c r="I66" s="457">
        <v>0.9</v>
      </c>
      <c r="J66" s="455">
        <v>0.01</v>
      </c>
      <c r="K66" s="455">
        <v>0</v>
      </c>
      <c r="L66" s="455">
        <v>0.01</v>
      </c>
      <c r="M66" s="458">
        <v>0.08</v>
      </c>
      <c r="N66" s="472">
        <f>I66*$G$66</f>
        <v>76922.985510000013</v>
      </c>
      <c r="O66" s="473">
        <f>J66*$G$66</f>
        <v>854.69983900000011</v>
      </c>
      <c r="P66" s="473">
        <f>K66*$G$66</f>
        <v>0</v>
      </c>
      <c r="Q66" s="473">
        <f>L66*$G$66</f>
        <v>854.69983900000011</v>
      </c>
      <c r="R66" s="474">
        <f>M66*$G$66</f>
        <v>6837.5987120000009</v>
      </c>
      <c r="T66" s="607" t="s">
        <v>865</v>
      </c>
      <c r="U66" s="454">
        <v>41000</v>
      </c>
      <c r="V66" s="464">
        <f t="shared" si="11"/>
        <v>0.44759825327510916</v>
      </c>
      <c r="W66" s="457">
        <v>0.9</v>
      </c>
      <c r="X66" s="455">
        <v>0.01</v>
      </c>
      <c r="Y66" s="455">
        <v>0</v>
      </c>
      <c r="Z66" s="455">
        <v>0.01</v>
      </c>
      <c r="AA66" s="458">
        <v>0.08</v>
      </c>
      <c r="AB66" s="472">
        <f t="shared" si="22"/>
        <v>36900</v>
      </c>
      <c r="AC66" s="473">
        <f t="shared" si="23"/>
        <v>410</v>
      </c>
      <c r="AD66" s="473">
        <f t="shared" si="24"/>
        <v>0</v>
      </c>
      <c r="AE66" s="473">
        <f t="shared" si="25"/>
        <v>410</v>
      </c>
      <c r="AF66" s="474">
        <f t="shared" si="26"/>
        <v>3280</v>
      </c>
      <c r="AH66" s="759" t="s">
        <v>865</v>
      </c>
      <c r="AI66" s="750">
        <f t="shared" si="12"/>
        <v>83759.599904000002</v>
      </c>
      <c r="AJ66" s="758">
        <f t="shared" si="13"/>
        <v>0.64713870691666875</v>
      </c>
      <c r="AK66" s="752">
        <v>0.9</v>
      </c>
      <c r="AL66" s="753">
        <v>0.01</v>
      </c>
      <c r="AM66" s="753">
        <v>0</v>
      </c>
      <c r="AN66" s="753">
        <v>0.01</v>
      </c>
      <c r="AO66" s="754">
        <v>0.08</v>
      </c>
      <c r="AP66" s="755">
        <f>AK66*$AI$66</f>
        <v>75383.639913600011</v>
      </c>
      <c r="AQ66" s="755">
        <f>AL66*$AI$66</f>
        <v>837.59599904000004</v>
      </c>
      <c r="AR66" s="755">
        <f>AM66*$AI$66</f>
        <v>0</v>
      </c>
      <c r="AS66" s="755">
        <f>AN66*$AI$66</f>
        <v>837.59599904000004</v>
      </c>
      <c r="AT66" s="756">
        <f>AO66*$AI$66</f>
        <v>6700.7679923200003</v>
      </c>
      <c r="AU66" s="410"/>
      <c r="AV66" s="759" t="s">
        <v>865</v>
      </c>
      <c r="AW66" s="750">
        <f t="shared" si="14"/>
        <v>75207.679923000003</v>
      </c>
      <c r="AX66" s="758">
        <f t="shared" si="15"/>
        <v>0.58106534404838617</v>
      </c>
      <c r="AY66" s="752">
        <v>0.9</v>
      </c>
      <c r="AZ66" s="753">
        <v>0.01</v>
      </c>
      <c r="BA66" s="753">
        <v>0</v>
      </c>
      <c r="BB66" s="753">
        <v>0.01</v>
      </c>
      <c r="BC66" s="862">
        <v>0.08</v>
      </c>
      <c r="BD66" s="755">
        <f t="shared" si="27"/>
        <v>67686.911930700007</v>
      </c>
      <c r="BE66" s="799">
        <f t="shared" si="28"/>
        <v>752.07679923000001</v>
      </c>
      <c r="BF66" s="799">
        <f t="shared" si="29"/>
        <v>0</v>
      </c>
      <c r="BG66" s="799">
        <f t="shared" si="30"/>
        <v>752.07679923000001</v>
      </c>
      <c r="BH66" s="801">
        <f t="shared" si="31"/>
        <v>6016.61439384</v>
      </c>
      <c r="BI66" s="410"/>
      <c r="BJ66" s="759" t="s">
        <v>865</v>
      </c>
      <c r="BK66" s="750">
        <f t="shared" si="16"/>
        <v>66655.759942000004</v>
      </c>
      <c r="BL66" s="758">
        <f t="shared" si="17"/>
        <v>0.51499198118010348</v>
      </c>
      <c r="BM66" s="752">
        <v>0.9</v>
      </c>
      <c r="BN66" s="753">
        <v>0.01</v>
      </c>
      <c r="BO66" s="753">
        <v>0</v>
      </c>
      <c r="BP66" s="753">
        <v>0.01</v>
      </c>
      <c r="BQ66" s="862">
        <v>0.08</v>
      </c>
      <c r="BR66" s="755">
        <f t="shared" si="44"/>
        <v>59990.183947800004</v>
      </c>
      <c r="BS66" s="799">
        <f t="shared" si="45"/>
        <v>666.55759942000009</v>
      </c>
      <c r="BT66" s="799">
        <f t="shared" si="46"/>
        <v>0</v>
      </c>
      <c r="BU66" s="799">
        <f t="shared" si="32"/>
        <v>666.55759942000009</v>
      </c>
      <c r="BV66" s="801">
        <f t="shared" si="33"/>
        <v>5332.4607953600007</v>
      </c>
      <c r="BW66" s="410"/>
      <c r="BX66" s="759" t="s">
        <v>865</v>
      </c>
      <c r="BY66" s="750">
        <f t="shared" si="18"/>
        <v>58103.839960999998</v>
      </c>
      <c r="BZ66" s="758">
        <f t="shared" si="19"/>
        <v>0.44891861831182084</v>
      </c>
      <c r="CA66" s="752">
        <v>0.9</v>
      </c>
      <c r="CB66" s="753">
        <v>0.01</v>
      </c>
      <c r="CC66" s="753">
        <v>0</v>
      </c>
      <c r="CD66" s="753">
        <v>0.01</v>
      </c>
      <c r="CE66" s="862">
        <v>0.08</v>
      </c>
      <c r="CF66" s="755">
        <f t="shared" si="34"/>
        <v>52293.4559649</v>
      </c>
      <c r="CG66" s="799">
        <f t="shared" si="35"/>
        <v>581.03839960999994</v>
      </c>
      <c r="CH66" s="799">
        <f t="shared" si="36"/>
        <v>0</v>
      </c>
      <c r="CI66" s="799">
        <f t="shared" si="37"/>
        <v>581.03839960999994</v>
      </c>
      <c r="CJ66" s="801">
        <f t="shared" si="38"/>
        <v>4648.3071968799995</v>
      </c>
      <c r="CK66" s="410"/>
      <c r="CL66" s="759" t="s">
        <v>865</v>
      </c>
      <c r="CM66" s="750">
        <f t="shared" si="20"/>
        <v>49551.919979999999</v>
      </c>
      <c r="CN66" s="758">
        <f t="shared" si="21"/>
        <v>0.3828452554435382</v>
      </c>
      <c r="CO66" s="752">
        <v>0.9</v>
      </c>
      <c r="CP66" s="753">
        <v>0.01</v>
      </c>
      <c r="CQ66" s="753">
        <v>0</v>
      </c>
      <c r="CR66" s="753">
        <v>0.01</v>
      </c>
      <c r="CS66" s="862">
        <v>0.08</v>
      </c>
      <c r="CT66" s="755">
        <f t="shared" si="39"/>
        <v>44596.727981999997</v>
      </c>
      <c r="CU66" s="799">
        <f t="shared" si="40"/>
        <v>495.51919980000002</v>
      </c>
      <c r="CV66" s="799">
        <f t="shared" si="41"/>
        <v>0</v>
      </c>
      <c r="CW66" s="799">
        <f t="shared" si="42"/>
        <v>495.51919980000002</v>
      </c>
      <c r="CX66" s="801">
        <f t="shared" si="43"/>
        <v>3964.1535984000002</v>
      </c>
    </row>
    <row r="67" spans="2:102">
      <c r="B67" s="437" t="s">
        <v>840</v>
      </c>
      <c r="C67" s="438" t="s">
        <v>831</v>
      </c>
      <c r="D67" s="439">
        <v>46.4</v>
      </c>
      <c r="F67" s="607" t="s">
        <v>866</v>
      </c>
      <c r="G67" s="454">
        <f>D74+D75</f>
        <v>3094.61735</v>
      </c>
      <c r="H67" s="465">
        <f t="shared" si="10"/>
        <v>2.3909458409259308E-2</v>
      </c>
      <c r="I67" s="457">
        <v>0</v>
      </c>
      <c r="J67" s="455">
        <v>0.4</v>
      </c>
      <c r="K67" s="455">
        <v>0.35</v>
      </c>
      <c r="L67" s="455">
        <v>0</v>
      </c>
      <c r="M67" s="458">
        <v>0.25</v>
      </c>
      <c r="N67" s="472">
        <f>I67*$G$67</f>
        <v>0</v>
      </c>
      <c r="O67" s="473">
        <f>J67*$G$67</f>
        <v>1237.8469400000001</v>
      </c>
      <c r="P67" s="473">
        <f>K67*$G$67</f>
        <v>1083.1160725</v>
      </c>
      <c r="Q67" s="473">
        <f>L67*$G$67</f>
        <v>0</v>
      </c>
      <c r="R67" s="474">
        <f>M67*$G$67</f>
        <v>773.6543375</v>
      </c>
      <c r="T67" s="607" t="s">
        <v>866</v>
      </c>
      <c r="U67" s="454">
        <v>0</v>
      </c>
      <c r="V67" s="464">
        <f t="shared" si="11"/>
        <v>0</v>
      </c>
      <c r="W67" s="457">
        <v>0</v>
      </c>
      <c r="X67" s="455">
        <v>0.4</v>
      </c>
      <c r="Y67" s="455">
        <v>0.35</v>
      </c>
      <c r="Z67" s="455">
        <v>0</v>
      </c>
      <c r="AA67" s="458">
        <v>0.25</v>
      </c>
      <c r="AB67" s="472">
        <f t="shared" si="22"/>
        <v>0</v>
      </c>
      <c r="AC67" s="473">
        <f t="shared" si="23"/>
        <v>0</v>
      </c>
      <c r="AD67" s="473">
        <f t="shared" si="24"/>
        <v>0</v>
      </c>
      <c r="AE67" s="473">
        <f t="shared" si="25"/>
        <v>0</v>
      </c>
      <c r="AF67" s="474">
        <f t="shared" si="26"/>
        <v>0</v>
      </c>
      <c r="AH67" s="759" t="s">
        <v>866</v>
      </c>
      <c r="AI67" s="750">
        <f t="shared" si="12"/>
        <v>2975.5936059999999</v>
      </c>
      <c r="AJ67" s="758">
        <f t="shared" si="13"/>
        <v>2.2989863856839984E-2</v>
      </c>
      <c r="AK67" s="752">
        <v>0</v>
      </c>
      <c r="AL67" s="753">
        <v>0.4</v>
      </c>
      <c r="AM67" s="753">
        <v>0.35</v>
      </c>
      <c r="AN67" s="753">
        <v>0</v>
      </c>
      <c r="AO67" s="754">
        <v>0.25</v>
      </c>
      <c r="AP67" s="755">
        <f>AK67*$AI$67</f>
        <v>0</v>
      </c>
      <c r="AQ67" s="755">
        <f>AL67*$AI$67</f>
        <v>1190.2374424</v>
      </c>
      <c r="AR67" s="755">
        <f>AM67*$AI$67</f>
        <v>1041.4577620999999</v>
      </c>
      <c r="AS67" s="755">
        <f>AN67*$AI$67</f>
        <v>0</v>
      </c>
      <c r="AT67" s="756">
        <f>AO67*$AI$67</f>
        <v>743.89840149999998</v>
      </c>
      <c r="AU67" s="410"/>
      <c r="AV67" s="759" t="s">
        <v>866</v>
      </c>
      <c r="AW67" s="750">
        <f t="shared" si="14"/>
        <v>2380.4748850000001</v>
      </c>
      <c r="AX67" s="758">
        <f t="shared" si="15"/>
        <v>1.8391891087017217E-2</v>
      </c>
      <c r="AY67" s="752">
        <v>0</v>
      </c>
      <c r="AZ67" s="753">
        <v>0.4</v>
      </c>
      <c r="BA67" s="753">
        <v>0.35</v>
      </c>
      <c r="BB67" s="753">
        <v>0</v>
      </c>
      <c r="BC67" s="862">
        <v>0.25</v>
      </c>
      <c r="BD67" s="755">
        <f t="shared" si="27"/>
        <v>0</v>
      </c>
      <c r="BE67" s="799">
        <f t="shared" si="28"/>
        <v>952.18995400000006</v>
      </c>
      <c r="BF67" s="799">
        <f t="shared" si="29"/>
        <v>833.16620975000001</v>
      </c>
      <c r="BG67" s="799">
        <f t="shared" si="30"/>
        <v>0</v>
      </c>
      <c r="BH67" s="801">
        <f t="shared" si="31"/>
        <v>595.11872125000002</v>
      </c>
      <c r="BI67" s="410"/>
      <c r="BJ67" s="759" t="s">
        <v>866</v>
      </c>
      <c r="BK67" s="750">
        <f t="shared" si="16"/>
        <v>1785.356164</v>
      </c>
      <c r="BL67" s="758">
        <f t="shared" si="17"/>
        <v>1.3793918317194448E-2</v>
      </c>
      <c r="BM67" s="752">
        <v>0</v>
      </c>
      <c r="BN67" s="753">
        <v>0.4</v>
      </c>
      <c r="BO67" s="753">
        <v>0.35</v>
      </c>
      <c r="BP67" s="753">
        <v>0</v>
      </c>
      <c r="BQ67" s="862">
        <v>0.25</v>
      </c>
      <c r="BR67" s="755">
        <f t="shared" si="44"/>
        <v>0</v>
      </c>
      <c r="BS67" s="799">
        <f t="shared" si="45"/>
        <v>714.14246560000004</v>
      </c>
      <c r="BT67" s="799">
        <f t="shared" si="46"/>
        <v>624.87465739999993</v>
      </c>
      <c r="BU67" s="799">
        <f t="shared" si="32"/>
        <v>0</v>
      </c>
      <c r="BV67" s="801">
        <f t="shared" si="33"/>
        <v>446.33904100000001</v>
      </c>
      <c r="BW67" s="410"/>
      <c r="BX67" s="759" t="s">
        <v>866</v>
      </c>
      <c r="BY67" s="750">
        <f t="shared" si="18"/>
        <v>1190.237443</v>
      </c>
      <c r="BZ67" s="758">
        <f t="shared" si="19"/>
        <v>9.1959455473716797E-3</v>
      </c>
      <c r="CA67" s="752">
        <v>0</v>
      </c>
      <c r="CB67" s="753">
        <v>0.4</v>
      </c>
      <c r="CC67" s="753">
        <v>0.35</v>
      </c>
      <c r="CD67" s="753">
        <v>0</v>
      </c>
      <c r="CE67" s="862">
        <v>0.25</v>
      </c>
      <c r="CF67" s="755">
        <f t="shared" si="34"/>
        <v>0</v>
      </c>
      <c r="CG67" s="799">
        <f t="shared" si="35"/>
        <v>476.09497720000002</v>
      </c>
      <c r="CH67" s="799">
        <f t="shared" si="36"/>
        <v>416.58310504999997</v>
      </c>
      <c r="CI67" s="799">
        <f t="shared" si="37"/>
        <v>0</v>
      </c>
      <c r="CJ67" s="801">
        <f t="shared" si="38"/>
        <v>297.55936075</v>
      </c>
      <c r="CK67" s="410"/>
      <c r="CL67" s="759" t="s">
        <v>866</v>
      </c>
      <c r="CM67" s="750">
        <f t="shared" si="20"/>
        <v>595.11872200000005</v>
      </c>
      <c r="CN67" s="758">
        <f t="shared" si="21"/>
        <v>4.5979727775489121E-3</v>
      </c>
      <c r="CO67" s="752">
        <v>0</v>
      </c>
      <c r="CP67" s="753">
        <v>0.4</v>
      </c>
      <c r="CQ67" s="753">
        <v>0.35</v>
      </c>
      <c r="CR67" s="753">
        <v>0</v>
      </c>
      <c r="CS67" s="862">
        <v>0.25</v>
      </c>
      <c r="CT67" s="755">
        <f t="shared" si="39"/>
        <v>0</v>
      </c>
      <c r="CU67" s="799">
        <f t="shared" si="40"/>
        <v>238.04748880000002</v>
      </c>
      <c r="CV67" s="799">
        <f t="shared" si="41"/>
        <v>208.29155270000001</v>
      </c>
      <c r="CW67" s="799">
        <f t="shared" si="42"/>
        <v>0</v>
      </c>
      <c r="CX67" s="801">
        <f t="shared" si="43"/>
        <v>148.77968050000001</v>
      </c>
    </row>
    <row r="68" spans="2:102">
      <c r="B68" s="437" t="s">
        <v>841</v>
      </c>
      <c r="C68" s="438" t="s">
        <v>831</v>
      </c>
      <c r="D68" s="439">
        <v>0.68320000000000003</v>
      </c>
      <c r="F68" s="607" t="s">
        <v>677</v>
      </c>
      <c r="G68" s="454">
        <f>D78</f>
        <v>6300</v>
      </c>
      <c r="H68" s="465">
        <f t="shared" si="10"/>
        <v>4.8674705445677688E-2</v>
      </c>
      <c r="I68" s="457">
        <v>0.05</v>
      </c>
      <c r="J68" s="455">
        <v>0.14000000000000001</v>
      </c>
      <c r="K68" s="455">
        <v>0.01</v>
      </c>
      <c r="L68" s="455">
        <v>0.5</v>
      </c>
      <c r="M68" s="458">
        <v>0.3</v>
      </c>
      <c r="N68" s="472">
        <f>I68*$G$68</f>
        <v>315</v>
      </c>
      <c r="O68" s="473">
        <f>J68*$G$68</f>
        <v>882.00000000000011</v>
      </c>
      <c r="P68" s="473">
        <f>K68*$G$68</f>
        <v>63</v>
      </c>
      <c r="Q68" s="473">
        <f>L68*$G$68</f>
        <v>3150</v>
      </c>
      <c r="R68" s="474">
        <f>M68*$G$68</f>
        <v>1890</v>
      </c>
      <c r="T68" s="607" t="s">
        <v>677</v>
      </c>
      <c r="U68" s="454">
        <v>26000</v>
      </c>
      <c r="V68" s="464">
        <f t="shared" si="11"/>
        <v>0.28384279475982532</v>
      </c>
      <c r="W68" s="457">
        <v>0.05</v>
      </c>
      <c r="X68" s="455">
        <v>0.14000000000000001</v>
      </c>
      <c r="Y68" s="455">
        <v>0.01</v>
      </c>
      <c r="Z68" s="455">
        <v>0.5</v>
      </c>
      <c r="AA68" s="458">
        <v>0.3</v>
      </c>
      <c r="AB68" s="472">
        <f t="shared" si="22"/>
        <v>1300</v>
      </c>
      <c r="AC68" s="473">
        <f t="shared" si="23"/>
        <v>3640.0000000000005</v>
      </c>
      <c r="AD68" s="473">
        <f t="shared" si="24"/>
        <v>260</v>
      </c>
      <c r="AE68" s="473">
        <f t="shared" si="25"/>
        <v>13000</v>
      </c>
      <c r="AF68" s="474">
        <f t="shared" si="26"/>
        <v>7800</v>
      </c>
      <c r="AH68" s="759" t="s">
        <v>677</v>
      </c>
      <c r="AI68" s="750">
        <f t="shared" si="12"/>
        <v>7057.6923079999997</v>
      </c>
      <c r="AJ68" s="758">
        <f t="shared" si="13"/>
        <v>5.4528745113988107E-2</v>
      </c>
      <c r="AK68" s="752">
        <v>0.05</v>
      </c>
      <c r="AL68" s="753">
        <v>0.14000000000000001</v>
      </c>
      <c r="AM68" s="753">
        <v>0.01</v>
      </c>
      <c r="AN68" s="753">
        <v>0.5</v>
      </c>
      <c r="AO68" s="754">
        <v>0.3</v>
      </c>
      <c r="AP68" s="755">
        <f>AK68*$AI$68</f>
        <v>352.88461540000003</v>
      </c>
      <c r="AQ68" s="755">
        <f>AL68*$AI$68</f>
        <v>988.07692312000006</v>
      </c>
      <c r="AR68" s="755">
        <f>AM68*$AI$68</f>
        <v>70.57692308</v>
      </c>
      <c r="AS68" s="755">
        <f>AN68*$AI$68</f>
        <v>3528.8461539999998</v>
      </c>
      <c r="AT68" s="756">
        <f>AO68*$AI$68</f>
        <v>2117.3076923999997</v>
      </c>
      <c r="AU68" s="410"/>
      <c r="AV68" s="759" t="s">
        <v>677</v>
      </c>
      <c r="AW68" s="750">
        <f t="shared" si="14"/>
        <v>10846.153845999999</v>
      </c>
      <c r="AX68" s="758">
        <f t="shared" si="15"/>
        <v>8.3798943440087953E-2</v>
      </c>
      <c r="AY68" s="752">
        <v>0.05</v>
      </c>
      <c r="AZ68" s="753">
        <v>0.14000000000000001</v>
      </c>
      <c r="BA68" s="753">
        <v>0.01</v>
      </c>
      <c r="BB68" s="753">
        <v>0.5</v>
      </c>
      <c r="BC68" s="862">
        <v>0.3</v>
      </c>
      <c r="BD68" s="755">
        <f t="shared" si="27"/>
        <v>542.30769229999999</v>
      </c>
      <c r="BE68" s="799">
        <f t="shared" si="28"/>
        <v>1518.4615384400001</v>
      </c>
      <c r="BF68" s="799">
        <f t="shared" si="29"/>
        <v>108.46153846</v>
      </c>
      <c r="BG68" s="799">
        <f t="shared" si="30"/>
        <v>5423.0769229999996</v>
      </c>
      <c r="BH68" s="801">
        <f t="shared" si="31"/>
        <v>3253.8461537999997</v>
      </c>
      <c r="BI68" s="410"/>
      <c r="BJ68" s="759" t="s">
        <v>677</v>
      </c>
      <c r="BK68" s="750">
        <f t="shared" si="16"/>
        <v>14634.615384000001</v>
      </c>
      <c r="BL68" s="758">
        <f t="shared" si="17"/>
        <v>0.11306914176618782</v>
      </c>
      <c r="BM68" s="752">
        <v>0.05</v>
      </c>
      <c r="BN68" s="753">
        <v>0.14000000000000001</v>
      </c>
      <c r="BO68" s="753">
        <v>0.01</v>
      </c>
      <c r="BP68" s="753">
        <v>0.5</v>
      </c>
      <c r="BQ68" s="862">
        <v>0.3</v>
      </c>
      <c r="BR68" s="755">
        <f t="shared" si="44"/>
        <v>731.73076920000005</v>
      </c>
      <c r="BS68" s="799">
        <f t="shared" si="45"/>
        <v>2048.8461537600001</v>
      </c>
      <c r="BT68" s="799">
        <f t="shared" si="46"/>
        <v>146.34615384</v>
      </c>
      <c r="BU68" s="799">
        <f t="shared" si="32"/>
        <v>7317.3076920000003</v>
      </c>
      <c r="BV68" s="801">
        <f t="shared" si="33"/>
        <v>4390.3846151999996</v>
      </c>
      <c r="BW68" s="410"/>
      <c r="BX68" s="759" t="s">
        <v>677</v>
      </c>
      <c r="BY68" s="866">
        <f t="shared" si="18"/>
        <v>18423.076922</v>
      </c>
      <c r="BZ68" s="758">
        <f t="shared" si="19"/>
        <v>0.14233934009228766</v>
      </c>
      <c r="CA68" s="752">
        <v>0.05</v>
      </c>
      <c r="CB68" s="753">
        <v>0.14000000000000001</v>
      </c>
      <c r="CC68" s="753">
        <v>0.01</v>
      </c>
      <c r="CD68" s="753">
        <v>0.5</v>
      </c>
      <c r="CE68" s="862">
        <v>0.3</v>
      </c>
      <c r="CF68" s="755">
        <f t="shared" si="34"/>
        <v>921.15384610000001</v>
      </c>
      <c r="CG68" s="799">
        <f t="shared" si="35"/>
        <v>2579.2307690800003</v>
      </c>
      <c r="CH68" s="799">
        <f t="shared" si="36"/>
        <v>184.23076922000001</v>
      </c>
      <c r="CI68" s="799">
        <f t="shared" si="37"/>
        <v>9211.5384610000001</v>
      </c>
      <c r="CJ68" s="801">
        <f t="shared" si="38"/>
        <v>5526.9230766000001</v>
      </c>
      <c r="CK68" s="410"/>
      <c r="CL68" s="759" t="s">
        <v>677</v>
      </c>
      <c r="CM68" s="750">
        <f t="shared" si="20"/>
        <v>22211.53846</v>
      </c>
      <c r="CN68" s="758">
        <f t="shared" si="21"/>
        <v>0.17160953841838752</v>
      </c>
      <c r="CO68" s="752">
        <v>0.05</v>
      </c>
      <c r="CP68" s="753">
        <v>0.14000000000000001</v>
      </c>
      <c r="CQ68" s="753">
        <v>0.01</v>
      </c>
      <c r="CR68" s="753">
        <v>0.5</v>
      </c>
      <c r="CS68" s="862">
        <v>0.3</v>
      </c>
      <c r="CT68" s="755">
        <f t="shared" si="39"/>
        <v>1110.5769230000001</v>
      </c>
      <c r="CU68" s="799">
        <f t="shared" si="40"/>
        <v>3109.6153844</v>
      </c>
      <c r="CV68" s="799">
        <f t="shared" si="41"/>
        <v>222.1153846</v>
      </c>
      <c r="CW68" s="799">
        <f t="shared" si="42"/>
        <v>11105.76923</v>
      </c>
      <c r="CX68" s="801">
        <f t="shared" si="43"/>
        <v>6663.4615379999996</v>
      </c>
    </row>
    <row r="69" spans="2:102" ht="13.5" thickBot="1">
      <c r="B69" s="437" t="s">
        <v>842</v>
      </c>
      <c r="C69" s="438" t="s">
        <v>831</v>
      </c>
      <c r="D69" s="439">
        <v>1840</v>
      </c>
      <c r="F69" s="608" t="s">
        <v>854</v>
      </c>
      <c r="G69" s="456">
        <f>D79</f>
        <v>620</v>
      </c>
      <c r="H69" s="466">
        <f t="shared" si="10"/>
        <v>4.7902091073524075E-3</v>
      </c>
      <c r="I69" s="460">
        <v>0</v>
      </c>
      <c r="J69" s="461">
        <v>0</v>
      </c>
      <c r="K69" s="461">
        <v>0.4</v>
      </c>
      <c r="L69" s="461">
        <v>0</v>
      </c>
      <c r="M69" s="462">
        <v>0.6</v>
      </c>
      <c r="N69" s="475">
        <f>I69*$G$69</f>
        <v>0</v>
      </c>
      <c r="O69" s="476">
        <f>J69*$G$69</f>
        <v>0</v>
      </c>
      <c r="P69" s="476">
        <f>K69*$G$69</f>
        <v>248</v>
      </c>
      <c r="Q69" s="476">
        <f>L69*$G$69</f>
        <v>0</v>
      </c>
      <c r="R69" s="477">
        <f>M69*$G$69</f>
        <v>372</v>
      </c>
      <c r="T69" s="608" t="s">
        <v>854</v>
      </c>
      <c r="U69" s="456">
        <v>3000</v>
      </c>
      <c r="V69" s="654">
        <f t="shared" si="11"/>
        <v>3.2751091703056769E-2</v>
      </c>
      <c r="W69" s="460">
        <v>0</v>
      </c>
      <c r="X69" s="461">
        <v>0</v>
      </c>
      <c r="Y69" s="461">
        <v>0.4</v>
      </c>
      <c r="Z69" s="461">
        <v>0</v>
      </c>
      <c r="AA69" s="462">
        <v>0.6</v>
      </c>
      <c r="AB69" s="657">
        <f t="shared" si="22"/>
        <v>0</v>
      </c>
      <c r="AC69" s="658">
        <f t="shared" si="23"/>
        <v>0</v>
      </c>
      <c r="AD69" s="658">
        <f t="shared" si="24"/>
        <v>1200</v>
      </c>
      <c r="AE69" s="658">
        <f t="shared" si="25"/>
        <v>0</v>
      </c>
      <c r="AF69" s="659">
        <f t="shared" si="26"/>
        <v>1800</v>
      </c>
      <c r="AH69" s="760" t="s">
        <v>854</v>
      </c>
      <c r="AI69" s="761">
        <f t="shared" si="12"/>
        <v>711.53846199999998</v>
      </c>
      <c r="AJ69" s="762">
        <f t="shared" si="13"/>
        <v>5.4974484208127816E-3</v>
      </c>
      <c r="AK69" s="763">
        <v>0</v>
      </c>
      <c r="AL69" s="764">
        <v>0</v>
      </c>
      <c r="AM69" s="764">
        <v>0.4</v>
      </c>
      <c r="AN69" s="764">
        <v>0</v>
      </c>
      <c r="AO69" s="765">
        <v>0.6</v>
      </c>
      <c r="AP69" s="766">
        <f>AK69*$AI$69</f>
        <v>0</v>
      </c>
      <c r="AQ69" s="766">
        <f>AL69*$AI$69</f>
        <v>0</v>
      </c>
      <c r="AR69" s="766">
        <f>AM69*$AI$69</f>
        <v>284.61538480000002</v>
      </c>
      <c r="AS69" s="766">
        <f>AN69*$AI$69</f>
        <v>0</v>
      </c>
      <c r="AT69" s="767">
        <f>AO69*$AI$69</f>
        <v>426.92307719999997</v>
      </c>
      <c r="AU69" s="410"/>
      <c r="AV69" s="760" t="s">
        <v>854</v>
      </c>
      <c r="AW69" s="761">
        <f t="shared" si="14"/>
        <v>1169.2307699999999</v>
      </c>
      <c r="AX69" s="762">
        <f t="shared" si="15"/>
        <v>9.033644972662366E-3</v>
      </c>
      <c r="AY69" s="763">
        <v>0</v>
      </c>
      <c r="AZ69" s="764">
        <v>0</v>
      </c>
      <c r="BA69" s="764">
        <v>0.4</v>
      </c>
      <c r="BB69" s="764">
        <v>0</v>
      </c>
      <c r="BC69" s="863">
        <v>0.6</v>
      </c>
      <c r="BD69" s="755">
        <f t="shared" si="27"/>
        <v>0</v>
      </c>
      <c r="BE69" s="799">
        <f t="shared" si="28"/>
        <v>0</v>
      </c>
      <c r="BF69" s="799">
        <f t="shared" si="29"/>
        <v>467.69230799999997</v>
      </c>
      <c r="BG69" s="799">
        <f t="shared" si="30"/>
        <v>0</v>
      </c>
      <c r="BH69" s="801">
        <f t="shared" si="31"/>
        <v>701.53846199999987</v>
      </c>
      <c r="BI69" s="410"/>
      <c r="BJ69" s="760" t="s">
        <v>854</v>
      </c>
      <c r="BK69" s="761">
        <f t="shared" si="16"/>
        <v>1626.923078</v>
      </c>
      <c r="BL69" s="762">
        <f t="shared" si="17"/>
        <v>1.2569841524511953E-2</v>
      </c>
      <c r="BM69" s="763">
        <v>0</v>
      </c>
      <c r="BN69" s="764">
        <v>0</v>
      </c>
      <c r="BO69" s="764">
        <v>0.4</v>
      </c>
      <c r="BP69" s="764">
        <v>0</v>
      </c>
      <c r="BQ69" s="863">
        <v>0.6</v>
      </c>
      <c r="BR69" s="755">
        <f t="shared" si="44"/>
        <v>0</v>
      </c>
      <c r="BS69" s="799">
        <f t="shared" si="45"/>
        <v>0</v>
      </c>
      <c r="BT69" s="799">
        <f t="shared" si="46"/>
        <v>650.76923120000004</v>
      </c>
      <c r="BU69" s="799">
        <f t="shared" si="32"/>
        <v>0</v>
      </c>
      <c r="BV69" s="801">
        <f t="shared" si="33"/>
        <v>976.1538468</v>
      </c>
      <c r="BW69" s="410"/>
      <c r="BX69" s="760" t="s">
        <v>854</v>
      </c>
      <c r="BY69" s="750">
        <f t="shared" si="18"/>
        <v>2084.6153859999999</v>
      </c>
      <c r="BZ69" s="762">
        <f t="shared" si="19"/>
        <v>1.6106038076361538E-2</v>
      </c>
      <c r="CA69" s="763">
        <v>0</v>
      </c>
      <c r="CB69" s="764">
        <v>0</v>
      </c>
      <c r="CC69" s="764">
        <v>0.4</v>
      </c>
      <c r="CD69" s="764">
        <v>0</v>
      </c>
      <c r="CE69" s="863">
        <v>0.6</v>
      </c>
      <c r="CF69" s="766">
        <f t="shared" si="34"/>
        <v>0</v>
      </c>
      <c r="CG69" s="805">
        <f t="shared" si="35"/>
        <v>0</v>
      </c>
      <c r="CH69" s="805">
        <f t="shared" si="36"/>
        <v>833.84615440000005</v>
      </c>
      <c r="CI69" s="805">
        <f t="shared" si="37"/>
        <v>0</v>
      </c>
      <c r="CJ69" s="806">
        <f t="shared" si="38"/>
        <v>1250.7692316</v>
      </c>
      <c r="CK69" s="410"/>
      <c r="CL69" s="760" t="s">
        <v>854</v>
      </c>
      <c r="CM69" s="761">
        <f t="shared" si="20"/>
        <v>2542.3076940000001</v>
      </c>
      <c r="CN69" s="762">
        <f t="shared" si="21"/>
        <v>1.9642234628211123E-2</v>
      </c>
      <c r="CO69" s="763">
        <v>0</v>
      </c>
      <c r="CP69" s="764">
        <v>0</v>
      </c>
      <c r="CQ69" s="764">
        <v>0.4</v>
      </c>
      <c r="CR69" s="764">
        <v>0</v>
      </c>
      <c r="CS69" s="863">
        <v>0.6</v>
      </c>
      <c r="CT69" s="766">
        <f t="shared" si="39"/>
        <v>0</v>
      </c>
      <c r="CU69" s="805">
        <f t="shared" si="40"/>
        <v>0</v>
      </c>
      <c r="CV69" s="805">
        <f t="shared" si="41"/>
        <v>1016.9230776000001</v>
      </c>
      <c r="CW69" s="805">
        <f t="shared" si="42"/>
        <v>0</v>
      </c>
      <c r="CX69" s="806">
        <f t="shared" si="43"/>
        <v>1525.3846163999999</v>
      </c>
    </row>
    <row r="70" spans="2:102" ht="14.25" thickTop="1" thickBot="1">
      <c r="B70" s="437" t="s">
        <v>843</v>
      </c>
      <c r="C70" s="438" t="s">
        <v>831</v>
      </c>
      <c r="D70" s="439">
        <v>86.347291999999996</v>
      </c>
      <c r="F70" s="480" t="s">
        <v>870</v>
      </c>
      <c r="G70" s="467">
        <f>SUM(G57:G69)</f>
        <v>129430.675385</v>
      </c>
      <c r="H70" s="468">
        <f t="shared" si="10"/>
        <v>1</v>
      </c>
      <c r="I70" s="463"/>
      <c r="J70" s="534"/>
      <c r="K70" s="534"/>
      <c r="L70" s="535"/>
      <c r="M70" s="488"/>
      <c r="N70" s="485">
        <f>SUM(N57:N69)</f>
        <v>77330.809432800015</v>
      </c>
      <c r="O70" s="486">
        <f t="shared" ref="O70:R70" si="47">SUM(O57:O69)</f>
        <v>7465.5768633000007</v>
      </c>
      <c r="P70" s="486">
        <f t="shared" si="47"/>
        <v>14756.925740949999</v>
      </c>
      <c r="Q70" s="486">
        <f t="shared" si="47"/>
        <v>4004.6998389999999</v>
      </c>
      <c r="R70" s="487">
        <f t="shared" si="47"/>
        <v>25872.663508950001</v>
      </c>
      <c r="T70" s="480" t="s">
        <v>870</v>
      </c>
      <c r="U70" s="467">
        <f>SUM(U57:U69)</f>
        <v>91600</v>
      </c>
      <c r="V70" s="655">
        <f t="shared" si="11"/>
        <v>1</v>
      </c>
      <c r="W70" s="463"/>
      <c r="X70" s="534"/>
      <c r="Y70" s="534"/>
      <c r="Z70" s="535"/>
      <c r="AA70" s="488"/>
      <c r="AB70" s="485">
        <f>SUM(AB57:AB69)</f>
        <v>38290</v>
      </c>
      <c r="AC70" s="486">
        <f t="shared" ref="AC70:AF70" si="48">SUM(AC57:AC69)</f>
        <v>6675</v>
      </c>
      <c r="AD70" s="486">
        <f t="shared" si="48"/>
        <v>10610</v>
      </c>
      <c r="AE70" s="486">
        <f t="shared" si="48"/>
        <v>13410</v>
      </c>
      <c r="AF70" s="487">
        <f t="shared" si="48"/>
        <v>22615</v>
      </c>
      <c r="AH70" s="768" t="s">
        <v>870</v>
      </c>
      <c r="AI70" s="769">
        <f>SUM(AI57:AI69)</f>
        <v>127975.64941</v>
      </c>
      <c r="AJ70" s="770">
        <f>AI70/AI70</f>
        <v>1</v>
      </c>
      <c r="AK70" s="771"/>
      <c r="AL70" s="857"/>
      <c r="AM70" s="857"/>
      <c r="AN70" s="858"/>
      <c r="AO70" s="859"/>
      <c r="AP70" s="772">
        <f>SUM(AP57:AP69)</f>
        <v>75829.239839800022</v>
      </c>
      <c r="AQ70" s="773">
        <f t="shared" ref="AQ70:AT70" si="49">SUM(AQ57:AQ69)</f>
        <v>7435.1700608599995</v>
      </c>
      <c r="AR70" s="773">
        <f t="shared" si="49"/>
        <v>14597.428597179998</v>
      </c>
      <c r="AS70" s="773">
        <f t="shared" si="49"/>
        <v>4366.4421530399995</v>
      </c>
      <c r="AT70" s="774">
        <f t="shared" si="49"/>
        <v>25747.368759120007</v>
      </c>
      <c r="AU70" s="410"/>
      <c r="AV70" s="768" t="s">
        <v>870</v>
      </c>
      <c r="AW70" s="769">
        <f>SUM(AW57:AW69)</f>
        <v>120700.519527</v>
      </c>
      <c r="AX70" s="770">
        <f>AW70/AW70</f>
        <v>1</v>
      </c>
      <c r="AY70" s="771"/>
      <c r="AZ70" s="857"/>
      <c r="BA70" s="857"/>
      <c r="BB70" s="858"/>
      <c r="BC70" s="901"/>
      <c r="BD70" s="772">
        <f>SUM(BD57:BD69)</f>
        <v>68321.391872000007</v>
      </c>
      <c r="BE70" s="773">
        <f t="shared" ref="BE70:BH70" si="50">SUM(BE57:BE69)</f>
        <v>7283.1360484700008</v>
      </c>
      <c r="BF70" s="773">
        <f t="shared" si="50"/>
        <v>13799.942877409998</v>
      </c>
      <c r="BG70" s="773">
        <f t="shared" si="50"/>
        <v>6175.1537222299994</v>
      </c>
      <c r="BH70" s="774">
        <f t="shared" si="50"/>
        <v>25120.895006890005</v>
      </c>
      <c r="BI70" s="410"/>
      <c r="BJ70" s="768" t="s">
        <v>870</v>
      </c>
      <c r="BK70" s="769">
        <f>SUM(BK57:BK69)</f>
        <v>113425.38964400001</v>
      </c>
      <c r="BL70" s="770">
        <f>BK70/BK70</f>
        <v>1</v>
      </c>
      <c r="BM70" s="771"/>
      <c r="BN70" s="857"/>
      <c r="BO70" s="857"/>
      <c r="BP70" s="858"/>
      <c r="BQ70" s="901"/>
      <c r="BR70" s="772">
        <f>SUM(BR57:BR69)</f>
        <v>60813.543904200007</v>
      </c>
      <c r="BS70" s="773">
        <f t="shared" ref="BS70:BV70" si="51">SUM(BS57:BS69)</f>
        <v>7131.1020360800012</v>
      </c>
      <c r="BT70" s="773">
        <f t="shared" si="51"/>
        <v>13002.457157640001</v>
      </c>
      <c r="BU70" s="773">
        <f t="shared" si="51"/>
        <v>7983.8652914200002</v>
      </c>
      <c r="BV70" s="774">
        <f t="shared" si="51"/>
        <v>24494.421254659999</v>
      </c>
      <c r="BW70" s="410"/>
      <c r="BX70" s="768" t="s">
        <v>870</v>
      </c>
      <c r="BY70" s="769">
        <f>SUM(BY57:BY69)</f>
        <v>106150.25976100001</v>
      </c>
      <c r="BZ70" s="770">
        <f>BY70/BY70</f>
        <v>1</v>
      </c>
      <c r="CA70" s="771"/>
      <c r="CB70" s="857"/>
      <c r="CC70" s="857"/>
      <c r="CD70" s="858"/>
      <c r="CE70" s="901"/>
      <c r="CF70" s="772">
        <f>SUM(CF57:CF69)</f>
        <v>53305.695936399999</v>
      </c>
      <c r="CG70" s="773">
        <f t="shared" ref="CG70:CJ70" si="52">SUM(CG57:CG69)</f>
        <v>6979.0680236900007</v>
      </c>
      <c r="CH70" s="773">
        <f t="shared" si="52"/>
        <v>12204.971437869999</v>
      </c>
      <c r="CI70" s="773">
        <f t="shared" si="52"/>
        <v>9792.5768606099991</v>
      </c>
      <c r="CJ70" s="774">
        <f t="shared" si="52"/>
        <v>23867.947502430001</v>
      </c>
      <c r="CK70" s="410"/>
      <c r="CL70" s="768" t="s">
        <v>870</v>
      </c>
      <c r="CM70" s="769">
        <f>SUM(CM57:CM69)</f>
        <v>98875.129877999992</v>
      </c>
      <c r="CN70" s="770">
        <f>CM70/CM70</f>
        <v>1</v>
      </c>
      <c r="CO70" s="771"/>
      <c r="CP70" s="857"/>
      <c r="CQ70" s="857"/>
      <c r="CR70" s="858"/>
      <c r="CS70" s="901"/>
      <c r="CT70" s="772">
        <f>SUM(CT57:CT69)</f>
        <v>45797.847968599999</v>
      </c>
      <c r="CU70" s="773">
        <f t="shared" ref="CU70:CX70" si="53">SUM(CU57:CU69)</f>
        <v>6827.0340113000002</v>
      </c>
      <c r="CV70" s="773">
        <f t="shared" si="53"/>
        <v>11407.485718100002</v>
      </c>
      <c r="CW70" s="773">
        <f t="shared" si="53"/>
        <v>11601.288429799999</v>
      </c>
      <c r="CX70" s="774">
        <f t="shared" si="53"/>
        <v>23241.473750199999</v>
      </c>
    </row>
    <row r="71" spans="2:102">
      <c r="B71" s="437" t="s">
        <v>844</v>
      </c>
      <c r="C71" s="438" t="s">
        <v>831</v>
      </c>
      <c r="D71" s="439">
        <v>16.790400000000002</v>
      </c>
      <c r="J71" s="507"/>
      <c r="K71" s="190"/>
      <c r="L71" s="190"/>
      <c r="M71" s="642" t="s">
        <v>879</v>
      </c>
      <c r="N71" s="532">
        <f>N70/$G$70</f>
        <v>0.59746894778053561</v>
      </c>
      <c r="O71" s="530">
        <f>O70/$G$70</f>
        <v>5.7680119810030774E-2</v>
      </c>
      <c r="P71" s="530">
        <f>P70/$G$70</f>
        <v>0.11401412916261588</v>
      </c>
      <c r="Q71" s="530">
        <f>Q70/$G$70</f>
        <v>3.0940886517726644E-2</v>
      </c>
      <c r="R71" s="531">
        <f>R70/$G$70</f>
        <v>0.19989591672909127</v>
      </c>
      <c r="V71" s="656"/>
      <c r="X71" s="507"/>
      <c r="Y71" s="190"/>
      <c r="Z71" s="190"/>
      <c r="AA71" s="642" t="s">
        <v>879</v>
      </c>
      <c r="AB71" s="532">
        <f>AB70/$G$70</f>
        <v>0.29583404309761885</v>
      </c>
      <c r="AC71" s="530">
        <f>AC70/$G$70</f>
        <v>5.1572009341253736E-2</v>
      </c>
      <c r="AD71" s="530">
        <f>AD70/$G$70</f>
        <v>8.197438488549845E-2</v>
      </c>
      <c r="AE71" s="530">
        <f>AE70/$G$70</f>
        <v>0.10360758730579965</v>
      </c>
      <c r="AF71" s="531">
        <f>AF70/$G$70</f>
        <v>0.17472674026253981</v>
      </c>
      <c r="AH71" s="410"/>
      <c r="AI71" s="410"/>
      <c r="AJ71" s="410"/>
      <c r="AK71" s="410"/>
      <c r="AL71" s="775"/>
      <c r="AM71" s="776"/>
      <c r="AN71" s="776"/>
      <c r="AO71" s="777" t="s">
        <v>879</v>
      </c>
      <c r="AP71" s="778">
        <f>AP70/$AI$70</f>
        <v>0.59252865829860546</v>
      </c>
      <c r="AQ71" s="778">
        <f>AQ70/$AI$70</f>
        <v>5.8098318665605587E-2</v>
      </c>
      <c r="AR71" s="778">
        <f>AR70/$AI$70</f>
        <v>0.11406411035597649</v>
      </c>
      <c r="AS71" s="778">
        <f>AS70/$AI$70</f>
        <v>3.4119320145437032E-2</v>
      </c>
      <c r="AT71" s="779">
        <f>AT70/$AI$70</f>
        <v>0.20118959253437563</v>
      </c>
      <c r="AU71" s="410"/>
      <c r="AV71" s="410"/>
      <c r="AW71" s="410"/>
      <c r="AX71" s="410"/>
      <c r="AY71" s="410"/>
      <c r="AZ71" s="775"/>
      <c r="BA71" s="776"/>
      <c r="BB71" s="776"/>
      <c r="BC71" s="777" t="s">
        <v>879</v>
      </c>
      <c r="BD71" s="778">
        <f>BD70/$AI$70</f>
        <v>0.53386243544751555</v>
      </c>
      <c r="BE71" s="778">
        <f>BE70/$AI$70</f>
        <v>5.6910326941469677E-2</v>
      </c>
      <c r="BF71" s="778">
        <f>BF70/$AI$70</f>
        <v>0.10783256768792511</v>
      </c>
      <c r="BG71" s="778">
        <f>BG70/$AI$70</f>
        <v>4.8252567974446818E-2</v>
      </c>
      <c r="BH71" s="779">
        <f>BH70/$AI$70</f>
        <v>0.19629433507627164</v>
      </c>
      <c r="BI71" s="410"/>
      <c r="BJ71" s="410"/>
      <c r="BK71" s="410"/>
      <c r="BL71" s="410"/>
      <c r="BM71" s="410"/>
      <c r="BN71" s="775"/>
      <c r="BO71" s="776"/>
      <c r="BP71" s="776"/>
      <c r="BQ71" s="777" t="s">
        <v>879</v>
      </c>
      <c r="BR71" s="778">
        <f>BR70/BK70</f>
        <v>0.53615459550168654</v>
      </c>
      <c r="BS71" s="778">
        <f>BS70/BK70</f>
        <v>6.2870421326846407E-2</v>
      </c>
      <c r="BT71" s="778">
        <f>BT70/BK70</f>
        <v>0.11463444999792255</v>
      </c>
      <c r="BU71" s="778">
        <f>BU70/BK70</f>
        <v>7.0388696185910191E-2</v>
      </c>
      <c r="BV71" s="778">
        <f>BV70/BK70</f>
        <v>0.21595183698763434</v>
      </c>
      <c r="BW71" s="410"/>
      <c r="BX71" s="410"/>
      <c r="BY71" s="410"/>
      <c r="BZ71" s="410"/>
      <c r="CA71" s="410"/>
      <c r="CB71" s="775"/>
      <c r="CC71" s="776"/>
      <c r="CD71" s="776"/>
      <c r="CE71" s="777" t="s">
        <v>879</v>
      </c>
      <c r="CF71" s="778">
        <f>CF70/BY70</f>
        <v>0.50217207246048312</v>
      </c>
      <c r="CG71" s="778">
        <f>CG70/BY70</f>
        <v>6.5747064956822046E-2</v>
      </c>
      <c r="CH71" s="778">
        <f>CH70/BY70</f>
        <v>0.11497825314181803</v>
      </c>
      <c r="CI71" s="778">
        <f>CI70/BY70</f>
        <v>9.2252029176925557E-2</v>
      </c>
      <c r="CJ71" s="779">
        <f>CJ70/BY70</f>
        <v>0.22485058026395119</v>
      </c>
      <c r="CK71" s="410"/>
      <c r="CL71" s="410"/>
      <c r="CM71" s="410"/>
      <c r="CN71" s="410"/>
      <c r="CO71" s="410"/>
      <c r="CP71" s="775"/>
      <c r="CQ71" s="776"/>
      <c r="CR71" s="776"/>
      <c r="CS71" s="777" t="s">
        <v>879</v>
      </c>
      <c r="CT71" s="778">
        <f>CT70/CM70</f>
        <v>0.46318875156077194</v>
      </c>
      <c r="CU71" s="778">
        <f>CU70/CM70</f>
        <v>6.9047029518178524E-2</v>
      </c>
      <c r="CV71" s="778">
        <f>CV70/CM70</f>
        <v>0.11537264964582566</v>
      </c>
      <c r="CW71" s="778">
        <f>CW70/CM70</f>
        <v>0.11733272506559124</v>
      </c>
      <c r="CX71" s="779">
        <f>CX70/CM70</f>
        <v>0.23505884420963269</v>
      </c>
    </row>
    <row r="72" spans="2:102" ht="13.5" thickBot="1">
      <c r="B72" s="440" t="s">
        <v>846</v>
      </c>
      <c r="C72" s="438" t="s">
        <v>831</v>
      </c>
      <c r="D72" s="439">
        <v>85440</v>
      </c>
      <c r="J72" s="511"/>
      <c r="K72" s="177"/>
      <c r="L72" s="177"/>
      <c r="M72" s="622" t="s">
        <v>37</v>
      </c>
      <c r="N72" s="489">
        <f>N70/1000</f>
        <v>77.33080943280001</v>
      </c>
      <c r="O72" s="489">
        <f t="shared" ref="O72:R72" si="54">O70/1000</f>
        <v>7.4655768633000008</v>
      </c>
      <c r="P72" s="489">
        <f t="shared" si="54"/>
        <v>14.756925740949999</v>
      </c>
      <c r="Q72" s="489">
        <f t="shared" si="54"/>
        <v>4.0046998389999997</v>
      </c>
      <c r="R72" s="533">
        <f t="shared" si="54"/>
        <v>25.872663508950001</v>
      </c>
      <c r="X72" s="511"/>
      <c r="Y72" s="177"/>
      <c r="Z72" s="177"/>
      <c r="AA72" s="622" t="s">
        <v>37</v>
      </c>
      <c r="AB72" s="489">
        <f>AB70/1000</f>
        <v>38.29</v>
      </c>
      <c r="AC72" s="489">
        <f t="shared" ref="AC72:AF72" si="55">AC70/1000</f>
        <v>6.6749999999999998</v>
      </c>
      <c r="AD72" s="489">
        <f t="shared" si="55"/>
        <v>10.61</v>
      </c>
      <c r="AE72" s="489">
        <f t="shared" si="55"/>
        <v>13.41</v>
      </c>
      <c r="AF72" s="533">
        <f t="shared" si="55"/>
        <v>22.614999999999998</v>
      </c>
      <c r="AH72" s="410"/>
      <c r="AI72" s="410"/>
      <c r="AJ72" s="410"/>
      <c r="AK72" s="410"/>
      <c r="AL72" s="780"/>
      <c r="AM72" s="410"/>
      <c r="AN72" s="410"/>
      <c r="AO72" s="781" t="s">
        <v>37</v>
      </c>
      <c r="AP72" s="782">
        <f>AP70/1000</f>
        <v>75.829239839800024</v>
      </c>
      <c r="AQ72" s="782">
        <f t="shared" ref="AQ72:AT72" si="56">AQ70/1000</f>
        <v>7.4351700608599991</v>
      </c>
      <c r="AR72" s="782">
        <f t="shared" si="56"/>
        <v>14.597428597179999</v>
      </c>
      <c r="AS72" s="782">
        <f t="shared" si="56"/>
        <v>4.3664421530399995</v>
      </c>
      <c r="AT72" s="783">
        <f t="shared" si="56"/>
        <v>25.747368759120008</v>
      </c>
      <c r="AU72" s="410"/>
      <c r="AV72" s="410"/>
      <c r="AW72" s="410"/>
      <c r="AX72" s="410"/>
      <c r="AY72" s="410"/>
      <c r="AZ72" s="780"/>
      <c r="BA72" s="410"/>
      <c r="BB72" s="410"/>
      <c r="BC72" s="781" t="s">
        <v>37</v>
      </c>
      <c r="BD72" s="782">
        <f>BD70/1000</f>
        <v>68.321391872000007</v>
      </c>
      <c r="BE72" s="782">
        <f>BE70/1000</f>
        <v>7.2831360484700012</v>
      </c>
      <c r="BF72" s="782">
        <f>BF70/1000</f>
        <v>13.799942877409999</v>
      </c>
      <c r="BG72" s="782">
        <f>BG70/1000</f>
        <v>6.1751537222299993</v>
      </c>
      <c r="BH72" s="783">
        <f t="shared" ref="BH72" si="57">BH70/1000</f>
        <v>25.120895006890006</v>
      </c>
      <c r="BI72" s="410"/>
      <c r="BJ72" s="410"/>
      <c r="BK72" s="410"/>
      <c r="BL72" s="410"/>
      <c r="BM72" s="410"/>
      <c r="BN72" s="780"/>
      <c r="BO72" s="410"/>
      <c r="BP72" s="410"/>
      <c r="BQ72" s="781" t="s">
        <v>37</v>
      </c>
      <c r="BR72" s="782">
        <f>BR70/1000</f>
        <v>60.81354390420001</v>
      </c>
      <c r="BS72" s="782">
        <f>BS70/1000</f>
        <v>7.1311020360800015</v>
      </c>
      <c r="BT72" s="782">
        <f>BT70/1000</f>
        <v>13.002457157640002</v>
      </c>
      <c r="BU72" s="782">
        <f>BU70/1000</f>
        <v>7.9838652914199999</v>
      </c>
      <c r="BV72" s="783">
        <f t="shared" ref="BV72" si="58">BV70/1000</f>
        <v>24.494421254660001</v>
      </c>
      <c r="BW72" s="410"/>
      <c r="BX72" s="410"/>
      <c r="BY72" s="410"/>
      <c r="BZ72" s="410"/>
      <c r="CA72" s="410"/>
      <c r="CB72" s="780"/>
      <c r="CC72" s="410"/>
      <c r="CD72" s="410"/>
      <c r="CE72" s="781" t="s">
        <v>37</v>
      </c>
      <c r="CF72" s="782">
        <f>CF70/1000</f>
        <v>53.305695936399999</v>
      </c>
      <c r="CG72" s="782">
        <f>CG70/1000</f>
        <v>6.9790680236900009</v>
      </c>
      <c r="CH72" s="782">
        <f>CH70/1000</f>
        <v>12.204971437869998</v>
      </c>
      <c r="CI72" s="782">
        <f>CI70/1000</f>
        <v>9.7925768606099997</v>
      </c>
      <c r="CJ72" s="783">
        <f t="shared" ref="CJ72" si="59">CJ70/1000</f>
        <v>23.867947502430003</v>
      </c>
      <c r="CK72" s="410"/>
      <c r="CL72" s="410"/>
      <c r="CM72" s="410"/>
      <c r="CN72" s="410"/>
      <c r="CO72" s="410"/>
      <c r="CP72" s="780"/>
      <c r="CQ72" s="410"/>
      <c r="CR72" s="410"/>
      <c r="CS72" s="781" t="s">
        <v>37</v>
      </c>
      <c r="CT72" s="782">
        <f>CT70/1000</f>
        <v>45.797847968599996</v>
      </c>
      <c r="CU72" s="782">
        <f>CU70/1000</f>
        <v>6.8270340113000003</v>
      </c>
      <c r="CV72" s="782">
        <f>CV70/1000</f>
        <v>11.407485718100002</v>
      </c>
      <c r="CW72" s="782">
        <f>CW70/1000</f>
        <v>11.601288429799999</v>
      </c>
      <c r="CX72" s="783">
        <f t="shared" ref="CX72" si="60">CX70/1000</f>
        <v>23.241473750199997</v>
      </c>
    </row>
    <row r="73" spans="2:102" ht="13.5" thickBot="1">
      <c r="B73" s="437" t="s">
        <v>845</v>
      </c>
      <c r="C73" s="438" t="s">
        <v>831</v>
      </c>
      <c r="D73" s="439">
        <v>29.983899999999998</v>
      </c>
      <c r="I73" s="595"/>
      <c r="J73" s="177"/>
      <c r="K73" s="177"/>
      <c r="L73" s="177"/>
      <c r="M73" s="621"/>
      <c r="N73" s="982" t="s">
        <v>892</v>
      </c>
      <c r="O73" s="983"/>
      <c r="P73" s="983"/>
      <c r="Q73" s="983"/>
      <c r="R73" s="984"/>
      <c r="W73" s="595"/>
      <c r="X73" s="177"/>
      <c r="Y73" s="177"/>
      <c r="Z73" s="177"/>
      <c r="AA73" s="621"/>
      <c r="AB73" s="982" t="s">
        <v>892</v>
      </c>
      <c r="AC73" s="983"/>
      <c r="AD73" s="983"/>
      <c r="AE73" s="983"/>
      <c r="AF73" s="984"/>
      <c r="AH73" s="410"/>
      <c r="AI73" s="410"/>
      <c r="AJ73" s="410"/>
      <c r="AK73" s="784"/>
      <c r="AL73" s="780"/>
      <c r="AM73" s="410"/>
      <c r="AN73" s="410"/>
      <c r="AO73" s="785"/>
      <c r="AP73" s="1010" t="s">
        <v>892</v>
      </c>
      <c r="AQ73" s="1011"/>
      <c r="AR73" s="1011"/>
      <c r="AS73" s="1011"/>
      <c r="AT73" s="1012"/>
      <c r="AU73" s="410"/>
      <c r="AV73" s="410"/>
      <c r="AW73" s="410"/>
      <c r="AX73" s="410"/>
      <c r="AY73" s="784"/>
      <c r="AZ73" s="780"/>
      <c r="BA73" s="410"/>
      <c r="BB73" s="410"/>
      <c r="BC73" s="785"/>
      <c r="BD73" s="876" t="s">
        <v>892</v>
      </c>
      <c r="BE73" s="877"/>
      <c r="BF73" s="877"/>
      <c r="BG73" s="877"/>
      <c r="BH73" s="878"/>
      <c r="BI73" s="410"/>
      <c r="BJ73" s="410"/>
      <c r="BK73" s="410"/>
      <c r="BL73" s="410"/>
      <c r="BM73" s="784"/>
      <c r="BN73" s="780"/>
      <c r="BO73" s="410"/>
      <c r="BP73" s="410"/>
      <c r="BQ73" s="785"/>
      <c r="BR73" s="876" t="s">
        <v>892</v>
      </c>
      <c r="BS73" s="877"/>
      <c r="BT73" s="877"/>
      <c r="BU73" s="877"/>
      <c r="BV73" s="878"/>
      <c r="BW73" s="410"/>
      <c r="BX73" s="410"/>
      <c r="BY73" s="410"/>
      <c r="BZ73" s="410"/>
      <c r="CA73" s="784"/>
      <c r="CB73" s="780"/>
      <c r="CC73" s="410"/>
      <c r="CD73" s="410"/>
      <c r="CE73" s="785"/>
      <c r="CF73" s="1010" t="s">
        <v>892</v>
      </c>
      <c r="CG73" s="1011"/>
      <c r="CH73" s="1011"/>
      <c r="CI73" s="1011"/>
      <c r="CJ73" s="1012"/>
      <c r="CK73" s="410"/>
      <c r="CL73" s="410"/>
      <c r="CM73" s="410"/>
      <c r="CN73" s="410"/>
      <c r="CO73" s="784"/>
      <c r="CP73" s="780"/>
      <c r="CQ73" s="410"/>
      <c r="CR73" s="410"/>
      <c r="CS73" s="785"/>
      <c r="CT73" s="876" t="s">
        <v>892</v>
      </c>
      <c r="CU73" s="877"/>
      <c r="CV73" s="877"/>
      <c r="CW73" s="877"/>
      <c r="CX73" s="878"/>
    </row>
    <row r="74" spans="2:102">
      <c r="B74" s="437" t="s">
        <v>847</v>
      </c>
      <c r="C74" s="442" t="s">
        <v>831</v>
      </c>
      <c r="D74" s="439">
        <v>3074.5</v>
      </c>
      <c r="I74" s="595"/>
      <c r="J74" s="177"/>
      <c r="K74" s="197"/>
      <c r="L74" s="177"/>
      <c r="M74" s="980" t="s">
        <v>868</v>
      </c>
      <c r="N74" s="469" t="s">
        <v>808</v>
      </c>
      <c r="O74" s="470" t="s">
        <v>809</v>
      </c>
      <c r="P74" s="470" t="s">
        <v>856</v>
      </c>
      <c r="Q74" s="470" t="s">
        <v>857</v>
      </c>
      <c r="R74" s="471" t="s">
        <v>858</v>
      </c>
      <c r="U74">
        <f>U68/3.6</f>
        <v>7222.2222222222217</v>
      </c>
      <c r="W74" s="595"/>
      <c r="X74" s="177"/>
      <c r="Y74" s="197"/>
      <c r="Z74" s="177"/>
      <c r="AA74" s="712" t="s">
        <v>868</v>
      </c>
      <c r="AB74" s="469" t="s">
        <v>808</v>
      </c>
      <c r="AC74" s="470" t="s">
        <v>809</v>
      </c>
      <c r="AD74" s="470" t="s">
        <v>856</v>
      </c>
      <c r="AE74" s="470" t="s">
        <v>857</v>
      </c>
      <c r="AF74" s="471" t="s">
        <v>858</v>
      </c>
      <c r="AH74" s="410"/>
      <c r="AI74" s="410"/>
      <c r="AJ74" s="410"/>
      <c r="AK74" s="784"/>
      <c r="AL74" s="780"/>
      <c r="AM74" s="198"/>
      <c r="AN74" s="410"/>
      <c r="AO74" s="879" t="s">
        <v>868</v>
      </c>
      <c r="AP74" s="469" t="s">
        <v>808</v>
      </c>
      <c r="AQ74" s="470" t="s">
        <v>809</v>
      </c>
      <c r="AR74" s="470" t="s">
        <v>856</v>
      </c>
      <c r="AS74" s="470" t="s">
        <v>857</v>
      </c>
      <c r="AT74" s="471" t="s">
        <v>858</v>
      </c>
      <c r="AU74" s="410"/>
      <c r="AV74" s="410"/>
      <c r="AW74" s="410"/>
      <c r="AX74" s="410"/>
      <c r="AY74" s="784"/>
      <c r="AZ74" s="780"/>
      <c r="BA74" s="198"/>
      <c r="BB74" s="410"/>
      <c r="BC74" s="879" t="s">
        <v>868</v>
      </c>
      <c r="BD74" s="469" t="s">
        <v>808</v>
      </c>
      <c r="BE74" s="470" t="s">
        <v>809</v>
      </c>
      <c r="BF74" s="470" t="s">
        <v>856</v>
      </c>
      <c r="BG74" s="470" t="s">
        <v>857</v>
      </c>
      <c r="BH74" s="471" t="s">
        <v>858</v>
      </c>
      <c r="BI74" s="410"/>
      <c r="BJ74" s="410"/>
      <c r="BK74" s="410"/>
      <c r="BL74" s="410"/>
      <c r="BM74" s="784"/>
      <c r="BN74" s="780"/>
      <c r="BO74" s="198"/>
      <c r="BP74" s="410"/>
      <c r="BQ74" s="879" t="s">
        <v>868</v>
      </c>
      <c r="BR74" s="469" t="s">
        <v>808</v>
      </c>
      <c r="BS74" s="470" t="s">
        <v>809</v>
      </c>
      <c r="BT74" s="470" t="s">
        <v>856</v>
      </c>
      <c r="BU74" s="470" t="s">
        <v>857</v>
      </c>
      <c r="BV74" s="471" t="s">
        <v>858</v>
      </c>
      <c r="BW74" s="410"/>
      <c r="BX74" s="410"/>
      <c r="BY74" s="410"/>
      <c r="BZ74" s="410"/>
      <c r="CA74" s="784"/>
      <c r="CB74" s="780"/>
      <c r="CC74" s="198"/>
      <c r="CD74" s="410"/>
      <c r="CE74" s="879" t="s">
        <v>868</v>
      </c>
      <c r="CF74" s="469" t="s">
        <v>808</v>
      </c>
      <c r="CG74" s="470" t="s">
        <v>809</v>
      </c>
      <c r="CH74" s="470" t="s">
        <v>856</v>
      </c>
      <c r="CI74" s="470" t="s">
        <v>857</v>
      </c>
      <c r="CJ74" s="471" t="s">
        <v>858</v>
      </c>
      <c r="CK74" s="410"/>
      <c r="CL74" s="410"/>
      <c r="CM74" s="410"/>
      <c r="CN74" s="410"/>
      <c r="CO74" s="784"/>
      <c r="CP74" s="780"/>
      <c r="CQ74" s="198"/>
      <c r="CR74" s="410"/>
      <c r="CS74" s="879" t="s">
        <v>868</v>
      </c>
      <c r="CT74" s="469" t="s">
        <v>808</v>
      </c>
      <c r="CU74" s="470" t="s">
        <v>809</v>
      </c>
      <c r="CV74" s="470" t="s">
        <v>856</v>
      </c>
      <c r="CW74" s="470" t="s">
        <v>857</v>
      </c>
      <c r="CX74" s="471" t="s">
        <v>858</v>
      </c>
    </row>
    <row r="75" spans="2:102">
      <c r="B75" s="437" t="s">
        <v>851</v>
      </c>
      <c r="C75" s="442" t="s">
        <v>831</v>
      </c>
      <c r="D75" s="439">
        <v>20.117349999999998</v>
      </c>
      <c r="I75" s="595"/>
      <c r="J75" s="177"/>
      <c r="K75" s="177"/>
      <c r="L75" s="177"/>
      <c r="M75" s="981"/>
      <c r="N75" s="972" t="s">
        <v>894</v>
      </c>
      <c r="O75" s="973"/>
      <c r="P75" s="973"/>
      <c r="Q75" s="973"/>
      <c r="R75" s="974"/>
      <c r="W75" s="595"/>
      <c r="X75" s="177"/>
      <c r="Y75" s="177"/>
      <c r="Z75" s="177"/>
      <c r="AA75" s="713"/>
      <c r="AB75" s="709" t="s">
        <v>894</v>
      </c>
      <c r="AC75" s="710"/>
      <c r="AD75" s="710"/>
      <c r="AE75" s="710"/>
      <c r="AF75" s="711"/>
      <c r="AH75" s="410"/>
      <c r="AI75" s="410"/>
      <c r="AJ75" s="410"/>
      <c r="AK75" s="784"/>
      <c r="AL75" s="780"/>
      <c r="AM75" s="410"/>
      <c r="AN75" s="410"/>
      <c r="AO75" s="880"/>
      <c r="AP75" s="972" t="s">
        <v>894</v>
      </c>
      <c r="AQ75" s="973"/>
      <c r="AR75" s="973"/>
      <c r="AS75" s="973"/>
      <c r="AT75" s="974"/>
      <c r="AU75" s="410"/>
      <c r="AV75" s="410"/>
      <c r="AW75" s="410"/>
      <c r="AX75" s="410"/>
      <c r="AY75" s="784"/>
      <c r="AZ75" s="780"/>
      <c r="BA75" s="410"/>
      <c r="BB75" s="410"/>
      <c r="BC75" s="880"/>
      <c r="BD75" s="881" t="s">
        <v>894</v>
      </c>
      <c r="BE75" s="882"/>
      <c r="BF75" s="882"/>
      <c r="BG75" s="882"/>
      <c r="BH75" s="883"/>
      <c r="BI75" s="410"/>
      <c r="BJ75" s="410"/>
      <c r="BK75" s="410"/>
      <c r="BL75" s="410"/>
      <c r="BM75" s="784"/>
      <c r="BN75" s="780"/>
      <c r="BO75" s="410"/>
      <c r="BP75" s="410"/>
      <c r="BQ75" s="880"/>
      <c r="BR75" s="881" t="s">
        <v>894</v>
      </c>
      <c r="BS75" s="882"/>
      <c r="BT75" s="882"/>
      <c r="BU75" s="882"/>
      <c r="BV75" s="883"/>
      <c r="BW75" s="410"/>
      <c r="BX75" s="410"/>
      <c r="BY75" s="410"/>
      <c r="BZ75" s="410"/>
      <c r="CA75" s="784"/>
      <c r="CB75" s="780"/>
      <c r="CC75" s="410"/>
      <c r="CD75" s="410"/>
      <c r="CE75" s="880"/>
      <c r="CF75" s="881" t="s">
        <v>894</v>
      </c>
      <c r="CG75" s="882"/>
      <c r="CH75" s="882"/>
      <c r="CI75" s="882"/>
      <c r="CJ75" s="883"/>
      <c r="CK75" s="410"/>
      <c r="CL75" s="410"/>
      <c r="CM75" s="410"/>
      <c r="CN75" s="410"/>
      <c r="CO75" s="784"/>
      <c r="CP75" s="780"/>
      <c r="CQ75" s="410"/>
      <c r="CR75" s="410"/>
      <c r="CS75" s="880"/>
      <c r="CT75" s="881" t="s">
        <v>894</v>
      </c>
      <c r="CU75" s="882"/>
      <c r="CV75" s="882"/>
      <c r="CW75" s="882"/>
      <c r="CX75" s="883"/>
    </row>
    <row r="76" spans="2:102">
      <c r="B76" s="437" t="s">
        <v>848</v>
      </c>
      <c r="C76" s="438" t="s">
        <v>831</v>
      </c>
      <c r="D76" s="439">
        <v>18.5915</v>
      </c>
      <c r="I76" s="595"/>
      <c r="J76" s="177"/>
      <c r="K76" s="177"/>
      <c r="L76" s="177"/>
      <c r="M76" s="638" t="s">
        <v>867</v>
      </c>
      <c r="N76" s="613"/>
      <c r="O76" s="609">
        <v>0.65</v>
      </c>
      <c r="P76" s="609">
        <v>0.7</v>
      </c>
      <c r="Q76" s="616"/>
      <c r="R76" s="610">
        <v>0.7</v>
      </c>
      <c r="W76" s="595"/>
      <c r="X76" s="177"/>
      <c r="Y76" s="177"/>
      <c r="Z76" s="177"/>
      <c r="AA76" s="638" t="s">
        <v>867</v>
      </c>
      <c r="AB76" s="613"/>
      <c r="AC76" s="609">
        <v>0.65</v>
      </c>
      <c r="AD76" s="609">
        <v>0.7</v>
      </c>
      <c r="AE76" s="616"/>
      <c r="AF76" s="610">
        <v>0.7</v>
      </c>
      <c r="AH76" s="410"/>
      <c r="AI76" s="410"/>
      <c r="AJ76" s="410"/>
      <c r="AK76" s="784"/>
      <c r="AL76" s="780"/>
      <c r="AM76" s="410"/>
      <c r="AN76" s="410"/>
      <c r="AO76" s="786" t="s">
        <v>867</v>
      </c>
      <c r="AP76" s="787"/>
      <c r="AQ76" s="788">
        <v>0.65</v>
      </c>
      <c r="AR76" s="788">
        <v>0.7</v>
      </c>
      <c r="AS76" s="789"/>
      <c r="AT76" s="790">
        <v>0.7</v>
      </c>
      <c r="AU76" s="410"/>
      <c r="AV76" s="410"/>
      <c r="AW76" s="410"/>
      <c r="AX76" s="410"/>
      <c r="AY76" s="784"/>
      <c r="AZ76" s="780"/>
      <c r="BA76" s="410"/>
      <c r="BB76" s="410"/>
      <c r="BC76" s="786" t="s">
        <v>867</v>
      </c>
      <c r="BD76" s="787"/>
      <c r="BE76" s="788">
        <v>0.65</v>
      </c>
      <c r="BF76" s="788">
        <v>0.7</v>
      </c>
      <c r="BG76" s="789"/>
      <c r="BH76" s="790">
        <v>0.7</v>
      </c>
      <c r="BI76" s="410"/>
      <c r="BJ76" s="410"/>
      <c r="BK76" s="410"/>
      <c r="BL76" s="410"/>
      <c r="BM76" s="784"/>
      <c r="BN76" s="780"/>
      <c r="BO76" s="410"/>
      <c r="BP76" s="410"/>
      <c r="BQ76" s="786" t="s">
        <v>867</v>
      </c>
      <c r="BR76" s="787"/>
      <c r="BS76" s="788">
        <v>0.65</v>
      </c>
      <c r="BT76" s="788">
        <v>0.7</v>
      </c>
      <c r="BU76" s="789"/>
      <c r="BV76" s="790">
        <v>0.7</v>
      </c>
      <c r="BW76" s="410"/>
      <c r="BX76" s="410"/>
      <c r="BY76" s="410"/>
      <c r="BZ76" s="410"/>
      <c r="CA76" s="784"/>
      <c r="CB76" s="780"/>
      <c r="CC76" s="410"/>
      <c r="CD76" s="410"/>
      <c r="CE76" s="786" t="s">
        <v>867</v>
      </c>
      <c r="CF76" s="787"/>
      <c r="CG76" s="788">
        <v>0.65</v>
      </c>
      <c r="CH76" s="788">
        <v>0.7</v>
      </c>
      <c r="CI76" s="789"/>
      <c r="CJ76" s="790">
        <v>0.7</v>
      </c>
      <c r="CK76" s="410"/>
      <c r="CL76" s="410"/>
      <c r="CM76" s="410"/>
      <c r="CN76" s="410"/>
      <c r="CO76" s="784"/>
      <c r="CP76" s="780"/>
      <c r="CQ76" s="410"/>
      <c r="CR76" s="410"/>
      <c r="CS76" s="786" t="s">
        <v>867</v>
      </c>
      <c r="CT76" s="787"/>
      <c r="CU76" s="788">
        <v>0.65</v>
      </c>
      <c r="CV76" s="788">
        <v>0.7</v>
      </c>
      <c r="CW76" s="789"/>
      <c r="CX76" s="790">
        <v>0.7</v>
      </c>
    </row>
    <row r="77" spans="2:102">
      <c r="B77" s="634" t="s">
        <v>849</v>
      </c>
      <c r="C77" s="438" t="s">
        <v>825</v>
      </c>
      <c r="D77" s="439">
        <v>1750</v>
      </c>
      <c r="I77" s="595"/>
      <c r="J77" s="177"/>
      <c r="K77" s="177"/>
      <c r="L77" s="177"/>
      <c r="M77" s="639" t="s">
        <v>862</v>
      </c>
      <c r="N77" s="613"/>
      <c r="O77" s="609">
        <v>0.6</v>
      </c>
      <c r="P77" s="609">
        <v>0.6</v>
      </c>
      <c r="Q77" s="616"/>
      <c r="R77" s="610">
        <v>0.6</v>
      </c>
      <c r="W77" s="595"/>
      <c r="X77" s="177"/>
      <c r="Y77" s="177"/>
      <c r="Z77" s="177"/>
      <c r="AA77" s="639" t="s">
        <v>862</v>
      </c>
      <c r="AB77" s="613"/>
      <c r="AC77" s="609">
        <v>0.6</v>
      </c>
      <c r="AD77" s="609">
        <v>0.6</v>
      </c>
      <c r="AE77" s="616"/>
      <c r="AF77" s="610">
        <v>0.6</v>
      </c>
      <c r="AH77" s="410"/>
      <c r="AI77" s="410"/>
      <c r="AJ77" s="410"/>
      <c r="AK77" s="784"/>
      <c r="AL77" s="780"/>
      <c r="AM77" s="410"/>
      <c r="AN77" s="410"/>
      <c r="AO77" s="791" t="s">
        <v>862</v>
      </c>
      <c r="AP77" s="787"/>
      <c r="AQ77" s="788">
        <v>0.6</v>
      </c>
      <c r="AR77" s="788">
        <v>0.6</v>
      </c>
      <c r="AS77" s="789"/>
      <c r="AT77" s="790">
        <v>0.6</v>
      </c>
      <c r="AU77" s="410"/>
      <c r="AV77" s="410"/>
      <c r="AW77" s="410"/>
      <c r="AX77" s="410"/>
      <c r="AY77" s="784"/>
      <c r="AZ77" s="780"/>
      <c r="BA77" s="410"/>
      <c r="BB77" s="410"/>
      <c r="BC77" s="791" t="s">
        <v>862</v>
      </c>
      <c r="BD77" s="787"/>
      <c r="BE77" s="788">
        <v>0.6</v>
      </c>
      <c r="BF77" s="788">
        <v>0.6</v>
      </c>
      <c r="BG77" s="789"/>
      <c r="BH77" s="790">
        <v>0.6</v>
      </c>
      <c r="BI77" s="410"/>
      <c r="BJ77" s="410"/>
      <c r="BK77" s="410"/>
      <c r="BL77" s="410"/>
      <c r="BM77" s="784"/>
      <c r="BN77" s="780"/>
      <c r="BO77" s="410"/>
      <c r="BP77" s="410"/>
      <c r="BQ77" s="791" t="s">
        <v>862</v>
      </c>
      <c r="BR77" s="787"/>
      <c r="BS77" s="788">
        <v>0.6</v>
      </c>
      <c r="BT77" s="788">
        <v>0.6</v>
      </c>
      <c r="BU77" s="789"/>
      <c r="BV77" s="790">
        <v>0.6</v>
      </c>
      <c r="BW77" s="410"/>
      <c r="BX77" s="410"/>
      <c r="BY77" s="410"/>
      <c r="BZ77" s="410"/>
      <c r="CA77" s="784"/>
      <c r="CB77" s="780"/>
      <c r="CC77" s="410"/>
      <c r="CD77" s="410"/>
      <c r="CE77" s="791" t="s">
        <v>862</v>
      </c>
      <c r="CF77" s="787"/>
      <c r="CG77" s="788">
        <v>0.6</v>
      </c>
      <c r="CH77" s="788">
        <v>0.6</v>
      </c>
      <c r="CI77" s="789"/>
      <c r="CJ77" s="790">
        <v>0.6</v>
      </c>
      <c r="CK77" s="410"/>
      <c r="CL77" s="410"/>
      <c r="CM77" s="410"/>
      <c r="CN77" s="410"/>
      <c r="CO77" s="784"/>
      <c r="CP77" s="780"/>
      <c r="CQ77" s="410"/>
      <c r="CR77" s="410"/>
      <c r="CS77" s="791" t="s">
        <v>862</v>
      </c>
      <c r="CT77" s="787"/>
      <c r="CU77" s="788">
        <v>0.6</v>
      </c>
      <c r="CV77" s="788">
        <v>0.6</v>
      </c>
      <c r="CW77" s="789"/>
      <c r="CX77" s="790">
        <v>0.6</v>
      </c>
    </row>
    <row r="78" spans="2:102">
      <c r="B78" s="635"/>
      <c r="C78" s="438" t="s">
        <v>831</v>
      </c>
      <c r="D78" s="439">
        <v>6300</v>
      </c>
      <c r="I78" s="595"/>
      <c r="J78" s="177"/>
      <c r="K78" s="177"/>
      <c r="L78" s="177"/>
      <c r="M78" s="639" t="s">
        <v>859</v>
      </c>
      <c r="N78" s="613"/>
      <c r="O78" s="609">
        <v>0.8</v>
      </c>
      <c r="P78" s="609">
        <v>0.85</v>
      </c>
      <c r="Q78" s="616"/>
      <c r="R78" s="610">
        <v>0.85</v>
      </c>
      <c r="W78" s="595"/>
      <c r="X78" s="177"/>
      <c r="Y78" s="177"/>
      <c r="Z78" s="177"/>
      <c r="AA78" s="639" t="s">
        <v>859</v>
      </c>
      <c r="AB78" s="613"/>
      <c r="AC78" s="609">
        <v>0.8</v>
      </c>
      <c r="AD78" s="609">
        <v>0.85</v>
      </c>
      <c r="AE78" s="616"/>
      <c r="AF78" s="610">
        <v>0.85</v>
      </c>
      <c r="AH78" s="410"/>
      <c r="AI78" s="410"/>
      <c r="AJ78" s="410"/>
      <c r="AK78" s="784"/>
      <c r="AL78" s="780"/>
      <c r="AM78" s="410"/>
      <c r="AN78" s="410"/>
      <c r="AO78" s="791" t="s">
        <v>859</v>
      </c>
      <c r="AP78" s="787"/>
      <c r="AQ78" s="788">
        <v>0.8</v>
      </c>
      <c r="AR78" s="788">
        <v>0.85</v>
      </c>
      <c r="AS78" s="789"/>
      <c r="AT78" s="790">
        <v>0.85</v>
      </c>
      <c r="AU78" s="410"/>
      <c r="AV78" s="410"/>
      <c r="AW78" s="410"/>
      <c r="AX78" s="410"/>
      <c r="AY78" s="784"/>
      <c r="AZ78" s="780"/>
      <c r="BA78" s="410"/>
      <c r="BB78" s="410"/>
      <c r="BC78" s="791" t="s">
        <v>859</v>
      </c>
      <c r="BD78" s="787"/>
      <c r="BE78" s="788">
        <v>0.8</v>
      </c>
      <c r="BF78" s="788">
        <v>0.85</v>
      </c>
      <c r="BG78" s="789"/>
      <c r="BH78" s="790">
        <v>0.85</v>
      </c>
      <c r="BI78" s="410"/>
      <c r="BJ78" s="410"/>
      <c r="BK78" s="410"/>
      <c r="BL78" s="410"/>
      <c r="BM78" s="784"/>
      <c r="BN78" s="780"/>
      <c r="BO78" s="410"/>
      <c r="BP78" s="410"/>
      <c r="BQ78" s="791" t="s">
        <v>859</v>
      </c>
      <c r="BR78" s="787"/>
      <c r="BS78" s="788">
        <v>0.8</v>
      </c>
      <c r="BT78" s="788">
        <v>0.85</v>
      </c>
      <c r="BU78" s="789"/>
      <c r="BV78" s="790">
        <v>0.85</v>
      </c>
      <c r="BW78" s="410"/>
      <c r="BX78" s="410"/>
      <c r="BY78" s="410"/>
      <c r="BZ78" s="410"/>
      <c r="CA78" s="784"/>
      <c r="CB78" s="780"/>
      <c r="CC78" s="410"/>
      <c r="CD78" s="410"/>
      <c r="CE78" s="791" t="s">
        <v>859</v>
      </c>
      <c r="CF78" s="787"/>
      <c r="CG78" s="788">
        <v>0.8</v>
      </c>
      <c r="CH78" s="788">
        <v>0.85</v>
      </c>
      <c r="CI78" s="789"/>
      <c r="CJ78" s="790">
        <v>0.85</v>
      </c>
      <c r="CK78" s="410"/>
      <c r="CL78" s="410"/>
      <c r="CM78" s="410"/>
      <c r="CN78" s="410"/>
      <c r="CO78" s="784"/>
      <c r="CP78" s="780"/>
      <c r="CQ78" s="410"/>
      <c r="CR78" s="410"/>
      <c r="CS78" s="791" t="s">
        <v>859</v>
      </c>
      <c r="CT78" s="787"/>
      <c r="CU78" s="788">
        <v>0.8</v>
      </c>
      <c r="CV78" s="788">
        <v>0.85</v>
      </c>
      <c r="CW78" s="789"/>
      <c r="CX78" s="790">
        <v>0.85</v>
      </c>
    </row>
    <row r="79" spans="2:102">
      <c r="B79" s="437" t="s">
        <v>850</v>
      </c>
      <c r="C79" s="438" t="s">
        <v>831</v>
      </c>
      <c r="D79" s="439">
        <v>620</v>
      </c>
      <c r="I79" s="595"/>
      <c r="J79" s="177"/>
      <c r="K79" s="177"/>
      <c r="L79" s="177"/>
      <c r="M79" s="639" t="s">
        <v>860</v>
      </c>
      <c r="N79" s="613"/>
      <c r="O79" s="609">
        <v>0.68</v>
      </c>
      <c r="P79" s="609">
        <v>0.7</v>
      </c>
      <c r="Q79" s="616"/>
      <c r="R79" s="610">
        <v>0.7</v>
      </c>
      <c r="W79" s="595"/>
      <c r="X79" s="177"/>
      <c r="Y79" s="177"/>
      <c r="Z79" s="177"/>
      <c r="AA79" s="639" t="s">
        <v>860</v>
      </c>
      <c r="AB79" s="613"/>
      <c r="AC79" s="609">
        <v>0.68</v>
      </c>
      <c r="AD79" s="609">
        <v>0.7</v>
      </c>
      <c r="AE79" s="616"/>
      <c r="AF79" s="610">
        <v>0.7</v>
      </c>
      <c r="AH79" s="410"/>
      <c r="AI79" s="410"/>
      <c r="AJ79" s="410"/>
      <c r="AK79" s="784"/>
      <c r="AL79" s="780"/>
      <c r="AM79" s="410"/>
      <c r="AN79" s="410"/>
      <c r="AO79" s="791" t="s">
        <v>860</v>
      </c>
      <c r="AP79" s="787"/>
      <c r="AQ79" s="788">
        <v>0.68</v>
      </c>
      <c r="AR79" s="788">
        <v>0.7</v>
      </c>
      <c r="AS79" s="789"/>
      <c r="AT79" s="790">
        <v>0.7</v>
      </c>
      <c r="AU79" s="410"/>
      <c r="AV79" s="410"/>
      <c r="AW79" s="410"/>
      <c r="AX79" s="410"/>
      <c r="AY79" s="784"/>
      <c r="AZ79" s="780"/>
      <c r="BA79" s="410"/>
      <c r="BB79" s="410"/>
      <c r="BC79" s="791" t="s">
        <v>860</v>
      </c>
      <c r="BD79" s="787"/>
      <c r="BE79" s="788">
        <v>0.68</v>
      </c>
      <c r="BF79" s="788">
        <v>0.7</v>
      </c>
      <c r="BG79" s="789"/>
      <c r="BH79" s="790">
        <v>0.7</v>
      </c>
      <c r="BI79" s="410"/>
      <c r="BJ79" s="410"/>
      <c r="BK79" s="410"/>
      <c r="BL79" s="410"/>
      <c r="BM79" s="784"/>
      <c r="BN79" s="780"/>
      <c r="BO79" s="410"/>
      <c r="BP79" s="410"/>
      <c r="BQ79" s="791" t="s">
        <v>860</v>
      </c>
      <c r="BR79" s="787"/>
      <c r="BS79" s="788">
        <v>0.68</v>
      </c>
      <c r="BT79" s="788">
        <v>0.7</v>
      </c>
      <c r="BU79" s="789"/>
      <c r="BV79" s="790">
        <v>0.7</v>
      </c>
      <c r="BW79" s="410"/>
      <c r="BX79" s="410"/>
      <c r="BY79" s="410"/>
      <c r="BZ79" s="410"/>
      <c r="CA79" s="784"/>
      <c r="CB79" s="780"/>
      <c r="CC79" s="410"/>
      <c r="CD79" s="410"/>
      <c r="CE79" s="791" t="s">
        <v>860</v>
      </c>
      <c r="CF79" s="787"/>
      <c r="CG79" s="788">
        <v>0.68</v>
      </c>
      <c r="CH79" s="788">
        <v>0.7</v>
      </c>
      <c r="CI79" s="789"/>
      <c r="CJ79" s="790">
        <v>0.7</v>
      </c>
      <c r="CK79" s="410"/>
      <c r="CL79" s="410"/>
      <c r="CM79" s="410"/>
      <c r="CN79" s="410"/>
      <c r="CO79" s="784"/>
      <c r="CP79" s="780"/>
      <c r="CQ79" s="410"/>
      <c r="CR79" s="410"/>
      <c r="CS79" s="791" t="s">
        <v>860</v>
      </c>
      <c r="CT79" s="787"/>
      <c r="CU79" s="788">
        <v>0.68</v>
      </c>
      <c r="CV79" s="788">
        <v>0.7</v>
      </c>
      <c r="CW79" s="789"/>
      <c r="CX79" s="790">
        <v>0.7</v>
      </c>
    </row>
    <row r="80" spans="2:102">
      <c r="I80" s="595"/>
      <c r="J80" s="177"/>
      <c r="K80" s="177"/>
      <c r="L80" s="177"/>
      <c r="M80" s="639" t="s">
        <v>925</v>
      </c>
      <c r="N80" s="613"/>
      <c r="O80" s="609">
        <v>0.75</v>
      </c>
      <c r="P80" s="609">
        <v>0.8</v>
      </c>
      <c r="Q80" s="616"/>
      <c r="R80" s="610">
        <v>0.8</v>
      </c>
      <c r="W80" s="595"/>
      <c r="X80" s="177"/>
      <c r="Y80" s="177"/>
      <c r="Z80" s="177"/>
      <c r="AA80" s="639" t="s">
        <v>925</v>
      </c>
      <c r="AB80" s="613"/>
      <c r="AC80" s="609">
        <v>0.75</v>
      </c>
      <c r="AD80" s="609">
        <v>0.8</v>
      </c>
      <c r="AE80" s="616"/>
      <c r="AF80" s="610">
        <v>0.8</v>
      </c>
      <c r="AH80" s="410"/>
      <c r="AI80" s="410"/>
      <c r="AJ80" s="410"/>
      <c r="AK80" s="784"/>
      <c r="AL80" s="780"/>
      <c r="AM80" s="410"/>
      <c r="AN80" s="410"/>
      <c r="AO80" s="791" t="s">
        <v>925</v>
      </c>
      <c r="AP80" s="787"/>
      <c r="AQ80" s="788">
        <v>0.75</v>
      </c>
      <c r="AR80" s="788">
        <v>0.8</v>
      </c>
      <c r="AS80" s="789"/>
      <c r="AT80" s="790">
        <v>0.8</v>
      </c>
      <c r="AU80" s="410"/>
      <c r="AV80" s="410"/>
      <c r="AW80" s="410"/>
      <c r="AX80" s="410"/>
      <c r="AY80" s="784"/>
      <c r="AZ80" s="780"/>
      <c r="BA80" s="410"/>
      <c r="BB80" s="410"/>
      <c r="BC80" s="791" t="s">
        <v>925</v>
      </c>
      <c r="BD80" s="787"/>
      <c r="BE80" s="788">
        <v>0.75</v>
      </c>
      <c r="BF80" s="788">
        <v>0.8</v>
      </c>
      <c r="BG80" s="789"/>
      <c r="BH80" s="790">
        <v>0.8</v>
      </c>
      <c r="BI80" s="410"/>
      <c r="BJ80" s="410"/>
      <c r="BK80" s="410"/>
      <c r="BL80" s="410"/>
      <c r="BM80" s="784"/>
      <c r="BN80" s="780"/>
      <c r="BO80" s="410"/>
      <c r="BP80" s="410"/>
      <c r="BQ80" s="791" t="s">
        <v>925</v>
      </c>
      <c r="BR80" s="787"/>
      <c r="BS80" s="788">
        <v>0.75</v>
      </c>
      <c r="BT80" s="788">
        <v>0.8</v>
      </c>
      <c r="BU80" s="789"/>
      <c r="BV80" s="790">
        <v>0.8</v>
      </c>
      <c r="BW80" s="410"/>
      <c r="BX80" s="410"/>
      <c r="BY80" s="410"/>
      <c r="BZ80" s="410"/>
      <c r="CA80" s="784"/>
      <c r="CB80" s="780"/>
      <c r="CC80" s="410"/>
      <c r="CD80" s="410"/>
      <c r="CE80" s="791" t="s">
        <v>925</v>
      </c>
      <c r="CF80" s="787"/>
      <c r="CG80" s="788">
        <v>0.75</v>
      </c>
      <c r="CH80" s="788">
        <v>0.8</v>
      </c>
      <c r="CI80" s="789"/>
      <c r="CJ80" s="790">
        <v>0.8</v>
      </c>
      <c r="CK80" s="410"/>
      <c r="CL80" s="410"/>
      <c r="CM80" s="410"/>
      <c r="CN80" s="410"/>
      <c r="CO80" s="784"/>
      <c r="CP80" s="780"/>
      <c r="CQ80" s="410"/>
      <c r="CR80" s="410"/>
      <c r="CS80" s="791" t="s">
        <v>925</v>
      </c>
      <c r="CT80" s="787"/>
      <c r="CU80" s="788">
        <v>0.75</v>
      </c>
      <c r="CV80" s="788">
        <v>0.8</v>
      </c>
      <c r="CW80" s="789"/>
      <c r="CX80" s="790">
        <v>0.8</v>
      </c>
    </row>
    <row r="81" spans="9:102">
      <c r="I81" s="595"/>
      <c r="J81" s="177"/>
      <c r="K81" s="177"/>
      <c r="L81" s="177"/>
      <c r="M81" s="639" t="s">
        <v>926</v>
      </c>
      <c r="N81" s="613"/>
      <c r="O81" s="609">
        <v>0.65</v>
      </c>
      <c r="P81" s="609">
        <v>0.7</v>
      </c>
      <c r="Q81" s="616"/>
      <c r="R81" s="610">
        <v>0.7</v>
      </c>
      <c r="W81" s="595"/>
      <c r="X81" s="177"/>
      <c r="Y81" s="177"/>
      <c r="Z81" s="177"/>
      <c r="AA81" s="639" t="s">
        <v>926</v>
      </c>
      <c r="AB81" s="613"/>
      <c r="AC81" s="609">
        <v>0.65</v>
      </c>
      <c r="AD81" s="609">
        <v>0.7</v>
      </c>
      <c r="AE81" s="616"/>
      <c r="AF81" s="610">
        <v>0.7</v>
      </c>
      <c r="AH81" s="410"/>
      <c r="AI81" s="410"/>
      <c r="AJ81" s="410"/>
      <c r="AK81" s="784"/>
      <c r="AL81" s="780"/>
      <c r="AM81" s="410"/>
      <c r="AN81" s="410"/>
      <c r="AO81" s="791" t="s">
        <v>926</v>
      </c>
      <c r="AP81" s="787"/>
      <c r="AQ81" s="788">
        <v>0.65</v>
      </c>
      <c r="AR81" s="788">
        <v>0.7</v>
      </c>
      <c r="AS81" s="789"/>
      <c r="AT81" s="790">
        <v>0.7</v>
      </c>
      <c r="AU81" s="410"/>
      <c r="AV81" s="410"/>
      <c r="AW81" s="410"/>
      <c r="AX81" s="410"/>
      <c r="AY81" s="784"/>
      <c r="AZ81" s="780"/>
      <c r="BA81" s="410"/>
      <c r="BB81" s="410"/>
      <c r="BC81" s="791" t="s">
        <v>926</v>
      </c>
      <c r="BD81" s="787"/>
      <c r="BE81" s="788">
        <v>0.65</v>
      </c>
      <c r="BF81" s="788">
        <v>0.7</v>
      </c>
      <c r="BG81" s="789"/>
      <c r="BH81" s="790">
        <v>0.7</v>
      </c>
      <c r="BI81" s="410"/>
      <c r="BJ81" s="410"/>
      <c r="BK81" s="410"/>
      <c r="BL81" s="410"/>
      <c r="BM81" s="784"/>
      <c r="BN81" s="780"/>
      <c r="BO81" s="410"/>
      <c r="BP81" s="410"/>
      <c r="BQ81" s="791" t="s">
        <v>926</v>
      </c>
      <c r="BR81" s="787"/>
      <c r="BS81" s="788">
        <v>0.65</v>
      </c>
      <c r="BT81" s="788">
        <v>0.7</v>
      </c>
      <c r="BU81" s="789"/>
      <c r="BV81" s="790">
        <v>0.7</v>
      </c>
      <c r="BW81" s="410"/>
      <c r="BX81" s="410"/>
      <c r="BY81" s="410"/>
      <c r="BZ81" s="410"/>
      <c r="CA81" s="784"/>
      <c r="CB81" s="780"/>
      <c r="CC81" s="410"/>
      <c r="CD81" s="410"/>
      <c r="CE81" s="791" t="s">
        <v>926</v>
      </c>
      <c r="CF81" s="787"/>
      <c r="CG81" s="788">
        <v>0.65</v>
      </c>
      <c r="CH81" s="788">
        <v>0.7</v>
      </c>
      <c r="CI81" s="789"/>
      <c r="CJ81" s="790">
        <v>0.7</v>
      </c>
      <c r="CK81" s="410"/>
      <c r="CL81" s="410"/>
      <c r="CM81" s="410"/>
      <c r="CN81" s="410"/>
      <c r="CO81" s="784"/>
      <c r="CP81" s="780"/>
      <c r="CQ81" s="410"/>
      <c r="CR81" s="410"/>
      <c r="CS81" s="791" t="s">
        <v>926</v>
      </c>
      <c r="CT81" s="787"/>
      <c r="CU81" s="788">
        <v>0.65</v>
      </c>
      <c r="CV81" s="788">
        <v>0.7</v>
      </c>
      <c r="CW81" s="789"/>
      <c r="CX81" s="790">
        <v>0.7</v>
      </c>
    </row>
    <row r="82" spans="9:102">
      <c r="I82" s="595"/>
      <c r="J82" s="177"/>
      <c r="K82" s="177"/>
      <c r="L82" s="177"/>
      <c r="M82" s="639" t="s">
        <v>863</v>
      </c>
      <c r="N82" s="613"/>
      <c r="O82" s="609">
        <v>0.65</v>
      </c>
      <c r="P82" s="609">
        <v>0.7</v>
      </c>
      <c r="Q82" s="616"/>
      <c r="R82" s="610">
        <v>0.7</v>
      </c>
      <c r="W82" s="595"/>
      <c r="X82" s="177"/>
      <c r="Y82" s="177"/>
      <c r="Z82" s="177"/>
      <c r="AA82" s="639" t="s">
        <v>863</v>
      </c>
      <c r="AB82" s="613"/>
      <c r="AC82" s="609">
        <v>0.65</v>
      </c>
      <c r="AD82" s="609">
        <v>0.7</v>
      </c>
      <c r="AE82" s="616"/>
      <c r="AF82" s="610">
        <v>0.7</v>
      </c>
      <c r="AH82" s="410"/>
      <c r="AI82" s="410"/>
      <c r="AJ82" s="410"/>
      <c r="AK82" s="784"/>
      <c r="AL82" s="780"/>
      <c r="AM82" s="410"/>
      <c r="AN82" s="410"/>
      <c r="AO82" s="791" t="s">
        <v>863</v>
      </c>
      <c r="AP82" s="787"/>
      <c r="AQ82" s="788">
        <v>0.65</v>
      </c>
      <c r="AR82" s="788">
        <v>0.7</v>
      </c>
      <c r="AS82" s="789"/>
      <c r="AT82" s="790">
        <v>0.7</v>
      </c>
      <c r="AU82" s="410"/>
      <c r="AV82" s="410"/>
      <c r="AW82" s="410"/>
      <c r="AX82" s="410"/>
      <c r="AY82" s="784"/>
      <c r="AZ82" s="780"/>
      <c r="BA82" s="410"/>
      <c r="BB82" s="410"/>
      <c r="BC82" s="791" t="s">
        <v>863</v>
      </c>
      <c r="BD82" s="787"/>
      <c r="BE82" s="788">
        <v>0.65</v>
      </c>
      <c r="BF82" s="788">
        <v>0.7</v>
      </c>
      <c r="BG82" s="789"/>
      <c r="BH82" s="790">
        <v>0.7</v>
      </c>
      <c r="BI82" s="410"/>
      <c r="BJ82" s="410"/>
      <c r="BK82" s="410"/>
      <c r="BL82" s="410"/>
      <c r="BM82" s="784"/>
      <c r="BN82" s="780"/>
      <c r="BO82" s="410"/>
      <c r="BP82" s="410"/>
      <c r="BQ82" s="791" t="s">
        <v>863</v>
      </c>
      <c r="BR82" s="787"/>
      <c r="BS82" s="788">
        <v>0.65</v>
      </c>
      <c r="BT82" s="788">
        <v>0.7</v>
      </c>
      <c r="BU82" s="789"/>
      <c r="BV82" s="790">
        <v>0.7</v>
      </c>
      <c r="BW82" s="410"/>
      <c r="BX82" s="410"/>
      <c r="BY82" s="410"/>
      <c r="BZ82" s="410"/>
      <c r="CA82" s="784"/>
      <c r="CB82" s="780"/>
      <c r="CC82" s="410"/>
      <c r="CD82" s="410"/>
      <c r="CE82" s="791" t="s">
        <v>863</v>
      </c>
      <c r="CF82" s="787"/>
      <c r="CG82" s="788">
        <v>0.65</v>
      </c>
      <c r="CH82" s="788">
        <v>0.7</v>
      </c>
      <c r="CI82" s="789"/>
      <c r="CJ82" s="790">
        <v>0.7</v>
      </c>
      <c r="CK82" s="410"/>
      <c r="CL82" s="410"/>
      <c r="CM82" s="410"/>
      <c r="CN82" s="410"/>
      <c r="CO82" s="784"/>
      <c r="CP82" s="780"/>
      <c r="CQ82" s="410"/>
      <c r="CR82" s="410"/>
      <c r="CS82" s="791" t="s">
        <v>863</v>
      </c>
      <c r="CT82" s="787"/>
      <c r="CU82" s="788">
        <v>0.65</v>
      </c>
      <c r="CV82" s="788">
        <v>0.7</v>
      </c>
      <c r="CW82" s="789"/>
      <c r="CX82" s="790">
        <v>0.7</v>
      </c>
    </row>
    <row r="83" spans="9:102">
      <c r="I83" s="595"/>
      <c r="J83" s="177"/>
      <c r="K83" s="177"/>
      <c r="L83" s="177"/>
      <c r="M83" s="639" t="s">
        <v>864</v>
      </c>
      <c r="N83" s="613"/>
      <c r="O83" s="609">
        <v>0.8</v>
      </c>
      <c r="P83" s="609">
        <v>0.85</v>
      </c>
      <c r="Q83" s="616"/>
      <c r="R83" s="610">
        <v>0.85</v>
      </c>
      <c r="W83" s="595"/>
      <c r="X83" s="177"/>
      <c r="Y83" s="177"/>
      <c r="Z83" s="177"/>
      <c r="AA83" s="639" t="s">
        <v>864</v>
      </c>
      <c r="AB83" s="613"/>
      <c r="AC83" s="609">
        <v>0.8</v>
      </c>
      <c r="AD83" s="609">
        <v>0.85</v>
      </c>
      <c r="AE83" s="616"/>
      <c r="AF83" s="610">
        <v>0.85</v>
      </c>
      <c r="AH83" s="410"/>
      <c r="AI83" s="410"/>
      <c r="AJ83" s="410"/>
      <c r="AK83" s="784"/>
      <c r="AL83" s="780"/>
      <c r="AM83" s="410"/>
      <c r="AN83" s="410"/>
      <c r="AO83" s="791" t="s">
        <v>864</v>
      </c>
      <c r="AP83" s="787"/>
      <c r="AQ83" s="788">
        <v>0.8</v>
      </c>
      <c r="AR83" s="788">
        <v>0.85</v>
      </c>
      <c r="AS83" s="789"/>
      <c r="AT83" s="790">
        <v>0.85</v>
      </c>
      <c r="AU83" s="410"/>
      <c r="AV83" s="410"/>
      <c r="AW83" s="410"/>
      <c r="AX83" s="410"/>
      <c r="AY83" s="784"/>
      <c r="AZ83" s="780"/>
      <c r="BA83" s="410"/>
      <c r="BB83" s="410"/>
      <c r="BC83" s="791" t="s">
        <v>864</v>
      </c>
      <c r="BD83" s="787"/>
      <c r="BE83" s="788">
        <v>0.8</v>
      </c>
      <c r="BF83" s="788">
        <v>0.85</v>
      </c>
      <c r="BG83" s="789"/>
      <c r="BH83" s="790">
        <v>0.85</v>
      </c>
      <c r="BI83" s="410"/>
      <c r="BJ83" s="410"/>
      <c r="BK83" s="410"/>
      <c r="BL83" s="410"/>
      <c r="BM83" s="784"/>
      <c r="BN83" s="780"/>
      <c r="BO83" s="410"/>
      <c r="BP83" s="410"/>
      <c r="BQ83" s="791" t="s">
        <v>864</v>
      </c>
      <c r="BR83" s="787"/>
      <c r="BS83" s="788">
        <v>0.8</v>
      </c>
      <c r="BT83" s="788">
        <v>0.85</v>
      </c>
      <c r="BU83" s="789"/>
      <c r="BV83" s="790">
        <v>0.85</v>
      </c>
      <c r="BW83" s="410"/>
      <c r="BX83" s="410"/>
      <c r="BY83" s="410"/>
      <c r="BZ83" s="410"/>
      <c r="CA83" s="784"/>
      <c r="CB83" s="780"/>
      <c r="CC83" s="410"/>
      <c r="CD83" s="410"/>
      <c r="CE83" s="791" t="s">
        <v>864</v>
      </c>
      <c r="CF83" s="787"/>
      <c r="CG83" s="788">
        <v>0.8</v>
      </c>
      <c r="CH83" s="788">
        <v>0.85</v>
      </c>
      <c r="CI83" s="789"/>
      <c r="CJ83" s="790">
        <v>0.85</v>
      </c>
      <c r="CK83" s="410"/>
      <c r="CL83" s="410"/>
      <c r="CM83" s="410"/>
      <c r="CN83" s="410"/>
      <c r="CO83" s="784"/>
      <c r="CP83" s="780"/>
      <c r="CQ83" s="410"/>
      <c r="CR83" s="410"/>
      <c r="CS83" s="791" t="s">
        <v>864</v>
      </c>
      <c r="CT83" s="787"/>
      <c r="CU83" s="788">
        <v>0.8</v>
      </c>
      <c r="CV83" s="788">
        <v>0.85</v>
      </c>
      <c r="CW83" s="789"/>
      <c r="CX83" s="790">
        <v>0.85</v>
      </c>
    </row>
    <row r="84" spans="9:102">
      <c r="I84" s="595"/>
      <c r="J84" s="177"/>
      <c r="K84" s="177"/>
      <c r="L84" s="177"/>
      <c r="M84" s="639" t="s">
        <v>861</v>
      </c>
      <c r="N84" s="603">
        <v>0.25</v>
      </c>
      <c r="O84" s="616"/>
      <c r="P84" s="616"/>
      <c r="Q84" s="616"/>
      <c r="R84" s="610">
        <v>0.25</v>
      </c>
      <c r="W84" s="595"/>
      <c r="X84" s="177"/>
      <c r="Y84" s="177"/>
      <c r="Z84" s="177"/>
      <c r="AA84" s="639" t="s">
        <v>861</v>
      </c>
      <c r="AB84" s="603">
        <v>0.25</v>
      </c>
      <c r="AC84" s="616"/>
      <c r="AD84" s="616"/>
      <c r="AE84" s="616"/>
      <c r="AF84" s="610">
        <v>0.25</v>
      </c>
      <c r="AH84" s="410"/>
      <c r="AI84" s="410"/>
      <c r="AJ84" s="410"/>
      <c r="AK84" s="784"/>
      <c r="AL84" s="780"/>
      <c r="AM84" s="410"/>
      <c r="AN84" s="410"/>
      <c r="AO84" s="791" t="s">
        <v>861</v>
      </c>
      <c r="AP84" s="792">
        <v>0.25</v>
      </c>
      <c r="AQ84" s="789"/>
      <c r="AR84" s="789"/>
      <c r="AS84" s="789"/>
      <c r="AT84" s="790">
        <v>0.25</v>
      </c>
      <c r="AU84" s="410"/>
      <c r="AV84" s="410"/>
      <c r="AW84" s="410"/>
      <c r="AX84" s="410"/>
      <c r="AY84" s="784"/>
      <c r="AZ84" s="780"/>
      <c r="BA84" s="410"/>
      <c r="BB84" s="410"/>
      <c r="BC84" s="791" t="s">
        <v>861</v>
      </c>
      <c r="BD84" s="792">
        <v>0.25</v>
      </c>
      <c r="BE84" s="789"/>
      <c r="BF84" s="789"/>
      <c r="BG84" s="789"/>
      <c r="BH84" s="790">
        <v>0.25</v>
      </c>
      <c r="BI84" s="410"/>
      <c r="BJ84" s="410"/>
      <c r="BK84" s="410"/>
      <c r="BL84" s="410"/>
      <c r="BM84" s="784"/>
      <c r="BN84" s="780"/>
      <c r="BO84" s="410"/>
      <c r="BP84" s="410"/>
      <c r="BQ84" s="791" t="s">
        <v>861</v>
      </c>
      <c r="BR84" s="792">
        <v>0.25</v>
      </c>
      <c r="BS84" s="789"/>
      <c r="BT84" s="789"/>
      <c r="BU84" s="789"/>
      <c r="BV84" s="790">
        <v>0.25</v>
      </c>
      <c r="BW84" s="410"/>
      <c r="BX84" s="410"/>
      <c r="BY84" s="410"/>
      <c r="BZ84" s="410"/>
      <c r="CA84" s="784"/>
      <c r="CB84" s="780"/>
      <c r="CC84" s="410"/>
      <c r="CD84" s="410"/>
      <c r="CE84" s="791" t="s">
        <v>861</v>
      </c>
      <c r="CF84" s="792">
        <v>0.25</v>
      </c>
      <c r="CG84" s="789"/>
      <c r="CH84" s="789"/>
      <c r="CI84" s="789"/>
      <c r="CJ84" s="790">
        <v>0.25</v>
      </c>
      <c r="CK84" s="410"/>
      <c r="CL84" s="410"/>
      <c r="CM84" s="410"/>
      <c r="CN84" s="410"/>
      <c r="CO84" s="784"/>
      <c r="CP84" s="780"/>
      <c r="CQ84" s="410"/>
      <c r="CR84" s="410"/>
      <c r="CS84" s="791" t="s">
        <v>861</v>
      </c>
      <c r="CT84" s="792">
        <v>0.25</v>
      </c>
      <c r="CU84" s="789"/>
      <c r="CV84" s="789"/>
      <c r="CW84" s="789"/>
      <c r="CX84" s="790">
        <v>0.25</v>
      </c>
    </row>
    <row r="85" spans="9:102">
      <c r="I85" s="595"/>
      <c r="J85" s="177"/>
      <c r="K85" s="177"/>
      <c r="L85" s="177"/>
      <c r="M85" s="639" t="s">
        <v>865</v>
      </c>
      <c r="N85" s="603">
        <v>0.3</v>
      </c>
      <c r="O85" s="609">
        <v>0.75</v>
      </c>
      <c r="P85" s="616"/>
      <c r="Q85" s="609">
        <v>0.27</v>
      </c>
      <c r="R85" s="610">
        <v>0.3</v>
      </c>
      <c r="W85" s="595"/>
      <c r="X85" s="177"/>
      <c r="Y85" s="177"/>
      <c r="Z85" s="177"/>
      <c r="AA85" s="639" t="s">
        <v>865</v>
      </c>
      <c r="AB85" s="603">
        <v>0.3</v>
      </c>
      <c r="AC85" s="609">
        <v>0.75</v>
      </c>
      <c r="AD85" s="616"/>
      <c r="AE85" s="609">
        <v>0.27</v>
      </c>
      <c r="AF85" s="610">
        <v>0.3</v>
      </c>
      <c r="AH85" s="410"/>
      <c r="AI85" s="410"/>
      <c r="AJ85" s="410"/>
      <c r="AK85" s="784"/>
      <c r="AL85" s="780"/>
      <c r="AM85" s="410"/>
      <c r="AN85" s="410"/>
      <c r="AO85" s="791" t="s">
        <v>865</v>
      </c>
      <c r="AP85" s="792">
        <v>0.3</v>
      </c>
      <c r="AQ85" s="788">
        <v>0.75</v>
      </c>
      <c r="AR85" s="789"/>
      <c r="AS85" s="788">
        <v>0.27</v>
      </c>
      <c r="AT85" s="790">
        <v>0.3</v>
      </c>
      <c r="AU85" s="410"/>
      <c r="AV85" s="410"/>
      <c r="AW85" s="410"/>
      <c r="AX85" s="410"/>
      <c r="AY85" s="784"/>
      <c r="AZ85" s="780"/>
      <c r="BA85" s="410"/>
      <c r="BB85" s="410"/>
      <c r="BC85" s="791" t="s">
        <v>865</v>
      </c>
      <c r="BD85" s="792">
        <v>0.3</v>
      </c>
      <c r="BE85" s="788">
        <v>0.75</v>
      </c>
      <c r="BF85" s="789"/>
      <c r="BG85" s="788">
        <v>0.27</v>
      </c>
      <c r="BH85" s="790">
        <v>0.3</v>
      </c>
      <c r="BI85" s="410"/>
      <c r="BJ85" s="410"/>
      <c r="BK85" s="410"/>
      <c r="BL85" s="410"/>
      <c r="BM85" s="784"/>
      <c r="BN85" s="780"/>
      <c r="BO85" s="410"/>
      <c r="BP85" s="410"/>
      <c r="BQ85" s="791" t="s">
        <v>865</v>
      </c>
      <c r="BR85" s="792">
        <v>0.3</v>
      </c>
      <c r="BS85" s="788">
        <v>0.75</v>
      </c>
      <c r="BT85" s="789"/>
      <c r="BU85" s="788">
        <v>0.27</v>
      </c>
      <c r="BV85" s="790">
        <v>0.3</v>
      </c>
      <c r="BW85" s="410"/>
      <c r="BX85" s="410"/>
      <c r="BY85" s="410"/>
      <c r="BZ85" s="410"/>
      <c r="CA85" s="784"/>
      <c r="CB85" s="780"/>
      <c r="CC85" s="410"/>
      <c r="CD85" s="410"/>
      <c r="CE85" s="791" t="s">
        <v>865</v>
      </c>
      <c r="CF85" s="792">
        <v>0.3</v>
      </c>
      <c r="CG85" s="788">
        <v>0.75</v>
      </c>
      <c r="CH85" s="789"/>
      <c r="CI85" s="788">
        <v>0.27</v>
      </c>
      <c r="CJ85" s="790">
        <v>0.3</v>
      </c>
      <c r="CK85" s="410"/>
      <c r="CL85" s="410"/>
      <c r="CM85" s="410"/>
      <c r="CN85" s="410"/>
      <c r="CO85" s="784"/>
      <c r="CP85" s="780"/>
      <c r="CQ85" s="410"/>
      <c r="CR85" s="410"/>
      <c r="CS85" s="791" t="s">
        <v>865</v>
      </c>
      <c r="CT85" s="792">
        <v>0.3</v>
      </c>
      <c r="CU85" s="788">
        <v>0.75</v>
      </c>
      <c r="CV85" s="789"/>
      <c r="CW85" s="788">
        <v>0.27</v>
      </c>
      <c r="CX85" s="790">
        <v>0.3</v>
      </c>
    </row>
    <row r="86" spans="9:102">
      <c r="I86" s="595"/>
      <c r="J86" s="177"/>
      <c r="K86" s="177"/>
      <c r="L86" s="177"/>
      <c r="M86" s="639" t="s">
        <v>866</v>
      </c>
      <c r="N86" s="613"/>
      <c r="O86" s="609">
        <v>0.75</v>
      </c>
      <c r="P86" s="609">
        <v>0.8</v>
      </c>
      <c r="Q86" s="616"/>
      <c r="R86" s="610">
        <v>0.8</v>
      </c>
      <c r="W86" s="595"/>
      <c r="X86" s="177"/>
      <c r="Y86" s="177"/>
      <c r="Z86" s="177"/>
      <c r="AA86" s="639" t="s">
        <v>866</v>
      </c>
      <c r="AB86" s="613"/>
      <c r="AC86" s="609">
        <v>0.75</v>
      </c>
      <c r="AD86" s="609">
        <v>0.8</v>
      </c>
      <c r="AE86" s="616"/>
      <c r="AF86" s="610">
        <v>0.8</v>
      </c>
      <c r="AH86" s="410"/>
      <c r="AI86" s="410"/>
      <c r="AJ86" s="410"/>
      <c r="AK86" s="784"/>
      <c r="AL86" s="780"/>
      <c r="AM86" s="410"/>
      <c r="AN86" s="410"/>
      <c r="AO86" s="791" t="s">
        <v>866</v>
      </c>
      <c r="AP86" s="787"/>
      <c r="AQ86" s="788">
        <v>0.75</v>
      </c>
      <c r="AR86" s="788">
        <v>0.8</v>
      </c>
      <c r="AS86" s="789"/>
      <c r="AT86" s="790">
        <v>0.8</v>
      </c>
      <c r="AU86" s="410"/>
      <c r="AV86" s="410"/>
      <c r="AW86" s="410"/>
      <c r="AX86" s="410"/>
      <c r="AY86" s="784"/>
      <c r="AZ86" s="780"/>
      <c r="BA86" s="410"/>
      <c r="BB86" s="410"/>
      <c r="BC86" s="791" t="s">
        <v>866</v>
      </c>
      <c r="BD86" s="787"/>
      <c r="BE86" s="788">
        <v>0.75</v>
      </c>
      <c r="BF86" s="788">
        <v>0.8</v>
      </c>
      <c r="BG86" s="789"/>
      <c r="BH86" s="790">
        <v>0.8</v>
      </c>
      <c r="BI86" s="410"/>
      <c r="BJ86" s="410"/>
      <c r="BK86" s="410"/>
      <c r="BL86" s="410"/>
      <c r="BM86" s="784"/>
      <c r="BN86" s="780"/>
      <c r="BO86" s="410"/>
      <c r="BP86" s="410"/>
      <c r="BQ86" s="791" t="s">
        <v>866</v>
      </c>
      <c r="BR86" s="787"/>
      <c r="BS86" s="788">
        <v>0.75</v>
      </c>
      <c r="BT86" s="788">
        <v>0.8</v>
      </c>
      <c r="BU86" s="789"/>
      <c r="BV86" s="790">
        <v>0.8</v>
      </c>
      <c r="BW86" s="410"/>
      <c r="BX86" s="410"/>
      <c r="BY86" s="410"/>
      <c r="BZ86" s="410"/>
      <c r="CA86" s="784"/>
      <c r="CB86" s="780"/>
      <c r="CC86" s="410"/>
      <c r="CD86" s="410"/>
      <c r="CE86" s="791" t="s">
        <v>866</v>
      </c>
      <c r="CF86" s="787"/>
      <c r="CG86" s="788">
        <v>0.75</v>
      </c>
      <c r="CH86" s="788">
        <v>0.8</v>
      </c>
      <c r="CI86" s="789"/>
      <c r="CJ86" s="790">
        <v>0.8</v>
      </c>
      <c r="CK86" s="410"/>
      <c r="CL86" s="410"/>
      <c r="CM86" s="410"/>
      <c r="CN86" s="410"/>
      <c r="CO86" s="784"/>
      <c r="CP86" s="780"/>
      <c r="CQ86" s="410"/>
      <c r="CR86" s="410"/>
      <c r="CS86" s="791" t="s">
        <v>866</v>
      </c>
      <c r="CT86" s="787"/>
      <c r="CU86" s="788">
        <v>0.75</v>
      </c>
      <c r="CV86" s="788">
        <v>0.8</v>
      </c>
      <c r="CW86" s="789"/>
      <c r="CX86" s="790">
        <v>0.8</v>
      </c>
    </row>
    <row r="87" spans="9:102">
      <c r="I87" s="595"/>
      <c r="J87" s="177"/>
      <c r="K87" s="177"/>
      <c r="L87" s="177"/>
      <c r="M87" s="639" t="s">
        <v>677</v>
      </c>
      <c r="N87" s="603">
        <v>0.8</v>
      </c>
      <c r="O87" s="609">
        <v>0.85</v>
      </c>
      <c r="P87" s="609">
        <v>0.98</v>
      </c>
      <c r="Q87" s="609">
        <v>1</v>
      </c>
      <c r="R87" s="610">
        <v>0.9</v>
      </c>
      <c r="W87" s="595"/>
      <c r="X87" s="177"/>
      <c r="Y87" s="177"/>
      <c r="Z87" s="177"/>
      <c r="AA87" s="639" t="s">
        <v>677</v>
      </c>
      <c r="AB87" s="603">
        <v>0.8</v>
      </c>
      <c r="AC87" s="609">
        <v>0.85</v>
      </c>
      <c r="AD87" s="609">
        <v>0.98</v>
      </c>
      <c r="AE87" s="609">
        <v>1</v>
      </c>
      <c r="AF87" s="610">
        <v>0.9</v>
      </c>
      <c r="AH87" s="410"/>
      <c r="AI87" s="410"/>
      <c r="AJ87" s="410"/>
      <c r="AK87" s="784"/>
      <c r="AL87" s="780"/>
      <c r="AM87" s="410"/>
      <c r="AN87" s="410"/>
      <c r="AO87" s="791" t="s">
        <v>677</v>
      </c>
      <c r="AP87" s="792">
        <v>0.8</v>
      </c>
      <c r="AQ87" s="788">
        <v>0.85</v>
      </c>
      <c r="AR87" s="788">
        <v>0.98</v>
      </c>
      <c r="AS87" s="788">
        <v>1</v>
      </c>
      <c r="AT87" s="790">
        <v>0.9</v>
      </c>
      <c r="AU87" s="410"/>
      <c r="AV87" s="410"/>
      <c r="AW87" s="410"/>
      <c r="AX87" s="410"/>
      <c r="AY87" s="784"/>
      <c r="AZ87" s="780"/>
      <c r="BA87" s="410"/>
      <c r="BB87" s="410"/>
      <c r="BC87" s="791" t="s">
        <v>677</v>
      </c>
      <c r="BD87" s="792">
        <v>0.8</v>
      </c>
      <c r="BE87" s="788">
        <v>0.85</v>
      </c>
      <c r="BF87" s="788">
        <v>0.98</v>
      </c>
      <c r="BG87" s="788">
        <v>1</v>
      </c>
      <c r="BH87" s="790">
        <v>0.9</v>
      </c>
      <c r="BI87" s="410"/>
      <c r="BJ87" s="410"/>
      <c r="BK87" s="410"/>
      <c r="BL87" s="410"/>
      <c r="BM87" s="784"/>
      <c r="BN87" s="780"/>
      <c r="BO87" s="410"/>
      <c r="BP87" s="410"/>
      <c r="BQ87" s="791" t="s">
        <v>677</v>
      </c>
      <c r="BR87" s="792">
        <v>0.8</v>
      </c>
      <c r="BS87" s="788">
        <v>0.85</v>
      </c>
      <c r="BT87" s="788">
        <v>0.98</v>
      </c>
      <c r="BU87" s="788">
        <v>1</v>
      </c>
      <c r="BV87" s="790">
        <v>0.9</v>
      </c>
      <c r="BW87" s="410"/>
      <c r="BX87" s="410"/>
      <c r="BY87" s="410"/>
      <c r="BZ87" s="410"/>
      <c r="CA87" s="784"/>
      <c r="CB87" s="780"/>
      <c r="CC87" s="410"/>
      <c r="CD87" s="410"/>
      <c r="CE87" s="791" t="s">
        <v>677</v>
      </c>
      <c r="CF87" s="792">
        <v>0.8</v>
      </c>
      <c r="CG87" s="788">
        <v>0.85</v>
      </c>
      <c r="CH87" s="788">
        <v>0.98</v>
      </c>
      <c r="CI87" s="788">
        <v>1</v>
      </c>
      <c r="CJ87" s="790">
        <v>0.9</v>
      </c>
      <c r="CK87" s="410"/>
      <c r="CL87" s="410"/>
      <c r="CM87" s="410"/>
      <c r="CN87" s="410"/>
      <c r="CO87" s="784"/>
      <c r="CP87" s="780"/>
      <c r="CQ87" s="410"/>
      <c r="CR87" s="410"/>
      <c r="CS87" s="791" t="s">
        <v>677</v>
      </c>
      <c r="CT87" s="792">
        <v>0.8</v>
      </c>
      <c r="CU87" s="788">
        <v>0.85</v>
      </c>
      <c r="CV87" s="788">
        <v>0.98</v>
      </c>
      <c r="CW87" s="788">
        <v>1</v>
      </c>
      <c r="CX87" s="790">
        <v>0.9</v>
      </c>
    </row>
    <row r="88" spans="9:102" ht="13.5" thickBot="1">
      <c r="I88" s="595"/>
      <c r="J88" s="177"/>
      <c r="K88" s="177"/>
      <c r="L88" s="177"/>
      <c r="M88" s="640" t="s">
        <v>854</v>
      </c>
      <c r="N88" s="614"/>
      <c r="O88" s="615"/>
      <c r="P88" s="611">
        <v>0.9</v>
      </c>
      <c r="Q88" s="615"/>
      <c r="R88" s="612">
        <v>0.9</v>
      </c>
      <c r="W88" s="595"/>
      <c r="X88" s="177"/>
      <c r="Y88" s="177"/>
      <c r="Z88" s="177"/>
      <c r="AA88" s="640" t="s">
        <v>854</v>
      </c>
      <c r="AB88" s="614"/>
      <c r="AC88" s="615"/>
      <c r="AD88" s="611">
        <v>0.9</v>
      </c>
      <c r="AE88" s="615"/>
      <c r="AF88" s="612">
        <v>0.9</v>
      </c>
      <c r="AH88" s="410"/>
      <c r="AI88" s="410"/>
      <c r="AJ88" s="410"/>
      <c r="AK88" s="784"/>
      <c r="AL88" s="780"/>
      <c r="AM88" s="410"/>
      <c r="AN88" s="410"/>
      <c r="AO88" s="793" t="s">
        <v>854</v>
      </c>
      <c r="AP88" s="794"/>
      <c r="AQ88" s="795"/>
      <c r="AR88" s="796">
        <v>0.9</v>
      </c>
      <c r="AS88" s="795"/>
      <c r="AT88" s="797">
        <v>0.9</v>
      </c>
      <c r="AU88" s="410"/>
      <c r="AV88" s="410"/>
      <c r="AW88" s="410"/>
      <c r="AX88" s="410"/>
      <c r="AY88" s="784"/>
      <c r="AZ88" s="780"/>
      <c r="BA88" s="410"/>
      <c r="BB88" s="410"/>
      <c r="BC88" s="793" t="s">
        <v>854</v>
      </c>
      <c r="BD88" s="794"/>
      <c r="BE88" s="795"/>
      <c r="BF88" s="796">
        <v>0.9</v>
      </c>
      <c r="BG88" s="795"/>
      <c r="BH88" s="797">
        <v>0.9</v>
      </c>
      <c r="BI88" s="410"/>
      <c r="BJ88" s="410"/>
      <c r="BK88" s="410"/>
      <c r="BL88" s="410"/>
      <c r="BM88" s="784"/>
      <c r="BN88" s="780"/>
      <c r="BO88" s="410"/>
      <c r="BP88" s="410"/>
      <c r="BQ88" s="793" t="s">
        <v>854</v>
      </c>
      <c r="BR88" s="794"/>
      <c r="BS88" s="795"/>
      <c r="BT88" s="796">
        <v>0.9</v>
      </c>
      <c r="BU88" s="795"/>
      <c r="BV88" s="797">
        <v>0.9</v>
      </c>
      <c r="BW88" s="410"/>
      <c r="BX88" s="410"/>
      <c r="BY88" s="410"/>
      <c r="BZ88" s="410"/>
      <c r="CA88" s="784"/>
      <c r="CB88" s="780"/>
      <c r="CC88" s="410"/>
      <c r="CD88" s="410"/>
      <c r="CE88" s="793" t="s">
        <v>854</v>
      </c>
      <c r="CF88" s="794"/>
      <c r="CG88" s="795"/>
      <c r="CH88" s="796">
        <v>0.9</v>
      </c>
      <c r="CI88" s="795"/>
      <c r="CJ88" s="797">
        <v>0.9</v>
      </c>
      <c r="CK88" s="410"/>
      <c r="CL88" s="410"/>
      <c r="CM88" s="410"/>
      <c r="CN88" s="410"/>
      <c r="CO88" s="784"/>
      <c r="CP88" s="780"/>
      <c r="CQ88" s="410"/>
      <c r="CR88" s="410"/>
      <c r="CS88" s="793" t="s">
        <v>854</v>
      </c>
      <c r="CT88" s="794"/>
      <c r="CU88" s="795"/>
      <c r="CV88" s="796">
        <v>0.9</v>
      </c>
      <c r="CW88" s="795"/>
      <c r="CX88" s="797">
        <v>0.9</v>
      </c>
    </row>
    <row r="89" spans="9:102" ht="13.5" thickTop="1">
      <c r="I89" s="595"/>
      <c r="J89" s="177"/>
      <c r="K89" s="177"/>
      <c r="L89" s="177"/>
      <c r="M89" s="177"/>
      <c r="N89" s="975" t="s">
        <v>823</v>
      </c>
      <c r="O89" s="976"/>
      <c r="P89" s="976"/>
      <c r="Q89" s="976"/>
      <c r="R89" s="977"/>
      <c r="W89" s="595"/>
      <c r="X89" s="177"/>
      <c r="Y89" s="177"/>
      <c r="Z89" s="177"/>
      <c r="AA89" s="177"/>
      <c r="AB89" s="706" t="s">
        <v>823</v>
      </c>
      <c r="AC89" s="707"/>
      <c r="AD89" s="707"/>
      <c r="AE89" s="707"/>
      <c r="AF89" s="708"/>
      <c r="AH89" s="410"/>
      <c r="AI89" s="410"/>
      <c r="AJ89" s="410"/>
      <c r="AK89" s="784"/>
      <c r="AL89" s="780"/>
      <c r="AM89" s="410"/>
      <c r="AN89" s="410"/>
      <c r="AO89" s="410"/>
      <c r="AP89" s="975" t="s">
        <v>823</v>
      </c>
      <c r="AQ89" s="976"/>
      <c r="AR89" s="976"/>
      <c r="AS89" s="976"/>
      <c r="AT89" s="977"/>
      <c r="AU89" s="410"/>
      <c r="AV89" s="410"/>
      <c r="AW89" s="410"/>
      <c r="AX89" s="410"/>
      <c r="AY89" s="784"/>
      <c r="AZ89" s="780"/>
      <c r="BA89" s="410"/>
      <c r="BB89" s="410"/>
      <c r="BC89" s="410"/>
      <c r="BD89" s="884" t="s">
        <v>823</v>
      </c>
      <c r="BE89" s="885"/>
      <c r="BF89" s="885"/>
      <c r="BG89" s="885"/>
      <c r="BH89" s="886"/>
      <c r="BI89" s="410"/>
      <c r="BJ89" s="410"/>
      <c r="BK89" s="410"/>
      <c r="BL89" s="410"/>
      <c r="BM89" s="784"/>
      <c r="BN89" s="780"/>
      <c r="BO89" s="410"/>
      <c r="BP89" s="410"/>
      <c r="BQ89" s="410"/>
      <c r="BR89" s="884" t="s">
        <v>823</v>
      </c>
      <c r="BS89" s="885"/>
      <c r="BT89" s="885"/>
      <c r="BU89" s="885"/>
      <c r="BV89" s="886"/>
      <c r="BW89" s="410"/>
      <c r="BX89" s="410"/>
      <c r="BY89" s="410"/>
      <c r="BZ89" s="410"/>
      <c r="CA89" s="784"/>
      <c r="CB89" s="780"/>
      <c r="CC89" s="410"/>
      <c r="CD89" s="410"/>
      <c r="CE89" s="410"/>
      <c r="CF89" s="884" t="s">
        <v>823</v>
      </c>
      <c r="CG89" s="885"/>
      <c r="CH89" s="885"/>
      <c r="CI89" s="885"/>
      <c r="CJ89" s="886"/>
      <c r="CK89" s="410"/>
      <c r="CL89" s="410"/>
      <c r="CM89" s="410"/>
      <c r="CN89" s="410"/>
      <c r="CO89" s="784"/>
      <c r="CP89" s="780"/>
      <c r="CQ89" s="410"/>
      <c r="CR89" s="410"/>
      <c r="CS89" s="410"/>
      <c r="CT89" s="884" t="s">
        <v>823</v>
      </c>
      <c r="CU89" s="885"/>
      <c r="CV89" s="885"/>
      <c r="CW89" s="885"/>
      <c r="CX89" s="886"/>
    </row>
    <row r="90" spans="9:102">
      <c r="I90" s="595"/>
      <c r="J90" s="177"/>
      <c r="K90" s="177"/>
      <c r="L90" s="177"/>
      <c r="M90" s="177"/>
      <c r="N90" s="617">
        <f>N57*N76</f>
        <v>0</v>
      </c>
      <c r="O90" s="473">
        <f>O57*O76</f>
        <v>845</v>
      </c>
      <c r="P90" s="473">
        <f>P57*P76</f>
        <v>4094.9999999999995</v>
      </c>
      <c r="Q90" s="618">
        <f t="shared" ref="Q90:R90" si="61">Q57*Q76</f>
        <v>0</v>
      </c>
      <c r="R90" s="474">
        <f t="shared" si="61"/>
        <v>4094.9999999999995</v>
      </c>
      <c r="W90" s="595"/>
      <c r="X90" s="177"/>
      <c r="Y90" s="177"/>
      <c r="Z90" s="177"/>
      <c r="AA90" s="177"/>
      <c r="AB90" s="617">
        <f>AB57*AB76</f>
        <v>0</v>
      </c>
      <c r="AC90" s="473">
        <f>AC57*AC76</f>
        <v>0</v>
      </c>
      <c r="AD90" s="473">
        <f>AD57*AD76</f>
        <v>0</v>
      </c>
      <c r="AE90" s="618">
        <f t="shared" ref="AE90:AF90" si="62">AE57*AE76</f>
        <v>0</v>
      </c>
      <c r="AF90" s="474">
        <f t="shared" si="62"/>
        <v>0</v>
      </c>
      <c r="AH90" s="410"/>
      <c r="AI90" s="410"/>
      <c r="AJ90" s="410"/>
      <c r="AK90" s="784"/>
      <c r="AL90" s="780"/>
      <c r="AM90" s="410"/>
      <c r="AN90" s="410"/>
      <c r="AO90" s="410"/>
      <c r="AP90" s="798">
        <f>AP57*AP76</f>
        <v>0</v>
      </c>
      <c r="AQ90" s="799">
        <f>AQ57*AQ76</f>
        <v>812.5</v>
      </c>
      <c r="AR90" s="799">
        <f>AR57*AR76</f>
        <v>3937.4999999999995</v>
      </c>
      <c r="AS90" s="800">
        <f t="shared" ref="AS90:AT90" si="63">AS57*AS76</f>
        <v>0</v>
      </c>
      <c r="AT90" s="801">
        <f t="shared" si="63"/>
        <v>3937.4999999999995</v>
      </c>
      <c r="AU90" s="410"/>
      <c r="AV90" s="410"/>
      <c r="AW90" s="410"/>
      <c r="AX90" s="410"/>
      <c r="AY90" s="784"/>
      <c r="AZ90" s="780"/>
      <c r="BA90" s="410"/>
      <c r="BB90" s="410"/>
      <c r="BC90" s="410"/>
      <c r="BD90" s="798">
        <f>BD57*BD76</f>
        <v>0</v>
      </c>
      <c r="BE90" s="799">
        <f>BE57*BE76</f>
        <v>650</v>
      </c>
      <c r="BF90" s="799">
        <f>BF57*BF76</f>
        <v>3150</v>
      </c>
      <c r="BG90" s="800">
        <f t="shared" ref="BG90:BH90" si="64">BG57*BG76</f>
        <v>0</v>
      </c>
      <c r="BH90" s="801">
        <f t="shared" si="64"/>
        <v>3150</v>
      </c>
      <c r="BI90" s="410"/>
      <c r="BJ90" s="410"/>
      <c r="BK90" s="410"/>
      <c r="BL90" s="410"/>
      <c r="BM90" s="784"/>
      <c r="BN90" s="780"/>
      <c r="BO90" s="410"/>
      <c r="BP90" s="410"/>
      <c r="BQ90" s="410"/>
      <c r="BR90" s="798">
        <f>BR57*BR76</f>
        <v>0</v>
      </c>
      <c r="BS90" s="799">
        <f>BS57*BS76</f>
        <v>487.5</v>
      </c>
      <c r="BT90" s="799">
        <f>BT57*BT76</f>
        <v>2362.5</v>
      </c>
      <c r="BU90" s="800">
        <f t="shared" ref="BU90:BV90" si="65">BU57*BU76</f>
        <v>0</v>
      </c>
      <c r="BV90" s="801">
        <f t="shared" si="65"/>
        <v>2362.5</v>
      </c>
      <c r="BW90" s="410"/>
      <c r="BX90" s="410"/>
      <c r="BY90" s="410"/>
      <c r="BZ90" s="410"/>
      <c r="CA90" s="784"/>
      <c r="CB90" s="780"/>
      <c r="CC90" s="410"/>
      <c r="CD90" s="410"/>
      <c r="CE90" s="410"/>
      <c r="CF90" s="798">
        <f>CF57*CF76</f>
        <v>0</v>
      </c>
      <c r="CG90" s="799">
        <f>CG57*CG76</f>
        <v>325</v>
      </c>
      <c r="CH90" s="799">
        <f>CH57*CH76</f>
        <v>1575</v>
      </c>
      <c r="CI90" s="800">
        <f t="shared" ref="CI90:CJ90" si="66">CI57*CI76</f>
        <v>0</v>
      </c>
      <c r="CJ90" s="801">
        <f t="shared" si="66"/>
        <v>1575</v>
      </c>
      <c r="CK90" s="410"/>
      <c r="CL90" s="410"/>
      <c r="CM90" s="410"/>
      <c r="CN90" s="410"/>
      <c r="CO90" s="784"/>
      <c r="CP90" s="780"/>
      <c r="CQ90" s="410"/>
      <c r="CR90" s="410"/>
      <c r="CS90" s="410"/>
      <c r="CT90" s="798">
        <f>CT57*CT76</f>
        <v>0</v>
      </c>
      <c r="CU90" s="799">
        <f>CU57*CU76</f>
        <v>162.5</v>
      </c>
      <c r="CV90" s="799">
        <f>CV57*CV76</f>
        <v>787.5</v>
      </c>
      <c r="CW90" s="800">
        <f t="shared" ref="CW90:CX90" si="67">CW57*CW76</f>
        <v>0</v>
      </c>
      <c r="CX90" s="801">
        <f t="shared" si="67"/>
        <v>787.5</v>
      </c>
    </row>
    <row r="91" spans="9:102">
      <c r="I91" s="595"/>
      <c r="J91" s="177"/>
      <c r="K91" s="177"/>
      <c r="L91" s="177"/>
      <c r="M91" s="177"/>
      <c r="N91" s="617">
        <f t="shared" ref="N91:R91" si="68">N58*N77</f>
        <v>0</v>
      </c>
      <c r="O91" s="473">
        <f t="shared" si="68"/>
        <v>9.6</v>
      </c>
      <c r="P91" s="473">
        <f t="shared" si="68"/>
        <v>38.4</v>
      </c>
      <c r="Q91" s="618">
        <f t="shared" si="68"/>
        <v>0</v>
      </c>
      <c r="R91" s="474">
        <f t="shared" si="68"/>
        <v>48</v>
      </c>
      <c r="W91" s="595"/>
      <c r="X91" s="177"/>
      <c r="Y91" s="177"/>
      <c r="Z91" s="177"/>
      <c r="AA91" s="177"/>
      <c r="AB91" s="617">
        <f t="shared" ref="AB91:AF91" si="69">AB58*AB77</f>
        <v>0</v>
      </c>
      <c r="AC91" s="473">
        <f t="shared" si="69"/>
        <v>0</v>
      </c>
      <c r="AD91" s="473">
        <f t="shared" si="69"/>
        <v>0</v>
      </c>
      <c r="AE91" s="618">
        <f t="shared" si="69"/>
        <v>0</v>
      </c>
      <c r="AF91" s="474">
        <f t="shared" si="69"/>
        <v>0</v>
      </c>
      <c r="AH91" s="410"/>
      <c r="AI91" s="410"/>
      <c r="AJ91" s="410"/>
      <c r="AK91" s="784"/>
      <c r="AL91" s="780"/>
      <c r="AM91" s="410"/>
      <c r="AN91" s="410"/>
      <c r="AO91" s="410"/>
      <c r="AP91" s="798">
        <f>AP58*AP77</f>
        <v>0</v>
      </c>
      <c r="AQ91" s="799">
        <f t="shared" ref="AQ91:AT91" si="70">AQ58*AQ77</f>
        <v>9.2307692400000008</v>
      </c>
      <c r="AR91" s="799">
        <f t="shared" si="70"/>
        <v>36.923076960000003</v>
      </c>
      <c r="AS91" s="800">
        <f t="shared" si="70"/>
        <v>0</v>
      </c>
      <c r="AT91" s="801">
        <f t="shared" si="70"/>
        <v>46.153846200000004</v>
      </c>
      <c r="AU91" s="410"/>
      <c r="AV91" s="410"/>
      <c r="AW91" s="410"/>
      <c r="AX91" s="410"/>
      <c r="AY91" s="784"/>
      <c r="AZ91" s="780"/>
      <c r="BA91" s="410"/>
      <c r="BB91" s="410"/>
      <c r="BC91" s="410"/>
      <c r="BD91" s="798">
        <f>BD58*BD77</f>
        <v>0</v>
      </c>
      <c r="BE91" s="799">
        <f t="shared" ref="BE91:BH91" si="71">BE58*BE77</f>
        <v>7.3846153799999996</v>
      </c>
      <c r="BF91" s="799">
        <f t="shared" si="71"/>
        <v>29.538461519999998</v>
      </c>
      <c r="BG91" s="800">
        <f t="shared" si="71"/>
        <v>0</v>
      </c>
      <c r="BH91" s="801">
        <f t="shared" si="71"/>
        <v>36.923076899999998</v>
      </c>
      <c r="BI91" s="410"/>
      <c r="BJ91" s="410"/>
      <c r="BK91" s="410"/>
      <c r="BL91" s="410"/>
      <c r="BM91" s="784"/>
      <c r="BN91" s="780"/>
      <c r="BO91" s="410"/>
      <c r="BP91" s="410"/>
      <c r="BQ91" s="410"/>
      <c r="BR91" s="798">
        <f>BR58*BR77</f>
        <v>0</v>
      </c>
      <c r="BS91" s="799">
        <f t="shared" ref="BS91:BV91" si="72">BS58*BS77</f>
        <v>5.5384615200000002</v>
      </c>
      <c r="BT91" s="799">
        <f t="shared" si="72"/>
        <v>22.153846080000001</v>
      </c>
      <c r="BU91" s="800">
        <f t="shared" si="72"/>
        <v>0</v>
      </c>
      <c r="BV91" s="801">
        <f t="shared" si="72"/>
        <v>27.692307599999999</v>
      </c>
      <c r="BW91" s="410"/>
      <c r="BX91" s="410"/>
      <c r="BY91" s="410"/>
      <c r="BZ91" s="410"/>
      <c r="CA91" s="784"/>
      <c r="CB91" s="780"/>
      <c r="CC91" s="410"/>
      <c r="CD91" s="410"/>
      <c r="CE91" s="410"/>
      <c r="CF91" s="798">
        <f>CF58*CF77</f>
        <v>0</v>
      </c>
      <c r="CG91" s="799">
        <f t="shared" ref="CG91:CJ91" si="73">CG58*CG77</f>
        <v>3.69230766</v>
      </c>
      <c r="CH91" s="799">
        <f t="shared" si="73"/>
        <v>14.76923064</v>
      </c>
      <c r="CI91" s="800">
        <f t="shared" si="73"/>
        <v>0</v>
      </c>
      <c r="CJ91" s="801">
        <f t="shared" si="73"/>
        <v>18.461538299999997</v>
      </c>
      <c r="CK91" s="410"/>
      <c r="CL91" s="410"/>
      <c r="CM91" s="410"/>
      <c r="CN91" s="410"/>
      <c r="CO91" s="784"/>
      <c r="CP91" s="780"/>
      <c r="CQ91" s="410"/>
      <c r="CR91" s="410"/>
      <c r="CS91" s="410"/>
      <c r="CT91" s="798">
        <f>CT58*CT77</f>
        <v>0</v>
      </c>
      <c r="CU91" s="799">
        <f t="shared" ref="CU91:CX91" si="74">CU58*CU77</f>
        <v>1.8461538000000002</v>
      </c>
      <c r="CV91" s="799">
        <f t="shared" si="74"/>
        <v>7.3846152000000007</v>
      </c>
      <c r="CW91" s="800">
        <f t="shared" si="74"/>
        <v>0</v>
      </c>
      <c r="CX91" s="801">
        <f t="shared" si="74"/>
        <v>9.2307690000000004</v>
      </c>
    </row>
    <row r="92" spans="9:102">
      <c r="I92" s="595"/>
      <c r="J92" s="177"/>
      <c r="K92" s="177"/>
      <c r="L92" s="177"/>
      <c r="M92" s="177"/>
      <c r="N92" s="617">
        <f t="shared" ref="N92:R92" si="75">N59*N78</f>
        <v>0</v>
      </c>
      <c r="O92" s="473">
        <f t="shared" si="75"/>
        <v>665.21462400000007</v>
      </c>
      <c r="P92" s="473">
        <f t="shared" si="75"/>
        <v>471.19369199999994</v>
      </c>
      <c r="Q92" s="618">
        <f t="shared" si="75"/>
        <v>0</v>
      </c>
      <c r="R92" s="474">
        <f t="shared" si="75"/>
        <v>392.66140999999999</v>
      </c>
      <c r="W92" s="595"/>
      <c r="X92" s="177"/>
      <c r="Y92" s="177"/>
      <c r="Z92" s="177"/>
      <c r="AA92" s="177"/>
      <c r="AB92" s="617">
        <f t="shared" ref="AB92:AF92" si="76">AB59*AB78</f>
        <v>0</v>
      </c>
      <c r="AC92" s="473">
        <f t="shared" si="76"/>
        <v>360</v>
      </c>
      <c r="AD92" s="473">
        <f t="shared" si="76"/>
        <v>255</v>
      </c>
      <c r="AE92" s="618">
        <f t="shared" si="76"/>
        <v>0</v>
      </c>
      <c r="AF92" s="474">
        <f t="shared" si="76"/>
        <v>212.5</v>
      </c>
      <c r="AH92" s="410"/>
      <c r="AI92" s="410"/>
      <c r="AJ92" s="410"/>
      <c r="AK92" s="784"/>
      <c r="AL92" s="780"/>
      <c r="AM92" s="410"/>
      <c r="AN92" s="410"/>
      <c r="AO92" s="410"/>
      <c r="AP92" s="798">
        <f>AP59*AP78</f>
        <v>0</v>
      </c>
      <c r="AQ92" s="799">
        <f t="shared" ref="AQ92:AT92" si="77">AQ59*AQ78</f>
        <v>653.4756000000001</v>
      </c>
      <c r="AR92" s="799">
        <f t="shared" si="77"/>
        <v>462.87854999999996</v>
      </c>
      <c r="AS92" s="800">
        <f t="shared" si="77"/>
        <v>0</v>
      </c>
      <c r="AT92" s="801">
        <f t="shared" si="77"/>
        <v>385.732125</v>
      </c>
      <c r="AU92" s="410"/>
      <c r="AV92" s="410"/>
      <c r="AW92" s="410"/>
      <c r="AX92" s="410"/>
      <c r="AY92" s="784"/>
      <c r="AZ92" s="780"/>
      <c r="BA92" s="410"/>
      <c r="BB92" s="410"/>
      <c r="BC92" s="410"/>
      <c r="BD92" s="798">
        <f>BD59*BD78</f>
        <v>0</v>
      </c>
      <c r="BE92" s="799">
        <f t="shared" ref="BE92:BH92" si="78">BE59*BE78</f>
        <v>594.78048000000001</v>
      </c>
      <c r="BF92" s="799">
        <f t="shared" si="78"/>
        <v>421.30283999999995</v>
      </c>
      <c r="BG92" s="800">
        <f t="shared" si="78"/>
        <v>0</v>
      </c>
      <c r="BH92" s="801">
        <f t="shared" si="78"/>
        <v>351.08569999999997</v>
      </c>
      <c r="BI92" s="410"/>
      <c r="BJ92" s="410"/>
      <c r="BK92" s="410"/>
      <c r="BL92" s="410"/>
      <c r="BM92" s="784"/>
      <c r="BN92" s="780"/>
      <c r="BO92" s="410"/>
      <c r="BP92" s="410"/>
      <c r="BQ92" s="410"/>
      <c r="BR92" s="798">
        <f>BR59*BR78</f>
        <v>0</v>
      </c>
      <c r="BS92" s="799">
        <f t="shared" ref="BS92:BV92" si="79">BS59*BS78</f>
        <v>536.08536000000004</v>
      </c>
      <c r="BT92" s="799">
        <f t="shared" si="79"/>
        <v>379.72712999999999</v>
      </c>
      <c r="BU92" s="800">
        <f t="shared" si="79"/>
        <v>0</v>
      </c>
      <c r="BV92" s="801">
        <f t="shared" si="79"/>
        <v>316.43927500000001</v>
      </c>
      <c r="BW92" s="410"/>
      <c r="BX92" s="410"/>
      <c r="BY92" s="410"/>
      <c r="BZ92" s="410"/>
      <c r="CA92" s="784"/>
      <c r="CB92" s="780"/>
      <c r="CC92" s="410"/>
      <c r="CD92" s="410"/>
      <c r="CE92" s="410"/>
      <c r="CF92" s="798">
        <f>CF59*CF78</f>
        <v>0</v>
      </c>
      <c r="CG92" s="799">
        <f t="shared" ref="CG92:CJ92" si="80">CG59*CG78</f>
        <v>477.39024000000001</v>
      </c>
      <c r="CH92" s="799">
        <f t="shared" si="80"/>
        <v>338.15141999999997</v>
      </c>
      <c r="CI92" s="800">
        <f t="shared" si="80"/>
        <v>0</v>
      </c>
      <c r="CJ92" s="801">
        <f t="shared" si="80"/>
        <v>281.79284999999999</v>
      </c>
      <c r="CK92" s="410"/>
      <c r="CL92" s="410"/>
      <c r="CM92" s="410"/>
      <c r="CN92" s="410"/>
      <c r="CO92" s="784"/>
      <c r="CP92" s="780"/>
      <c r="CQ92" s="410"/>
      <c r="CR92" s="410"/>
      <c r="CS92" s="410"/>
      <c r="CT92" s="798">
        <f>CT59*CT78</f>
        <v>0</v>
      </c>
      <c r="CU92" s="799">
        <f t="shared" ref="CU92:CX92" si="81">CU59*CU78</f>
        <v>418.69511999999997</v>
      </c>
      <c r="CV92" s="799">
        <f t="shared" si="81"/>
        <v>296.57570999999996</v>
      </c>
      <c r="CW92" s="800">
        <f t="shared" si="81"/>
        <v>0</v>
      </c>
      <c r="CX92" s="801">
        <f t="shared" si="81"/>
        <v>247.14642499999997</v>
      </c>
    </row>
    <row r="93" spans="9:102">
      <c r="I93" s="595"/>
      <c r="J93" s="177"/>
      <c r="K93" s="177"/>
      <c r="L93" s="177"/>
      <c r="M93" s="177"/>
      <c r="N93" s="617">
        <f t="shared" ref="N93:R93" si="82">N60*N79</f>
        <v>0</v>
      </c>
      <c r="O93" s="473">
        <f t="shared" si="82"/>
        <v>1111.7577139279999</v>
      </c>
      <c r="P93" s="473">
        <f t="shared" si="82"/>
        <v>4005.5976457699994</v>
      </c>
      <c r="Q93" s="618">
        <f t="shared" si="82"/>
        <v>0</v>
      </c>
      <c r="R93" s="474">
        <f t="shared" si="82"/>
        <v>6294.5105862099999</v>
      </c>
      <c r="W93" s="595"/>
      <c r="X93" s="177"/>
      <c r="Y93" s="177"/>
      <c r="Z93" s="177"/>
      <c r="AA93" s="177"/>
      <c r="AB93" s="617">
        <f t="shared" ref="AB93:AF93" si="83">AB60*AB79</f>
        <v>0</v>
      </c>
      <c r="AC93" s="473">
        <f t="shared" si="83"/>
        <v>680</v>
      </c>
      <c r="AD93" s="473">
        <f t="shared" si="83"/>
        <v>2450</v>
      </c>
      <c r="AE93" s="618">
        <f t="shared" si="83"/>
        <v>0</v>
      </c>
      <c r="AF93" s="474">
        <f t="shared" si="83"/>
        <v>3849.9999999999995</v>
      </c>
      <c r="AH93" s="410"/>
      <c r="AI93" s="410"/>
      <c r="AJ93" s="410"/>
      <c r="AK93" s="784"/>
      <c r="AL93" s="780"/>
      <c r="AM93" s="410"/>
      <c r="AN93" s="410"/>
      <c r="AO93" s="410"/>
      <c r="AP93" s="798">
        <f t="shared" ref="AP93:AT93" si="84">AP60*AP79</f>
        <v>0</v>
      </c>
      <c r="AQ93" s="799">
        <f t="shared" si="84"/>
        <v>1095.1516479920001</v>
      </c>
      <c r="AR93" s="799">
        <f t="shared" si="84"/>
        <v>3945.7669670299993</v>
      </c>
      <c r="AS93" s="800">
        <f t="shared" si="84"/>
        <v>0</v>
      </c>
      <c r="AT93" s="801">
        <f t="shared" si="84"/>
        <v>6200.4909481900004</v>
      </c>
      <c r="AU93" s="410"/>
      <c r="AV93" s="410"/>
      <c r="AW93" s="410"/>
      <c r="AX93" s="410"/>
      <c r="AY93" s="784"/>
      <c r="AZ93" s="780"/>
      <c r="BA93" s="410"/>
      <c r="BB93" s="410"/>
      <c r="BC93" s="410"/>
      <c r="BD93" s="798">
        <f t="shared" ref="BD93:BH93" si="85">BD60*BD79</f>
        <v>0</v>
      </c>
      <c r="BE93" s="799">
        <f t="shared" si="85"/>
        <v>1012.1213183800002</v>
      </c>
      <c r="BF93" s="799">
        <f t="shared" si="85"/>
        <v>3646.6135735749995</v>
      </c>
      <c r="BG93" s="800">
        <f t="shared" si="85"/>
        <v>0</v>
      </c>
      <c r="BH93" s="801">
        <f t="shared" si="85"/>
        <v>5730.3927584749999</v>
      </c>
      <c r="BI93" s="410"/>
      <c r="BJ93" s="410"/>
      <c r="BK93" s="410"/>
      <c r="BL93" s="410"/>
      <c r="BM93" s="784"/>
      <c r="BN93" s="780"/>
      <c r="BO93" s="410"/>
      <c r="BP93" s="410"/>
      <c r="BQ93" s="410"/>
      <c r="BR93" s="798">
        <f t="shared" ref="BR93:BV93" si="86">BR60*BR79</f>
        <v>0</v>
      </c>
      <c r="BS93" s="799">
        <f t="shared" si="86"/>
        <v>929.0909887680001</v>
      </c>
      <c r="BT93" s="799">
        <f t="shared" si="86"/>
        <v>3347.4601801199997</v>
      </c>
      <c r="BU93" s="800">
        <f t="shared" si="86"/>
        <v>0</v>
      </c>
      <c r="BV93" s="801">
        <f t="shared" si="86"/>
        <v>5260.2945687600004</v>
      </c>
      <c r="BW93" s="410"/>
      <c r="BX93" s="410"/>
      <c r="BY93" s="410"/>
      <c r="BZ93" s="410"/>
      <c r="CA93" s="784"/>
      <c r="CB93" s="780"/>
      <c r="CC93" s="410"/>
      <c r="CD93" s="410"/>
      <c r="CE93" s="410"/>
      <c r="CF93" s="798">
        <f t="shared" ref="CF93:CJ93" si="87">CF60*CF79</f>
        <v>0</v>
      </c>
      <c r="CG93" s="799">
        <f t="shared" si="87"/>
        <v>846.06065915600004</v>
      </c>
      <c r="CH93" s="799">
        <f t="shared" si="87"/>
        <v>3048.3067866649994</v>
      </c>
      <c r="CI93" s="800">
        <f t="shared" si="87"/>
        <v>0</v>
      </c>
      <c r="CJ93" s="801">
        <f t="shared" si="87"/>
        <v>4790.196379045</v>
      </c>
      <c r="CK93" s="410"/>
      <c r="CL93" s="410"/>
      <c r="CM93" s="410"/>
      <c r="CN93" s="410"/>
      <c r="CO93" s="784"/>
      <c r="CP93" s="780"/>
      <c r="CQ93" s="410"/>
      <c r="CR93" s="410"/>
      <c r="CS93" s="410"/>
      <c r="CT93" s="798">
        <f t="shared" ref="CT93:CX93" si="88">CT60*CT79</f>
        <v>0</v>
      </c>
      <c r="CU93" s="799">
        <f t="shared" si="88"/>
        <v>763.03032954399998</v>
      </c>
      <c r="CV93" s="799">
        <f t="shared" si="88"/>
        <v>2749.1533932099996</v>
      </c>
      <c r="CW93" s="800">
        <f t="shared" si="88"/>
        <v>0</v>
      </c>
      <c r="CX93" s="801">
        <f t="shared" si="88"/>
        <v>4320.0981893300004</v>
      </c>
    </row>
    <row r="94" spans="9:102">
      <c r="I94" s="595"/>
      <c r="J94" s="177"/>
      <c r="K94" s="177"/>
      <c r="L94" s="177"/>
      <c r="M94" s="177"/>
      <c r="N94" s="617">
        <f t="shared" ref="N94:R94" si="89">N61*N80</f>
        <v>0</v>
      </c>
      <c r="O94" s="473">
        <f t="shared" si="89"/>
        <v>41.765839274999998</v>
      </c>
      <c r="P94" s="473">
        <f t="shared" si="89"/>
        <v>245.02625708000002</v>
      </c>
      <c r="Q94" s="618">
        <f t="shared" si="89"/>
        <v>0</v>
      </c>
      <c r="R94" s="474">
        <f t="shared" si="89"/>
        <v>155.92579995999998</v>
      </c>
      <c r="W94" s="595"/>
      <c r="X94" s="177"/>
      <c r="Y94" s="177"/>
      <c r="Z94" s="177"/>
      <c r="AA94" s="177"/>
      <c r="AB94" s="617">
        <f t="shared" ref="AB94:AF94" si="90">AB61*AB80</f>
        <v>0</v>
      </c>
      <c r="AC94" s="473">
        <f t="shared" si="90"/>
        <v>562.5</v>
      </c>
      <c r="AD94" s="473">
        <f t="shared" si="90"/>
        <v>3300</v>
      </c>
      <c r="AE94" s="618">
        <f t="shared" si="90"/>
        <v>0</v>
      </c>
      <c r="AF94" s="474">
        <f t="shared" si="90"/>
        <v>2100</v>
      </c>
      <c r="AH94" s="410"/>
      <c r="AI94" s="410"/>
      <c r="AJ94" s="410"/>
      <c r="AK94" s="784"/>
      <c r="AL94" s="780"/>
      <c r="AM94" s="410"/>
      <c r="AN94" s="410"/>
      <c r="AO94" s="410"/>
      <c r="AP94" s="798">
        <f t="shared" ref="AP94:AT94" si="91">AP61*AP80</f>
        <v>0</v>
      </c>
      <c r="AQ94" s="799">
        <f t="shared" si="91"/>
        <v>61.794076200000006</v>
      </c>
      <c r="AR94" s="799">
        <f t="shared" si="91"/>
        <v>362.52524704000007</v>
      </c>
      <c r="AS94" s="800">
        <f t="shared" si="91"/>
        <v>0</v>
      </c>
      <c r="AT94" s="801">
        <f t="shared" si="91"/>
        <v>230.69788448</v>
      </c>
      <c r="AU94" s="410"/>
      <c r="AV94" s="410"/>
      <c r="AW94" s="410"/>
      <c r="AX94" s="410"/>
      <c r="AY94" s="784"/>
      <c r="AZ94" s="780"/>
      <c r="BA94" s="410"/>
      <c r="BB94" s="410"/>
      <c r="BC94" s="410"/>
      <c r="BD94" s="798">
        <f t="shared" ref="BD94:BH94" si="92">BD61*BD80</f>
        <v>0</v>
      </c>
      <c r="BE94" s="799">
        <f t="shared" si="92"/>
        <v>161.93526097500001</v>
      </c>
      <c r="BF94" s="799">
        <f t="shared" si="92"/>
        <v>950.02019772000006</v>
      </c>
      <c r="BG94" s="800">
        <f t="shared" si="92"/>
        <v>0</v>
      </c>
      <c r="BH94" s="801">
        <f t="shared" si="92"/>
        <v>604.55830764000007</v>
      </c>
      <c r="BI94" s="410"/>
      <c r="BJ94" s="410"/>
      <c r="BK94" s="410"/>
      <c r="BL94" s="410"/>
      <c r="BM94" s="784"/>
      <c r="BN94" s="780"/>
      <c r="BO94" s="410"/>
      <c r="BP94" s="410"/>
      <c r="BQ94" s="410"/>
      <c r="BR94" s="798">
        <f t="shared" ref="BR94:BV94" si="93">BR61*BR80</f>
        <v>0</v>
      </c>
      <c r="BS94" s="799">
        <f t="shared" si="93"/>
        <v>262.07644575</v>
      </c>
      <c r="BT94" s="799">
        <f t="shared" si="93"/>
        <v>1537.5151484</v>
      </c>
      <c r="BU94" s="800">
        <f t="shared" si="93"/>
        <v>0</v>
      </c>
      <c r="BV94" s="801">
        <f t="shared" si="93"/>
        <v>978.41873079999993</v>
      </c>
      <c r="BW94" s="410"/>
      <c r="BX94" s="410"/>
      <c r="BY94" s="410"/>
      <c r="BZ94" s="410"/>
      <c r="CA94" s="784"/>
      <c r="CB94" s="780"/>
      <c r="CC94" s="410"/>
      <c r="CD94" s="410"/>
      <c r="CE94" s="410"/>
      <c r="CF94" s="798">
        <f t="shared" ref="CF94:CJ94" si="94">CF61*CF80</f>
        <v>0</v>
      </c>
      <c r="CG94" s="799">
        <f t="shared" si="94"/>
        <v>362.217630525</v>
      </c>
      <c r="CH94" s="799">
        <f t="shared" si="94"/>
        <v>2125.0100990800001</v>
      </c>
      <c r="CI94" s="800">
        <f t="shared" si="94"/>
        <v>0</v>
      </c>
      <c r="CJ94" s="801">
        <f t="shared" si="94"/>
        <v>1352.27915396</v>
      </c>
      <c r="CK94" s="410"/>
      <c r="CL94" s="410"/>
      <c r="CM94" s="410"/>
      <c r="CN94" s="410"/>
      <c r="CO94" s="784"/>
      <c r="CP94" s="780"/>
      <c r="CQ94" s="410"/>
      <c r="CR94" s="410"/>
      <c r="CS94" s="410"/>
      <c r="CT94" s="798">
        <f t="shared" ref="CT94:CX94" si="95">CT61*CT80</f>
        <v>0</v>
      </c>
      <c r="CU94" s="799">
        <f t="shared" si="95"/>
        <v>462.3588153</v>
      </c>
      <c r="CV94" s="799">
        <f t="shared" si="95"/>
        <v>2712.5050497600005</v>
      </c>
      <c r="CW94" s="800">
        <f t="shared" si="95"/>
        <v>0</v>
      </c>
      <c r="CX94" s="801">
        <f t="shared" si="95"/>
        <v>1726.1395771199998</v>
      </c>
    </row>
    <row r="95" spans="9:102">
      <c r="I95" s="595"/>
      <c r="J95" s="177"/>
      <c r="K95" s="177"/>
      <c r="L95" s="177"/>
      <c r="M95" s="177"/>
      <c r="N95" s="617">
        <f t="shared" ref="N95:R95" si="96">N62*N81</f>
        <v>0</v>
      </c>
      <c r="O95" s="473">
        <f t="shared" si="96"/>
        <v>2.7156245999999999</v>
      </c>
      <c r="P95" s="473">
        <f t="shared" si="96"/>
        <v>11.698075199999998</v>
      </c>
      <c r="Q95" s="618">
        <f t="shared" si="96"/>
        <v>0</v>
      </c>
      <c r="R95" s="474">
        <f t="shared" si="96"/>
        <v>14.622593999999998</v>
      </c>
      <c r="W95" s="595"/>
      <c r="X95" s="177"/>
      <c r="Y95" s="177"/>
      <c r="Z95" s="177"/>
      <c r="AA95" s="177"/>
      <c r="AB95" s="617">
        <f t="shared" ref="AB95:AF95" si="97">AB62*AB81</f>
        <v>0</v>
      </c>
      <c r="AC95" s="473">
        <f t="shared" si="97"/>
        <v>162.5</v>
      </c>
      <c r="AD95" s="473">
        <f t="shared" si="97"/>
        <v>700</v>
      </c>
      <c r="AE95" s="618">
        <f t="shared" si="97"/>
        <v>0</v>
      </c>
      <c r="AF95" s="474">
        <f t="shared" si="97"/>
        <v>875</v>
      </c>
      <c r="AH95" s="410"/>
      <c r="AI95" s="410"/>
      <c r="AJ95" s="410"/>
      <c r="AK95" s="784"/>
      <c r="AL95" s="780"/>
      <c r="AM95" s="410"/>
      <c r="AN95" s="410"/>
      <c r="AO95" s="410"/>
      <c r="AP95" s="798">
        <f t="shared" ref="AP95:AT95" si="98">AP62*AP81</f>
        <v>0</v>
      </c>
      <c r="AQ95" s="799">
        <f t="shared" si="98"/>
        <v>8.86117752</v>
      </c>
      <c r="AR95" s="799">
        <f t="shared" si="98"/>
        <v>38.171226239999996</v>
      </c>
      <c r="AS95" s="800">
        <f t="shared" si="98"/>
        <v>0</v>
      </c>
      <c r="AT95" s="801">
        <f t="shared" si="98"/>
        <v>47.714032799999998</v>
      </c>
      <c r="AU95" s="410"/>
      <c r="AV95" s="410"/>
      <c r="AW95" s="410"/>
      <c r="AX95" s="410"/>
      <c r="AY95" s="784"/>
      <c r="AZ95" s="780"/>
      <c r="BA95" s="410"/>
      <c r="BB95" s="410"/>
      <c r="BC95" s="410"/>
      <c r="BD95" s="798">
        <f t="shared" ref="BD95:BH95" si="99">BD62*BD81</f>
        <v>0</v>
      </c>
      <c r="BE95" s="799">
        <f t="shared" si="99"/>
        <v>39.588941990000009</v>
      </c>
      <c r="BF95" s="799">
        <f t="shared" si="99"/>
        <v>170.53698088000002</v>
      </c>
      <c r="BG95" s="800">
        <f t="shared" si="99"/>
        <v>0</v>
      </c>
      <c r="BH95" s="801">
        <f t="shared" si="99"/>
        <v>213.17122609999998</v>
      </c>
      <c r="BI95" s="410"/>
      <c r="BJ95" s="410"/>
      <c r="BK95" s="410"/>
      <c r="BL95" s="410"/>
      <c r="BM95" s="784"/>
      <c r="BN95" s="780"/>
      <c r="BO95" s="410"/>
      <c r="BP95" s="410"/>
      <c r="BQ95" s="410"/>
      <c r="BR95" s="798">
        <f t="shared" ref="BR95:BV95" si="100">BR62*BR81</f>
        <v>0</v>
      </c>
      <c r="BS95" s="799">
        <f t="shared" si="100"/>
        <v>70.316706460000006</v>
      </c>
      <c r="BT95" s="799">
        <f t="shared" si="100"/>
        <v>302.90273551999996</v>
      </c>
      <c r="BU95" s="800">
        <f t="shared" si="100"/>
        <v>0</v>
      </c>
      <c r="BV95" s="801">
        <f t="shared" si="100"/>
        <v>378.62841939999998</v>
      </c>
      <c r="BW95" s="410"/>
      <c r="BX95" s="410"/>
      <c r="BY95" s="410"/>
      <c r="BZ95" s="410"/>
      <c r="CA95" s="784"/>
      <c r="CB95" s="780"/>
      <c r="CC95" s="410"/>
      <c r="CD95" s="410"/>
      <c r="CE95" s="410"/>
      <c r="CF95" s="798">
        <f>CF62*CF81</f>
        <v>0</v>
      </c>
      <c r="CG95" s="799">
        <f>CG62*CG81</f>
        <v>101.04447093000002</v>
      </c>
      <c r="CH95" s="799">
        <f>CH62*CH81</f>
        <v>435.26849016000006</v>
      </c>
      <c r="CI95" s="800">
        <f>CI62*CI81</f>
        <v>0</v>
      </c>
      <c r="CJ95" s="801">
        <f>CJ62*CJ81</f>
        <v>544.08561269999996</v>
      </c>
      <c r="CK95" s="410"/>
      <c r="CL95" s="410"/>
      <c r="CM95" s="410"/>
      <c r="CN95" s="410"/>
      <c r="CO95" s="784"/>
      <c r="CP95" s="780"/>
      <c r="CQ95" s="410"/>
      <c r="CR95" s="410"/>
      <c r="CS95" s="410"/>
      <c r="CT95" s="798">
        <f>CT62*CT81</f>
        <v>0</v>
      </c>
      <c r="CU95" s="799">
        <f>CU62*CU81</f>
        <v>131.7722354</v>
      </c>
      <c r="CV95" s="799">
        <f>CV62*CV81</f>
        <v>567.63424479999992</v>
      </c>
      <c r="CW95" s="800">
        <f>CW62*CW81</f>
        <v>0</v>
      </c>
      <c r="CX95" s="801">
        <f>CX62*CX81</f>
        <v>709.54280599999993</v>
      </c>
    </row>
    <row r="96" spans="9:102">
      <c r="I96" s="595"/>
      <c r="J96" s="177"/>
      <c r="K96" s="177"/>
      <c r="L96" s="177"/>
      <c r="M96" s="177"/>
      <c r="N96" s="617">
        <f t="shared" ref="N96:R96" si="101">N63*N82</f>
        <v>0</v>
      </c>
      <c r="O96" s="473">
        <f t="shared" si="101"/>
        <v>3.0604079999999998</v>
      </c>
      <c r="P96" s="473">
        <f t="shared" si="101"/>
        <v>14.831207999999998</v>
      </c>
      <c r="Q96" s="618">
        <f t="shared" si="101"/>
        <v>0</v>
      </c>
      <c r="R96" s="474">
        <f t="shared" si="101"/>
        <v>14.831207999999998</v>
      </c>
      <c r="W96" s="595"/>
      <c r="X96" s="177"/>
      <c r="Y96" s="177"/>
      <c r="Z96" s="177"/>
      <c r="AA96" s="177"/>
      <c r="AB96" s="617">
        <f t="shared" ref="AB96:AF96" si="102">AB63*AB82</f>
        <v>0</v>
      </c>
      <c r="AC96" s="473">
        <f t="shared" si="102"/>
        <v>0</v>
      </c>
      <c r="AD96" s="473">
        <f t="shared" si="102"/>
        <v>0</v>
      </c>
      <c r="AE96" s="618">
        <f t="shared" si="102"/>
        <v>0</v>
      </c>
      <c r="AF96" s="474">
        <f t="shared" si="102"/>
        <v>0</v>
      </c>
      <c r="AH96" s="410"/>
      <c r="AI96" s="410"/>
      <c r="AJ96" s="410"/>
      <c r="AK96" s="784"/>
      <c r="AL96" s="780"/>
      <c r="AM96" s="410"/>
      <c r="AN96" s="410"/>
      <c r="AO96" s="410"/>
      <c r="AP96" s="798">
        <f t="shared" ref="AP96:AT96" si="103">AP63*AP82</f>
        <v>0</v>
      </c>
      <c r="AQ96" s="799">
        <f t="shared" si="103"/>
        <v>2.9427000200000006</v>
      </c>
      <c r="AR96" s="799">
        <f t="shared" si="103"/>
        <v>14.260777020000001</v>
      </c>
      <c r="AS96" s="800">
        <f t="shared" si="103"/>
        <v>0</v>
      </c>
      <c r="AT96" s="801">
        <f t="shared" si="103"/>
        <v>14.260777020000001</v>
      </c>
      <c r="AU96" s="410"/>
      <c r="AV96" s="410"/>
      <c r="AW96" s="410"/>
      <c r="AX96" s="410"/>
      <c r="AY96" s="784"/>
      <c r="AZ96" s="780"/>
      <c r="BA96" s="410"/>
      <c r="BB96" s="410"/>
      <c r="BC96" s="410"/>
      <c r="BD96" s="798">
        <f t="shared" ref="BD96:BH96" si="104">BD63*BD82</f>
        <v>0</v>
      </c>
      <c r="BE96" s="799">
        <f t="shared" si="104"/>
        <v>2.3541599900000003</v>
      </c>
      <c r="BF96" s="799">
        <f t="shared" si="104"/>
        <v>11.40862149</v>
      </c>
      <c r="BG96" s="800">
        <f t="shared" si="104"/>
        <v>0</v>
      </c>
      <c r="BH96" s="801">
        <f t="shared" si="104"/>
        <v>11.40862149</v>
      </c>
      <c r="BI96" s="410"/>
      <c r="BJ96" s="410"/>
      <c r="BK96" s="410"/>
      <c r="BL96" s="410"/>
      <c r="BM96" s="784"/>
      <c r="BN96" s="780"/>
      <c r="BO96" s="410"/>
      <c r="BP96" s="410"/>
      <c r="BQ96" s="410"/>
      <c r="BR96" s="798">
        <f t="shared" ref="BR96:BV96" si="105">BR63*BR82</f>
        <v>0</v>
      </c>
      <c r="BS96" s="799">
        <f t="shared" si="105"/>
        <v>1.7656199600000002</v>
      </c>
      <c r="BT96" s="799">
        <f t="shared" si="105"/>
        <v>8.5564659600000006</v>
      </c>
      <c r="BU96" s="800">
        <f t="shared" si="105"/>
        <v>0</v>
      </c>
      <c r="BV96" s="801">
        <f t="shared" si="105"/>
        <v>8.5564659600000006</v>
      </c>
      <c r="BW96" s="410"/>
      <c r="BX96" s="410"/>
      <c r="BY96" s="410"/>
      <c r="BZ96" s="410"/>
      <c r="CA96" s="784"/>
      <c r="CB96" s="780"/>
      <c r="CC96" s="410"/>
      <c r="CD96" s="410"/>
      <c r="CE96" s="410"/>
      <c r="CF96" s="798">
        <f t="shared" ref="CF96:CJ96" si="106">CF63*CF82</f>
        <v>0</v>
      </c>
      <c r="CG96" s="799">
        <f t="shared" si="106"/>
        <v>1.1770799300000001</v>
      </c>
      <c r="CH96" s="799">
        <f t="shared" si="106"/>
        <v>5.7043104300000005</v>
      </c>
      <c r="CI96" s="800">
        <f t="shared" si="106"/>
        <v>0</v>
      </c>
      <c r="CJ96" s="801">
        <f t="shared" si="106"/>
        <v>5.7043104300000005</v>
      </c>
      <c r="CK96" s="410"/>
      <c r="CL96" s="410"/>
      <c r="CM96" s="410"/>
      <c r="CN96" s="410"/>
      <c r="CO96" s="784"/>
      <c r="CP96" s="780"/>
      <c r="CQ96" s="410"/>
      <c r="CR96" s="410"/>
      <c r="CS96" s="410"/>
      <c r="CT96" s="798">
        <f t="shared" ref="CT96:CX96" si="107">CT63*CT82</f>
        <v>0</v>
      </c>
      <c r="CU96" s="799">
        <f t="shared" si="107"/>
        <v>0.58853990000000012</v>
      </c>
      <c r="CV96" s="799">
        <f t="shared" si="107"/>
        <v>2.8521549000000004</v>
      </c>
      <c r="CW96" s="800">
        <f t="shared" si="107"/>
        <v>0</v>
      </c>
      <c r="CX96" s="801">
        <f t="shared" si="107"/>
        <v>2.8521549000000004</v>
      </c>
    </row>
    <row r="97" spans="2:102">
      <c r="I97" s="595"/>
      <c r="J97" s="177"/>
      <c r="K97" s="177"/>
      <c r="L97" s="177"/>
      <c r="M97" s="177"/>
      <c r="N97" s="617">
        <f t="shared" ref="N97:R97" si="108">N64*N83</f>
        <v>0</v>
      </c>
      <c r="O97" s="473">
        <f t="shared" si="108"/>
        <v>515.20000000000005</v>
      </c>
      <c r="P97" s="473">
        <f t="shared" si="108"/>
        <v>703.8</v>
      </c>
      <c r="Q97" s="618">
        <f t="shared" si="108"/>
        <v>0</v>
      </c>
      <c r="R97" s="474">
        <f t="shared" si="108"/>
        <v>312.8</v>
      </c>
      <c r="W97" s="595"/>
      <c r="X97" s="177"/>
      <c r="Y97" s="177"/>
      <c r="Z97" s="177"/>
      <c r="AA97" s="177"/>
      <c r="AB97" s="617">
        <f t="shared" ref="AB97:AF97" si="109">AB64*AB83</f>
        <v>0</v>
      </c>
      <c r="AC97" s="473">
        <f t="shared" si="109"/>
        <v>140</v>
      </c>
      <c r="AD97" s="473">
        <f t="shared" si="109"/>
        <v>191.25</v>
      </c>
      <c r="AE97" s="618">
        <f t="shared" si="109"/>
        <v>0</v>
      </c>
      <c r="AF97" s="474">
        <f t="shared" si="109"/>
        <v>85</v>
      </c>
      <c r="AH97" s="410"/>
      <c r="AI97" s="410"/>
      <c r="AJ97" s="410"/>
      <c r="AK97" s="784"/>
      <c r="AL97" s="780"/>
      <c r="AM97" s="410"/>
      <c r="AN97" s="410"/>
      <c r="AO97" s="410"/>
      <c r="AP97" s="798">
        <f t="shared" ref="AP97:AT97" si="110">AP64*AP83</f>
        <v>0</v>
      </c>
      <c r="AQ97" s="799">
        <f t="shared" si="110"/>
        <v>500.76923063999993</v>
      </c>
      <c r="AR97" s="799">
        <f t="shared" si="110"/>
        <v>684.08653828500007</v>
      </c>
      <c r="AS97" s="800">
        <f t="shared" si="110"/>
        <v>0</v>
      </c>
      <c r="AT97" s="801">
        <f t="shared" si="110"/>
        <v>304.03846146000001</v>
      </c>
      <c r="AU97" s="410"/>
      <c r="AV97" s="410"/>
      <c r="AW97" s="410"/>
      <c r="AX97" s="410"/>
      <c r="AY97" s="784"/>
      <c r="AZ97" s="780"/>
      <c r="BA97" s="410"/>
      <c r="BB97" s="410"/>
      <c r="BC97" s="410"/>
      <c r="BD97" s="798">
        <f t="shared" ref="BD97:BH97" si="111">BD64*BD83</f>
        <v>0</v>
      </c>
      <c r="BE97" s="799">
        <f t="shared" si="111"/>
        <v>428.61538440000004</v>
      </c>
      <c r="BF97" s="799">
        <f t="shared" si="111"/>
        <v>585.51923047499997</v>
      </c>
      <c r="BG97" s="800">
        <f t="shared" si="111"/>
        <v>0</v>
      </c>
      <c r="BH97" s="801">
        <f t="shared" si="111"/>
        <v>260.23076910000003</v>
      </c>
      <c r="BI97" s="410"/>
      <c r="BJ97" s="410"/>
      <c r="BK97" s="410"/>
      <c r="BL97" s="410"/>
      <c r="BM97" s="784"/>
      <c r="BN97" s="780"/>
      <c r="BO97" s="410"/>
      <c r="BP97" s="410"/>
      <c r="BQ97" s="410"/>
      <c r="BR97" s="798">
        <f t="shared" ref="BR97:BV97" si="112">BR64*BR83</f>
        <v>0</v>
      </c>
      <c r="BS97" s="799">
        <f t="shared" si="112"/>
        <v>356.46153815999998</v>
      </c>
      <c r="BT97" s="799">
        <f t="shared" si="112"/>
        <v>486.95192266499998</v>
      </c>
      <c r="BU97" s="800">
        <f t="shared" si="112"/>
        <v>0</v>
      </c>
      <c r="BV97" s="801">
        <f t="shared" si="112"/>
        <v>216.42307674</v>
      </c>
      <c r="BW97" s="410"/>
      <c r="BX97" s="410"/>
      <c r="BY97" s="410"/>
      <c r="BZ97" s="410"/>
      <c r="CA97" s="784"/>
      <c r="CB97" s="780"/>
      <c r="CC97" s="410"/>
      <c r="CD97" s="410"/>
      <c r="CE97" s="410"/>
      <c r="CF97" s="798">
        <f t="shared" ref="CF97:CJ97" si="113">CF64*CF83</f>
        <v>0</v>
      </c>
      <c r="CG97" s="799">
        <f t="shared" si="113"/>
        <v>284.30769191999997</v>
      </c>
      <c r="CH97" s="799">
        <f t="shared" si="113"/>
        <v>388.38461485500005</v>
      </c>
      <c r="CI97" s="800">
        <f t="shared" si="113"/>
        <v>0</v>
      </c>
      <c r="CJ97" s="801">
        <f t="shared" si="113"/>
        <v>172.61538438000002</v>
      </c>
      <c r="CK97" s="410"/>
      <c r="CL97" s="410"/>
      <c r="CM97" s="410"/>
      <c r="CN97" s="410"/>
      <c r="CO97" s="784"/>
      <c r="CP97" s="780"/>
      <c r="CQ97" s="410"/>
      <c r="CR97" s="410"/>
      <c r="CS97" s="410"/>
      <c r="CT97" s="798">
        <f t="shared" ref="CT97:CX97" si="114">CT64*CT83</f>
        <v>0</v>
      </c>
      <c r="CU97" s="799">
        <f t="shared" si="114"/>
        <v>212.15384568000002</v>
      </c>
      <c r="CV97" s="799">
        <f t="shared" si="114"/>
        <v>289.81730704500001</v>
      </c>
      <c r="CW97" s="800">
        <f t="shared" si="114"/>
        <v>0</v>
      </c>
      <c r="CX97" s="801">
        <f t="shared" si="114"/>
        <v>128.80769201999999</v>
      </c>
    </row>
    <row r="98" spans="2:102">
      <c r="I98" s="595"/>
      <c r="J98" s="177"/>
      <c r="K98" s="177"/>
      <c r="L98" s="177"/>
      <c r="M98" s="177"/>
      <c r="N98" s="472">
        <f t="shared" ref="N98:R98" si="115">N65*N84</f>
        <v>23.205980700000001</v>
      </c>
      <c r="O98" s="618">
        <f t="shared" si="115"/>
        <v>0</v>
      </c>
      <c r="P98" s="618">
        <f t="shared" si="115"/>
        <v>0</v>
      </c>
      <c r="Q98" s="618">
        <f t="shared" si="115"/>
        <v>0</v>
      </c>
      <c r="R98" s="474">
        <f t="shared" si="115"/>
        <v>2.5784423000000003</v>
      </c>
      <c r="W98" s="595"/>
      <c r="X98" s="177"/>
      <c r="Y98" s="177"/>
      <c r="Z98" s="177"/>
      <c r="AA98" s="177"/>
      <c r="AB98" s="472">
        <f>AB65*AB84</f>
        <v>22.5</v>
      </c>
      <c r="AC98" s="618">
        <f t="shared" ref="AC98:AF98" si="116">AC65*AC84</f>
        <v>0</v>
      </c>
      <c r="AD98" s="618">
        <f t="shared" si="116"/>
        <v>0</v>
      </c>
      <c r="AE98" s="618">
        <f t="shared" si="116"/>
        <v>0</v>
      </c>
      <c r="AF98" s="474">
        <f t="shared" si="116"/>
        <v>2.5</v>
      </c>
      <c r="AH98" s="410"/>
      <c r="AI98" s="410"/>
      <c r="AJ98" s="410"/>
      <c r="AK98" s="784"/>
      <c r="AL98" s="780"/>
      <c r="AM98" s="410"/>
      <c r="AN98" s="410"/>
      <c r="AO98" s="410"/>
      <c r="AP98" s="755">
        <f>AP65*AP84</f>
        <v>23.178827699999999</v>
      </c>
      <c r="AQ98" s="800">
        <f t="shared" ref="AQ98:AT98" si="117">AQ65*AQ84</f>
        <v>0</v>
      </c>
      <c r="AR98" s="800">
        <f t="shared" si="117"/>
        <v>0</v>
      </c>
      <c r="AS98" s="800">
        <f t="shared" si="117"/>
        <v>0</v>
      </c>
      <c r="AT98" s="801">
        <f t="shared" si="117"/>
        <v>2.5754253</v>
      </c>
      <c r="AU98" s="410"/>
      <c r="AV98" s="410"/>
      <c r="AW98" s="410"/>
      <c r="AX98" s="410"/>
      <c r="AY98" s="784"/>
      <c r="AZ98" s="780"/>
      <c r="BA98" s="410"/>
      <c r="BB98" s="410"/>
      <c r="BC98" s="410"/>
      <c r="BD98" s="755">
        <f>BD65*BD84</f>
        <v>23.043062250000002</v>
      </c>
      <c r="BE98" s="800">
        <f t="shared" ref="BE98:BH98" si="118">BE65*BE84</f>
        <v>0</v>
      </c>
      <c r="BF98" s="800">
        <f t="shared" si="118"/>
        <v>0</v>
      </c>
      <c r="BG98" s="800">
        <f t="shared" si="118"/>
        <v>0</v>
      </c>
      <c r="BH98" s="801">
        <f t="shared" si="118"/>
        <v>2.5603402500000003</v>
      </c>
      <c r="BI98" s="410"/>
      <c r="BJ98" s="410"/>
      <c r="BK98" s="410"/>
      <c r="BL98" s="410"/>
      <c r="BM98" s="784"/>
      <c r="BN98" s="780"/>
      <c r="BO98" s="410"/>
      <c r="BP98" s="410"/>
      <c r="BQ98" s="410"/>
      <c r="BR98" s="755">
        <f>BR65*BR84</f>
        <v>22.907296800000001</v>
      </c>
      <c r="BS98" s="800">
        <f t="shared" ref="BS98:BV98" si="119">BS65*BS84</f>
        <v>0</v>
      </c>
      <c r="BT98" s="800">
        <f t="shared" si="119"/>
        <v>0</v>
      </c>
      <c r="BU98" s="800">
        <f t="shared" si="119"/>
        <v>0</v>
      </c>
      <c r="BV98" s="801">
        <f t="shared" si="119"/>
        <v>2.5452552000000002</v>
      </c>
      <c r="BW98" s="410"/>
      <c r="BX98" s="410"/>
      <c r="BY98" s="410"/>
      <c r="BZ98" s="410"/>
      <c r="CA98" s="784"/>
      <c r="CB98" s="780"/>
      <c r="CC98" s="410"/>
      <c r="CD98" s="410"/>
      <c r="CE98" s="410"/>
      <c r="CF98" s="755">
        <f>CF65*CF84</f>
        <v>22.77153135</v>
      </c>
      <c r="CG98" s="800">
        <f t="shared" ref="CG98:CJ98" si="120">CG65*CG84</f>
        <v>0</v>
      </c>
      <c r="CH98" s="800">
        <f t="shared" si="120"/>
        <v>0</v>
      </c>
      <c r="CI98" s="800">
        <f t="shared" si="120"/>
        <v>0</v>
      </c>
      <c r="CJ98" s="801">
        <f t="shared" si="120"/>
        <v>2.53017015</v>
      </c>
      <c r="CK98" s="410"/>
      <c r="CL98" s="410"/>
      <c r="CM98" s="410"/>
      <c r="CN98" s="410"/>
      <c r="CO98" s="784"/>
      <c r="CP98" s="780"/>
      <c r="CQ98" s="410"/>
      <c r="CR98" s="410"/>
      <c r="CS98" s="410"/>
      <c r="CT98" s="755">
        <f>CT65*CT84</f>
        <v>22.635765899999999</v>
      </c>
      <c r="CU98" s="800">
        <f t="shared" ref="CU98:CX98" si="121">CU65*CU84</f>
        <v>0</v>
      </c>
      <c r="CV98" s="800">
        <f t="shared" si="121"/>
        <v>0</v>
      </c>
      <c r="CW98" s="800">
        <f t="shared" si="121"/>
        <v>0</v>
      </c>
      <c r="CX98" s="801">
        <f t="shared" si="121"/>
        <v>2.5150851000000003</v>
      </c>
    </row>
    <row r="99" spans="2:102">
      <c r="I99" s="595"/>
      <c r="J99" s="177"/>
      <c r="K99" s="177"/>
      <c r="L99" s="177"/>
      <c r="M99" s="177"/>
      <c r="N99" s="472">
        <f t="shared" ref="N99:R99" si="122">N66*N85</f>
        <v>23076.895653000003</v>
      </c>
      <c r="O99" s="473">
        <f t="shared" si="122"/>
        <v>641.02487925000014</v>
      </c>
      <c r="P99" s="618">
        <f t="shared" si="122"/>
        <v>0</v>
      </c>
      <c r="Q99" s="473">
        <f t="shared" si="122"/>
        <v>230.76895653000005</v>
      </c>
      <c r="R99" s="474">
        <f t="shared" si="122"/>
        <v>2051.2796136000002</v>
      </c>
      <c r="W99" s="595"/>
      <c r="X99" s="177"/>
      <c r="Y99" s="177"/>
      <c r="Z99" s="177"/>
      <c r="AA99" s="177"/>
      <c r="AB99" s="472">
        <f>AB66*AB85</f>
        <v>11070</v>
      </c>
      <c r="AC99" s="473">
        <f>AC66*AC85</f>
        <v>307.5</v>
      </c>
      <c r="AD99" s="618">
        <f t="shared" ref="AD99:AF99" si="123">AD66*AD85</f>
        <v>0</v>
      </c>
      <c r="AE99" s="473">
        <f t="shared" si="123"/>
        <v>110.7</v>
      </c>
      <c r="AF99" s="474">
        <f t="shared" si="123"/>
        <v>984</v>
      </c>
      <c r="AH99" s="410"/>
      <c r="AI99" s="410"/>
      <c r="AJ99" s="410"/>
      <c r="AK99" s="784"/>
      <c r="AL99" s="780"/>
      <c r="AM99" s="410"/>
      <c r="AN99" s="410"/>
      <c r="AO99" s="410"/>
      <c r="AP99" s="755">
        <f>AP66*AP85</f>
        <v>22615.091974080002</v>
      </c>
      <c r="AQ99" s="799">
        <f t="shared" ref="AQ99:AT99" si="124">AQ66*AQ85</f>
        <v>628.19699928</v>
      </c>
      <c r="AR99" s="800">
        <f t="shared" si="124"/>
        <v>0</v>
      </c>
      <c r="AS99" s="799">
        <f t="shared" si="124"/>
        <v>226.15091974080002</v>
      </c>
      <c r="AT99" s="801">
        <f t="shared" si="124"/>
        <v>2010.230397696</v>
      </c>
      <c r="AU99" s="410"/>
      <c r="AV99" s="410"/>
      <c r="AW99" s="410"/>
      <c r="AX99" s="410"/>
      <c r="AY99" s="784"/>
      <c r="AZ99" s="780"/>
      <c r="BA99" s="410"/>
      <c r="BB99" s="410"/>
      <c r="BC99" s="410"/>
      <c r="BD99" s="755">
        <f>BD66*BD85</f>
        <v>20306.073579210002</v>
      </c>
      <c r="BE99" s="799">
        <f t="shared" ref="BE99:BH99" si="125">BE66*BE85</f>
        <v>564.05759942250006</v>
      </c>
      <c r="BF99" s="800">
        <f t="shared" si="125"/>
        <v>0</v>
      </c>
      <c r="BG99" s="799">
        <f t="shared" si="125"/>
        <v>203.06073579210002</v>
      </c>
      <c r="BH99" s="801">
        <f t="shared" si="125"/>
        <v>1804.984318152</v>
      </c>
      <c r="BI99" s="410"/>
      <c r="BJ99" s="410"/>
      <c r="BK99" s="410"/>
      <c r="BL99" s="410"/>
      <c r="BM99" s="784"/>
      <c r="BN99" s="780"/>
      <c r="BO99" s="410"/>
      <c r="BP99" s="410"/>
      <c r="BQ99" s="410"/>
      <c r="BR99" s="755">
        <f>BR66*BR85</f>
        <v>17997.055184339999</v>
      </c>
      <c r="BS99" s="799">
        <f t="shared" ref="BS99:BV99" si="126">BS66*BS85</f>
        <v>499.91819956500007</v>
      </c>
      <c r="BT99" s="800">
        <f t="shared" si="126"/>
        <v>0</v>
      </c>
      <c r="BU99" s="799">
        <f t="shared" si="126"/>
        <v>179.97055184340005</v>
      </c>
      <c r="BV99" s="801">
        <f t="shared" si="126"/>
        <v>1599.7382386080001</v>
      </c>
      <c r="BW99" s="410"/>
      <c r="BX99" s="410"/>
      <c r="BY99" s="410"/>
      <c r="BZ99" s="410"/>
      <c r="CA99" s="784"/>
      <c r="CB99" s="780"/>
      <c r="CC99" s="410"/>
      <c r="CD99" s="410"/>
      <c r="CE99" s="410"/>
      <c r="CF99" s="755">
        <f>CF66*CF85</f>
        <v>15688.036789469999</v>
      </c>
      <c r="CG99" s="799">
        <f t="shared" ref="CG99:CJ99" si="127">CG66*CG85</f>
        <v>435.77879970749996</v>
      </c>
      <c r="CH99" s="800">
        <f t="shared" si="127"/>
        <v>0</v>
      </c>
      <c r="CI99" s="799">
        <f t="shared" si="127"/>
        <v>156.88036789469999</v>
      </c>
      <c r="CJ99" s="801">
        <f t="shared" si="127"/>
        <v>1394.4921590639999</v>
      </c>
      <c r="CK99" s="410"/>
      <c r="CL99" s="410"/>
      <c r="CM99" s="410"/>
      <c r="CN99" s="410"/>
      <c r="CO99" s="784"/>
      <c r="CP99" s="780"/>
      <c r="CQ99" s="410"/>
      <c r="CR99" s="410"/>
      <c r="CS99" s="410"/>
      <c r="CT99" s="755">
        <f>CT66*CT85</f>
        <v>13379.018394599998</v>
      </c>
      <c r="CU99" s="799">
        <f t="shared" ref="CU99:CX99" si="128">CU66*CU85</f>
        <v>371.63939985000002</v>
      </c>
      <c r="CV99" s="800">
        <f t="shared" si="128"/>
        <v>0</v>
      </c>
      <c r="CW99" s="799">
        <f t="shared" si="128"/>
        <v>133.79018394600001</v>
      </c>
      <c r="CX99" s="801">
        <f t="shared" si="128"/>
        <v>1189.24607952</v>
      </c>
    </row>
    <row r="100" spans="2:102">
      <c r="I100" s="595"/>
      <c r="J100" s="177"/>
      <c r="K100" s="177"/>
      <c r="L100" s="177"/>
      <c r="M100" s="177"/>
      <c r="N100" s="617">
        <f t="shared" ref="N100:R100" si="129">N67*N86</f>
        <v>0</v>
      </c>
      <c r="O100" s="473">
        <f t="shared" si="129"/>
        <v>928.38520500000004</v>
      </c>
      <c r="P100" s="473">
        <f t="shared" si="129"/>
        <v>866.49285800000007</v>
      </c>
      <c r="Q100" s="618">
        <f t="shared" si="129"/>
        <v>0</v>
      </c>
      <c r="R100" s="474">
        <f t="shared" si="129"/>
        <v>618.92347000000007</v>
      </c>
      <c r="W100" s="595"/>
      <c r="X100" s="177"/>
      <c r="Y100" s="177"/>
      <c r="Z100" s="177"/>
      <c r="AA100" s="177"/>
      <c r="AB100" s="617">
        <f>AB67*AB86</f>
        <v>0</v>
      </c>
      <c r="AC100" s="473">
        <f>AC67*AC86</f>
        <v>0</v>
      </c>
      <c r="AD100" s="473">
        <f t="shared" ref="AD100:AF100" si="130">AD67*AD86</f>
        <v>0</v>
      </c>
      <c r="AE100" s="618">
        <f t="shared" si="130"/>
        <v>0</v>
      </c>
      <c r="AF100" s="474">
        <f t="shared" si="130"/>
        <v>0</v>
      </c>
      <c r="AH100" s="410"/>
      <c r="AI100" s="410"/>
      <c r="AJ100" s="410"/>
      <c r="AK100" s="784"/>
      <c r="AL100" s="780"/>
      <c r="AM100" s="410"/>
      <c r="AN100" s="410"/>
      <c r="AO100" s="410"/>
      <c r="AP100" s="798">
        <f t="shared" ref="AP100:AT100" si="131">AP67*AP86</f>
        <v>0</v>
      </c>
      <c r="AQ100" s="799">
        <f t="shared" si="131"/>
        <v>892.67808179999997</v>
      </c>
      <c r="AR100" s="799">
        <f t="shared" si="131"/>
        <v>833.16620967999995</v>
      </c>
      <c r="AS100" s="800">
        <f t="shared" si="131"/>
        <v>0</v>
      </c>
      <c r="AT100" s="801">
        <f t="shared" si="131"/>
        <v>595.11872119999998</v>
      </c>
      <c r="AU100" s="410"/>
      <c r="AV100" s="410"/>
      <c r="AW100" s="410"/>
      <c r="AX100" s="410"/>
      <c r="AY100" s="784"/>
      <c r="AZ100" s="780"/>
      <c r="BA100" s="410"/>
      <c r="BB100" s="410"/>
      <c r="BC100" s="410"/>
      <c r="BD100" s="798">
        <f t="shared" ref="BD100:BH100" si="132">BD67*BD86</f>
        <v>0</v>
      </c>
      <c r="BE100" s="799">
        <f t="shared" si="132"/>
        <v>714.14246550000007</v>
      </c>
      <c r="BF100" s="799">
        <f t="shared" si="132"/>
        <v>666.53296780000005</v>
      </c>
      <c r="BG100" s="800">
        <f t="shared" si="132"/>
        <v>0</v>
      </c>
      <c r="BH100" s="801">
        <f t="shared" si="132"/>
        <v>476.09497700000003</v>
      </c>
      <c r="BI100" s="410"/>
      <c r="BJ100" s="410"/>
      <c r="BK100" s="410"/>
      <c r="BL100" s="410"/>
      <c r="BM100" s="784"/>
      <c r="BN100" s="780"/>
      <c r="BO100" s="410"/>
      <c r="BP100" s="410"/>
      <c r="BQ100" s="410"/>
      <c r="BR100" s="798">
        <f t="shared" ref="BR100:BV100" si="133">BR67*BR86</f>
        <v>0</v>
      </c>
      <c r="BS100" s="799">
        <f t="shared" si="133"/>
        <v>535.60684920000006</v>
      </c>
      <c r="BT100" s="799">
        <f t="shared" si="133"/>
        <v>499.89972591999998</v>
      </c>
      <c r="BU100" s="800">
        <f t="shared" si="133"/>
        <v>0</v>
      </c>
      <c r="BV100" s="801">
        <f t="shared" si="133"/>
        <v>357.07123280000002</v>
      </c>
      <c r="BW100" s="410"/>
      <c r="BX100" s="410"/>
      <c r="BY100" s="410"/>
      <c r="BZ100" s="410"/>
      <c r="CA100" s="784"/>
      <c r="CB100" s="780"/>
      <c r="CC100" s="410"/>
      <c r="CD100" s="410"/>
      <c r="CE100" s="410"/>
      <c r="CF100" s="798">
        <f t="shared" ref="CF100:CJ100" si="134">CF67*CF86</f>
        <v>0</v>
      </c>
      <c r="CG100" s="799">
        <f t="shared" si="134"/>
        <v>357.07123290000004</v>
      </c>
      <c r="CH100" s="799">
        <f t="shared" si="134"/>
        <v>333.26648404000002</v>
      </c>
      <c r="CI100" s="800">
        <f t="shared" si="134"/>
        <v>0</v>
      </c>
      <c r="CJ100" s="801">
        <f t="shared" si="134"/>
        <v>238.04748860000001</v>
      </c>
      <c r="CK100" s="410"/>
      <c r="CL100" s="410"/>
      <c r="CM100" s="410"/>
      <c r="CN100" s="410"/>
      <c r="CO100" s="784"/>
      <c r="CP100" s="780"/>
      <c r="CQ100" s="410"/>
      <c r="CR100" s="410"/>
      <c r="CS100" s="410"/>
      <c r="CT100" s="798">
        <f t="shared" ref="CT100:CX100" si="135">CT67*CT86</f>
        <v>0</v>
      </c>
      <c r="CU100" s="799">
        <f t="shared" si="135"/>
        <v>178.53561660000003</v>
      </c>
      <c r="CV100" s="799">
        <f t="shared" si="135"/>
        <v>166.63324216000001</v>
      </c>
      <c r="CW100" s="800">
        <f t="shared" si="135"/>
        <v>0</v>
      </c>
      <c r="CX100" s="801">
        <f t="shared" si="135"/>
        <v>119.02374440000001</v>
      </c>
    </row>
    <row r="101" spans="2:102">
      <c r="I101" s="595"/>
      <c r="J101" s="177"/>
      <c r="K101" s="177"/>
      <c r="L101" s="177"/>
      <c r="M101" s="177"/>
      <c r="N101" s="472">
        <f t="shared" ref="N101:R101" si="136">N68*N87</f>
        <v>252</v>
      </c>
      <c r="O101" s="473">
        <f t="shared" si="136"/>
        <v>749.7</v>
      </c>
      <c r="P101" s="473">
        <f t="shared" si="136"/>
        <v>61.74</v>
      </c>
      <c r="Q101" s="473">
        <f t="shared" si="136"/>
        <v>3150</v>
      </c>
      <c r="R101" s="474">
        <f t="shared" si="136"/>
        <v>1701</v>
      </c>
      <c r="W101" s="595"/>
      <c r="X101" s="177"/>
      <c r="Y101" s="177"/>
      <c r="Z101" s="177"/>
      <c r="AA101" s="177"/>
      <c r="AB101" s="472">
        <f>AB68*AB87</f>
        <v>1040</v>
      </c>
      <c r="AC101" s="473">
        <f>AC68*AC87</f>
        <v>3094.0000000000005</v>
      </c>
      <c r="AD101" s="473">
        <f>AD68*AD87</f>
        <v>254.79999999999998</v>
      </c>
      <c r="AE101" s="473">
        <f t="shared" ref="AE101:AF101" si="137">AE68*AE87</f>
        <v>13000</v>
      </c>
      <c r="AF101" s="474">
        <f t="shared" si="137"/>
        <v>7020</v>
      </c>
      <c r="AH101" s="410"/>
      <c r="AI101" s="410"/>
      <c r="AJ101" s="410"/>
      <c r="AK101" s="784"/>
      <c r="AL101" s="780"/>
      <c r="AM101" s="410"/>
      <c r="AN101" s="410"/>
      <c r="AO101" s="410"/>
      <c r="AP101" s="755">
        <f>AP68*AP87</f>
        <v>282.30769232000006</v>
      </c>
      <c r="AQ101" s="799">
        <f t="shared" ref="AQ101:AT101" si="138">AQ68*AQ87</f>
        <v>839.86538465199999</v>
      </c>
      <c r="AR101" s="799">
        <f t="shared" si="138"/>
        <v>69.165384618399997</v>
      </c>
      <c r="AS101" s="799">
        <f t="shared" si="138"/>
        <v>3528.8461539999998</v>
      </c>
      <c r="AT101" s="801">
        <f t="shared" si="138"/>
        <v>1905.5769231599998</v>
      </c>
      <c r="AU101" s="410"/>
      <c r="AV101" s="410"/>
      <c r="AW101" s="410"/>
      <c r="AX101" s="410"/>
      <c r="AY101" s="784"/>
      <c r="AZ101" s="780"/>
      <c r="BA101" s="410"/>
      <c r="BB101" s="410"/>
      <c r="BC101" s="410"/>
      <c r="BD101" s="755">
        <f>BD68*BD87</f>
        <v>433.84615384</v>
      </c>
      <c r="BE101" s="799">
        <f t="shared" ref="BE101:BH101" si="139">BE68*BE87</f>
        <v>1290.6923076740002</v>
      </c>
      <c r="BF101" s="799">
        <f t="shared" si="139"/>
        <v>106.2923076908</v>
      </c>
      <c r="BG101" s="799">
        <f t="shared" si="139"/>
        <v>5423.0769229999996</v>
      </c>
      <c r="BH101" s="801">
        <f t="shared" si="139"/>
        <v>2928.4615384199997</v>
      </c>
      <c r="BI101" s="410"/>
      <c r="BJ101" s="410"/>
      <c r="BK101" s="410"/>
      <c r="BL101" s="410"/>
      <c r="BM101" s="784"/>
      <c r="BN101" s="780"/>
      <c r="BO101" s="410"/>
      <c r="BP101" s="410"/>
      <c r="BQ101" s="410"/>
      <c r="BR101" s="755">
        <f>BR68*BR87</f>
        <v>585.38461536000011</v>
      </c>
      <c r="BS101" s="799">
        <f t="shared" ref="BS101:BV101" si="140">BS68*BS87</f>
        <v>1741.519230696</v>
      </c>
      <c r="BT101" s="799">
        <f t="shared" si="140"/>
        <v>143.41923076320001</v>
      </c>
      <c r="BU101" s="799">
        <f t="shared" si="140"/>
        <v>7317.3076920000003</v>
      </c>
      <c r="BV101" s="801">
        <f t="shared" si="140"/>
        <v>3951.3461536799996</v>
      </c>
      <c r="BW101" s="410"/>
      <c r="BX101" s="410"/>
      <c r="BY101" s="410"/>
      <c r="BZ101" s="410"/>
      <c r="CA101" s="784"/>
      <c r="CB101" s="780"/>
      <c r="CC101" s="410"/>
      <c r="CD101" s="410"/>
      <c r="CE101" s="410"/>
      <c r="CF101" s="755">
        <f>CF68*CF87</f>
        <v>736.92307688000005</v>
      </c>
      <c r="CG101" s="799">
        <f t="shared" ref="CG101:CJ101" si="141">CG68*CG87</f>
        <v>2192.3461537180001</v>
      </c>
      <c r="CH101" s="799">
        <f t="shared" si="141"/>
        <v>180.54615383560002</v>
      </c>
      <c r="CI101" s="799">
        <f t="shared" si="141"/>
        <v>9211.5384610000001</v>
      </c>
      <c r="CJ101" s="801">
        <f t="shared" si="141"/>
        <v>4974.2307689400004</v>
      </c>
      <c r="CK101" s="410"/>
      <c r="CL101" s="410"/>
      <c r="CM101" s="410"/>
      <c r="CN101" s="410"/>
      <c r="CO101" s="784"/>
      <c r="CP101" s="780"/>
      <c r="CQ101" s="410"/>
      <c r="CR101" s="410"/>
      <c r="CS101" s="410"/>
      <c r="CT101" s="755">
        <f>CT68*CT87</f>
        <v>888.46153840000011</v>
      </c>
      <c r="CU101" s="799">
        <f t="shared" ref="CU101:CX101" si="142">CU68*CU87</f>
        <v>2643.1730767399999</v>
      </c>
      <c r="CV101" s="799">
        <f t="shared" si="142"/>
        <v>217.67307690799998</v>
      </c>
      <c r="CW101" s="799">
        <f t="shared" si="142"/>
        <v>11105.76923</v>
      </c>
      <c r="CX101" s="801">
        <f t="shared" si="142"/>
        <v>5997.1153841999994</v>
      </c>
    </row>
    <row r="102" spans="2:102" ht="13.5" thickBot="1">
      <c r="I102" s="595"/>
      <c r="J102" s="177"/>
      <c r="K102" s="177"/>
      <c r="L102" s="177"/>
      <c r="M102" s="641" t="s">
        <v>879</v>
      </c>
      <c r="N102" s="619">
        <f t="shared" ref="N102:R102" si="143">N69*N88</f>
        <v>0</v>
      </c>
      <c r="O102" s="620">
        <f t="shared" si="143"/>
        <v>0</v>
      </c>
      <c r="P102" s="476">
        <f t="shared" si="143"/>
        <v>223.20000000000002</v>
      </c>
      <c r="Q102" s="620">
        <f t="shared" si="143"/>
        <v>0</v>
      </c>
      <c r="R102" s="477">
        <f t="shared" si="143"/>
        <v>334.8</v>
      </c>
      <c r="W102" s="595"/>
      <c r="X102" s="177"/>
      <c r="Y102" s="177"/>
      <c r="Z102" s="177"/>
      <c r="AA102" s="641" t="s">
        <v>879</v>
      </c>
      <c r="AB102" s="619">
        <f t="shared" ref="AB102:AF102" si="144">AB69*AB88</f>
        <v>0</v>
      </c>
      <c r="AC102" s="620">
        <f>AC69*AC88</f>
        <v>0</v>
      </c>
      <c r="AD102" s="476">
        <f t="shared" si="144"/>
        <v>1080</v>
      </c>
      <c r="AE102" s="620">
        <f t="shared" si="144"/>
        <v>0</v>
      </c>
      <c r="AF102" s="477">
        <f t="shared" si="144"/>
        <v>1620</v>
      </c>
      <c r="AH102" s="410"/>
      <c r="AI102" s="410"/>
      <c r="AJ102" s="410"/>
      <c r="AK102" s="784"/>
      <c r="AL102" s="780"/>
      <c r="AM102" s="410"/>
      <c r="AN102" s="410"/>
      <c r="AO102" s="802" t="s">
        <v>879</v>
      </c>
      <c r="AP102" s="803">
        <f t="shared" ref="AP102:AT102" si="145">AP69*AP88</f>
        <v>0</v>
      </c>
      <c r="AQ102" s="804">
        <f t="shared" si="145"/>
        <v>0</v>
      </c>
      <c r="AR102" s="805">
        <f t="shared" si="145"/>
        <v>256.15384632000001</v>
      </c>
      <c r="AS102" s="804">
        <f t="shared" si="145"/>
        <v>0</v>
      </c>
      <c r="AT102" s="806">
        <f t="shared" si="145"/>
        <v>384.23076947999999</v>
      </c>
      <c r="AU102" s="410"/>
      <c r="AV102" s="410"/>
      <c r="AW102" s="410"/>
      <c r="AX102" s="410"/>
      <c r="AY102" s="784"/>
      <c r="AZ102" s="780"/>
      <c r="BA102" s="410"/>
      <c r="BB102" s="410"/>
      <c r="BC102" s="802" t="s">
        <v>879</v>
      </c>
      <c r="BD102" s="803">
        <f t="shared" ref="BD102:BH102" si="146">BD69*BD88</f>
        <v>0</v>
      </c>
      <c r="BE102" s="804">
        <f t="shared" si="146"/>
        <v>0</v>
      </c>
      <c r="BF102" s="805">
        <f t="shared" si="146"/>
        <v>420.92307719999997</v>
      </c>
      <c r="BG102" s="804">
        <f t="shared" si="146"/>
        <v>0</v>
      </c>
      <c r="BH102" s="806">
        <f t="shared" si="146"/>
        <v>631.38461579999989</v>
      </c>
      <c r="BI102" s="410"/>
      <c r="BJ102" s="410"/>
      <c r="BK102" s="410"/>
      <c r="BL102" s="410"/>
      <c r="BM102" s="784"/>
      <c r="BN102" s="780"/>
      <c r="BO102" s="410"/>
      <c r="BP102" s="410"/>
      <c r="BQ102" s="802" t="s">
        <v>879</v>
      </c>
      <c r="BR102" s="803">
        <f t="shared" ref="BR102:BV102" si="147">BR69*BR88</f>
        <v>0</v>
      </c>
      <c r="BS102" s="804">
        <f t="shared" si="147"/>
        <v>0</v>
      </c>
      <c r="BT102" s="805">
        <f t="shared" si="147"/>
        <v>585.69230808000009</v>
      </c>
      <c r="BU102" s="804">
        <f t="shared" si="147"/>
        <v>0</v>
      </c>
      <c r="BV102" s="806">
        <f t="shared" si="147"/>
        <v>878.53846211999996</v>
      </c>
      <c r="BW102" s="410"/>
      <c r="BX102" s="410"/>
      <c r="BY102" s="410"/>
      <c r="BZ102" s="410"/>
      <c r="CA102" s="784"/>
      <c r="CB102" s="780"/>
      <c r="CC102" s="410"/>
      <c r="CD102" s="410"/>
      <c r="CE102" s="802" t="s">
        <v>879</v>
      </c>
      <c r="CF102" s="803">
        <f t="shared" ref="CF102:CJ102" si="148">CF69*CF88</f>
        <v>0</v>
      </c>
      <c r="CG102" s="804">
        <f t="shared" si="148"/>
        <v>0</v>
      </c>
      <c r="CH102" s="805">
        <f t="shared" si="148"/>
        <v>750.4615389600001</v>
      </c>
      <c r="CI102" s="804">
        <f t="shared" si="148"/>
        <v>0</v>
      </c>
      <c r="CJ102" s="806">
        <f t="shared" si="148"/>
        <v>1125.69230844</v>
      </c>
      <c r="CK102" s="410"/>
      <c r="CL102" s="410"/>
      <c r="CM102" s="410"/>
      <c r="CN102" s="410"/>
      <c r="CO102" s="784"/>
      <c r="CP102" s="780"/>
      <c r="CQ102" s="410"/>
      <c r="CR102" s="410"/>
      <c r="CS102" s="802" t="s">
        <v>879</v>
      </c>
      <c r="CT102" s="803">
        <f t="shared" ref="CT102:CX102" si="149">CT69*CT88</f>
        <v>0</v>
      </c>
      <c r="CU102" s="804">
        <f t="shared" si="149"/>
        <v>0</v>
      </c>
      <c r="CV102" s="805">
        <f t="shared" si="149"/>
        <v>915.23076984000011</v>
      </c>
      <c r="CW102" s="804">
        <f t="shared" si="149"/>
        <v>0</v>
      </c>
      <c r="CX102" s="806">
        <f t="shared" si="149"/>
        <v>1372.84615476</v>
      </c>
    </row>
    <row r="103" spans="2:102" ht="13.5" thickTop="1">
      <c r="I103" s="595"/>
      <c r="J103" s="177"/>
      <c r="K103" s="177"/>
      <c r="L103" s="177"/>
      <c r="M103" s="625" t="s">
        <v>823</v>
      </c>
      <c r="N103" s="624">
        <f>SUM(N90:N102)</f>
        <v>23352.101633700004</v>
      </c>
      <c r="O103" s="623">
        <f t="shared" ref="O103:R103" si="150">SUM(O90:O102)</f>
        <v>5513.4242940529994</v>
      </c>
      <c r="P103" s="623">
        <f t="shared" si="150"/>
        <v>10736.979736049998</v>
      </c>
      <c r="Q103" s="623">
        <f t="shared" si="150"/>
        <v>3380.7689565300002</v>
      </c>
      <c r="R103" s="628">
        <f t="shared" si="150"/>
        <v>16036.933124069998</v>
      </c>
      <c r="W103" s="595"/>
      <c r="X103" s="177"/>
      <c r="Y103" s="177"/>
      <c r="Z103" s="177"/>
      <c r="AA103" s="625" t="s">
        <v>823</v>
      </c>
      <c r="AB103" s="624">
        <f>SUM(AB90:AB102)</f>
        <v>12132.5</v>
      </c>
      <c r="AC103" s="623">
        <f t="shared" ref="AC103:AF103" si="151">SUM(AC90:AC102)</f>
        <v>5306.5</v>
      </c>
      <c r="AD103" s="623">
        <f t="shared" si="151"/>
        <v>8231.0499999999993</v>
      </c>
      <c r="AE103" s="623">
        <f t="shared" si="151"/>
        <v>13110.7</v>
      </c>
      <c r="AF103" s="628">
        <f t="shared" si="151"/>
        <v>16749</v>
      </c>
      <c r="AH103" s="410"/>
      <c r="AI103" s="410"/>
      <c r="AJ103" s="410"/>
      <c r="AK103" s="784"/>
      <c r="AL103" s="780"/>
      <c r="AM103" s="410"/>
      <c r="AN103" s="410"/>
      <c r="AO103" s="807" t="s">
        <v>823</v>
      </c>
      <c r="AP103" s="808">
        <f>SUM(AP90:AP102)</f>
        <v>22920.578494100002</v>
      </c>
      <c r="AQ103" s="809">
        <f t="shared" ref="AQ103:AT103" si="152">SUM(AQ90:AQ102)</f>
        <v>5505.4656673440004</v>
      </c>
      <c r="AR103" s="809">
        <f t="shared" si="152"/>
        <v>10640.597823193399</v>
      </c>
      <c r="AS103" s="809">
        <f t="shared" si="152"/>
        <v>3754.9970737407998</v>
      </c>
      <c r="AT103" s="810">
        <f t="shared" si="152"/>
        <v>16064.320311986001</v>
      </c>
      <c r="AU103" s="410"/>
      <c r="AV103" s="410"/>
      <c r="AW103" s="410"/>
      <c r="AX103" s="410"/>
      <c r="AY103" s="784"/>
      <c r="AZ103" s="780"/>
      <c r="BA103" s="410"/>
      <c r="BB103" s="410"/>
      <c r="BC103" s="807" t="s">
        <v>823</v>
      </c>
      <c r="BD103" s="808">
        <f>SUM(BD90:BD102)</f>
        <v>20762.962795300002</v>
      </c>
      <c r="BE103" s="809">
        <f t="shared" ref="BE103:BH103" si="153">SUM(BE90:BE102)</f>
        <v>5465.6725337115004</v>
      </c>
      <c r="BF103" s="809">
        <f t="shared" si="153"/>
        <v>10158.688258350798</v>
      </c>
      <c r="BG103" s="809">
        <f t="shared" si="153"/>
        <v>5626.1376587920995</v>
      </c>
      <c r="BH103" s="810">
        <f t="shared" si="153"/>
        <v>16201.256249327</v>
      </c>
      <c r="BI103" s="410"/>
      <c r="BJ103" s="410"/>
      <c r="BK103" s="410"/>
      <c r="BL103" s="410"/>
      <c r="BM103" s="784"/>
      <c r="BN103" s="780"/>
      <c r="BO103" s="410"/>
      <c r="BP103" s="410"/>
      <c r="BQ103" s="807" t="s">
        <v>823</v>
      </c>
      <c r="BR103" s="808">
        <f>SUM(BR90:BR102)</f>
        <v>18605.347096499998</v>
      </c>
      <c r="BS103" s="809">
        <f t="shared" ref="BS103:BV103" si="154">SUM(BS90:BS102)</f>
        <v>5425.8794000790003</v>
      </c>
      <c r="BT103" s="809">
        <f t="shared" si="154"/>
        <v>9676.7786935082004</v>
      </c>
      <c r="BU103" s="809">
        <f t="shared" si="154"/>
        <v>7497.2782438434006</v>
      </c>
      <c r="BV103" s="810">
        <f t="shared" si="154"/>
        <v>16338.192186668002</v>
      </c>
      <c r="BW103" s="410"/>
      <c r="BX103" s="410"/>
      <c r="BY103" s="410"/>
      <c r="BZ103" s="410"/>
      <c r="CA103" s="784"/>
      <c r="CB103" s="780"/>
      <c r="CC103" s="410"/>
      <c r="CD103" s="410"/>
      <c r="CE103" s="807" t="s">
        <v>823</v>
      </c>
      <c r="CF103" s="808">
        <f>SUM(CF90:CF102)</f>
        <v>16447.731397699998</v>
      </c>
      <c r="CG103" s="809">
        <f t="shared" ref="CG103:CJ103" si="155">SUM(CG90:CG102)</f>
        <v>5386.0862664465003</v>
      </c>
      <c r="CH103" s="809">
        <f t="shared" si="155"/>
        <v>9194.8691286655994</v>
      </c>
      <c r="CI103" s="809">
        <f t="shared" si="155"/>
        <v>9368.4188288947007</v>
      </c>
      <c r="CJ103" s="810">
        <f t="shared" si="155"/>
        <v>16475.128124008999</v>
      </c>
      <c r="CK103" s="410"/>
      <c r="CL103" s="410"/>
      <c r="CM103" s="410"/>
      <c r="CN103" s="410"/>
      <c r="CO103" s="784"/>
      <c r="CP103" s="780"/>
      <c r="CQ103" s="410"/>
      <c r="CR103" s="410"/>
      <c r="CS103" s="807" t="s">
        <v>823</v>
      </c>
      <c r="CT103" s="808">
        <f>SUM(CT90:CT102)</f>
        <v>14290.115698899999</v>
      </c>
      <c r="CU103" s="809">
        <f t="shared" ref="CU103:CX103" si="156">SUM(CU90:CU102)</f>
        <v>5346.2931328140003</v>
      </c>
      <c r="CV103" s="809">
        <f t="shared" si="156"/>
        <v>8712.9595638230003</v>
      </c>
      <c r="CW103" s="809">
        <f t="shared" si="156"/>
        <v>11239.559413945999</v>
      </c>
      <c r="CX103" s="810">
        <f t="shared" si="156"/>
        <v>16612.06406135</v>
      </c>
    </row>
    <row r="104" spans="2:102" ht="13.5" thickBot="1">
      <c r="I104" s="595"/>
      <c r="J104" s="177"/>
      <c r="K104" s="177"/>
      <c r="L104" s="177"/>
      <c r="M104" s="630" t="s">
        <v>37</v>
      </c>
      <c r="N104" s="626">
        <f>N103/1000</f>
        <v>23.352101633700002</v>
      </c>
      <c r="O104" s="627">
        <f>O103/1000</f>
        <v>5.5134242940529994</v>
      </c>
      <c r="P104" s="627">
        <f>P103/1000</f>
        <v>10.736979736049998</v>
      </c>
      <c r="Q104" s="627">
        <f>Q103/1000</f>
        <v>3.3807689565300003</v>
      </c>
      <c r="R104" s="629">
        <f>R103/1000</f>
        <v>16.036933124069996</v>
      </c>
      <c r="W104" s="595"/>
      <c r="X104" s="177"/>
      <c r="Y104" s="177"/>
      <c r="Z104" s="177"/>
      <c r="AA104" s="630" t="s">
        <v>37</v>
      </c>
      <c r="AB104" s="626">
        <f>AB103/1000</f>
        <v>12.1325</v>
      </c>
      <c r="AC104" s="627">
        <f>AC103/1000</f>
        <v>5.3064999999999998</v>
      </c>
      <c r="AD104" s="627">
        <f>AD103/1000</f>
        <v>8.2310499999999998</v>
      </c>
      <c r="AE104" s="627">
        <f>AE103/1000</f>
        <v>13.110700000000001</v>
      </c>
      <c r="AF104" s="629">
        <f>AF103/1000</f>
        <v>16.748999999999999</v>
      </c>
      <c r="AH104" s="410"/>
      <c r="AI104" s="410"/>
      <c r="AJ104" s="410"/>
      <c r="AK104" s="784"/>
      <c r="AL104" s="780"/>
      <c r="AM104" s="410"/>
      <c r="AN104" s="410"/>
      <c r="AO104" s="811" t="s">
        <v>37</v>
      </c>
      <c r="AP104" s="812">
        <f>AP103/1000</f>
        <v>22.920578494100003</v>
      </c>
      <c r="AQ104" s="813">
        <f>AQ103/1000</f>
        <v>5.5054656673440006</v>
      </c>
      <c r="AR104" s="813">
        <f>AR103/1000</f>
        <v>10.640597823193399</v>
      </c>
      <c r="AS104" s="813">
        <f>AS103/1000</f>
        <v>3.7549970737407996</v>
      </c>
      <c r="AT104" s="814">
        <f>AT103/1000</f>
        <v>16.064320311986002</v>
      </c>
      <c r="AU104" s="410"/>
      <c r="AV104" s="410"/>
      <c r="AW104" s="410"/>
      <c r="AX104" s="410"/>
      <c r="AY104" s="784"/>
      <c r="AZ104" s="780"/>
      <c r="BA104" s="410"/>
      <c r="BB104" s="410"/>
      <c r="BC104" s="811" t="s">
        <v>37</v>
      </c>
      <c r="BD104" s="812">
        <f>BD103/1000</f>
        <v>20.762962795300002</v>
      </c>
      <c r="BE104" s="813">
        <f>BE103/1000</f>
        <v>5.4656725337115004</v>
      </c>
      <c r="BF104" s="813">
        <f>BF103/1000</f>
        <v>10.158688258350798</v>
      </c>
      <c r="BG104" s="813">
        <f>BG103/1000</f>
        <v>5.6261376587920999</v>
      </c>
      <c r="BH104" s="814">
        <f>BH103/1000</f>
        <v>16.201256249326999</v>
      </c>
      <c r="BI104" s="410"/>
      <c r="BJ104" s="410"/>
      <c r="BK104" s="410"/>
      <c r="BL104" s="410"/>
      <c r="BM104" s="784"/>
      <c r="BN104" s="780"/>
      <c r="BO104" s="410"/>
      <c r="BP104" s="410"/>
      <c r="BQ104" s="811" t="s">
        <v>37</v>
      </c>
      <c r="BR104" s="812">
        <f>BR103/1000</f>
        <v>18.605347096499997</v>
      </c>
      <c r="BS104" s="813">
        <f>BS103/1000</f>
        <v>5.4258794000790003</v>
      </c>
      <c r="BT104" s="813">
        <f>BT103/1000</f>
        <v>9.6767786935082007</v>
      </c>
      <c r="BU104" s="813">
        <f>BU103/1000</f>
        <v>7.4972782438434002</v>
      </c>
      <c r="BV104" s="814">
        <f>BV103/1000</f>
        <v>16.338192186668003</v>
      </c>
      <c r="BW104" s="410"/>
      <c r="BX104" s="410"/>
      <c r="BY104" s="410"/>
      <c r="BZ104" s="410"/>
      <c r="CA104" s="784"/>
      <c r="CB104" s="780"/>
      <c r="CC104" s="410"/>
      <c r="CD104" s="410"/>
      <c r="CE104" s="811" t="s">
        <v>37</v>
      </c>
      <c r="CF104" s="812">
        <f>CF103/1000</f>
        <v>16.447731397699997</v>
      </c>
      <c r="CG104" s="813">
        <f>CG103/1000</f>
        <v>5.3860862664465001</v>
      </c>
      <c r="CH104" s="813">
        <f>CH103/1000</f>
        <v>9.1948691286655997</v>
      </c>
      <c r="CI104" s="867">
        <f>CI103/1000</f>
        <v>9.3684188288947006</v>
      </c>
      <c r="CJ104" s="868">
        <f>CJ103/1000</f>
        <v>16.475128124009</v>
      </c>
      <c r="CK104" s="410"/>
      <c r="CL104" s="410"/>
      <c r="CM104" s="410"/>
      <c r="CN104" s="410"/>
      <c r="CO104" s="784"/>
      <c r="CP104" s="780"/>
      <c r="CQ104" s="410"/>
      <c r="CR104" s="410"/>
      <c r="CS104" s="811" t="s">
        <v>37</v>
      </c>
      <c r="CT104" s="812">
        <f>CT103/1000</f>
        <v>14.290115698899999</v>
      </c>
      <c r="CU104" s="813">
        <f>CU103/1000</f>
        <v>5.346293132814</v>
      </c>
      <c r="CV104" s="813">
        <f>CV103/1000</f>
        <v>8.7129595638230004</v>
      </c>
      <c r="CW104" s="867">
        <f>CW103/1000</f>
        <v>11.239559413945999</v>
      </c>
      <c r="CX104" s="868">
        <f>CX103/1000</f>
        <v>16.612064061350001</v>
      </c>
    </row>
    <row r="105" spans="2:102">
      <c r="J105" s="511"/>
      <c r="K105" s="602"/>
      <c r="L105" s="632"/>
      <c r="M105" s="636" t="s">
        <v>873</v>
      </c>
      <c r="N105" s="636"/>
      <c r="O105" s="636"/>
      <c r="P105" s="636"/>
      <c r="Q105" s="636"/>
      <c r="R105" s="637"/>
      <c r="X105" s="511"/>
      <c r="Y105" s="602"/>
      <c r="Z105" s="632"/>
      <c r="AA105" s="636" t="s">
        <v>873</v>
      </c>
      <c r="AB105" s="636"/>
      <c r="AC105" s="636"/>
      <c r="AD105" s="636"/>
      <c r="AE105" s="636"/>
      <c r="AF105" s="637"/>
      <c r="AH105" s="410"/>
      <c r="AI105" s="410"/>
      <c r="AJ105" s="410"/>
      <c r="AK105" s="410"/>
      <c r="AL105" s="780"/>
      <c r="AM105" s="815"/>
      <c r="AN105" s="784"/>
      <c r="AO105" s="636" t="s">
        <v>873</v>
      </c>
      <c r="AP105" s="636"/>
      <c r="AQ105" s="636"/>
      <c r="AR105" s="636"/>
      <c r="AS105" s="636"/>
      <c r="AT105" s="637"/>
      <c r="AU105" s="410"/>
      <c r="AV105" s="410"/>
      <c r="AW105" s="410"/>
      <c r="AX105" s="410"/>
      <c r="AY105" s="410"/>
      <c r="AZ105" s="780"/>
      <c r="BA105" s="815"/>
      <c r="BB105" s="784"/>
      <c r="BC105" s="636" t="s">
        <v>873</v>
      </c>
      <c r="BD105" s="636"/>
      <c r="BE105" s="636"/>
      <c r="BF105" s="636"/>
      <c r="BG105" s="636"/>
      <c r="BH105" s="637"/>
      <c r="BI105" s="410"/>
      <c r="BJ105" s="410"/>
      <c r="BK105" s="410"/>
      <c r="BL105" s="410"/>
      <c r="BM105" s="410"/>
      <c r="BN105" s="780"/>
      <c r="BO105" s="815"/>
      <c r="BP105" s="784"/>
      <c r="BQ105" s="636" t="s">
        <v>873</v>
      </c>
      <c r="BR105" s="636"/>
      <c r="BS105" s="636"/>
      <c r="BT105" s="636"/>
      <c r="BU105" s="636"/>
      <c r="BV105" s="637"/>
      <c r="BW105" s="410"/>
      <c r="BX105" s="410"/>
      <c r="BY105" s="410"/>
      <c r="BZ105" s="410"/>
      <c r="CA105" s="410"/>
      <c r="CB105" s="780"/>
      <c r="CC105" s="815"/>
      <c r="CD105" s="784"/>
      <c r="CE105" s="636" t="s">
        <v>873</v>
      </c>
      <c r="CF105" s="636"/>
      <c r="CG105" s="636"/>
      <c r="CH105" s="636"/>
      <c r="CI105" s="636"/>
      <c r="CJ105" s="637"/>
      <c r="CK105" s="410"/>
      <c r="CL105" s="410"/>
      <c r="CM105" s="410"/>
      <c r="CN105" s="410"/>
      <c r="CO105" s="410"/>
      <c r="CP105" s="780"/>
      <c r="CQ105" s="815"/>
      <c r="CR105" s="784"/>
      <c r="CS105" s="636" t="s">
        <v>873</v>
      </c>
      <c r="CT105" s="636"/>
      <c r="CU105" s="636"/>
      <c r="CV105" s="636"/>
      <c r="CW105" s="636"/>
      <c r="CX105" s="637"/>
    </row>
    <row r="106" spans="2:102">
      <c r="J106" s="511"/>
      <c r="K106" s="177"/>
      <c r="L106" s="632"/>
      <c r="M106" s="631" t="s">
        <v>871</v>
      </c>
      <c r="N106" s="575">
        <v>0.9</v>
      </c>
      <c r="O106" s="575">
        <v>1</v>
      </c>
      <c r="P106" s="575">
        <v>0</v>
      </c>
      <c r="Q106" s="575">
        <v>0</v>
      </c>
      <c r="R106" s="576">
        <v>0.6</v>
      </c>
      <c r="X106" s="511"/>
      <c r="Y106" s="177"/>
      <c r="Z106" s="632"/>
      <c r="AA106" s="631" t="s">
        <v>871</v>
      </c>
      <c r="AB106" s="575">
        <v>0.9</v>
      </c>
      <c r="AC106" s="575">
        <v>1</v>
      </c>
      <c r="AD106" s="575">
        <v>0</v>
      </c>
      <c r="AE106" s="575">
        <v>0</v>
      </c>
      <c r="AF106" s="576">
        <v>0.6</v>
      </c>
      <c r="AH106" s="410"/>
      <c r="AI106" s="410"/>
      <c r="AJ106" s="410"/>
      <c r="AK106" s="410"/>
      <c r="AL106" s="780"/>
      <c r="AM106" s="410"/>
      <c r="AN106" s="784"/>
      <c r="AO106" s="816" t="s">
        <v>871</v>
      </c>
      <c r="AP106" s="788">
        <v>0.9</v>
      </c>
      <c r="AQ106" s="788">
        <v>1</v>
      </c>
      <c r="AR106" s="788">
        <v>0</v>
      </c>
      <c r="AS106" s="788">
        <v>0</v>
      </c>
      <c r="AT106" s="790">
        <v>0.6</v>
      </c>
      <c r="AU106" s="410"/>
      <c r="AV106" s="410"/>
      <c r="AW106" s="410"/>
      <c r="AX106" s="410"/>
      <c r="AY106" s="410"/>
      <c r="AZ106" s="780"/>
      <c r="BA106" s="410"/>
      <c r="BB106" s="784"/>
      <c r="BC106" s="816" t="s">
        <v>871</v>
      </c>
      <c r="BD106" s="788">
        <v>0.9</v>
      </c>
      <c r="BE106" s="788">
        <v>1</v>
      </c>
      <c r="BF106" s="788">
        <v>0</v>
      </c>
      <c r="BG106" s="788">
        <v>0</v>
      </c>
      <c r="BH106" s="790">
        <v>0.6</v>
      </c>
      <c r="BI106" s="410"/>
      <c r="BJ106" s="410"/>
      <c r="BK106" s="410"/>
      <c r="BL106" s="410"/>
      <c r="BM106" s="410"/>
      <c r="BN106" s="780"/>
      <c r="BO106" s="410"/>
      <c r="BP106" s="784"/>
      <c r="BQ106" s="816" t="s">
        <v>871</v>
      </c>
      <c r="BR106" s="788">
        <v>0.9</v>
      </c>
      <c r="BS106" s="788">
        <v>1</v>
      </c>
      <c r="BT106" s="788">
        <v>0</v>
      </c>
      <c r="BU106" s="788">
        <v>0</v>
      </c>
      <c r="BV106" s="790">
        <v>0.6</v>
      </c>
      <c r="BW106" s="410"/>
      <c r="BX106" s="410"/>
      <c r="BY106" s="410"/>
      <c r="BZ106" s="410"/>
      <c r="CA106" s="410"/>
      <c r="CB106" s="780"/>
      <c r="CC106" s="410"/>
      <c r="CD106" s="784"/>
      <c r="CE106" s="816" t="s">
        <v>871</v>
      </c>
      <c r="CF106" s="788">
        <v>0.9</v>
      </c>
      <c r="CG106" s="788">
        <v>1</v>
      </c>
      <c r="CH106" s="788">
        <v>0</v>
      </c>
      <c r="CI106" s="788">
        <v>0</v>
      </c>
      <c r="CJ106" s="790">
        <v>0.6</v>
      </c>
      <c r="CK106" s="410"/>
      <c r="CL106" s="410"/>
      <c r="CM106" s="410"/>
      <c r="CN106" s="410"/>
      <c r="CO106" s="410"/>
      <c r="CP106" s="780"/>
      <c r="CQ106" s="410"/>
      <c r="CR106" s="784"/>
      <c r="CS106" s="816" t="s">
        <v>871</v>
      </c>
      <c r="CT106" s="788">
        <v>0.9</v>
      </c>
      <c r="CU106" s="788">
        <v>1</v>
      </c>
      <c r="CV106" s="788">
        <v>0</v>
      </c>
      <c r="CW106" s="788">
        <v>0</v>
      </c>
      <c r="CX106" s="790">
        <v>0.6</v>
      </c>
    </row>
    <row r="107" spans="2:102" ht="13.5" thickBot="1">
      <c r="J107" s="511"/>
      <c r="K107" s="177"/>
      <c r="L107" s="633"/>
      <c r="M107" s="631" t="s">
        <v>872</v>
      </c>
      <c r="N107" s="575">
        <v>0.1</v>
      </c>
      <c r="O107" s="575">
        <v>0</v>
      </c>
      <c r="P107" s="575">
        <v>1</v>
      </c>
      <c r="Q107" s="575">
        <v>1</v>
      </c>
      <c r="R107" s="576">
        <v>0.4</v>
      </c>
      <c r="X107" s="511"/>
      <c r="Y107" s="177"/>
      <c r="Z107" s="633"/>
      <c r="AA107" s="631" t="s">
        <v>872</v>
      </c>
      <c r="AB107" s="575">
        <v>0.1</v>
      </c>
      <c r="AC107" s="575">
        <v>0</v>
      </c>
      <c r="AD107" s="575">
        <v>1</v>
      </c>
      <c r="AE107" s="575">
        <v>1</v>
      </c>
      <c r="AF107" s="576">
        <v>0.4</v>
      </c>
      <c r="AH107" s="410"/>
      <c r="AI107" s="410"/>
      <c r="AJ107" s="410"/>
      <c r="AK107" s="410"/>
      <c r="AL107" s="817"/>
      <c r="AM107" s="818"/>
      <c r="AN107" s="819"/>
      <c r="AO107" s="820" t="s">
        <v>872</v>
      </c>
      <c r="AP107" s="813">
        <v>0.1</v>
      </c>
      <c r="AQ107" s="813">
        <v>0</v>
      </c>
      <c r="AR107" s="813">
        <v>1</v>
      </c>
      <c r="AS107" s="813">
        <v>1</v>
      </c>
      <c r="AT107" s="814">
        <v>0.4</v>
      </c>
      <c r="AU107" s="410"/>
      <c r="AV107" s="410"/>
      <c r="AW107" s="410"/>
      <c r="AX107" s="410"/>
      <c r="AY107" s="410"/>
      <c r="AZ107" s="817"/>
      <c r="BA107" s="818"/>
      <c r="BB107" s="819"/>
      <c r="BC107" s="820" t="s">
        <v>872</v>
      </c>
      <c r="BD107" s="813">
        <v>0.1</v>
      </c>
      <c r="BE107" s="813">
        <v>0</v>
      </c>
      <c r="BF107" s="813">
        <v>1</v>
      </c>
      <c r="BG107" s="813">
        <v>1</v>
      </c>
      <c r="BH107" s="814">
        <v>0.4</v>
      </c>
      <c r="BI107" s="410"/>
      <c r="BJ107" s="410"/>
      <c r="BK107" s="410"/>
      <c r="BL107" s="410"/>
      <c r="BM107" s="410"/>
      <c r="BN107" s="817"/>
      <c r="BO107" s="818"/>
      <c r="BP107" s="819"/>
      <c r="BQ107" s="820" t="s">
        <v>872</v>
      </c>
      <c r="BR107" s="813">
        <v>0.1</v>
      </c>
      <c r="BS107" s="813">
        <v>0</v>
      </c>
      <c r="BT107" s="813">
        <v>1</v>
      </c>
      <c r="BU107" s="813">
        <v>1</v>
      </c>
      <c r="BV107" s="814">
        <v>0.4</v>
      </c>
      <c r="BW107" s="410"/>
      <c r="BX107" s="410"/>
      <c r="BY107" s="410"/>
      <c r="BZ107" s="410"/>
      <c r="CA107" s="410"/>
      <c r="CB107" s="817"/>
      <c r="CC107" s="818"/>
      <c r="CD107" s="819"/>
      <c r="CE107" s="820" t="s">
        <v>872</v>
      </c>
      <c r="CF107" s="813">
        <v>0.1</v>
      </c>
      <c r="CG107" s="813">
        <v>0</v>
      </c>
      <c r="CH107" s="813">
        <v>1</v>
      </c>
      <c r="CI107" s="813">
        <v>1</v>
      </c>
      <c r="CJ107" s="814">
        <v>0.4</v>
      </c>
      <c r="CK107" s="410"/>
      <c r="CL107" s="410"/>
      <c r="CM107" s="410"/>
      <c r="CN107" s="410"/>
      <c r="CO107" s="410"/>
      <c r="CP107" s="817"/>
      <c r="CQ107" s="818"/>
      <c r="CR107" s="819"/>
      <c r="CS107" s="820" t="s">
        <v>872</v>
      </c>
      <c r="CT107" s="813">
        <v>0.1</v>
      </c>
      <c r="CU107" s="813">
        <v>0</v>
      </c>
      <c r="CV107" s="813">
        <v>1</v>
      </c>
      <c r="CW107" s="813">
        <v>1</v>
      </c>
      <c r="CX107" s="814">
        <v>0.4</v>
      </c>
    </row>
    <row r="108" spans="2:102" ht="13.5" thickBot="1">
      <c r="J108" s="490" t="s">
        <v>876</v>
      </c>
      <c r="K108" s="491"/>
      <c r="L108" s="491"/>
      <c r="M108" s="491"/>
      <c r="N108" s="491"/>
      <c r="O108" s="491"/>
      <c r="P108" s="491"/>
      <c r="Q108" s="491"/>
      <c r="R108" s="492"/>
      <c r="X108" s="1007" t="s">
        <v>876</v>
      </c>
      <c r="Y108" s="1008"/>
      <c r="Z108" s="1008"/>
      <c r="AA108" s="1008"/>
      <c r="AB108" s="1008"/>
      <c r="AC108" s="1008"/>
      <c r="AD108" s="1008"/>
      <c r="AE108" s="1008"/>
      <c r="AF108" s="1009"/>
      <c r="AH108" s="410"/>
      <c r="AI108" s="410"/>
      <c r="AJ108" s="410"/>
      <c r="AK108" s="410"/>
      <c r="AL108" s="1001" t="s">
        <v>876</v>
      </c>
      <c r="AM108" s="1002"/>
      <c r="AN108" s="1002"/>
      <c r="AO108" s="1002"/>
      <c r="AP108" s="1002"/>
      <c r="AQ108" s="1002"/>
      <c r="AR108" s="1002"/>
      <c r="AS108" s="1002"/>
      <c r="AT108" s="1003"/>
      <c r="AU108" s="410"/>
      <c r="AV108" s="410"/>
      <c r="AW108" s="410"/>
      <c r="AX108" s="410"/>
      <c r="AY108" s="410"/>
      <c r="AZ108" s="870" t="s">
        <v>876</v>
      </c>
      <c r="BA108" s="871"/>
      <c r="BB108" s="871"/>
      <c r="BC108" s="871"/>
      <c r="BD108" s="871"/>
      <c r="BE108" s="871"/>
      <c r="BF108" s="871"/>
      <c r="BG108" s="871"/>
      <c r="BH108" s="872"/>
      <c r="BI108" s="410"/>
      <c r="BJ108" s="410"/>
      <c r="BK108" s="410"/>
      <c r="BL108" s="410"/>
      <c r="BM108" s="410"/>
      <c r="BN108" s="870" t="s">
        <v>876</v>
      </c>
      <c r="BO108" s="871"/>
      <c r="BP108" s="871"/>
      <c r="BQ108" s="871"/>
      <c r="BR108" s="871"/>
      <c r="BS108" s="871"/>
      <c r="BT108" s="871"/>
      <c r="BU108" s="871"/>
      <c r="BV108" s="872"/>
      <c r="BW108" s="410"/>
      <c r="BX108" s="410"/>
      <c r="BY108" s="410"/>
      <c r="BZ108" s="410"/>
      <c r="CA108" s="410"/>
      <c r="CB108" s="870" t="s">
        <v>876</v>
      </c>
      <c r="CC108" s="871"/>
      <c r="CD108" s="871"/>
      <c r="CE108" s="871"/>
      <c r="CF108" s="871"/>
      <c r="CG108" s="871"/>
      <c r="CH108" s="871"/>
      <c r="CI108" s="871"/>
      <c r="CJ108" s="872"/>
      <c r="CK108" s="410"/>
      <c r="CL108" s="410"/>
      <c r="CM108" s="410"/>
      <c r="CN108" s="410"/>
      <c r="CO108" s="410"/>
      <c r="CP108" s="870" t="s">
        <v>876</v>
      </c>
      <c r="CQ108" s="871"/>
      <c r="CR108" s="871"/>
      <c r="CS108" s="871"/>
      <c r="CT108" s="871"/>
      <c r="CU108" s="871"/>
      <c r="CV108" s="871"/>
      <c r="CW108" s="871"/>
      <c r="CX108" s="872"/>
    </row>
    <row r="109" spans="2:102">
      <c r="J109" s="507"/>
      <c r="K109" s="190"/>
      <c r="L109" s="508" t="s">
        <v>874</v>
      </c>
      <c r="M109" s="509"/>
      <c r="N109" s="510" t="s">
        <v>808</v>
      </c>
      <c r="O109" s="502" t="s">
        <v>809</v>
      </c>
      <c r="P109" s="502" t="s">
        <v>856</v>
      </c>
      <c r="Q109" s="502" t="s">
        <v>857</v>
      </c>
      <c r="R109" s="503" t="s">
        <v>858</v>
      </c>
      <c r="X109" s="661"/>
      <c r="Y109" s="662"/>
      <c r="Z109" s="663" t="s">
        <v>874</v>
      </c>
      <c r="AA109" s="664"/>
      <c r="AB109" s="665" t="s">
        <v>808</v>
      </c>
      <c r="AC109" s="666" t="s">
        <v>809</v>
      </c>
      <c r="AD109" s="666" t="s">
        <v>856</v>
      </c>
      <c r="AE109" s="666" t="s">
        <v>857</v>
      </c>
      <c r="AF109" s="667" t="s">
        <v>858</v>
      </c>
      <c r="AH109" s="410"/>
      <c r="AI109" s="410"/>
      <c r="AJ109" s="410"/>
      <c r="AK109" s="410"/>
      <c r="AL109" s="775"/>
      <c r="AM109" s="776"/>
      <c r="AN109" s="821" t="s">
        <v>874</v>
      </c>
      <c r="AO109" s="822"/>
      <c r="AP109" s="510" t="s">
        <v>808</v>
      </c>
      <c r="AQ109" s="502" t="s">
        <v>809</v>
      </c>
      <c r="AR109" s="502" t="s">
        <v>856</v>
      </c>
      <c r="AS109" s="502" t="s">
        <v>857</v>
      </c>
      <c r="AT109" s="503" t="s">
        <v>858</v>
      </c>
      <c r="AU109" s="410"/>
      <c r="AV109" s="410"/>
      <c r="AW109" s="410"/>
      <c r="AX109" s="410"/>
      <c r="AY109" s="410"/>
      <c r="AZ109" s="775"/>
      <c r="BA109" s="776"/>
      <c r="BB109" s="821" t="s">
        <v>874</v>
      </c>
      <c r="BC109" s="822"/>
      <c r="BD109" s="510" t="s">
        <v>808</v>
      </c>
      <c r="BE109" s="502" t="s">
        <v>809</v>
      </c>
      <c r="BF109" s="502" t="s">
        <v>856</v>
      </c>
      <c r="BG109" s="502" t="s">
        <v>857</v>
      </c>
      <c r="BH109" s="503" t="s">
        <v>858</v>
      </c>
      <c r="BI109" s="410"/>
      <c r="BJ109" s="410"/>
      <c r="BK109" s="410"/>
      <c r="BL109" s="410"/>
      <c r="BM109" s="410"/>
      <c r="BN109" s="775"/>
      <c r="BO109" s="776"/>
      <c r="BP109" s="821" t="s">
        <v>874</v>
      </c>
      <c r="BQ109" s="822"/>
      <c r="BR109" s="510" t="s">
        <v>808</v>
      </c>
      <c r="BS109" s="502" t="s">
        <v>809</v>
      </c>
      <c r="BT109" s="502" t="s">
        <v>856</v>
      </c>
      <c r="BU109" s="502" t="s">
        <v>857</v>
      </c>
      <c r="BV109" s="503" t="s">
        <v>858</v>
      </c>
      <c r="BW109" s="410"/>
      <c r="BX109" s="410"/>
      <c r="BY109" s="410"/>
      <c r="BZ109" s="410"/>
      <c r="CA109" s="410"/>
      <c r="CB109" s="775"/>
      <c r="CC109" s="776"/>
      <c r="CD109" s="821" t="s">
        <v>874</v>
      </c>
      <c r="CE109" s="822"/>
      <c r="CF109" s="510" t="s">
        <v>808</v>
      </c>
      <c r="CG109" s="502" t="s">
        <v>809</v>
      </c>
      <c r="CH109" s="502" t="s">
        <v>856</v>
      </c>
      <c r="CI109" s="502" t="s">
        <v>857</v>
      </c>
      <c r="CJ109" s="503" t="s">
        <v>858</v>
      </c>
      <c r="CK109" s="410"/>
      <c r="CL109" s="410"/>
      <c r="CM109" s="410"/>
      <c r="CN109" s="410"/>
      <c r="CO109" s="410"/>
      <c r="CP109" s="775"/>
      <c r="CQ109" s="776"/>
      <c r="CR109" s="821" t="s">
        <v>874</v>
      </c>
      <c r="CS109" s="822"/>
      <c r="CT109" s="510" t="s">
        <v>808</v>
      </c>
      <c r="CU109" s="502" t="s">
        <v>809</v>
      </c>
      <c r="CV109" s="502" t="s">
        <v>856</v>
      </c>
      <c r="CW109" s="502" t="s">
        <v>857</v>
      </c>
      <c r="CX109" s="503" t="s">
        <v>858</v>
      </c>
    </row>
    <row r="110" spans="2:102">
      <c r="B110" s="38" t="s">
        <v>811</v>
      </c>
      <c r="C110" s="38" t="s">
        <v>812</v>
      </c>
      <c r="J110" s="511"/>
      <c r="K110" s="177"/>
      <c r="L110" s="493" t="s">
        <v>877</v>
      </c>
      <c r="M110" s="484"/>
      <c r="N110" s="960" t="s">
        <v>875</v>
      </c>
      <c r="O110" s="961"/>
      <c r="P110" s="961"/>
      <c r="Q110" s="961"/>
      <c r="R110" s="989"/>
      <c r="X110" s="668"/>
      <c r="Y110" s="177"/>
      <c r="Z110" s="493" t="s">
        <v>877</v>
      </c>
      <c r="AA110" s="484"/>
      <c r="AB110" s="960" t="s">
        <v>875</v>
      </c>
      <c r="AC110" s="961"/>
      <c r="AD110" s="961"/>
      <c r="AE110" s="961"/>
      <c r="AF110" s="962"/>
      <c r="AH110" s="410"/>
      <c r="AI110" s="410"/>
      <c r="AJ110" s="410"/>
      <c r="AK110" s="410"/>
      <c r="AL110" s="780"/>
      <c r="AM110" s="410"/>
      <c r="AN110" s="823" t="s">
        <v>877</v>
      </c>
      <c r="AO110" s="824"/>
      <c r="AP110" s="873" t="s">
        <v>875</v>
      </c>
      <c r="AQ110" s="874"/>
      <c r="AR110" s="874"/>
      <c r="AS110" s="874"/>
      <c r="AT110" s="875"/>
      <c r="AU110" s="410"/>
      <c r="AV110" s="410"/>
      <c r="AW110" s="410"/>
      <c r="AX110" s="410"/>
      <c r="AY110" s="410"/>
      <c r="AZ110" s="780"/>
      <c r="BA110" s="410"/>
      <c r="BB110" s="823" t="s">
        <v>877</v>
      </c>
      <c r="BC110" s="824"/>
      <c r="BD110" s="873" t="s">
        <v>875</v>
      </c>
      <c r="BE110" s="874"/>
      <c r="BF110" s="874"/>
      <c r="BG110" s="874"/>
      <c r="BH110" s="875"/>
      <c r="BI110" s="410"/>
      <c r="BJ110" s="410"/>
      <c r="BK110" s="410"/>
      <c r="BL110" s="410"/>
      <c r="BM110" s="410"/>
      <c r="BN110" s="780"/>
      <c r="BO110" s="410"/>
      <c r="BP110" s="823" t="s">
        <v>877</v>
      </c>
      <c r="BQ110" s="824"/>
      <c r="BR110" s="873" t="s">
        <v>875</v>
      </c>
      <c r="BS110" s="874"/>
      <c r="BT110" s="874"/>
      <c r="BU110" s="874"/>
      <c r="BV110" s="875"/>
      <c r="BW110" s="410"/>
      <c r="BX110" s="410"/>
      <c r="BY110" s="410"/>
      <c r="BZ110" s="410"/>
      <c r="CA110" s="410"/>
      <c r="CB110" s="780"/>
      <c r="CC110" s="410"/>
      <c r="CD110" s="823" t="s">
        <v>877</v>
      </c>
      <c r="CE110" s="824"/>
      <c r="CF110" s="873" t="s">
        <v>875</v>
      </c>
      <c r="CG110" s="874"/>
      <c r="CH110" s="874"/>
      <c r="CI110" s="874"/>
      <c r="CJ110" s="875"/>
      <c r="CK110" s="410"/>
      <c r="CL110" s="410"/>
      <c r="CM110" s="410"/>
      <c r="CN110" s="410"/>
      <c r="CO110" s="410"/>
      <c r="CP110" s="780"/>
      <c r="CQ110" s="410"/>
      <c r="CR110" s="823" t="s">
        <v>877</v>
      </c>
      <c r="CS110" s="824"/>
      <c r="CT110" s="873" t="s">
        <v>875</v>
      </c>
      <c r="CU110" s="874"/>
      <c r="CV110" s="874"/>
      <c r="CW110" s="874"/>
      <c r="CX110" s="875"/>
    </row>
    <row r="111" spans="2:102">
      <c r="J111" s="512" t="str">
        <f>AGR_LAND!B28</f>
        <v>AGR_LAND_CROP_WHEAT</v>
      </c>
      <c r="K111" s="495"/>
      <c r="L111" s="494">
        <f>AGR_LAND!G28</f>
        <v>2385.6930000000002</v>
      </c>
      <c r="M111" s="484"/>
      <c r="N111" s="570">
        <v>1</v>
      </c>
      <c r="O111" s="570">
        <v>1</v>
      </c>
      <c r="P111" s="570">
        <v>0</v>
      </c>
      <c r="Q111" s="570">
        <v>0</v>
      </c>
      <c r="R111" s="571">
        <v>1</v>
      </c>
      <c r="X111" s="669" t="str">
        <f t="shared" ref="X111:X118" si="157">J111</f>
        <v>AGR_LAND_CROP_WHEAT</v>
      </c>
      <c r="Y111" s="495"/>
      <c r="Z111" s="494">
        <f>AGR_LAND!M28</f>
        <v>1499.325819186625</v>
      </c>
      <c r="AA111" s="484"/>
      <c r="AB111" s="570">
        <v>1</v>
      </c>
      <c r="AC111" s="570">
        <v>1</v>
      </c>
      <c r="AD111" s="570">
        <v>0</v>
      </c>
      <c r="AE111" s="570">
        <v>0</v>
      </c>
      <c r="AF111" s="670">
        <v>1</v>
      </c>
      <c r="AH111" s="410"/>
      <c r="AI111" s="410"/>
      <c r="AJ111" s="410"/>
      <c r="AK111" s="410"/>
      <c r="AL111" s="825" t="str">
        <f t="shared" ref="AL111:AL118" si="158">J111</f>
        <v>AGR_LAND_CROP_WHEAT</v>
      </c>
      <c r="AM111" s="826"/>
      <c r="AN111" s="827">
        <f>AGR_LAND!H28</f>
        <v>2414.1109999999999</v>
      </c>
      <c r="AO111" s="824"/>
      <c r="AP111" s="828">
        <v>1</v>
      </c>
      <c r="AQ111" s="828">
        <v>1</v>
      </c>
      <c r="AR111" s="828">
        <v>0</v>
      </c>
      <c r="AS111" s="828">
        <v>0</v>
      </c>
      <c r="AT111" s="829">
        <v>1</v>
      </c>
      <c r="AU111" s="410"/>
      <c r="AV111" s="410"/>
      <c r="AW111" s="410"/>
      <c r="AX111" s="410"/>
      <c r="AY111" s="410"/>
      <c r="AZ111" s="825" t="str">
        <f>AL111</f>
        <v>AGR_LAND_CROP_WHEAT</v>
      </c>
      <c r="BA111" s="826"/>
      <c r="BB111" s="827">
        <f>AGR_LAND!I28</f>
        <v>2428.6907322480297</v>
      </c>
      <c r="BC111" s="824"/>
      <c r="BD111" s="828">
        <v>1</v>
      </c>
      <c r="BE111" s="828">
        <v>1</v>
      </c>
      <c r="BF111" s="828">
        <v>0</v>
      </c>
      <c r="BG111" s="828">
        <v>0</v>
      </c>
      <c r="BH111" s="829">
        <v>1</v>
      </c>
      <c r="BI111" s="410"/>
      <c r="BJ111" s="410"/>
      <c r="BK111" s="410"/>
      <c r="BL111" s="410"/>
      <c r="BM111" s="410"/>
      <c r="BN111" s="825" t="str">
        <f>AZ111</f>
        <v>AGR_LAND_CROP_WHEAT</v>
      </c>
      <c r="BO111" s="826"/>
      <c r="BP111" s="827">
        <f>AGR_LAND!J28</f>
        <v>2190.4247839195932</v>
      </c>
      <c r="BQ111" s="824"/>
      <c r="BR111" s="828">
        <v>1</v>
      </c>
      <c r="BS111" s="828">
        <v>1</v>
      </c>
      <c r="BT111" s="828">
        <v>0</v>
      </c>
      <c r="BU111" s="828">
        <v>0</v>
      </c>
      <c r="BV111" s="829">
        <v>1</v>
      </c>
      <c r="BW111" s="410"/>
      <c r="BX111" s="410"/>
      <c r="BY111" s="410"/>
      <c r="BZ111" s="410"/>
      <c r="CA111" s="410"/>
      <c r="CB111" s="825" t="str">
        <f>BN111</f>
        <v>AGR_LAND_CROP_WHEAT</v>
      </c>
      <c r="CC111" s="826"/>
      <c r="CD111" s="827">
        <f>AGR_LAND!K28</f>
        <v>1956.1428704727355</v>
      </c>
      <c r="CE111" s="824"/>
      <c r="CF111" s="828">
        <v>1</v>
      </c>
      <c r="CG111" s="828">
        <v>1</v>
      </c>
      <c r="CH111" s="828">
        <v>0</v>
      </c>
      <c r="CI111" s="828">
        <v>0</v>
      </c>
      <c r="CJ111" s="829">
        <v>1</v>
      </c>
      <c r="CK111" s="410"/>
      <c r="CL111" s="410"/>
      <c r="CM111" s="410"/>
      <c r="CN111" s="410"/>
      <c r="CO111" s="410"/>
      <c r="CP111" s="825" t="str">
        <f>CB111</f>
        <v>AGR_LAND_CROP_WHEAT</v>
      </c>
      <c r="CQ111" s="826"/>
      <c r="CR111" s="827">
        <f>AGR_LAND!L28</f>
        <v>1725.7935106684015</v>
      </c>
      <c r="CS111" s="824"/>
      <c r="CT111" s="828">
        <v>1</v>
      </c>
      <c r="CU111" s="828">
        <v>1</v>
      </c>
      <c r="CV111" s="828">
        <v>0</v>
      </c>
      <c r="CW111" s="828">
        <v>0</v>
      </c>
      <c r="CX111" s="829">
        <v>1</v>
      </c>
    </row>
    <row r="112" spans="2:102">
      <c r="J112" s="512" t="str">
        <f>AGR_LAND!B36</f>
        <v>AGR_LAND_CROP_BARLEY</v>
      </c>
      <c r="K112" s="495"/>
      <c r="L112" s="494">
        <f>AGR_LAND!G36</f>
        <v>695.31399999999996</v>
      </c>
      <c r="M112" s="484"/>
      <c r="N112" s="570">
        <v>1</v>
      </c>
      <c r="O112" s="570">
        <v>0.85</v>
      </c>
      <c r="P112" s="570">
        <v>0</v>
      </c>
      <c r="Q112" s="570">
        <v>0</v>
      </c>
      <c r="R112" s="571">
        <v>0.95</v>
      </c>
      <c r="X112" s="669" t="str">
        <f t="shared" si="157"/>
        <v>AGR_LAND_CROP_BARLEY</v>
      </c>
      <c r="Y112" s="495"/>
      <c r="Z112" s="494">
        <f>AGR_LAND!M36</f>
        <v>402.72041468099223</v>
      </c>
      <c r="AA112" s="484"/>
      <c r="AB112" s="570">
        <v>1</v>
      </c>
      <c r="AC112" s="570">
        <v>0.85</v>
      </c>
      <c r="AD112" s="570">
        <v>0</v>
      </c>
      <c r="AE112" s="570">
        <v>0</v>
      </c>
      <c r="AF112" s="670">
        <v>0.95</v>
      </c>
      <c r="AH112" s="410"/>
      <c r="AI112" s="410"/>
      <c r="AJ112" s="410"/>
      <c r="AK112" s="410"/>
      <c r="AL112" s="825" t="str">
        <f t="shared" si="158"/>
        <v>AGR_LAND_CROP_BARLEY</v>
      </c>
      <c r="AM112" s="826"/>
      <c r="AN112" s="827">
        <f>AGR_LAND!H36</f>
        <v>620.62599999999998</v>
      </c>
      <c r="AO112" s="824"/>
      <c r="AP112" s="828">
        <v>1</v>
      </c>
      <c r="AQ112" s="828">
        <v>0.85</v>
      </c>
      <c r="AR112" s="828">
        <v>0</v>
      </c>
      <c r="AS112" s="828">
        <v>0</v>
      </c>
      <c r="AT112" s="829">
        <v>0.95</v>
      </c>
      <c r="AU112" s="410"/>
      <c r="AV112" s="410"/>
      <c r="AW112" s="410"/>
      <c r="AX112" s="410"/>
      <c r="AY112" s="410"/>
      <c r="AZ112" s="825" t="str">
        <f t="shared" ref="AZ112:AZ118" si="159">AL112</f>
        <v>AGR_LAND_CROP_BARLEY</v>
      </c>
      <c r="BA112" s="826"/>
      <c r="BB112" s="827">
        <f>AGR_LAND!I36</f>
        <v>671.35790636676734</v>
      </c>
      <c r="BC112" s="824"/>
      <c r="BD112" s="828">
        <v>1</v>
      </c>
      <c r="BE112" s="828">
        <v>0.85</v>
      </c>
      <c r="BF112" s="828">
        <v>0</v>
      </c>
      <c r="BG112" s="828">
        <v>0</v>
      </c>
      <c r="BH112" s="829">
        <v>0.95</v>
      </c>
      <c r="BI112" s="410"/>
      <c r="BJ112" s="410"/>
      <c r="BK112" s="410"/>
      <c r="BL112" s="410"/>
      <c r="BM112" s="410"/>
      <c r="BN112" s="825" t="str">
        <f t="shared" ref="BN112:BN118" si="160">AZ112</f>
        <v>AGR_LAND_CROP_BARLEY</v>
      </c>
      <c r="BO112" s="826"/>
      <c r="BP112" s="827">
        <f>AGR_LAND!J36</f>
        <v>601.65783341846043</v>
      </c>
      <c r="BQ112" s="824"/>
      <c r="BR112" s="828">
        <v>1</v>
      </c>
      <c r="BS112" s="828">
        <v>0.85</v>
      </c>
      <c r="BT112" s="828">
        <v>0</v>
      </c>
      <c r="BU112" s="828">
        <v>0</v>
      </c>
      <c r="BV112" s="829">
        <v>0.95</v>
      </c>
      <c r="BW112" s="410"/>
      <c r="BX112" s="410"/>
      <c r="BY112" s="410"/>
      <c r="BZ112" s="410"/>
      <c r="CA112" s="410"/>
      <c r="CB112" s="825" t="str">
        <f t="shared" ref="CB112:CB118" si="161">BN112</f>
        <v>AGR_LAND_CROP_BARLEY</v>
      </c>
      <c r="CC112" s="826"/>
      <c r="CD112" s="827">
        <f>AGR_LAND!K36</f>
        <v>533.67350141039867</v>
      </c>
      <c r="CE112" s="824"/>
      <c r="CF112" s="828">
        <v>1</v>
      </c>
      <c r="CG112" s="828">
        <v>0.85</v>
      </c>
      <c r="CH112" s="828">
        <v>0</v>
      </c>
      <c r="CI112" s="828">
        <v>0</v>
      </c>
      <c r="CJ112" s="829">
        <v>0.95</v>
      </c>
      <c r="CK112" s="410"/>
      <c r="CL112" s="410"/>
      <c r="CM112" s="410"/>
      <c r="CN112" s="410"/>
      <c r="CO112" s="410"/>
      <c r="CP112" s="825" t="str">
        <f t="shared" ref="CP112:CP118" si="162">CB112</f>
        <v>AGR_LAND_CROP_BARLEY</v>
      </c>
      <c r="CQ112" s="826"/>
      <c r="CR112" s="827">
        <f>AGR_LAND!L36</f>
        <v>467.37185585348521</v>
      </c>
      <c r="CS112" s="824"/>
      <c r="CT112" s="828">
        <v>1</v>
      </c>
      <c r="CU112" s="828">
        <v>0.85</v>
      </c>
      <c r="CV112" s="828">
        <v>0</v>
      </c>
      <c r="CW112" s="828">
        <v>0</v>
      </c>
      <c r="CX112" s="829">
        <v>0.95</v>
      </c>
    </row>
    <row r="113" spans="2:102" ht="14.25">
      <c r="B113" s="446" t="s">
        <v>828</v>
      </c>
      <c r="J113" s="513" t="str">
        <f>AGR_LAND!B44</f>
        <v>AGR_LAND_CROP_MAIZE</v>
      </c>
      <c r="K113" s="496"/>
      <c r="L113" s="494">
        <f>AGR_LAND!G44</f>
        <v>1276.7270000000001</v>
      </c>
      <c r="M113" s="484"/>
      <c r="N113" s="570">
        <v>1.25</v>
      </c>
      <c r="O113" s="570">
        <v>5</v>
      </c>
      <c r="P113" s="570">
        <v>0</v>
      </c>
      <c r="Q113" s="570">
        <v>0</v>
      </c>
      <c r="R113" s="571">
        <v>1.3</v>
      </c>
      <c r="X113" s="671" t="str">
        <f t="shared" si="157"/>
        <v>AGR_LAND_CROP_MAIZE</v>
      </c>
      <c r="Y113" s="496"/>
      <c r="Z113" s="494">
        <f>AGR_LAND!M44</f>
        <v>257.33577835231188</v>
      </c>
      <c r="AA113" s="484"/>
      <c r="AB113" s="570">
        <v>1.25</v>
      </c>
      <c r="AC113" s="570">
        <v>5</v>
      </c>
      <c r="AD113" s="570">
        <v>0</v>
      </c>
      <c r="AE113" s="570">
        <v>0</v>
      </c>
      <c r="AF113" s="670">
        <v>1.3</v>
      </c>
      <c r="AH113" s="410"/>
      <c r="AI113" s="410"/>
      <c r="AJ113" s="410"/>
      <c r="AK113" s="410"/>
      <c r="AL113" s="825" t="str">
        <f t="shared" si="158"/>
        <v>AGR_LAND_CROP_MAIZE</v>
      </c>
      <c r="AM113" s="830"/>
      <c r="AN113" s="827">
        <f>AGR_LAND!H44</f>
        <v>1341.8119999999999</v>
      </c>
      <c r="AO113" s="824"/>
      <c r="AP113" s="828">
        <v>1.25</v>
      </c>
      <c r="AQ113" s="828">
        <v>5</v>
      </c>
      <c r="AR113" s="828">
        <v>0</v>
      </c>
      <c r="AS113" s="828">
        <v>0</v>
      </c>
      <c r="AT113" s="829">
        <v>1.3</v>
      </c>
      <c r="AU113" s="410"/>
      <c r="AV113" s="410"/>
      <c r="AW113" s="410"/>
      <c r="AX113" s="410"/>
      <c r="AY113" s="410"/>
      <c r="AZ113" s="825" t="str">
        <f t="shared" si="159"/>
        <v>AGR_LAND_CROP_MAIZE</v>
      </c>
      <c r="BA113" s="830"/>
      <c r="BB113" s="827">
        <f>AGR_LAND!I44</f>
        <v>1379.8494899338393</v>
      </c>
      <c r="BC113" s="824"/>
      <c r="BD113" s="828">
        <v>1.25</v>
      </c>
      <c r="BE113" s="828">
        <v>5</v>
      </c>
      <c r="BF113" s="828">
        <v>0</v>
      </c>
      <c r="BG113" s="828">
        <v>0</v>
      </c>
      <c r="BH113" s="829">
        <v>1.3</v>
      </c>
      <c r="BI113" s="410"/>
      <c r="BJ113" s="410"/>
      <c r="BK113" s="410"/>
      <c r="BL113" s="410"/>
      <c r="BM113" s="410"/>
      <c r="BN113" s="825" t="str">
        <f t="shared" si="160"/>
        <v>AGR_LAND_CROP_MAIZE</v>
      </c>
      <c r="BO113" s="830"/>
      <c r="BP113" s="827">
        <f>AGR_LAND!J44</f>
        <v>1084.3560131831975</v>
      </c>
      <c r="BQ113" s="824"/>
      <c r="BR113" s="828">
        <v>1.25</v>
      </c>
      <c r="BS113" s="828">
        <v>5</v>
      </c>
      <c r="BT113" s="828">
        <v>0</v>
      </c>
      <c r="BU113" s="828">
        <v>0</v>
      </c>
      <c r="BV113" s="829">
        <v>1.3</v>
      </c>
      <c r="BW113" s="410"/>
      <c r="BX113" s="410"/>
      <c r="BY113" s="410"/>
      <c r="BZ113" s="410"/>
      <c r="CA113" s="410"/>
      <c r="CB113" s="825" t="str">
        <f t="shared" si="161"/>
        <v>AGR_LAND_CROP_MAIZE</v>
      </c>
      <c r="CC113" s="830"/>
      <c r="CD113" s="827">
        <f>AGR_LAND!K44</f>
        <v>798.94852710191037</v>
      </c>
      <c r="CE113" s="824"/>
      <c r="CF113" s="828">
        <v>1.25</v>
      </c>
      <c r="CG113" s="828">
        <v>5</v>
      </c>
      <c r="CH113" s="828">
        <v>0</v>
      </c>
      <c r="CI113" s="828">
        <v>0</v>
      </c>
      <c r="CJ113" s="829">
        <v>1.3</v>
      </c>
      <c r="CK113" s="410"/>
      <c r="CL113" s="410"/>
      <c r="CM113" s="410"/>
      <c r="CN113" s="410"/>
      <c r="CO113" s="410"/>
      <c r="CP113" s="825" t="str">
        <f t="shared" si="162"/>
        <v>AGR_LAND_CROP_MAIZE</v>
      </c>
      <c r="CQ113" s="830"/>
      <c r="CR113" s="827">
        <f>AGR_LAND!L44</f>
        <v>523.36153020267045</v>
      </c>
      <c r="CS113" s="824"/>
      <c r="CT113" s="828">
        <v>1.25</v>
      </c>
      <c r="CU113" s="828">
        <v>5</v>
      </c>
      <c r="CV113" s="828">
        <v>0</v>
      </c>
      <c r="CW113" s="828">
        <v>0</v>
      </c>
      <c r="CX113" s="829">
        <v>1.3</v>
      </c>
    </row>
    <row r="114" spans="2:102">
      <c r="B114" s="447" t="s">
        <v>818</v>
      </c>
      <c r="J114" s="512" t="str">
        <f>AGR_LAND!B52</f>
        <v>AGR_LAND_CROP_CER-MIX</v>
      </c>
      <c r="K114" s="495"/>
      <c r="L114" s="494">
        <f>AGR_LAND!G52</f>
        <v>252.4</v>
      </c>
      <c r="M114" s="484"/>
      <c r="N114" s="570">
        <v>0.85</v>
      </c>
      <c r="O114" s="570">
        <v>0.45</v>
      </c>
      <c r="P114" s="570">
        <v>0</v>
      </c>
      <c r="Q114" s="570">
        <v>0</v>
      </c>
      <c r="R114" s="571">
        <v>0.8</v>
      </c>
      <c r="X114" s="669" t="str">
        <f t="shared" si="157"/>
        <v>AGR_LAND_CROP_CER-MIX</v>
      </c>
      <c r="Y114" s="495"/>
      <c r="Z114" s="494">
        <f>AGR_LAND!M52</f>
        <v>549.3348659722509</v>
      </c>
      <c r="AA114" s="484"/>
      <c r="AB114" s="570">
        <v>0.85</v>
      </c>
      <c r="AC114" s="570">
        <v>0.45</v>
      </c>
      <c r="AD114" s="570">
        <v>0</v>
      </c>
      <c r="AE114" s="570">
        <v>0</v>
      </c>
      <c r="AF114" s="670">
        <v>0.8</v>
      </c>
      <c r="AH114" s="410"/>
      <c r="AI114" s="410"/>
      <c r="AJ114" s="410"/>
      <c r="AK114" s="410"/>
      <c r="AL114" s="825" t="str">
        <f t="shared" si="158"/>
        <v>AGR_LAND_CROP_CER-MIX</v>
      </c>
      <c r="AM114" s="826"/>
      <c r="AN114" s="827">
        <f>AGR_LAND!H52</f>
        <v>197.244</v>
      </c>
      <c r="AO114" s="824"/>
      <c r="AP114" s="828">
        <v>0.85</v>
      </c>
      <c r="AQ114" s="828">
        <v>0.45</v>
      </c>
      <c r="AR114" s="828">
        <v>0</v>
      </c>
      <c r="AS114" s="828">
        <v>0</v>
      </c>
      <c r="AT114" s="829">
        <v>0.8</v>
      </c>
      <c r="AU114" s="410"/>
      <c r="AV114" s="410"/>
      <c r="AW114" s="410"/>
      <c r="AX114" s="410"/>
      <c r="AY114" s="410"/>
      <c r="AZ114" s="825" t="str">
        <f t="shared" si="159"/>
        <v>AGR_LAND_CROP_CER-MIX</v>
      </c>
      <c r="BA114" s="826"/>
      <c r="BB114" s="827">
        <f>AGR_LAND!I52</f>
        <v>165.41704109737631</v>
      </c>
      <c r="BC114" s="824"/>
      <c r="BD114" s="828">
        <v>0.85</v>
      </c>
      <c r="BE114" s="828">
        <v>0.45</v>
      </c>
      <c r="BF114" s="828">
        <v>0</v>
      </c>
      <c r="BG114" s="828">
        <v>0</v>
      </c>
      <c r="BH114" s="829">
        <v>0.8</v>
      </c>
      <c r="BI114" s="410"/>
      <c r="BJ114" s="410"/>
      <c r="BK114" s="410"/>
      <c r="BL114" s="410"/>
      <c r="BM114" s="410"/>
      <c r="BN114" s="825" t="str">
        <f t="shared" si="160"/>
        <v>AGR_LAND_CROP_CER-MIX</v>
      </c>
      <c r="BO114" s="826"/>
      <c r="BP114" s="827">
        <f>AGR_LAND!J52</f>
        <v>263.45817585049758</v>
      </c>
      <c r="BQ114" s="824"/>
      <c r="BR114" s="828">
        <v>0.85</v>
      </c>
      <c r="BS114" s="828">
        <v>0.45</v>
      </c>
      <c r="BT114" s="828">
        <v>0</v>
      </c>
      <c r="BU114" s="828">
        <v>0</v>
      </c>
      <c r="BV114" s="829">
        <v>0.8</v>
      </c>
      <c r="BW114" s="410"/>
      <c r="BX114" s="410"/>
      <c r="BY114" s="410"/>
      <c r="BZ114" s="410"/>
      <c r="CA114" s="410"/>
      <c r="CB114" s="825" t="str">
        <f t="shared" si="161"/>
        <v>AGR_LAND_CROP_CER-MIX</v>
      </c>
      <c r="CC114" s="826"/>
      <c r="CD114" s="827">
        <f>AGR_LAND!K52</f>
        <v>360.11514856258532</v>
      </c>
      <c r="CE114" s="824"/>
      <c r="CF114" s="828">
        <v>0.85</v>
      </c>
      <c r="CG114" s="828">
        <v>0.45</v>
      </c>
      <c r="CH114" s="828">
        <v>0</v>
      </c>
      <c r="CI114" s="828">
        <v>0</v>
      </c>
      <c r="CJ114" s="829">
        <v>0.8</v>
      </c>
      <c r="CK114" s="410"/>
      <c r="CL114" s="410"/>
      <c r="CM114" s="410"/>
      <c r="CN114" s="410"/>
      <c r="CO114" s="410"/>
      <c r="CP114" s="825" t="str">
        <f t="shared" si="162"/>
        <v>AGR_LAND_CROP_CER-MIX</v>
      </c>
      <c r="CQ114" s="826"/>
      <c r="CR114" s="827">
        <f>AGR_LAND!L52</f>
        <v>455.40255794324582</v>
      </c>
      <c r="CS114" s="824"/>
      <c r="CT114" s="828">
        <v>0.85</v>
      </c>
      <c r="CU114" s="828">
        <v>0.45</v>
      </c>
      <c r="CV114" s="828">
        <v>0</v>
      </c>
      <c r="CW114" s="828">
        <v>0</v>
      </c>
      <c r="CX114" s="829">
        <v>0.8</v>
      </c>
    </row>
    <row r="115" spans="2:102">
      <c r="B115" s="448" t="s">
        <v>819</v>
      </c>
      <c r="J115" s="512" t="str">
        <f>AGR_LAND!B60</f>
        <v>AGR_LAND_CROP_TRITICALE</v>
      </c>
      <c r="K115" s="495"/>
      <c r="L115" s="494">
        <f>AGR_LAND!G60</f>
        <v>1147.0340000000001</v>
      </c>
      <c r="M115" s="484"/>
      <c r="N115" s="570">
        <v>0.9</v>
      </c>
      <c r="O115" s="570">
        <v>0.7</v>
      </c>
      <c r="P115" s="570">
        <v>0</v>
      </c>
      <c r="Q115" s="570">
        <v>0</v>
      </c>
      <c r="R115" s="571">
        <v>0.9</v>
      </c>
      <c r="X115" s="669" t="str">
        <f t="shared" si="157"/>
        <v>AGR_LAND_CROP_TRITICALE</v>
      </c>
      <c r="Y115" s="495"/>
      <c r="Z115" s="494">
        <f>AGR_LAND!M60</f>
        <v>763.54015863102313</v>
      </c>
      <c r="AA115" s="484"/>
      <c r="AB115" s="570">
        <v>0.9</v>
      </c>
      <c r="AC115" s="570">
        <v>0.7</v>
      </c>
      <c r="AD115" s="570">
        <v>0</v>
      </c>
      <c r="AE115" s="570">
        <v>0</v>
      </c>
      <c r="AF115" s="670">
        <v>0.9</v>
      </c>
      <c r="AH115" s="410"/>
      <c r="AI115" s="410"/>
      <c r="AJ115" s="410"/>
      <c r="AK115" s="410"/>
      <c r="AL115" s="825" t="str">
        <f t="shared" si="158"/>
        <v>AGR_LAND_CROP_TRITICALE</v>
      </c>
      <c r="AM115" s="826"/>
      <c r="AN115" s="827">
        <f>AGR_LAND!H60</f>
        <v>1115.5039999999999</v>
      </c>
      <c r="AO115" s="824"/>
      <c r="AP115" s="828">
        <v>0.9</v>
      </c>
      <c r="AQ115" s="828">
        <v>0.7</v>
      </c>
      <c r="AR115" s="828">
        <v>0</v>
      </c>
      <c r="AS115" s="828">
        <v>0</v>
      </c>
      <c r="AT115" s="829">
        <v>0.9</v>
      </c>
      <c r="AU115" s="410"/>
      <c r="AV115" s="410"/>
      <c r="AW115" s="410"/>
      <c r="AX115" s="410"/>
      <c r="AY115" s="410"/>
      <c r="AZ115" s="825" t="str">
        <f t="shared" si="159"/>
        <v>AGR_LAND_CROP_TRITICALE</v>
      </c>
      <c r="BA115" s="826"/>
      <c r="BB115" s="827">
        <f>AGR_LAND!I60</f>
        <v>1036.0261588958863</v>
      </c>
      <c r="BC115" s="824"/>
      <c r="BD115" s="828">
        <v>0.9</v>
      </c>
      <c r="BE115" s="828">
        <v>0.7</v>
      </c>
      <c r="BF115" s="828">
        <v>0</v>
      </c>
      <c r="BG115" s="828">
        <v>0</v>
      </c>
      <c r="BH115" s="829">
        <v>0.9</v>
      </c>
      <c r="BI115" s="410"/>
      <c r="BJ115" s="410"/>
      <c r="BK115" s="410"/>
      <c r="BL115" s="410"/>
      <c r="BM115" s="410"/>
      <c r="BN115" s="825" t="str">
        <f t="shared" si="160"/>
        <v>AGR_LAND_CROP_TRITICALE</v>
      </c>
      <c r="BO115" s="826"/>
      <c r="BP115" s="827">
        <f>AGR_LAND!J60</f>
        <v>966.49993336724128</v>
      </c>
      <c r="BQ115" s="824"/>
      <c r="BR115" s="828">
        <v>0.9</v>
      </c>
      <c r="BS115" s="828">
        <v>0.7</v>
      </c>
      <c r="BT115" s="828">
        <v>0</v>
      </c>
      <c r="BU115" s="828">
        <v>0</v>
      </c>
      <c r="BV115" s="829">
        <v>0.9</v>
      </c>
      <c r="BW115" s="410"/>
      <c r="BX115" s="410"/>
      <c r="BY115" s="410"/>
      <c r="BZ115" s="410"/>
      <c r="CA115" s="410"/>
      <c r="CB115" s="825" t="str">
        <f t="shared" si="161"/>
        <v>AGR_LAND_CROP_TRITICALE</v>
      </c>
      <c r="CC115" s="826"/>
      <c r="CD115" s="827">
        <f>AGR_LAND!K60</f>
        <v>897.9168058806622</v>
      </c>
      <c r="CE115" s="824"/>
      <c r="CF115" s="828">
        <v>0.9</v>
      </c>
      <c r="CG115" s="828">
        <v>0.7</v>
      </c>
      <c r="CH115" s="828">
        <v>0</v>
      </c>
      <c r="CI115" s="828">
        <v>0</v>
      </c>
      <c r="CJ115" s="829">
        <v>0.9</v>
      </c>
      <c r="CK115" s="410"/>
      <c r="CL115" s="410"/>
      <c r="CM115" s="410"/>
      <c r="CN115" s="410"/>
      <c r="CO115" s="410"/>
      <c r="CP115" s="825" t="str">
        <f t="shared" si="162"/>
        <v>AGR_LAND_CROP_TRITICALE</v>
      </c>
      <c r="CQ115" s="826"/>
      <c r="CR115" s="827">
        <f>AGR_LAND!L60</f>
        <v>830.26683131141351</v>
      </c>
      <c r="CS115" s="824"/>
      <c r="CT115" s="828">
        <v>0.9</v>
      </c>
      <c r="CU115" s="828">
        <v>0.7</v>
      </c>
      <c r="CV115" s="828">
        <v>0</v>
      </c>
      <c r="CW115" s="828">
        <v>0</v>
      </c>
      <c r="CX115" s="829">
        <v>0.9</v>
      </c>
    </row>
    <row r="116" spans="2:102">
      <c r="B116" s="449">
        <v>500</v>
      </c>
      <c r="J116" s="512" t="str">
        <f>AGR_LAND!B68</f>
        <v>AGR_LAND_CROP_OATS</v>
      </c>
      <c r="K116" s="495"/>
      <c r="L116" s="494">
        <f>AGR_LAND!G68</f>
        <v>519.00300000000004</v>
      </c>
      <c r="M116" s="484"/>
      <c r="N116" s="570">
        <v>0.8</v>
      </c>
      <c r="O116" s="570">
        <v>0.35</v>
      </c>
      <c r="P116" s="570">
        <v>0</v>
      </c>
      <c r="Q116" s="570">
        <v>0</v>
      </c>
      <c r="R116" s="571">
        <v>0.8</v>
      </c>
      <c r="X116" s="669" t="str">
        <f t="shared" si="157"/>
        <v>AGR_LAND_CROP_OATS</v>
      </c>
      <c r="Y116" s="495"/>
      <c r="Z116" s="494">
        <f>AGR_LAND!M68</f>
        <v>236.22063821246601</v>
      </c>
      <c r="AA116" s="484"/>
      <c r="AB116" s="570">
        <v>0.8</v>
      </c>
      <c r="AC116" s="570">
        <v>0.35</v>
      </c>
      <c r="AD116" s="570">
        <v>0</v>
      </c>
      <c r="AE116" s="570">
        <v>0</v>
      </c>
      <c r="AF116" s="670">
        <v>0.8</v>
      </c>
      <c r="AH116" s="410"/>
      <c r="AI116" s="410"/>
      <c r="AJ116" s="410"/>
      <c r="AK116" s="410"/>
      <c r="AL116" s="825" t="str">
        <f t="shared" si="158"/>
        <v>AGR_LAND_CROP_OATS</v>
      </c>
      <c r="AM116" s="826"/>
      <c r="AN116" s="827">
        <f>AGR_LAND!H68</f>
        <v>528.65300000000002</v>
      </c>
      <c r="AO116" s="824"/>
      <c r="AP116" s="828">
        <v>0.8</v>
      </c>
      <c r="AQ116" s="828">
        <v>0.35</v>
      </c>
      <c r="AR116" s="828">
        <v>0</v>
      </c>
      <c r="AS116" s="828">
        <v>0</v>
      </c>
      <c r="AT116" s="829">
        <v>0.8</v>
      </c>
      <c r="AU116" s="410"/>
      <c r="AV116" s="410"/>
      <c r="AW116" s="410"/>
      <c r="AX116" s="410"/>
      <c r="AY116" s="410"/>
      <c r="AZ116" s="825" t="str">
        <f t="shared" si="159"/>
        <v>AGR_LAND_CROP_OATS</v>
      </c>
      <c r="BA116" s="826"/>
      <c r="BB116" s="827">
        <f>AGR_LAND!I68</f>
        <v>490.98733575028598</v>
      </c>
      <c r="BC116" s="824"/>
      <c r="BD116" s="828">
        <v>0.8</v>
      </c>
      <c r="BE116" s="828">
        <v>0.35</v>
      </c>
      <c r="BF116" s="828">
        <v>0</v>
      </c>
      <c r="BG116" s="828">
        <v>0</v>
      </c>
      <c r="BH116" s="829">
        <v>0.8</v>
      </c>
      <c r="BI116" s="410"/>
      <c r="BJ116" s="410"/>
      <c r="BK116" s="410"/>
      <c r="BL116" s="410"/>
      <c r="BM116" s="410"/>
      <c r="BN116" s="825" t="str">
        <f t="shared" si="160"/>
        <v>AGR_LAND_CROP_OATS</v>
      </c>
      <c r="BO116" s="826"/>
      <c r="BP116" s="827">
        <f>AGR_LAND!J68</f>
        <v>425.9450577823394</v>
      </c>
      <c r="BQ116" s="824"/>
      <c r="BR116" s="828">
        <v>0.8</v>
      </c>
      <c r="BS116" s="828">
        <v>0.35</v>
      </c>
      <c r="BT116" s="828">
        <v>0</v>
      </c>
      <c r="BU116" s="828">
        <v>0</v>
      </c>
      <c r="BV116" s="829">
        <v>0.8</v>
      </c>
      <c r="BW116" s="410"/>
      <c r="BX116" s="410"/>
      <c r="BY116" s="410"/>
      <c r="BZ116" s="410"/>
      <c r="CA116" s="410"/>
      <c r="CB116" s="825" t="str">
        <f t="shared" si="161"/>
        <v>AGR_LAND_CROP_OATS</v>
      </c>
      <c r="CC116" s="826"/>
      <c r="CD116" s="827">
        <f>AGR_LAND!K68</f>
        <v>361.80960391150643</v>
      </c>
      <c r="CE116" s="824"/>
      <c r="CF116" s="828">
        <v>0.8</v>
      </c>
      <c r="CG116" s="828">
        <v>0.35</v>
      </c>
      <c r="CH116" s="828">
        <v>0</v>
      </c>
      <c r="CI116" s="828">
        <v>0</v>
      </c>
      <c r="CJ116" s="829">
        <v>0.8</v>
      </c>
      <c r="CK116" s="410"/>
      <c r="CL116" s="410"/>
      <c r="CM116" s="410"/>
      <c r="CN116" s="410"/>
      <c r="CO116" s="410"/>
      <c r="CP116" s="825" t="str">
        <f t="shared" si="162"/>
        <v>AGR_LAND_CROP_OATS</v>
      </c>
      <c r="CQ116" s="826"/>
      <c r="CR116" s="827">
        <f>AGR_LAND!L68</f>
        <v>298.57131862351798</v>
      </c>
      <c r="CS116" s="824"/>
      <c r="CT116" s="828">
        <v>0.8</v>
      </c>
      <c r="CU116" s="828">
        <v>0.35</v>
      </c>
      <c r="CV116" s="828">
        <v>0</v>
      </c>
      <c r="CW116" s="828">
        <v>0</v>
      </c>
      <c r="CX116" s="829">
        <v>0.8</v>
      </c>
    </row>
    <row r="117" spans="2:102">
      <c r="B117" s="447" t="s">
        <v>820</v>
      </c>
      <c r="J117" s="514" t="str">
        <f>AGR_LAND!B76</f>
        <v>AGR_LAND_CROP_RYE</v>
      </c>
      <c r="K117" s="497"/>
      <c r="L117" s="498">
        <f>AGR_LAND!G76</f>
        <v>682.18100000000004</v>
      </c>
      <c r="M117" s="484"/>
      <c r="N117" s="570">
        <v>0.7</v>
      </c>
      <c r="O117" s="570">
        <v>0.35</v>
      </c>
      <c r="P117" s="570">
        <v>0</v>
      </c>
      <c r="Q117" s="570">
        <v>0</v>
      </c>
      <c r="R117" s="571">
        <v>0.75</v>
      </c>
      <c r="X117" s="672" t="str">
        <f t="shared" si="157"/>
        <v>AGR_LAND_CROP_RYE</v>
      </c>
      <c r="Y117" s="497"/>
      <c r="Z117" s="498">
        <f>AGR_LAND!M76</f>
        <v>356.41605176959928</v>
      </c>
      <c r="AA117" s="484"/>
      <c r="AB117" s="570">
        <v>0.7</v>
      </c>
      <c r="AC117" s="570">
        <v>0.35</v>
      </c>
      <c r="AD117" s="570">
        <v>0</v>
      </c>
      <c r="AE117" s="570">
        <v>0</v>
      </c>
      <c r="AF117" s="670">
        <v>0.75</v>
      </c>
      <c r="AH117" s="410"/>
      <c r="AI117" s="410"/>
      <c r="AJ117" s="410"/>
      <c r="AK117" s="410"/>
      <c r="AL117" s="825" t="str">
        <f t="shared" si="158"/>
        <v>AGR_LAND_CROP_RYE</v>
      </c>
      <c r="AM117" s="831"/>
      <c r="AN117" s="832">
        <f>AGR_LAND!H76</f>
        <v>603.91600000000005</v>
      </c>
      <c r="AO117" s="824"/>
      <c r="AP117" s="828">
        <v>0.7</v>
      </c>
      <c r="AQ117" s="828">
        <v>0.35</v>
      </c>
      <c r="AR117" s="828">
        <v>0</v>
      </c>
      <c r="AS117" s="828">
        <v>0</v>
      </c>
      <c r="AT117" s="829">
        <v>0.75</v>
      </c>
      <c r="AU117" s="410"/>
      <c r="AV117" s="410"/>
      <c r="AW117" s="410"/>
      <c r="AX117" s="410"/>
      <c r="AY117" s="410"/>
      <c r="AZ117" s="825" t="str">
        <f t="shared" si="159"/>
        <v>AGR_LAND_CROP_RYE</v>
      </c>
      <c r="BA117" s="831"/>
      <c r="BB117" s="832">
        <f>AGR_LAND!I76</f>
        <v>560.88796972110197</v>
      </c>
      <c r="BC117" s="824"/>
      <c r="BD117" s="828">
        <v>0.7</v>
      </c>
      <c r="BE117" s="828">
        <v>0.35</v>
      </c>
      <c r="BF117" s="828">
        <v>0</v>
      </c>
      <c r="BG117" s="828">
        <v>0</v>
      </c>
      <c r="BH117" s="829">
        <v>0.75</v>
      </c>
      <c r="BI117" s="410"/>
      <c r="BJ117" s="410"/>
      <c r="BK117" s="410"/>
      <c r="BL117" s="410"/>
      <c r="BM117" s="410"/>
      <c r="BN117" s="825" t="str">
        <f t="shared" si="160"/>
        <v>AGR_LAND_CROP_RYE</v>
      </c>
      <c r="BO117" s="831"/>
      <c r="BP117" s="832">
        <f>AGR_LAND!J76</f>
        <v>508.69901723221244</v>
      </c>
      <c r="BQ117" s="824"/>
      <c r="BR117" s="828">
        <v>0.7</v>
      </c>
      <c r="BS117" s="828">
        <v>0.35</v>
      </c>
      <c r="BT117" s="828">
        <v>0</v>
      </c>
      <c r="BU117" s="828">
        <v>0</v>
      </c>
      <c r="BV117" s="829">
        <v>0.75</v>
      </c>
      <c r="BW117" s="410"/>
      <c r="BX117" s="410"/>
      <c r="BY117" s="410"/>
      <c r="BZ117" s="410"/>
      <c r="CA117" s="410"/>
      <c r="CB117" s="825" t="str">
        <f t="shared" si="161"/>
        <v>AGR_LAND_CROP_RYE</v>
      </c>
      <c r="CC117" s="831"/>
      <c r="CD117" s="832">
        <f>AGR_LAND!K76</f>
        <v>457.22911778584614</v>
      </c>
      <c r="CE117" s="824"/>
      <c r="CF117" s="828">
        <v>0.7</v>
      </c>
      <c r="CG117" s="828">
        <v>0.35</v>
      </c>
      <c r="CH117" s="828">
        <v>0</v>
      </c>
      <c r="CI117" s="828">
        <v>0</v>
      </c>
      <c r="CJ117" s="829">
        <v>0.75</v>
      </c>
      <c r="CK117" s="410"/>
      <c r="CL117" s="410"/>
      <c r="CM117" s="410"/>
      <c r="CN117" s="410"/>
      <c r="CO117" s="410"/>
      <c r="CP117" s="825" t="str">
        <f t="shared" si="162"/>
        <v>AGR_LAND_CROP_RYE</v>
      </c>
      <c r="CQ117" s="831"/>
      <c r="CR117" s="832">
        <f>AGR_LAND!L76</f>
        <v>406.47064673273252</v>
      </c>
      <c r="CS117" s="824"/>
      <c r="CT117" s="828">
        <v>0.7</v>
      </c>
      <c r="CU117" s="828">
        <v>0.35</v>
      </c>
      <c r="CV117" s="828">
        <v>0</v>
      </c>
      <c r="CW117" s="828">
        <v>0</v>
      </c>
      <c r="CX117" s="829">
        <v>0.75</v>
      </c>
    </row>
    <row r="118" spans="2:102" ht="13.5" thickBot="1">
      <c r="B118" s="450"/>
      <c r="J118" s="515" t="str">
        <f>AGR_LAND!B84</f>
        <v>AGR_LAND_CROP_MILL-BUCK</v>
      </c>
      <c r="K118" s="499"/>
      <c r="L118" s="500">
        <f>AGR_LAND!G84</f>
        <v>116.38</v>
      </c>
      <c r="M118" s="501"/>
      <c r="N118" s="573">
        <v>0.75</v>
      </c>
      <c r="O118" s="573">
        <v>0.25</v>
      </c>
      <c r="P118" s="573">
        <v>0</v>
      </c>
      <c r="Q118" s="573">
        <v>0</v>
      </c>
      <c r="R118" s="574">
        <v>0.75</v>
      </c>
      <c r="X118" s="673" t="str">
        <f t="shared" si="157"/>
        <v>AGR_LAND_CROP_MILL-BUCK</v>
      </c>
      <c r="Y118" s="499"/>
      <c r="Z118" s="500">
        <f>AGR_LAND!M84</f>
        <v>36.010857595915716</v>
      </c>
      <c r="AA118" s="501"/>
      <c r="AB118" s="573">
        <v>0.75</v>
      </c>
      <c r="AC118" s="573">
        <v>0.25</v>
      </c>
      <c r="AD118" s="573">
        <v>0</v>
      </c>
      <c r="AE118" s="573">
        <v>0</v>
      </c>
      <c r="AF118" s="674">
        <v>0.75</v>
      </c>
      <c r="AH118" s="410"/>
      <c r="AI118" s="410"/>
      <c r="AJ118" s="410"/>
      <c r="AK118" s="410"/>
      <c r="AL118" s="825" t="str">
        <f t="shared" si="158"/>
        <v>AGR_LAND_CROP_MILL-BUCK</v>
      </c>
      <c r="AM118" s="833"/>
      <c r="AN118" s="834">
        <f>AGR_LAND!H84</f>
        <v>83.955171122994656</v>
      </c>
      <c r="AO118" s="835"/>
      <c r="AP118" s="836">
        <v>0.75</v>
      </c>
      <c r="AQ118" s="836">
        <v>0.25</v>
      </c>
      <c r="AR118" s="836">
        <v>0</v>
      </c>
      <c r="AS118" s="836">
        <v>0</v>
      </c>
      <c r="AT118" s="837">
        <v>0.75</v>
      </c>
      <c r="AU118" s="410"/>
      <c r="AV118" s="410"/>
      <c r="AW118" s="410"/>
      <c r="AX118" s="410"/>
      <c r="AY118" s="410"/>
      <c r="AZ118" s="825" t="str">
        <f t="shared" si="159"/>
        <v>AGR_LAND_CROP_MILL-BUCK</v>
      </c>
      <c r="BA118" s="833"/>
      <c r="BB118" s="834">
        <f>AGR_LAND!I84</f>
        <v>70.408306422449712</v>
      </c>
      <c r="BC118" s="835"/>
      <c r="BD118" s="836">
        <v>0.75</v>
      </c>
      <c r="BE118" s="836">
        <v>0.25</v>
      </c>
      <c r="BF118" s="836">
        <v>0</v>
      </c>
      <c r="BG118" s="836">
        <v>0</v>
      </c>
      <c r="BH118" s="837">
        <v>0.75</v>
      </c>
      <c r="BI118" s="410"/>
      <c r="BJ118" s="410"/>
      <c r="BK118" s="410"/>
      <c r="BL118" s="410"/>
      <c r="BM118" s="410"/>
      <c r="BN118" s="825" t="str">
        <f t="shared" si="160"/>
        <v>AGR_LAND_CROP_MILL-BUCK</v>
      </c>
      <c r="BO118" s="833"/>
      <c r="BP118" s="834">
        <f>AGR_LAND!J84</f>
        <v>61.630596536094274</v>
      </c>
      <c r="BQ118" s="835"/>
      <c r="BR118" s="836">
        <v>0.75</v>
      </c>
      <c r="BS118" s="836">
        <v>0.25</v>
      </c>
      <c r="BT118" s="836">
        <v>0</v>
      </c>
      <c r="BU118" s="836">
        <v>0</v>
      </c>
      <c r="BV118" s="837">
        <v>0.75</v>
      </c>
      <c r="BW118" s="410"/>
      <c r="BX118" s="410"/>
      <c r="BY118" s="410"/>
      <c r="BZ118" s="410"/>
      <c r="CA118" s="410"/>
      <c r="CB118" s="869" t="str">
        <f t="shared" si="161"/>
        <v>AGR_LAND_CROP_MILL-BUCK</v>
      </c>
      <c r="CC118" s="833"/>
      <c r="CD118" s="834">
        <f>AGR_LAND!K84</f>
        <v>52.972615256014684</v>
      </c>
      <c r="CE118" s="835"/>
      <c r="CF118" s="836">
        <v>0.75</v>
      </c>
      <c r="CG118" s="836">
        <v>0.25</v>
      </c>
      <c r="CH118" s="836">
        <v>0</v>
      </c>
      <c r="CI118" s="836">
        <v>0</v>
      </c>
      <c r="CJ118" s="837">
        <v>0.75</v>
      </c>
      <c r="CK118" s="410"/>
      <c r="CL118" s="410"/>
      <c r="CM118" s="410"/>
      <c r="CN118" s="410"/>
      <c r="CO118" s="410"/>
      <c r="CP118" s="869" t="str">
        <f t="shared" si="162"/>
        <v>AGR_LAND_CROP_MILL-BUCK</v>
      </c>
      <c r="CQ118" s="833"/>
      <c r="CR118" s="834">
        <f>AGR_LAND!L84</f>
        <v>44.43311444713418</v>
      </c>
      <c r="CS118" s="835"/>
      <c r="CT118" s="836">
        <v>0.75</v>
      </c>
      <c r="CU118" s="836">
        <v>0.25</v>
      </c>
      <c r="CV118" s="836">
        <v>0</v>
      </c>
      <c r="CW118" s="836">
        <v>0</v>
      </c>
      <c r="CX118" s="837">
        <v>0.75</v>
      </c>
    </row>
    <row r="119" spans="2:102" ht="13.5" thickTop="1">
      <c r="B119" s="450"/>
      <c r="J119" s="511"/>
      <c r="K119" s="177"/>
      <c r="L119" s="516"/>
      <c r="M119" s="177"/>
      <c r="N119" s="528">
        <f>SUM($L$111*N111+$L$112*N112+$L$113*N113+$L$114*N114+$L$115*N115+$L$116*N116+$L$117*N117+$L$118*N118)</f>
        <v>6903.8004500000006</v>
      </c>
      <c r="O119" s="505">
        <f>SUM($L$111*O111+$L$112*O112+$L$113*O113+$L$114*O114+$L$115*O115+$L$116*O116+$L$117*O117+$L$118*O118)</f>
        <v>10726.358099999999</v>
      </c>
      <c r="P119" s="505">
        <f>SUM($L$111*P111+$L$112*P112+$L$113*P113+$L$114*P114+$L$115*P115+$L$116*P116+$L$117*P117+$L$118*P118)</f>
        <v>0</v>
      </c>
      <c r="Q119" s="505">
        <f>SUM($L$111*Q111+$L$112*Q112+$L$113*Q113+$L$114*Q114+$L$115*Q115+$L$116*Q116+$L$117*Q117+$L$118*Q118)</f>
        <v>0</v>
      </c>
      <c r="R119" s="529">
        <f>SUM($L$111*R111+$L$112*R112+$L$113*R113+$L$114*R114+$L$115*R115+$L$116*R116+$L$117*R117+$L$118*R118)</f>
        <v>6954.3601500000004</v>
      </c>
      <c r="X119" s="668"/>
      <c r="Y119" s="177"/>
      <c r="Z119" s="516"/>
      <c r="AA119" s="177"/>
      <c r="AB119" s="528">
        <f>SUM($Z$111*AB111+$Z$112*AB112+$Z$113*AB113+$Z$114*AB114+$Z$115*AB115+$Z$116*AB116+$Z$117*AB117+$Z$118*AB118)</f>
        <v>3843.3126256579708</v>
      </c>
      <c r="AC119" s="660">
        <f>SUM($Z$111*AC111+$Z$112*AC112+$Z$113*AC113+$Z$114*AC114+$Z$115*AC115+$Z$116*AC116+$Z$117*AC117+$Z$118*AC118)</f>
        <v>4126.4214200489587</v>
      </c>
      <c r="AD119" s="660">
        <f>SUM($Z$111*AD111+$Z$112*AD112+$Z$113*AD113+$Z$114*AD114+$Z$115*AD115+$Z$116*AD116+$Z$117*AD117+$Z$118*AD118)</f>
        <v>0</v>
      </c>
      <c r="AE119" s="505">
        <f>SUM($Z$111*AE111+$Z$112*AE112+$Z$113*AE113+$Z$114*AE114+$Z$115*AE115+$Z$116*AE116+$Z$117*AE117+$Z$118*AE118)</f>
        <v>0</v>
      </c>
      <c r="AF119" s="675">
        <f>SUM($Z$111*AF111+$Z$112*AF112+$Z$113*AF113+$Z$114*AF114+$Z$115*AF115+$Z$116*AF116+$Z$117*AF117+$Z$118*AF118)</f>
        <v>3826.3974531314043</v>
      </c>
      <c r="AH119" s="410"/>
      <c r="AI119" s="410"/>
      <c r="AJ119" s="410"/>
      <c r="AK119" s="410"/>
      <c r="AL119" s="780"/>
      <c r="AM119" s="410"/>
      <c r="AN119" s="838"/>
      <c r="AO119" s="410"/>
      <c r="AP119" s="839">
        <f>SUM($AN$111*AP111+$AN$112*AP112+$AN$113*AP113+$AN$114*AP114+$AN$115*AP115+$AN$116*AP116+$AN$117*AP117+$AN$118*AP118)</f>
        <v>6792.2429783422467</v>
      </c>
      <c r="AQ119" s="839">
        <f>SUM($AN$111*AQ111+$AN$112*AQ112+$AN$113*AQ113+$AN$114*AQ114+$AN$115*AQ115+$AN$116*AQ116+$AN$117*AQ117+$AN$118*AQ118)</f>
        <v>10937.703642780747</v>
      </c>
      <c r="AR119" s="839">
        <f>SUM($AN$111*AR111+$AN$112*AR112+$AN$113*AR113+$AN$114*AR114+$AN$115*AR115+$AN$116*AR116+$AN$117*AR117+$AN$118*AR118)</f>
        <v>0</v>
      </c>
      <c r="AS119" s="839">
        <f>SUM($AN$111*AS111+$AN$112*AS112+$AN$113*AS113+$AN$114*AS114+$AN$115*AS115+$AN$116*AS116+$AN$117*AS117+$AN$118*AS118)</f>
        <v>0</v>
      </c>
      <c r="AT119" s="840">
        <f>SUM($AN$111*AT111+$AN$112*AT112+$AN$113*AT113+$AN$114*AT114+$AN$115*AT115+$AN$116*AT116+$AN$117*AT117+$AN$118*AT118)</f>
        <v>6848.6358783422456</v>
      </c>
      <c r="AU119" s="410"/>
      <c r="AV119" s="410"/>
      <c r="AW119" s="410"/>
      <c r="AX119" s="410"/>
      <c r="AY119" s="410"/>
      <c r="AZ119" s="780"/>
      <c r="BA119" s="410"/>
      <c r="BB119" s="838"/>
      <c r="BC119" s="410"/>
      <c r="BD119" s="839">
        <f>SUM($BB$111*BD111+$BB$112*BD112+$BB$113*BD113+$BB$114*BD114+$BB$115*BD115+$BB$116*BD116+$BB$117*BD117+$BB$118*BD118)</f>
        <v>6736.1062061930006</v>
      </c>
      <c r="BE119" s="839">
        <f>SUM($BB$111*BE111+$BB$112*BE112+$BB$113*BE113+$BB$114*BE114+$BB$115*BE115+$BB$116*BE116+$BB$117*BE117+$BB$118*BE118)</f>
        <v>11084.006815570516</v>
      </c>
      <c r="BF119" s="839">
        <f>SUM($BB$111*BF111+$BB$112*BF112+$BB$113*BF113+$BB$114*BF114+$BB$115*BF115+$BB$116*BF116+$BB$117*BF117+$BB$118*BF118)</f>
        <v>0</v>
      </c>
      <c r="BG119" s="839">
        <f>SUM($BB$111*BG111+$BB$112*BG112+$BB$113*BG113+$BB$114*BG114+$BB$115*BG115+$BB$116*BG116+$BB$117*BG117+$BB$118*BG118)</f>
        <v>0</v>
      </c>
      <c r="BH119" s="840">
        <f>SUM($BB$111*BH111+$BB$112*BH112+$BB$113*BH113+$BB$114*BH114+$BB$115*BH115+$BB$116*BH116+$BB$117*BH117+$BB$118*BH118)</f>
        <v>6791.3043318025411</v>
      </c>
      <c r="BI119" s="410"/>
      <c r="BJ119" s="410"/>
      <c r="BK119" s="410"/>
      <c r="BL119" s="410"/>
      <c r="BM119" s="410"/>
      <c r="BN119" s="780"/>
      <c r="BO119" s="410"/>
      <c r="BP119" s="838"/>
      <c r="BQ119" s="410"/>
      <c r="BR119" s="839">
        <f>SUM($BP$111*BR111+$BP$112*BR112+$BP$113*BR113+$BP$114*BR114+$BP$115*BR115+$BP$116*BR116+$BP$117*BR117+$BP$118*BR118)</f>
        <v>5984.3853290109819</v>
      </c>
      <c r="BS119" s="839">
        <f>SUM($BP$111*BS111+$BP$112*BS112+$BP$113*BS113+$BP$114*BS114+$BP$115*BS115+$BP$116*BS116+$BP$117*BS117+$BP$118*BS118)</f>
        <v>9261.2532161201816</v>
      </c>
      <c r="BT119" s="839">
        <f>SUM($BP$111*BT111+$BP$112*BT112+$BP$113*BT113+$BP$114*BT114+$BP$115*BT115+$BP$116*BT116+$BP$117*BT117+$BP$118*BT118)</f>
        <v>0</v>
      </c>
      <c r="BU119" s="839">
        <f>SUM($BP$111*BU111+$BP$112*BU112+$BP$113*BU113+$BP$114*BU114+$BP$115*BU115+$BP$116*BU116+$BP$117*BU117+$BP$118*BU118)</f>
        <v>0</v>
      </c>
      <c r="BV119" s="840">
        <f>SUM($BP$111*BV111+$BP$112*BV112+$BP$113*BV113+$BP$114*BV114+$BP$115*BV115+$BP$116*BV116+$BP$117*BV117+$BP$118*BV118)</f>
        <v>6020.7822800683043</v>
      </c>
      <c r="BW119" s="410"/>
      <c r="BX119" s="410"/>
      <c r="BY119" s="410"/>
      <c r="BZ119" s="410"/>
      <c r="CA119" s="410"/>
      <c r="CB119" s="780"/>
      <c r="CC119" s="410"/>
      <c r="CD119" s="838"/>
      <c r="CE119" s="410"/>
      <c r="CF119" s="839">
        <f>SUM($CD$111*CF111+$CD$112*CF112+$CD$113*CF113+$CD$114*CF114+$CD$115*CF115+$CD$116*CF116+$CD$117*CF117+$CD$118*CF118)</f>
        <v>5251.9625593526234</v>
      </c>
      <c r="CG119" s="839">
        <f>SUM($CD$111*CG111+$CD$112*CG112+$CD$113*CG113+$CD$114*CG114+$CD$115*CG115+$CD$116*CG116+$CD$117*CG117+$CD$118*CG118)</f>
        <v>7495.0082695588299</v>
      </c>
      <c r="CH119" s="839">
        <f>SUM($CD$111*CH111+$CD$112*CH112+$CD$113*CH113+$CD$114*CH114+$CD$115*CH115+$CD$116*CH116+$CD$117*CH117+$CD$118*CH118)</f>
        <v>0</v>
      </c>
      <c r="CI119" s="839">
        <f>SUM($CD$111*CI111+$CD$112*CI112+$CD$113*CI113+$CD$114*CI114+$CD$115*CI115+$CD$116*CI116+$CD$117*CI117+$CD$118*CI118)</f>
        <v>0</v>
      </c>
      <c r="CJ119" s="840">
        <f>SUM($CD$111*CJ111+$CD$112*CJ112+$CD$113*CJ113+$CD$114*CJ114+$CD$115*CJ115+$CD$116*CJ116+$CD$117*CJ117+$CD$118*CJ118)</f>
        <v>5270.0820090983625</v>
      </c>
      <c r="CK119" s="410"/>
      <c r="CL119" s="410"/>
      <c r="CM119" s="410"/>
      <c r="CN119" s="410"/>
      <c r="CO119" s="410"/>
      <c r="CP119" s="780"/>
      <c r="CQ119" s="410"/>
      <c r="CR119" s="838"/>
      <c r="CS119" s="410"/>
      <c r="CT119" s="839">
        <f>SUM($CR$111*CT111+$CR$112*CT112+$CR$113*CT113+$CR$114*CT114+$CR$115*CT115+$CR$116*CT116+$CR$117*CT117+$CR$118*CT118)</f>
        <v>4538.4109451543336</v>
      </c>
      <c r="CU119" s="839">
        <f>SUM($CR$111*CU111+$CR$112*CU112+$CR$113*CU113+$CR$114*CU114+$CR$115*CU115+$CR$116*CU116+$CR$117*CU117+$CR$118*CU118)</f>
        <v>5783.8581386361384</v>
      </c>
      <c r="CV119" s="839">
        <f>SUM($CR$111*CV111+$CR$112*CV112+$CR$113*CV113+$CR$114*CV114+$CR$115*CV115+$CR$116*CV116+$CR$117*CV117+$CR$118*CV118)</f>
        <v>0</v>
      </c>
      <c r="CW119" s="839">
        <f>SUM($CR$111*CW111+$CR$112*CW112+$CR$113*CW113+$CR$114*CW114+$CR$115*CW115+$CR$116*CW116+$CR$117*CW117+$CR$118*CW118)</f>
        <v>0</v>
      </c>
      <c r="CX119" s="840">
        <f>SUM($CR$111*CX111+$CR$112*CX112+$CR$113*CX113+$CR$114*CX114+$CR$115*CX115+$CR$116*CX116+$CR$117*CX117+$CR$118*CX118)</f>
        <v>4538.7638333112673</v>
      </c>
    </row>
    <row r="120" spans="2:102">
      <c r="B120" s="451" t="s">
        <v>826</v>
      </c>
      <c r="J120" s="511"/>
      <c r="K120" s="177"/>
      <c r="L120" s="177"/>
      <c r="M120" s="177"/>
      <c r="N120" s="960" t="s">
        <v>878</v>
      </c>
      <c r="O120" s="961"/>
      <c r="P120" s="961"/>
      <c r="Q120" s="961"/>
      <c r="R120" s="988"/>
      <c r="X120" s="668"/>
      <c r="Y120" s="177"/>
      <c r="Z120" s="177"/>
      <c r="AA120" s="177"/>
      <c r="AB120" s="960" t="s">
        <v>878</v>
      </c>
      <c r="AC120" s="961"/>
      <c r="AD120" s="961"/>
      <c r="AE120" s="961"/>
      <c r="AF120" s="962"/>
      <c r="AH120" s="410"/>
      <c r="AI120" s="410"/>
      <c r="AJ120" s="410"/>
      <c r="AK120" s="410"/>
      <c r="AL120" s="780"/>
      <c r="AM120" s="410"/>
      <c r="AN120" s="410"/>
      <c r="AO120" s="410"/>
      <c r="AP120" s="873" t="s">
        <v>878</v>
      </c>
      <c r="AQ120" s="874"/>
      <c r="AR120" s="874"/>
      <c r="AS120" s="874"/>
      <c r="AT120" s="875"/>
      <c r="AU120" s="410"/>
      <c r="AV120" s="410"/>
      <c r="AW120" s="410"/>
      <c r="AX120" s="410"/>
      <c r="AY120" s="410"/>
      <c r="AZ120" s="780"/>
      <c r="BA120" s="410"/>
      <c r="BB120" s="410"/>
      <c r="BC120" s="410"/>
      <c r="BD120" s="873" t="s">
        <v>878</v>
      </c>
      <c r="BE120" s="874"/>
      <c r="BF120" s="874"/>
      <c r="BG120" s="874"/>
      <c r="BH120" s="875"/>
      <c r="BI120" s="410"/>
      <c r="BJ120" s="410"/>
      <c r="BK120" s="410"/>
      <c r="BL120" s="410"/>
      <c r="BM120" s="410"/>
      <c r="BN120" s="780"/>
      <c r="BO120" s="410"/>
      <c r="BP120" s="410"/>
      <c r="BQ120" s="410"/>
      <c r="BR120" s="873" t="s">
        <v>878</v>
      </c>
      <c r="BS120" s="874"/>
      <c r="BT120" s="874"/>
      <c r="BU120" s="874"/>
      <c r="BV120" s="875"/>
      <c r="BW120" s="410"/>
      <c r="BX120" s="410"/>
      <c r="BY120" s="410"/>
      <c r="BZ120" s="410"/>
      <c r="CA120" s="410"/>
      <c r="CB120" s="780"/>
      <c r="CC120" s="410"/>
      <c r="CD120" s="410"/>
      <c r="CE120" s="410"/>
      <c r="CF120" s="873" t="s">
        <v>878</v>
      </c>
      <c r="CG120" s="874"/>
      <c r="CH120" s="874"/>
      <c r="CI120" s="874"/>
      <c r="CJ120" s="875"/>
      <c r="CK120" s="410"/>
      <c r="CL120" s="410"/>
      <c r="CM120" s="410"/>
      <c r="CN120" s="410"/>
      <c r="CO120" s="410"/>
      <c r="CP120" s="780"/>
      <c r="CQ120" s="410"/>
      <c r="CR120" s="410"/>
      <c r="CS120" s="410"/>
      <c r="CT120" s="873" t="s">
        <v>878</v>
      </c>
      <c r="CU120" s="874"/>
      <c r="CV120" s="874"/>
      <c r="CW120" s="874"/>
      <c r="CX120" s="875"/>
    </row>
    <row r="121" spans="2:102">
      <c r="B121" s="448" t="s">
        <v>827</v>
      </c>
      <c r="J121" s="537" t="str">
        <f t="shared" ref="J121:J128" si="163">J111</f>
        <v>AGR_LAND_CROP_WHEAT</v>
      </c>
      <c r="K121" s="177"/>
      <c r="L121" s="177"/>
      <c r="M121" s="177"/>
      <c r="N121" s="521">
        <f>N111*N129</f>
        <v>3.0442495582748193E-3</v>
      </c>
      <c r="O121" s="517">
        <f t="shared" ref="O121:R121" si="164">O111*O129</f>
        <v>5.1400710685325706E-4</v>
      </c>
      <c r="P121" s="517">
        <v>0</v>
      </c>
      <c r="Q121" s="517">
        <f t="shared" si="164"/>
        <v>0</v>
      </c>
      <c r="R121" s="522">
        <f t="shared" si="164"/>
        <v>1.3836154106056755E-3</v>
      </c>
      <c r="X121" s="676" t="str">
        <f t="shared" ref="X121:X128" si="165">X111</f>
        <v>AGR_LAND_CROP_WHEAT</v>
      </c>
      <c r="Y121" s="177"/>
      <c r="Z121" s="177"/>
      <c r="AA121" s="177"/>
      <c r="AB121" s="521">
        <f>AB111*AB129</f>
        <v>2.8411037725900937E-3</v>
      </c>
      <c r="AC121" s="517">
        <f t="shared" ref="AC121" si="166">AC111*AC129</f>
        <v>1.2859811104647279E-3</v>
      </c>
      <c r="AD121" s="517">
        <v>0</v>
      </c>
      <c r="AE121" s="517">
        <f t="shared" ref="AE121:AF121" si="167">AE111*AE129</f>
        <v>0</v>
      </c>
      <c r="AF121" s="677">
        <f t="shared" si="167"/>
        <v>2.6263345935942655E-3</v>
      </c>
      <c r="AH121" s="410"/>
      <c r="AI121" s="410"/>
      <c r="AJ121" s="410"/>
      <c r="AK121" s="410"/>
      <c r="AL121" s="841" t="str">
        <f t="shared" ref="AL121:AL128" si="168">AL111</f>
        <v>AGR_LAND_CROP_WHEAT</v>
      </c>
      <c r="AM121" s="410"/>
      <c r="AN121" s="410"/>
      <c r="AO121" s="410"/>
      <c r="AP121" s="842">
        <f>AP111*AP129</f>
        <v>3.0370704803208788E-3</v>
      </c>
      <c r="AQ121" s="843">
        <f t="shared" ref="AQ121" si="169">AQ111*AQ129</f>
        <v>5.0334748930391739E-4</v>
      </c>
      <c r="AR121" s="843">
        <v>0</v>
      </c>
      <c r="AS121" s="843">
        <f t="shared" ref="AS121:AT121" si="170">AS111*AS129</f>
        <v>0</v>
      </c>
      <c r="AT121" s="844">
        <f t="shared" si="170"/>
        <v>1.4073740170173392E-3</v>
      </c>
      <c r="AU121" s="410"/>
      <c r="AV121" s="410"/>
      <c r="AW121" s="410"/>
      <c r="AX121" s="410"/>
      <c r="AY121" s="410"/>
      <c r="AZ121" s="841" t="str">
        <f t="shared" ref="AZ121:AZ128" si="171">AZ111</f>
        <v>AGR_LAND_CROP_WHEAT</v>
      </c>
      <c r="BA121" s="410"/>
      <c r="BB121" s="410"/>
      <c r="BC121" s="410"/>
      <c r="BD121" s="842">
        <f>BD111*BD129</f>
        <v>2.774105090354717E-3</v>
      </c>
      <c r="BE121" s="843">
        <f t="shared" ref="BE121" si="172">BE111*BE129</f>
        <v>4.9311342230802947E-4</v>
      </c>
      <c r="BF121" s="843">
        <v>0</v>
      </c>
      <c r="BG121" s="843">
        <f t="shared" ref="BG121:BH121" si="173">BG111*BG129</f>
        <v>0</v>
      </c>
      <c r="BH121" s="844">
        <f t="shared" si="173"/>
        <v>1.4313529882728914E-3</v>
      </c>
      <c r="BI121" s="410"/>
      <c r="BJ121" s="410"/>
      <c r="BK121" s="410"/>
      <c r="BL121" s="410"/>
      <c r="BM121" s="410"/>
      <c r="BN121" s="841" t="str">
        <f t="shared" ref="BN121:BN128" si="174">BN111</f>
        <v>AGR_LAND_CROP_WHEAT</v>
      </c>
      <c r="BO121" s="410"/>
      <c r="BP121" s="410"/>
      <c r="BQ121" s="410"/>
      <c r="BR121" s="842">
        <f>BR111*BR129</f>
        <v>2.7980839244550037E-3</v>
      </c>
      <c r="BS121" s="843">
        <f t="shared" ref="BS121" si="175">BS111*BS129</f>
        <v>5.8586880991815329E-4</v>
      </c>
      <c r="BT121" s="843">
        <v>0</v>
      </c>
      <c r="BU121" s="843">
        <f t="shared" ref="BU121:BV121" si="176">BU111*BU129</f>
        <v>0</v>
      </c>
      <c r="BV121" s="844">
        <f t="shared" si="176"/>
        <v>1.6281796710127159E-3</v>
      </c>
      <c r="BW121" s="410"/>
      <c r="BX121" s="410"/>
      <c r="BY121" s="410"/>
      <c r="BZ121" s="410"/>
      <c r="CA121" s="410"/>
      <c r="CB121" s="841" t="str">
        <f t="shared" ref="CB121:CB128" si="177">CB111</f>
        <v>AGR_LAND_CROP_WHEAT</v>
      </c>
      <c r="CC121" s="410"/>
      <c r="CD121" s="410"/>
      <c r="CE121" s="410"/>
      <c r="CF121" s="842">
        <f>CF111*CF129</f>
        <v>2.8185574612616176E-3</v>
      </c>
      <c r="CG121" s="843">
        <f t="shared" ref="CG121" si="178">CG111*CG129</f>
        <v>7.1862312525020544E-4</v>
      </c>
      <c r="CH121" s="843">
        <v>0</v>
      </c>
      <c r="CI121" s="843">
        <f t="shared" ref="CI121:CJ121" si="179">CI111*CI129</f>
        <v>0</v>
      </c>
      <c r="CJ121" s="844">
        <f t="shared" si="179"/>
        <v>1.8756969734701715E-3</v>
      </c>
      <c r="CK121" s="410"/>
      <c r="CL121" s="410"/>
      <c r="CM121" s="410"/>
      <c r="CN121" s="410"/>
      <c r="CO121" s="410"/>
      <c r="CP121" s="841" t="str">
        <f t="shared" ref="CP121:CP128" si="180">CP111</f>
        <v>AGR_LAND_CROP_WHEAT</v>
      </c>
      <c r="CQ121" s="410"/>
      <c r="CR121" s="410"/>
      <c r="CS121" s="410"/>
      <c r="CT121" s="842">
        <f>CT111*CT129</f>
        <v>2.8338341953678334E-3</v>
      </c>
      <c r="CU121" s="843">
        <f t="shared" ref="CU121" si="181">CU111*CU129</f>
        <v>9.243472098841417E-4</v>
      </c>
      <c r="CV121" s="843">
        <v>0</v>
      </c>
      <c r="CW121" s="843">
        <f t="shared" ref="CW121:CX121" si="182">CW111*CW129</f>
        <v>0</v>
      </c>
      <c r="CX121" s="844">
        <f t="shared" si="182"/>
        <v>2.1960249096147342E-3</v>
      </c>
    </row>
    <row r="122" spans="2:102">
      <c r="B122" s="449">
        <v>40</v>
      </c>
      <c r="J122" s="537" t="str">
        <f t="shared" si="163"/>
        <v>AGR_LAND_CROP_BARLEY</v>
      </c>
      <c r="K122" s="177"/>
      <c r="L122" s="177"/>
      <c r="M122" s="177"/>
      <c r="N122" s="521">
        <f>N112*N129</f>
        <v>3.0442495582748193E-3</v>
      </c>
      <c r="O122" s="517">
        <f t="shared" ref="O122:R122" si="183">O112*O129</f>
        <v>4.3690604082526849E-4</v>
      </c>
      <c r="P122" s="517">
        <f t="shared" si="183"/>
        <v>0</v>
      </c>
      <c r="Q122" s="517">
        <f t="shared" si="183"/>
        <v>0</v>
      </c>
      <c r="R122" s="522">
        <f t="shared" si="183"/>
        <v>1.3144346400753917E-3</v>
      </c>
      <c r="X122" s="676" t="str">
        <f t="shared" si="165"/>
        <v>AGR_LAND_CROP_BARLEY</v>
      </c>
      <c r="Y122" s="177"/>
      <c r="Z122" s="177"/>
      <c r="AA122" s="177"/>
      <c r="AB122" s="521">
        <f>AB112*AB129</f>
        <v>2.8411037725900937E-3</v>
      </c>
      <c r="AC122" s="517">
        <f t="shared" ref="AC122:AF122" si="184">AC112*AC129</f>
        <v>1.0930839438950187E-3</v>
      </c>
      <c r="AD122" s="517">
        <f t="shared" si="184"/>
        <v>0</v>
      </c>
      <c r="AE122" s="517">
        <f t="shared" si="184"/>
        <v>0</v>
      </c>
      <c r="AF122" s="677">
        <f t="shared" si="184"/>
        <v>2.4950178639145519E-3</v>
      </c>
      <c r="AH122" s="410"/>
      <c r="AI122" s="410"/>
      <c r="AJ122" s="410"/>
      <c r="AK122" s="410"/>
      <c r="AL122" s="841" t="str">
        <f t="shared" si="168"/>
        <v>AGR_LAND_CROP_BARLEY</v>
      </c>
      <c r="AM122" s="410"/>
      <c r="AN122" s="410"/>
      <c r="AO122" s="410"/>
      <c r="AP122" s="842">
        <f>AP112*AP129</f>
        <v>3.0370704803208788E-3</v>
      </c>
      <c r="AQ122" s="843">
        <f t="shared" ref="AQ122:AT122" si="185">AQ112*AQ129</f>
        <v>4.2784536590832978E-4</v>
      </c>
      <c r="AR122" s="843">
        <f t="shared" si="185"/>
        <v>0</v>
      </c>
      <c r="AS122" s="843">
        <f t="shared" si="185"/>
        <v>0</v>
      </c>
      <c r="AT122" s="844">
        <f t="shared" si="185"/>
        <v>1.3370053161664722E-3</v>
      </c>
      <c r="AU122" s="410"/>
      <c r="AV122" s="410"/>
      <c r="AW122" s="410"/>
      <c r="AX122" s="410"/>
      <c r="AY122" s="410"/>
      <c r="AZ122" s="841" t="str">
        <f t="shared" si="171"/>
        <v>AGR_LAND_CROP_BARLEY</v>
      </c>
      <c r="BA122" s="410"/>
      <c r="BB122" s="410"/>
      <c r="BC122" s="410"/>
      <c r="BD122" s="842">
        <f>BD112*BD129</f>
        <v>2.774105090354717E-3</v>
      </c>
      <c r="BE122" s="843">
        <f t="shared" ref="BE122:BH122" si="186">BE112*BE129</f>
        <v>4.1914640896182503E-4</v>
      </c>
      <c r="BF122" s="843">
        <f t="shared" si="186"/>
        <v>0</v>
      </c>
      <c r="BG122" s="843">
        <f t="shared" si="186"/>
        <v>0</v>
      </c>
      <c r="BH122" s="844">
        <f t="shared" si="186"/>
        <v>1.3597853388592467E-3</v>
      </c>
      <c r="BI122" s="410"/>
      <c r="BJ122" s="410"/>
      <c r="BK122" s="410"/>
      <c r="BL122" s="410"/>
      <c r="BM122" s="410"/>
      <c r="BN122" s="841" t="str">
        <f t="shared" si="174"/>
        <v>AGR_LAND_CROP_BARLEY</v>
      </c>
      <c r="BO122" s="410"/>
      <c r="BP122" s="410"/>
      <c r="BQ122" s="410"/>
      <c r="BR122" s="842">
        <f>BR112*BR129</f>
        <v>2.7980839244550037E-3</v>
      </c>
      <c r="BS122" s="843">
        <f t="shared" ref="BS122:BV122" si="187">BS112*BS129</f>
        <v>4.9798848843043031E-4</v>
      </c>
      <c r="BT122" s="843">
        <f t="shared" si="187"/>
        <v>0</v>
      </c>
      <c r="BU122" s="843">
        <f t="shared" si="187"/>
        <v>0</v>
      </c>
      <c r="BV122" s="844">
        <f t="shared" si="187"/>
        <v>1.5467706874620799E-3</v>
      </c>
      <c r="BW122" s="410"/>
      <c r="BX122" s="410"/>
      <c r="BY122" s="410"/>
      <c r="BZ122" s="410"/>
      <c r="CA122" s="410"/>
      <c r="CB122" s="841" t="str">
        <f t="shared" si="177"/>
        <v>AGR_LAND_CROP_BARLEY</v>
      </c>
      <c r="CC122" s="410"/>
      <c r="CD122" s="410"/>
      <c r="CE122" s="410"/>
      <c r="CF122" s="842">
        <f>CF112*CF129</f>
        <v>2.8185574612616176E-3</v>
      </c>
      <c r="CG122" s="843">
        <f t="shared" ref="CG122:CJ122" si="188">CG112*CG129</f>
        <v>6.108296564626746E-4</v>
      </c>
      <c r="CH122" s="843">
        <f t="shared" si="188"/>
        <v>0</v>
      </c>
      <c r="CI122" s="843">
        <f t="shared" si="188"/>
        <v>0</v>
      </c>
      <c r="CJ122" s="844">
        <f t="shared" si="188"/>
        <v>1.7819121247966629E-3</v>
      </c>
      <c r="CK122" s="410"/>
      <c r="CL122" s="410"/>
      <c r="CM122" s="410"/>
      <c r="CN122" s="410"/>
      <c r="CO122" s="410"/>
      <c r="CP122" s="841" t="str">
        <f t="shared" si="180"/>
        <v>AGR_LAND_CROP_BARLEY</v>
      </c>
      <c r="CQ122" s="410"/>
      <c r="CR122" s="410"/>
      <c r="CS122" s="410"/>
      <c r="CT122" s="842">
        <f>CT112*CT129</f>
        <v>2.8338341953678334E-3</v>
      </c>
      <c r="CU122" s="843">
        <f t="shared" ref="CU122:CX122" si="189">CU112*CU129</f>
        <v>7.8569512840152042E-4</v>
      </c>
      <c r="CV122" s="843">
        <f t="shared" si="189"/>
        <v>0</v>
      </c>
      <c r="CW122" s="843">
        <f t="shared" si="189"/>
        <v>0</v>
      </c>
      <c r="CX122" s="844">
        <f t="shared" si="189"/>
        <v>2.0862236641339973E-3</v>
      </c>
    </row>
    <row r="123" spans="2:102">
      <c r="B123" s="452" t="s">
        <v>821</v>
      </c>
      <c r="J123" s="537" t="str">
        <f t="shared" si="163"/>
        <v>AGR_LAND_CROP_MAIZE</v>
      </c>
      <c r="K123" s="177"/>
      <c r="L123" s="177"/>
      <c r="M123" s="177"/>
      <c r="N123" s="521">
        <f>N113*N129</f>
        <v>3.8053119478435242E-3</v>
      </c>
      <c r="O123" s="517">
        <f t="shared" ref="O123:R123" si="190">O113*O129</f>
        <v>2.5700355342662853E-3</v>
      </c>
      <c r="P123" s="517">
        <f t="shared" si="190"/>
        <v>0</v>
      </c>
      <c r="Q123" s="517">
        <f t="shared" si="190"/>
        <v>0</v>
      </c>
      <c r="R123" s="522">
        <f t="shared" si="190"/>
        <v>1.7987000337873781E-3</v>
      </c>
      <c r="X123" s="676" t="str">
        <f t="shared" si="165"/>
        <v>AGR_LAND_CROP_MAIZE</v>
      </c>
      <c r="Y123" s="177"/>
      <c r="Z123" s="177"/>
      <c r="AA123" s="177"/>
      <c r="AB123" s="521">
        <f>AB113*AB129</f>
        <v>3.5513797157376171E-3</v>
      </c>
      <c r="AC123" s="517">
        <f t="shared" ref="AC123:AF123" si="191">AC113*AC129</f>
        <v>6.4299055523236396E-3</v>
      </c>
      <c r="AD123" s="517">
        <f t="shared" si="191"/>
        <v>0</v>
      </c>
      <c r="AE123" s="517">
        <f t="shared" si="191"/>
        <v>0</v>
      </c>
      <c r="AF123" s="677">
        <f t="shared" si="191"/>
        <v>3.4142349716725453E-3</v>
      </c>
      <c r="AH123" s="410"/>
      <c r="AI123" s="410"/>
      <c r="AJ123" s="410"/>
      <c r="AK123" s="410"/>
      <c r="AL123" s="841" t="str">
        <f t="shared" si="168"/>
        <v>AGR_LAND_CROP_MAIZE</v>
      </c>
      <c r="AM123" s="410"/>
      <c r="AN123" s="410"/>
      <c r="AO123" s="410"/>
      <c r="AP123" s="842">
        <f>AP113*AP129</f>
        <v>3.7963381004010987E-3</v>
      </c>
      <c r="AQ123" s="843">
        <f t="shared" ref="AQ123:AT123" si="192">AQ113*AQ129</f>
        <v>2.5167374465195867E-3</v>
      </c>
      <c r="AR123" s="843">
        <f t="shared" si="192"/>
        <v>0</v>
      </c>
      <c r="AS123" s="843">
        <f t="shared" si="192"/>
        <v>0</v>
      </c>
      <c r="AT123" s="844">
        <f t="shared" si="192"/>
        <v>1.8295862221225411E-3</v>
      </c>
      <c r="AU123" s="410"/>
      <c r="AV123" s="410"/>
      <c r="AW123" s="410"/>
      <c r="AX123" s="410"/>
      <c r="AY123" s="410"/>
      <c r="AZ123" s="841" t="str">
        <f t="shared" si="171"/>
        <v>AGR_LAND_CROP_MAIZE</v>
      </c>
      <c r="BA123" s="410"/>
      <c r="BB123" s="410"/>
      <c r="BC123" s="410"/>
      <c r="BD123" s="842">
        <f>BD113*BD129</f>
        <v>3.4676313629433964E-3</v>
      </c>
      <c r="BE123" s="843">
        <f t="shared" ref="BE123:BH123" si="193">BE113*BE129</f>
        <v>2.4655671115401474E-3</v>
      </c>
      <c r="BF123" s="843">
        <f t="shared" si="193"/>
        <v>0</v>
      </c>
      <c r="BG123" s="843">
        <f t="shared" si="193"/>
        <v>0</v>
      </c>
      <c r="BH123" s="844">
        <f t="shared" si="193"/>
        <v>1.8607588847547587E-3</v>
      </c>
      <c r="BI123" s="410"/>
      <c r="BJ123" s="410"/>
      <c r="BK123" s="410"/>
      <c r="BL123" s="410"/>
      <c r="BM123" s="410"/>
      <c r="BN123" s="841" t="str">
        <f t="shared" si="174"/>
        <v>AGR_LAND_CROP_MAIZE</v>
      </c>
      <c r="BO123" s="410"/>
      <c r="BP123" s="410"/>
      <c r="BQ123" s="410"/>
      <c r="BR123" s="842">
        <f>BR113*BR129</f>
        <v>3.4976049055687546E-3</v>
      </c>
      <c r="BS123" s="843">
        <f t="shared" ref="BS123:BV123" si="194">BS113*BS129</f>
        <v>2.9293440495907663E-3</v>
      </c>
      <c r="BT123" s="843">
        <f t="shared" si="194"/>
        <v>0</v>
      </c>
      <c r="BU123" s="843">
        <f t="shared" si="194"/>
        <v>0</v>
      </c>
      <c r="BV123" s="844">
        <f t="shared" si="194"/>
        <v>2.1166335723165307E-3</v>
      </c>
      <c r="BW123" s="410"/>
      <c r="BX123" s="410"/>
      <c r="BY123" s="410"/>
      <c r="BZ123" s="410"/>
      <c r="CA123" s="410"/>
      <c r="CB123" s="841" t="str">
        <f t="shared" si="177"/>
        <v>AGR_LAND_CROP_MAIZE</v>
      </c>
      <c r="CC123" s="410"/>
      <c r="CD123" s="410"/>
      <c r="CE123" s="410"/>
      <c r="CF123" s="842">
        <f>CF113*CF129</f>
        <v>3.5231968265770222E-3</v>
      </c>
      <c r="CG123" s="843">
        <f t="shared" ref="CG123:CJ123" si="195">CG113*CG129</f>
        <v>3.5931156262510272E-3</v>
      </c>
      <c r="CH123" s="843">
        <f t="shared" si="195"/>
        <v>0</v>
      </c>
      <c r="CI123" s="843">
        <f t="shared" si="195"/>
        <v>0</v>
      </c>
      <c r="CJ123" s="844">
        <f t="shared" si="195"/>
        <v>2.4384060655112229E-3</v>
      </c>
      <c r="CK123" s="410"/>
      <c r="CL123" s="410"/>
      <c r="CM123" s="410"/>
      <c r="CN123" s="410"/>
      <c r="CO123" s="410"/>
      <c r="CP123" s="841" t="str">
        <f t="shared" si="180"/>
        <v>AGR_LAND_CROP_MAIZE</v>
      </c>
      <c r="CQ123" s="410"/>
      <c r="CR123" s="410"/>
      <c r="CS123" s="410"/>
      <c r="CT123" s="842">
        <f>CT113*CT129</f>
        <v>3.5422927442097917E-3</v>
      </c>
      <c r="CU123" s="843">
        <f t="shared" ref="CU123:CX123" si="196">CU113*CU129</f>
        <v>4.6217360494207084E-3</v>
      </c>
      <c r="CV123" s="843">
        <f t="shared" si="196"/>
        <v>0</v>
      </c>
      <c r="CW123" s="843">
        <f t="shared" si="196"/>
        <v>0</v>
      </c>
      <c r="CX123" s="844">
        <f t="shared" si="196"/>
        <v>2.8548323824991546E-3</v>
      </c>
    </row>
    <row r="124" spans="2:102">
      <c r="B124" s="448" t="s">
        <v>819</v>
      </c>
      <c r="J124" s="537" t="str">
        <f t="shared" si="163"/>
        <v>AGR_LAND_CROP_CER-MIX</v>
      </c>
      <c r="K124" s="177"/>
      <c r="L124" s="177"/>
      <c r="M124" s="177"/>
      <c r="N124" s="521">
        <f>N114*N129</f>
        <v>2.5876121245335965E-3</v>
      </c>
      <c r="O124" s="517">
        <f t="shared" ref="O124:R124" si="197">O114*O129</f>
        <v>2.3130319808396568E-4</v>
      </c>
      <c r="P124" s="517">
        <f t="shared" si="197"/>
        <v>0</v>
      </c>
      <c r="Q124" s="517">
        <f t="shared" si="197"/>
        <v>0</v>
      </c>
      <c r="R124" s="522">
        <f t="shared" si="197"/>
        <v>1.1068923284845405E-3</v>
      </c>
      <c r="X124" s="676" t="str">
        <f t="shared" si="165"/>
        <v>AGR_LAND_CROP_CER-MIX</v>
      </c>
      <c r="Y124" s="177"/>
      <c r="Z124" s="177"/>
      <c r="AA124" s="177"/>
      <c r="AB124" s="521">
        <f>AB114*AB129</f>
        <v>2.4149382067015796E-3</v>
      </c>
      <c r="AC124" s="517">
        <f t="shared" ref="AC124:AF124" si="198">AC114*AC129</f>
        <v>5.7869149970912759E-4</v>
      </c>
      <c r="AD124" s="517">
        <f t="shared" si="198"/>
        <v>0</v>
      </c>
      <c r="AE124" s="517">
        <f t="shared" si="198"/>
        <v>0</v>
      </c>
      <c r="AF124" s="677">
        <f t="shared" si="198"/>
        <v>2.1010676748754124E-3</v>
      </c>
      <c r="AH124" s="410"/>
      <c r="AI124" s="410"/>
      <c r="AJ124" s="410"/>
      <c r="AK124" s="410"/>
      <c r="AL124" s="841" t="str">
        <f t="shared" si="168"/>
        <v>AGR_LAND_CROP_CER-MIX</v>
      </c>
      <c r="AM124" s="410"/>
      <c r="AN124" s="410"/>
      <c r="AO124" s="410"/>
      <c r="AP124" s="842">
        <f>AP114*AP129</f>
        <v>2.581509908272747E-3</v>
      </c>
      <c r="AQ124" s="843">
        <f t="shared" ref="AQ124:AT124" si="199">AQ114*AQ129</f>
        <v>2.2650637018676282E-4</v>
      </c>
      <c r="AR124" s="843">
        <f t="shared" si="199"/>
        <v>0</v>
      </c>
      <c r="AS124" s="843">
        <f t="shared" si="199"/>
        <v>0</v>
      </c>
      <c r="AT124" s="844">
        <f t="shared" si="199"/>
        <v>1.1258992136138715E-3</v>
      </c>
      <c r="AU124" s="410"/>
      <c r="AV124" s="410"/>
      <c r="AW124" s="410"/>
      <c r="AX124" s="410"/>
      <c r="AY124" s="410"/>
      <c r="AZ124" s="841" t="str">
        <f t="shared" si="171"/>
        <v>AGR_LAND_CROP_CER-MIX</v>
      </c>
      <c r="BA124" s="410"/>
      <c r="BB124" s="410"/>
      <c r="BC124" s="410"/>
      <c r="BD124" s="842">
        <f>BD114*BD129</f>
        <v>2.3579893268015095E-3</v>
      </c>
      <c r="BE124" s="843">
        <f t="shared" ref="BE124:BH124" si="200">BE114*BE129</f>
        <v>2.2190104003861326E-4</v>
      </c>
      <c r="BF124" s="843">
        <f t="shared" si="200"/>
        <v>0</v>
      </c>
      <c r="BG124" s="843">
        <f t="shared" si="200"/>
        <v>0</v>
      </c>
      <c r="BH124" s="844">
        <f t="shared" si="200"/>
        <v>1.145082390618313E-3</v>
      </c>
      <c r="BI124" s="410"/>
      <c r="BJ124" s="410"/>
      <c r="BK124" s="410"/>
      <c r="BL124" s="410"/>
      <c r="BM124" s="410"/>
      <c r="BN124" s="841" t="str">
        <f t="shared" si="174"/>
        <v>AGR_LAND_CROP_CER-MIX</v>
      </c>
      <c r="BO124" s="410"/>
      <c r="BP124" s="410"/>
      <c r="BQ124" s="410"/>
      <c r="BR124" s="842">
        <f>BR114*BR129</f>
        <v>2.3783713357867532E-3</v>
      </c>
      <c r="BS124" s="843">
        <f t="shared" ref="BS124:BV124" si="201">BS114*BS129</f>
        <v>2.6364096446316899E-4</v>
      </c>
      <c r="BT124" s="843">
        <f t="shared" si="201"/>
        <v>0</v>
      </c>
      <c r="BU124" s="843">
        <f t="shared" si="201"/>
        <v>0</v>
      </c>
      <c r="BV124" s="844">
        <f t="shared" si="201"/>
        <v>1.3025437368101727E-3</v>
      </c>
      <c r="BW124" s="410"/>
      <c r="BX124" s="410"/>
      <c r="BY124" s="410"/>
      <c r="BZ124" s="410"/>
      <c r="CA124" s="410"/>
      <c r="CB124" s="841" t="str">
        <f t="shared" si="177"/>
        <v>AGR_LAND_CROP_CER-MIX</v>
      </c>
      <c r="CC124" s="410"/>
      <c r="CD124" s="410"/>
      <c r="CE124" s="410"/>
      <c r="CF124" s="842">
        <f>CF114*CF129</f>
        <v>2.3957738420723748E-3</v>
      </c>
      <c r="CG124" s="843">
        <f t="shared" ref="CG124:CJ124" si="202">CG114*CG129</f>
        <v>3.2338040636259246E-4</v>
      </c>
      <c r="CH124" s="843">
        <f t="shared" si="202"/>
        <v>0</v>
      </c>
      <c r="CI124" s="843">
        <f t="shared" si="202"/>
        <v>0</v>
      </c>
      <c r="CJ124" s="844">
        <f t="shared" si="202"/>
        <v>1.5005575787761373E-3</v>
      </c>
      <c r="CK124" s="410"/>
      <c r="CL124" s="410"/>
      <c r="CM124" s="410"/>
      <c r="CN124" s="410"/>
      <c r="CO124" s="410"/>
      <c r="CP124" s="841" t="str">
        <f t="shared" si="180"/>
        <v>AGR_LAND_CROP_CER-MIX</v>
      </c>
      <c r="CQ124" s="410"/>
      <c r="CR124" s="410"/>
      <c r="CS124" s="410"/>
      <c r="CT124" s="842">
        <f>CT114*CT129</f>
        <v>2.4087590660626583E-3</v>
      </c>
      <c r="CU124" s="843">
        <f t="shared" ref="CU124:CX124" si="203">CU114*CU129</f>
        <v>4.1595624444786379E-4</v>
      </c>
      <c r="CV124" s="843">
        <f t="shared" si="203"/>
        <v>0</v>
      </c>
      <c r="CW124" s="843">
        <f t="shared" si="203"/>
        <v>0</v>
      </c>
      <c r="CX124" s="844">
        <f t="shared" si="203"/>
        <v>1.7568199276917875E-3</v>
      </c>
    </row>
    <row r="125" spans="2:102">
      <c r="B125" s="449">
        <v>71.5</v>
      </c>
      <c r="J125" s="537" t="str">
        <f t="shared" si="163"/>
        <v>AGR_LAND_CROP_TRITICALE</v>
      </c>
      <c r="K125" s="177"/>
      <c r="L125" s="177"/>
      <c r="M125" s="177"/>
      <c r="N125" s="521">
        <f>N115*N129</f>
        <v>2.7398246024473373E-3</v>
      </c>
      <c r="O125" s="517">
        <f t="shared" ref="O125:R125" si="204">O115*O129</f>
        <v>3.5980497479727992E-4</v>
      </c>
      <c r="P125" s="517">
        <f t="shared" si="204"/>
        <v>0</v>
      </c>
      <c r="Q125" s="517">
        <f t="shared" si="204"/>
        <v>0</v>
      </c>
      <c r="R125" s="522">
        <f t="shared" si="204"/>
        <v>1.245253869545108E-3</v>
      </c>
      <c r="X125" s="676" t="str">
        <f t="shared" si="165"/>
        <v>AGR_LAND_CROP_TRITICALE</v>
      </c>
      <c r="Y125" s="177"/>
      <c r="Z125" s="177"/>
      <c r="AA125" s="177"/>
      <c r="AB125" s="521">
        <f>AB115*AB129</f>
        <v>2.5569933953310843E-3</v>
      </c>
      <c r="AC125" s="517">
        <f t="shared" ref="AC125:AF125" si="205">AC115*AC129</f>
        <v>9.0018677732530946E-4</v>
      </c>
      <c r="AD125" s="517">
        <f t="shared" si="205"/>
        <v>0</v>
      </c>
      <c r="AE125" s="517">
        <f t="shared" si="205"/>
        <v>0</v>
      </c>
      <c r="AF125" s="677">
        <f t="shared" si="205"/>
        <v>2.3637011342348391E-3</v>
      </c>
      <c r="AH125" s="410"/>
      <c r="AI125" s="410"/>
      <c r="AJ125" s="410"/>
      <c r="AK125" s="410"/>
      <c r="AL125" s="841" t="str">
        <f t="shared" si="168"/>
        <v>AGR_LAND_CROP_TRITICALE</v>
      </c>
      <c r="AM125" s="410"/>
      <c r="AN125" s="410"/>
      <c r="AO125" s="410"/>
      <c r="AP125" s="842">
        <f>AP115*AP129</f>
        <v>2.7333634322887911E-3</v>
      </c>
      <c r="AQ125" s="843">
        <f t="shared" ref="AQ125:AT125" si="206">AQ115*AQ129</f>
        <v>3.5234324251274217E-4</v>
      </c>
      <c r="AR125" s="843">
        <f t="shared" si="206"/>
        <v>0</v>
      </c>
      <c r="AS125" s="843">
        <f t="shared" si="206"/>
        <v>0</v>
      </c>
      <c r="AT125" s="844">
        <f t="shared" si="206"/>
        <v>1.2666366153156053E-3</v>
      </c>
      <c r="AU125" s="410"/>
      <c r="AV125" s="410"/>
      <c r="AW125" s="410"/>
      <c r="AX125" s="410"/>
      <c r="AY125" s="410"/>
      <c r="AZ125" s="841" t="str">
        <f t="shared" si="171"/>
        <v>AGR_LAND_CROP_TRITICALE</v>
      </c>
      <c r="BA125" s="410"/>
      <c r="BB125" s="410"/>
      <c r="BC125" s="410"/>
      <c r="BD125" s="842">
        <f>BD115*BD129</f>
        <v>2.4966945813192452E-3</v>
      </c>
      <c r="BE125" s="843">
        <f t="shared" ref="BE125:BH125" si="207">BE115*BE129</f>
        <v>3.451793956156206E-4</v>
      </c>
      <c r="BF125" s="843">
        <f t="shared" si="207"/>
        <v>0</v>
      </c>
      <c r="BG125" s="843">
        <f t="shared" si="207"/>
        <v>0</v>
      </c>
      <c r="BH125" s="844">
        <f t="shared" si="207"/>
        <v>1.2882176894456023E-3</v>
      </c>
      <c r="BI125" s="410"/>
      <c r="BJ125" s="410"/>
      <c r="BK125" s="410"/>
      <c r="BL125" s="410"/>
      <c r="BM125" s="410"/>
      <c r="BN125" s="841" t="str">
        <f t="shared" si="174"/>
        <v>AGR_LAND_CROP_TRITICALE</v>
      </c>
      <c r="BO125" s="410"/>
      <c r="BP125" s="410"/>
      <c r="BQ125" s="410"/>
      <c r="BR125" s="842">
        <f>BR115*BR129</f>
        <v>2.5182755320095032E-3</v>
      </c>
      <c r="BS125" s="843">
        <f t="shared" ref="BS125:BV125" si="208">BS115*BS129</f>
        <v>4.1010816694270728E-4</v>
      </c>
      <c r="BT125" s="843">
        <f t="shared" si="208"/>
        <v>0</v>
      </c>
      <c r="BU125" s="843">
        <f t="shared" si="208"/>
        <v>0</v>
      </c>
      <c r="BV125" s="844">
        <f t="shared" si="208"/>
        <v>1.4653617039114444E-3</v>
      </c>
      <c r="BW125" s="410"/>
      <c r="BX125" s="410"/>
      <c r="BY125" s="410"/>
      <c r="BZ125" s="410"/>
      <c r="CA125" s="410"/>
      <c r="CB125" s="841" t="str">
        <f t="shared" si="177"/>
        <v>AGR_LAND_CROP_TRITICALE</v>
      </c>
      <c r="CC125" s="410"/>
      <c r="CD125" s="410"/>
      <c r="CE125" s="410"/>
      <c r="CF125" s="842">
        <f>CF115*CF129</f>
        <v>2.5367017151354558E-3</v>
      </c>
      <c r="CG125" s="843">
        <f t="shared" ref="CG125:CJ125" si="209">CG115*CG129</f>
        <v>5.0303618767514376E-4</v>
      </c>
      <c r="CH125" s="843">
        <f t="shared" si="209"/>
        <v>0</v>
      </c>
      <c r="CI125" s="843">
        <f t="shared" si="209"/>
        <v>0</v>
      </c>
      <c r="CJ125" s="844">
        <f t="shared" si="209"/>
        <v>1.6881272761231543E-3</v>
      </c>
      <c r="CK125" s="410"/>
      <c r="CL125" s="410"/>
      <c r="CM125" s="410"/>
      <c r="CN125" s="410"/>
      <c r="CO125" s="410"/>
      <c r="CP125" s="841" t="str">
        <f t="shared" si="180"/>
        <v>AGR_LAND_CROP_TRITICALE</v>
      </c>
      <c r="CQ125" s="410"/>
      <c r="CR125" s="410"/>
      <c r="CS125" s="410"/>
      <c r="CT125" s="842">
        <f>CT115*CT129</f>
        <v>2.5504507758310501E-3</v>
      </c>
      <c r="CU125" s="843">
        <f t="shared" ref="CU125:CX125" si="210">CU115*CU129</f>
        <v>6.4704304691889914E-4</v>
      </c>
      <c r="CV125" s="843">
        <f t="shared" si="210"/>
        <v>0</v>
      </c>
      <c r="CW125" s="843">
        <f t="shared" si="210"/>
        <v>0</v>
      </c>
      <c r="CX125" s="844">
        <f t="shared" si="210"/>
        <v>1.9764224186532607E-3</v>
      </c>
    </row>
    <row r="126" spans="2:102">
      <c r="B126" s="452" t="s">
        <v>822</v>
      </c>
      <c r="J126" s="537" t="str">
        <f t="shared" si="163"/>
        <v>AGR_LAND_CROP_OATS</v>
      </c>
      <c r="K126" s="177"/>
      <c r="L126" s="177"/>
      <c r="M126" s="177"/>
      <c r="N126" s="521">
        <f>N116*N129</f>
        <v>2.4353996466198557E-3</v>
      </c>
      <c r="O126" s="517">
        <f t="shared" ref="O126:R126" si="211">O116*O129</f>
        <v>1.7990248739863996E-4</v>
      </c>
      <c r="P126" s="517">
        <f t="shared" si="211"/>
        <v>0</v>
      </c>
      <c r="Q126" s="517">
        <f t="shared" si="211"/>
        <v>0</v>
      </c>
      <c r="R126" s="522">
        <f t="shared" si="211"/>
        <v>1.1068923284845405E-3</v>
      </c>
      <c r="X126" s="676" t="str">
        <f t="shared" si="165"/>
        <v>AGR_LAND_CROP_OATS</v>
      </c>
      <c r="Y126" s="177"/>
      <c r="Z126" s="177"/>
      <c r="AA126" s="177"/>
      <c r="AB126" s="521">
        <f>AB116*AB129</f>
        <v>2.2728830180720749E-3</v>
      </c>
      <c r="AC126" s="517">
        <f t="shared" ref="AC126:AF126" si="212">AC116*AC129</f>
        <v>4.5009338866265473E-4</v>
      </c>
      <c r="AD126" s="517">
        <f t="shared" si="212"/>
        <v>0</v>
      </c>
      <c r="AE126" s="517">
        <f t="shared" si="212"/>
        <v>0</v>
      </c>
      <c r="AF126" s="677">
        <f t="shared" si="212"/>
        <v>2.1010676748754124E-3</v>
      </c>
      <c r="AH126" s="410"/>
      <c r="AI126" s="410"/>
      <c r="AJ126" s="410"/>
      <c r="AK126" s="410"/>
      <c r="AL126" s="841" t="str">
        <f t="shared" si="168"/>
        <v>AGR_LAND_CROP_OATS</v>
      </c>
      <c r="AM126" s="410"/>
      <c r="AN126" s="410"/>
      <c r="AO126" s="410"/>
      <c r="AP126" s="842">
        <f>AP116*AP129</f>
        <v>2.4296563842567034E-3</v>
      </c>
      <c r="AQ126" s="843">
        <f t="shared" ref="AQ126:AT126" si="213">AQ116*AQ129</f>
        <v>1.7617162125637109E-4</v>
      </c>
      <c r="AR126" s="843">
        <f t="shared" si="213"/>
        <v>0</v>
      </c>
      <c r="AS126" s="843">
        <f t="shared" si="213"/>
        <v>0</v>
      </c>
      <c r="AT126" s="844">
        <f t="shared" si="213"/>
        <v>1.1258992136138715E-3</v>
      </c>
      <c r="AU126" s="410"/>
      <c r="AV126" s="410"/>
      <c r="AW126" s="410"/>
      <c r="AX126" s="410"/>
      <c r="AY126" s="410"/>
      <c r="AZ126" s="841" t="str">
        <f t="shared" si="171"/>
        <v>AGR_LAND_CROP_OATS</v>
      </c>
      <c r="BA126" s="410"/>
      <c r="BB126" s="410"/>
      <c r="BC126" s="410"/>
      <c r="BD126" s="842">
        <f>BD116*BD129</f>
        <v>2.2192840722837738E-3</v>
      </c>
      <c r="BE126" s="843">
        <f t="shared" ref="BE126:BH126" si="214">BE116*BE129</f>
        <v>1.725896978078103E-4</v>
      </c>
      <c r="BF126" s="843">
        <f t="shared" si="214"/>
        <v>0</v>
      </c>
      <c r="BG126" s="843">
        <f t="shared" si="214"/>
        <v>0</v>
      </c>
      <c r="BH126" s="844">
        <f t="shared" si="214"/>
        <v>1.145082390618313E-3</v>
      </c>
      <c r="BI126" s="410"/>
      <c r="BJ126" s="410"/>
      <c r="BK126" s="410"/>
      <c r="BL126" s="410"/>
      <c r="BM126" s="410"/>
      <c r="BN126" s="841" t="str">
        <f t="shared" si="174"/>
        <v>AGR_LAND_CROP_OATS</v>
      </c>
      <c r="BO126" s="410"/>
      <c r="BP126" s="410"/>
      <c r="BQ126" s="410"/>
      <c r="BR126" s="842">
        <f>BR116*BR129</f>
        <v>2.2384671395640032E-3</v>
      </c>
      <c r="BS126" s="843">
        <f t="shared" ref="BS126:BV126" si="215">BS116*BS129</f>
        <v>2.0505408347135364E-4</v>
      </c>
      <c r="BT126" s="843">
        <f t="shared" si="215"/>
        <v>0</v>
      </c>
      <c r="BU126" s="843">
        <f t="shared" si="215"/>
        <v>0</v>
      </c>
      <c r="BV126" s="844">
        <f t="shared" si="215"/>
        <v>1.3025437368101727E-3</v>
      </c>
      <c r="BW126" s="410"/>
      <c r="BX126" s="410"/>
      <c r="BY126" s="410"/>
      <c r="BZ126" s="410"/>
      <c r="CA126" s="410"/>
      <c r="CB126" s="841" t="str">
        <f t="shared" si="177"/>
        <v>AGR_LAND_CROP_OATS</v>
      </c>
      <c r="CC126" s="410"/>
      <c r="CD126" s="410"/>
      <c r="CE126" s="410"/>
      <c r="CF126" s="842">
        <f>CF116*CF129</f>
        <v>2.2548459690092944E-3</v>
      </c>
      <c r="CG126" s="843">
        <f t="shared" ref="CG126:CJ126" si="216">CG116*CG129</f>
        <v>2.5151809383757188E-4</v>
      </c>
      <c r="CH126" s="843">
        <f t="shared" si="216"/>
        <v>0</v>
      </c>
      <c r="CI126" s="843">
        <f t="shared" si="216"/>
        <v>0</v>
      </c>
      <c r="CJ126" s="844">
        <f t="shared" si="216"/>
        <v>1.5005575787761373E-3</v>
      </c>
      <c r="CK126" s="410"/>
      <c r="CL126" s="410"/>
      <c r="CM126" s="410"/>
      <c r="CN126" s="410"/>
      <c r="CO126" s="410"/>
      <c r="CP126" s="841" t="str">
        <f t="shared" si="180"/>
        <v>AGR_LAND_CROP_OATS</v>
      </c>
      <c r="CQ126" s="410"/>
      <c r="CR126" s="410"/>
      <c r="CS126" s="410"/>
      <c r="CT126" s="842">
        <f>CT116*CT129</f>
        <v>2.2670673562942669E-3</v>
      </c>
      <c r="CU126" s="843">
        <f t="shared" ref="CU126:CX126" si="217">CU116*CU129</f>
        <v>3.2352152345944957E-4</v>
      </c>
      <c r="CV126" s="843">
        <f t="shared" si="217"/>
        <v>0</v>
      </c>
      <c r="CW126" s="843">
        <f t="shared" si="217"/>
        <v>0</v>
      </c>
      <c r="CX126" s="844">
        <f t="shared" si="217"/>
        <v>1.7568199276917875E-3</v>
      </c>
    </row>
    <row r="127" spans="2:102">
      <c r="B127" s="448" t="s">
        <v>823</v>
      </c>
      <c r="J127" s="537" t="str">
        <f t="shared" si="163"/>
        <v>AGR_LAND_CROP_RYE</v>
      </c>
      <c r="K127" s="177"/>
      <c r="L127" s="177"/>
      <c r="M127" s="177"/>
      <c r="N127" s="521">
        <f>N117*N129</f>
        <v>2.1309746907923733E-3</v>
      </c>
      <c r="O127" s="517">
        <f t="shared" ref="O127:R127" si="218">O117*O129</f>
        <v>1.7990248739863996E-4</v>
      </c>
      <c r="P127" s="517">
        <f t="shared" si="218"/>
        <v>0</v>
      </c>
      <c r="Q127" s="517">
        <f t="shared" si="218"/>
        <v>0</v>
      </c>
      <c r="R127" s="522">
        <f t="shared" si="218"/>
        <v>1.0377115579542566E-3</v>
      </c>
      <c r="X127" s="676" t="str">
        <f t="shared" si="165"/>
        <v>AGR_LAND_CROP_RYE</v>
      </c>
      <c r="Y127" s="177"/>
      <c r="Z127" s="177"/>
      <c r="AA127" s="177"/>
      <c r="AB127" s="521">
        <f>AB117*AB129</f>
        <v>1.9887726408130656E-3</v>
      </c>
      <c r="AC127" s="517">
        <f t="shared" ref="AC127:AF127" si="219">AC117*AC129</f>
        <v>4.5009338866265473E-4</v>
      </c>
      <c r="AD127" s="517">
        <f t="shared" si="219"/>
        <v>0</v>
      </c>
      <c r="AE127" s="517">
        <f t="shared" si="219"/>
        <v>0</v>
      </c>
      <c r="AF127" s="677">
        <f t="shared" si="219"/>
        <v>1.9697509451956992E-3</v>
      </c>
      <c r="AH127" s="410"/>
      <c r="AI127" s="410"/>
      <c r="AJ127" s="410"/>
      <c r="AK127" s="410"/>
      <c r="AL127" s="841" t="str">
        <f t="shared" si="168"/>
        <v>AGR_LAND_CROP_RYE</v>
      </c>
      <c r="AM127" s="410"/>
      <c r="AN127" s="410"/>
      <c r="AO127" s="410"/>
      <c r="AP127" s="842">
        <f>AP117*AP129</f>
        <v>2.1259493362246148E-3</v>
      </c>
      <c r="AQ127" s="843">
        <f t="shared" ref="AQ127:AT127" si="220">AQ117*AQ129</f>
        <v>1.7617162125637109E-4</v>
      </c>
      <c r="AR127" s="843">
        <f t="shared" si="220"/>
        <v>0</v>
      </c>
      <c r="AS127" s="843">
        <f t="shared" si="220"/>
        <v>0</v>
      </c>
      <c r="AT127" s="844">
        <f t="shared" si="220"/>
        <v>1.0555305127630044E-3</v>
      </c>
      <c r="AU127" s="410"/>
      <c r="AV127" s="410"/>
      <c r="AW127" s="410"/>
      <c r="AX127" s="410"/>
      <c r="AY127" s="410"/>
      <c r="AZ127" s="841" t="str">
        <f t="shared" si="171"/>
        <v>AGR_LAND_CROP_RYE</v>
      </c>
      <c r="BA127" s="410"/>
      <c r="BB127" s="410"/>
      <c r="BC127" s="410"/>
      <c r="BD127" s="842">
        <f>BD117*BD129</f>
        <v>1.9418735632483017E-3</v>
      </c>
      <c r="BE127" s="843">
        <f t="shared" ref="BE127:BH127" si="221">BE117*BE129</f>
        <v>1.725896978078103E-4</v>
      </c>
      <c r="BF127" s="843">
        <f t="shared" si="221"/>
        <v>0</v>
      </c>
      <c r="BG127" s="843">
        <f t="shared" si="221"/>
        <v>0</v>
      </c>
      <c r="BH127" s="844">
        <f t="shared" si="221"/>
        <v>1.0735147412046686E-3</v>
      </c>
      <c r="BI127" s="410"/>
      <c r="BJ127" s="410"/>
      <c r="BK127" s="410"/>
      <c r="BL127" s="410"/>
      <c r="BM127" s="410"/>
      <c r="BN127" s="841" t="str">
        <f t="shared" si="174"/>
        <v>AGR_LAND_CROP_RYE</v>
      </c>
      <c r="BO127" s="410"/>
      <c r="BP127" s="410"/>
      <c r="BQ127" s="410"/>
      <c r="BR127" s="842">
        <f>BR117*BR129</f>
        <v>1.9586587471185023E-3</v>
      </c>
      <c r="BS127" s="843">
        <f t="shared" ref="BS127:BV127" si="222">BS117*BS129</f>
        <v>2.0505408347135364E-4</v>
      </c>
      <c r="BT127" s="843">
        <f t="shared" si="222"/>
        <v>0</v>
      </c>
      <c r="BU127" s="843">
        <f t="shared" si="222"/>
        <v>0</v>
      </c>
      <c r="BV127" s="844">
        <f t="shared" si="222"/>
        <v>1.2211347532595368E-3</v>
      </c>
      <c r="BW127" s="410"/>
      <c r="BX127" s="410"/>
      <c r="BY127" s="410"/>
      <c r="BZ127" s="410"/>
      <c r="CA127" s="410"/>
      <c r="CB127" s="841" t="str">
        <f t="shared" si="177"/>
        <v>AGR_LAND_CROP_RYE</v>
      </c>
      <c r="CC127" s="410"/>
      <c r="CD127" s="410"/>
      <c r="CE127" s="410"/>
      <c r="CF127" s="842">
        <f>CF117*CF129</f>
        <v>1.9729902228831321E-3</v>
      </c>
      <c r="CG127" s="843">
        <f t="shared" ref="CG127:CJ127" si="223">CG117*CG129</f>
        <v>2.5151809383757188E-4</v>
      </c>
      <c r="CH127" s="843">
        <f t="shared" si="223"/>
        <v>0</v>
      </c>
      <c r="CI127" s="843">
        <f t="shared" si="223"/>
        <v>0</v>
      </c>
      <c r="CJ127" s="844">
        <f t="shared" si="223"/>
        <v>1.4067727301026287E-3</v>
      </c>
      <c r="CK127" s="410"/>
      <c r="CL127" s="410"/>
      <c r="CM127" s="410"/>
      <c r="CN127" s="410"/>
      <c r="CO127" s="410"/>
      <c r="CP127" s="841" t="str">
        <f t="shared" si="180"/>
        <v>AGR_LAND_CROP_RYE</v>
      </c>
      <c r="CQ127" s="410"/>
      <c r="CR127" s="410"/>
      <c r="CS127" s="410"/>
      <c r="CT127" s="842">
        <f>CT117*CT129</f>
        <v>1.9836839367574832E-3</v>
      </c>
      <c r="CU127" s="843">
        <f t="shared" ref="CU127:CX127" si="224">CU117*CU129</f>
        <v>3.2352152345944957E-4</v>
      </c>
      <c r="CV127" s="843">
        <f t="shared" si="224"/>
        <v>0</v>
      </c>
      <c r="CW127" s="843">
        <f t="shared" si="224"/>
        <v>0</v>
      </c>
      <c r="CX127" s="844">
        <f t="shared" si="224"/>
        <v>1.6470186822110508E-3</v>
      </c>
    </row>
    <row r="128" spans="2:102" ht="13.5" thickBot="1">
      <c r="B128" s="449">
        <v>620</v>
      </c>
      <c r="J128" s="540" t="str">
        <f t="shared" si="163"/>
        <v>AGR_LAND_CROP_MILL-BUCK</v>
      </c>
      <c r="K128" s="504"/>
      <c r="L128" s="504"/>
      <c r="M128" s="504"/>
      <c r="N128" s="523">
        <f>N118*N129</f>
        <v>2.2831871687061145E-3</v>
      </c>
      <c r="O128" s="506">
        <f t="shared" ref="O128:R128" si="225">O118*O129</f>
        <v>1.2850177671331427E-4</v>
      </c>
      <c r="P128" s="506">
        <v>0</v>
      </c>
      <c r="Q128" s="506">
        <f t="shared" si="225"/>
        <v>0</v>
      </c>
      <c r="R128" s="524">
        <f t="shared" si="225"/>
        <v>1.0377115579542566E-3</v>
      </c>
      <c r="X128" s="678" t="str">
        <f t="shared" si="165"/>
        <v>AGR_LAND_CROP_MILL-BUCK</v>
      </c>
      <c r="Y128" s="504"/>
      <c r="Z128" s="504"/>
      <c r="AA128" s="504"/>
      <c r="AB128" s="523">
        <f>AB118*AB129</f>
        <v>2.1308278294425703E-3</v>
      </c>
      <c r="AC128" s="506">
        <f t="shared" ref="AC128" si="226">AC118*AC129</f>
        <v>3.2149527761618198E-4</v>
      </c>
      <c r="AD128" s="506">
        <v>0</v>
      </c>
      <c r="AE128" s="506">
        <f t="shared" ref="AE128:AF128" si="227">AE118*AE129</f>
        <v>0</v>
      </c>
      <c r="AF128" s="679">
        <f t="shared" si="227"/>
        <v>1.9697509451956992E-3</v>
      </c>
      <c r="AH128" s="410"/>
      <c r="AI128" s="410"/>
      <c r="AJ128" s="410"/>
      <c r="AK128" s="410"/>
      <c r="AL128" s="845" t="str">
        <f t="shared" si="168"/>
        <v>AGR_LAND_CROP_MILL-BUCK</v>
      </c>
      <c r="AM128" s="651"/>
      <c r="AN128" s="651"/>
      <c r="AO128" s="651"/>
      <c r="AP128" s="846">
        <f>AP118*AP129</f>
        <v>2.2778028602406589E-3</v>
      </c>
      <c r="AQ128" s="847">
        <f t="shared" ref="AQ128" si="228">AQ118*AQ129</f>
        <v>1.2583687232597935E-4</v>
      </c>
      <c r="AR128" s="847">
        <v>0</v>
      </c>
      <c r="AS128" s="847">
        <f t="shared" ref="AS128:AT128" si="229">AS118*AS129</f>
        <v>0</v>
      </c>
      <c r="AT128" s="848">
        <f t="shared" si="229"/>
        <v>1.0555305127630044E-3</v>
      </c>
      <c r="AU128" s="410"/>
      <c r="AV128" s="410"/>
      <c r="AW128" s="410"/>
      <c r="AX128" s="410"/>
      <c r="AY128" s="410"/>
      <c r="AZ128" s="845" t="str">
        <f t="shared" si="171"/>
        <v>AGR_LAND_CROP_MILL-BUCK</v>
      </c>
      <c r="BA128" s="651"/>
      <c r="BB128" s="651"/>
      <c r="BC128" s="651"/>
      <c r="BD128" s="846">
        <f>BD118*BD129</f>
        <v>2.0805788177660376E-3</v>
      </c>
      <c r="BE128" s="847">
        <f t="shared" ref="BE128" si="230">BE118*BE129</f>
        <v>1.2327835557700737E-4</v>
      </c>
      <c r="BF128" s="847">
        <v>0</v>
      </c>
      <c r="BG128" s="847">
        <f t="shared" ref="BG128:BH128" si="231">BG118*BG129</f>
        <v>0</v>
      </c>
      <c r="BH128" s="848">
        <f t="shared" si="231"/>
        <v>1.0735147412046686E-3</v>
      </c>
      <c r="BI128" s="410"/>
      <c r="BJ128" s="410"/>
      <c r="BK128" s="410"/>
      <c r="BL128" s="410"/>
      <c r="BM128" s="410"/>
      <c r="BN128" s="845" t="str">
        <f t="shared" si="174"/>
        <v>AGR_LAND_CROP_MILL-BUCK</v>
      </c>
      <c r="BO128" s="651"/>
      <c r="BP128" s="651"/>
      <c r="BQ128" s="651"/>
      <c r="BR128" s="846">
        <f>BR118*BR129</f>
        <v>2.0985629433412528E-3</v>
      </c>
      <c r="BS128" s="847">
        <f t="shared" ref="BS128" si="232">BS118*BS129</f>
        <v>1.4646720247953832E-4</v>
      </c>
      <c r="BT128" s="847">
        <v>0</v>
      </c>
      <c r="BU128" s="847">
        <f t="shared" ref="BU128:BV128" si="233">BU118*BU129</f>
        <v>0</v>
      </c>
      <c r="BV128" s="848">
        <f t="shared" si="233"/>
        <v>1.2211347532595368E-3</v>
      </c>
      <c r="BW128" s="410"/>
      <c r="BX128" s="410"/>
      <c r="BY128" s="410"/>
      <c r="BZ128" s="410"/>
      <c r="CA128" s="410"/>
      <c r="CB128" s="845" t="str">
        <f t="shared" si="177"/>
        <v>AGR_LAND_CROP_MILL-BUCK</v>
      </c>
      <c r="CC128" s="651"/>
      <c r="CD128" s="651"/>
      <c r="CE128" s="651"/>
      <c r="CF128" s="846">
        <f>CF118*CF129</f>
        <v>2.113918095946213E-3</v>
      </c>
      <c r="CG128" s="847">
        <f t="shared" ref="CG128" si="234">CG118*CG129</f>
        <v>1.7965578131255136E-4</v>
      </c>
      <c r="CH128" s="847">
        <v>0</v>
      </c>
      <c r="CI128" s="847">
        <f t="shared" ref="CI128:CJ128" si="235">CI118*CI129</f>
        <v>0</v>
      </c>
      <c r="CJ128" s="848">
        <f t="shared" si="235"/>
        <v>1.4067727301026287E-3</v>
      </c>
      <c r="CK128" s="410"/>
      <c r="CL128" s="410"/>
      <c r="CM128" s="410"/>
      <c r="CN128" s="410"/>
      <c r="CO128" s="410"/>
      <c r="CP128" s="845" t="str">
        <f t="shared" si="180"/>
        <v>AGR_LAND_CROP_MILL-BUCK</v>
      </c>
      <c r="CQ128" s="651"/>
      <c r="CR128" s="651"/>
      <c r="CS128" s="651"/>
      <c r="CT128" s="846">
        <f>CT118*CT129</f>
        <v>2.125375646525875E-3</v>
      </c>
      <c r="CU128" s="847">
        <f t="shared" ref="CU128" si="236">CU118*CU129</f>
        <v>2.3108680247103543E-4</v>
      </c>
      <c r="CV128" s="847">
        <v>0</v>
      </c>
      <c r="CW128" s="847">
        <f t="shared" ref="CW128:CX128" si="237">CW118*CW129</f>
        <v>0</v>
      </c>
      <c r="CX128" s="848">
        <f t="shared" si="237"/>
        <v>1.6470186822110508E-3</v>
      </c>
    </row>
    <row r="129" spans="2:102" ht="14.25" thickTop="1" thickBot="1">
      <c r="B129" s="452" t="s">
        <v>824</v>
      </c>
      <c r="J129" s="518"/>
      <c r="K129" s="193"/>
      <c r="L129" s="193"/>
      <c r="M129" s="193"/>
      <c r="N129" s="525">
        <f>N104*N106/N119</f>
        <v>3.0442495582748193E-3</v>
      </c>
      <c r="O129" s="526">
        <f>O104*O106/O119</f>
        <v>5.1400710685325706E-4</v>
      </c>
      <c r="P129" s="526">
        <v>0</v>
      </c>
      <c r="Q129" s="526">
        <v>0</v>
      </c>
      <c r="R129" s="527">
        <f>R104*R106/R119</f>
        <v>1.3836154106056755E-3</v>
      </c>
      <c r="X129" s="680"/>
      <c r="Y129" s="681"/>
      <c r="Z129" s="681"/>
      <c r="AA129" s="681"/>
      <c r="AB129" s="682">
        <f>AB104*AB106/AB119</f>
        <v>2.8411037725900937E-3</v>
      </c>
      <c r="AC129" s="683">
        <f>AC104*AC106/AC119</f>
        <v>1.2859811104647279E-3</v>
      </c>
      <c r="AD129" s="683">
        <v>0</v>
      </c>
      <c r="AE129" s="683">
        <v>0</v>
      </c>
      <c r="AF129" s="684">
        <f>AF104*AF106/AF119</f>
        <v>2.6263345935942655E-3</v>
      </c>
      <c r="AH129" s="410"/>
      <c r="AI129" s="410"/>
      <c r="AJ129" s="410"/>
      <c r="AK129" s="410"/>
      <c r="AL129" s="817"/>
      <c r="AM129" s="818"/>
      <c r="AN129" s="818"/>
      <c r="AO129" s="818"/>
      <c r="AP129" s="849">
        <f>AP104*AP106/AP119</f>
        <v>3.0370704803208788E-3</v>
      </c>
      <c r="AQ129" s="850">
        <f>AQ104*AQ106/AQ119</f>
        <v>5.0334748930391739E-4</v>
      </c>
      <c r="AR129" s="850">
        <v>0</v>
      </c>
      <c r="AS129" s="850">
        <v>0</v>
      </c>
      <c r="AT129" s="851">
        <f>AT104*AT106/AT119</f>
        <v>1.4073740170173392E-3</v>
      </c>
      <c r="AU129" s="410"/>
      <c r="AV129" s="410"/>
      <c r="AW129" s="410"/>
      <c r="AX129" s="410"/>
      <c r="AY129" s="410"/>
      <c r="AZ129" s="817"/>
      <c r="BA129" s="818"/>
      <c r="BB129" s="818"/>
      <c r="BC129" s="818"/>
      <c r="BD129" s="849">
        <f>BD104*BD106/BD119</f>
        <v>2.774105090354717E-3</v>
      </c>
      <c r="BE129" s="850">
        <f>BE104*BE106/BE119</f>
        <v>4.9311342230802947E-4</v>
      </c>
      <c r="BF129" s="850">
        <v>0</v>
      </c>
      <c r="BG129" s="850">
        <v>0</v>
      </c>
      <c r="BH129" s="851">
        <f>BH104*BH106/BH119</f>
        <v>1.4313529882728914E-3</v>
      </c>
      <c r="BI129" s="410"/>
      <c r="BJ129" s="410"/>
      <c r="BK129" s="410"/>
      <c r="BL129" s="410"/>
      <c r="BM129" s="410"/>
      <c r="BN129" s="817"/>
      <c r="BO129" s="818"/>
      <c r="BP129" s="818"/>
      <c r="BQ129" s="818"/>
      <c r="BR129" s="849">
        <f>BR104*BR106/BR119</f>
        <v>2.7980839244550037E-3</v>
      </c>
      <c r="BS129" s="850">
        <f>BS104*BS106/BS119</f>
        <v>5.8586880991815329E-4</v>
      </c>
      <c r="BT129" s="850">
        <v>0</v>
      </c>
      <c r="BU129" s="850">
        <v>0</v>
      </c>
      <c r="BV129" s="851">
        <f>BV104*BV106/BV119</f>
        <v>1.6281796710127159E-3</v>
      </c>
      <c r="BW129" s="410"/>
      <c r="BX129" s="410"/>
      <c r="BY129" s="410"/>
      <c r="BZ129" s="410"/>
      <c r="CA129" s="410"/>
      <c r="CB129" s="817"/>
      <c r="CC129" s="818"/>
      <c r="CD129" s="818"/>
      <c r="CE129" s="818"/>
      <c r="CF129" s="849">
        <f>CF104*CF106/CF119</f>
        <v>2.8185574612616176E-3</v>
      </c>
      <c r="CG129" s="850">
        <f>CG104*CG106/CG119</f>
        <v>7.1862312525020544E-4</v>
      </c>
      <c r="CH129" s="850">
        <v>0</v>
      </c>
      <c r="CI129" s="850">
        <v>0</v>
      </c>
      <c r="CJ129" s="851">
        <f>CJ104*CJ106/CJ119</f>
        <v>1.8756969734701715E-3</v>
      </c>
      <c r="CK129" s="410"/>
      <c r="CL129" s="410"/>
      <c r="CM129" s="410"/>
      <c r="CN129" s="410"/>
      <c r="CO129" s="410"/>
      <c r="CP129" s="817"/>
      <c r="CQ129" s="818"/>
      <c r="CR129" s="818"/>
      <c r="CS129" s="818"/>
      <c r="CT129" s="849">
        <f>CT104*CT106/CT119</f>
        <v>2.8338341953678334E-3</v>
      </c>
      <c r="CU129" s="850">
        <f>CU104*CU106/CU119</f>
        <v>9.243472098841417E-4</v>
      </c>
      <c r="CV129" s="850">
        <v>0</v>
      </c>
      <c r="CW129" s="850">
        <v>0</v>
      </c>
      <c r="CX129" s="851">
        <f>CX104*CX106/CX119</f>
        <v>2.1960249096147342E-3</v>
      </c>
    </row>
    <row r="130" spans="2:102" ht="13.5" thickBot="1">
      <c r="B130" s="448" t="s">
        <v>825</v>
      </c>
      <c r="J130" s="490" t="s">
        <v>883</v>
      </c>
      <c r="K130" s="491"/>
      <c r="L130" s="491"/>
      <c r="M130" s="491"/>
      <c r="N130" s="491"/>
      <c r="O130" s="491"/>
      <c r="P130" s="491"/>
      <c r="Q130" s="491"/>
      <c r="R130" s="492"/>
      <c r="X130" s="1004" t="s">
        <v>883</v>
      </c>
      <c r="Y130" s="1005"/>
      <c r="Z130" s="1005"/>
      <c r="AA130" s="1005"/>
      <c r="AB130" s="1005"/>
      <c r="AC130" s="1005"/>
      <c r="AD130" s="1005"/>
      <c r="AE130" s="1005"/>
      <c r="AF130" s="1006"/>
      <c r="AH130" s="410"/>
      <c r="AI130" s="410"/>
      <c r="AJ130" s="410"/>
      <c r="AK130" s="410"/>
      <c r="AL130" s="1001" t="s">
        <v>883</v>
      </c>
      <c r="AM130" s="1002"/>
      <c r="AN130" s="1002"/>
      <c r="AO130" s="1002"/>
      <c r="AP130" s="1002"/>
      <c r="AQ130" s="1002"/>
      <c r="AR130" s="1002"/>
      <c r="AS130" s="1002"/>
      <c r="AT130" s="1003"/>
      <c r="AU130" s="410"/>
      <c r="AV130" s="410"/>
      <c r="AW130" s="410"/>
      <c r="AX130" s="410"/>
      <c r="AY130" s="410"/>
      <c r="AZ130" s="870" t="s">
        <v>883</v>
      </c>
      <c r="BA130" s="871"/>
      <c r="BB130" s="871"/>
      <c r="BC130" s="871"/>
      <c r="BD130" s="871"/>
      <c r="BE130" s="871"/>
      <c r="BF130" s="871"/>
      <c r="BG130" s="871"/>
      <c r="BH130" s="872"/>
      <c r="BI130" s="410"/>
      <c r="BJ130" s="410"/>
      <c r="BK130" s="410"/>
      <c r="BL130" s="410"/>
      <c r="BM130" s="410"/>
      <c r="BN130" s="870" t="s">
        <v>883</v>
      </c>
      <c r="BO130" s="871"/>
      <c r="BP130" s="871"/>
      <c r="BQ130" s="871"/>
      <c r="BR130" s="871"/>
      <c r="BS130" s="871"/>
      <c r="BT130" s="871"/>
      <c r="BU130" s="871"/>
      <c r="BV130" s="872"/>
      <c r="BW130" s="410"/>
      <c r="BX130" s="410"/>
      <c r="BY130" s="410"/>
      <c r="BZ130" s="410"/>
      <c r="CA130" s="410"/>
      <c r="CB130" s="870" t="s">
        <v>883</v>
      </c>
      <c r="CC130" s="871"/>
      <c r="CD130" s="871"/>
      <c r="CE130" s="871"/>
      <c r="CF130" s="871"/>
      <c r="CG130" s="871"/>
      <c r="CH130" s="871"/>
      <c r="CI130" s="871"/>
      <c r="CJ130" s="872"/>
      <c r="CK130" s="410"/>
      <c r="CL130" s="410"/>
      <c r="CM130" s="410"/>
      <c r="CN130" s="410"/>
      <c r="CO130" s="410"/>
      <c r="CP130" s="870" t="s">
        <v>883</v>
      </c>
      <c r="CQ130" s="871"/>
      <c r="CR130" s="871"/>
      <c r="CS130" s="871"/>
      <c r="CT130" s="871"/>
      <c r="CU130" s="871"/>
      <c r="CV130" s="871"/>
      <c r="CW130" s="871"/>
      <c r="CX130" s="872"/>
    </row>
    <row r="131" spans="2:102">
      <c r="B131" s="449">
        <v>1750</v>
      </c>
      <c r="J131" s="507"/>
      <c r="K131" s="190"/>
      <c r="L131" s="508" t="s">
        <v>874</v>
      </c>
      <c r="M131" s="509"/>
      <c r="N131" s="502" t="s">
        <v>808</v>
      </c>
      <c r="O131" s="502" t="s">
        <v>809</v>
      </c>
      <c r="P131" s="502" t="s">
        <v>856</v>
      </c>
      <c r="Q131" s="502" t="s">
        <v>857</v>
      </c>
      <c r="R131" s="503" t="s">
        <v>858</v>
      </c>
      <c r="X131" s="661"/>
      <c r="Y131" s="662"/>
      <c r="Z131" s="663" t="s">
        <v>874</v>
      </c>
      <c r="AA131" s="664"/>
      <c r="AB131" s="666" t="s">
        <v>808</v>
      </c>
      <c r="AC131" s="666" t="s">
        <v>809</v>
      </c>
      <c r="AD131" s="666" t="s">
        <v>856</v>
      </c>
      <c r="AE131" s="666" t="s">
        <v>857</v>
      </c>
      <c r="AF131" s="667" t="s">
        <v>858</v>
      </c>
      <c r="AH131" s="410"/>
      <c r="AI131" s="410"/>
      <c r="AJ131" s="410"/>
      <c r="AK131" s="410"/>
      <c r="AL131" s="775"/>
      <c r="AM131" s="776"/>
      <c r="AN131" s="821" t="s">
        <v>874</v>
      </c>
      <c r="AO131" s="822"/>
      <c r="AP131" s="502" t="s">
        <v>808</v>
      </c>
      <c r="AQ131" s="502" t="s">
        <v>809</v>
      </c>
      <c r="AR131" s="502" t="s">
        <v>856</v>
      </c>
      <c r="AS131" s="502" t="s">
        <v>857</v>
      </c>
      <c r="AT131" s="503" t="s">
        <v>858</v>
      </c>
      <c r="AU131" s="410"/>
      <c r="AV131" s="410"/>
      <c r="AW131" s="410"/>
      <c r="AX131" s="410"/>
      <c r="AY131" s="410"/>
      <c r="AZ131" s="775"/>
      <c r="BA131" s="776"/>
      <c r="BB131" s="821" t="s">
        <v>874</v>
      </c>
      <c r="BC131" s="822"/>
      <c r="BD131" s="502" t="s">
        <v>808</v>
      </c>
      <c r="BE131" s="502" t="s">
        <v>809</v>
      </c>
      <c r="BF131" s="502" t="s">
        <v>856</v>
      </c>
      <c r="BG131" s="502" t="s">
        <v>857</v>
      </c>
      <c r="BH131" s="503" t="s">
        <v>858</v>
      </c>
      <c r="BI131" s="410"/>
      <c r="BJ131" s="410"/>
      <c r="BK131" s="410"/>
      <c r="BL131" s="410"/>
      <c r="BM131" s="410"/>
      <c r="BN131" s="775"/>
      <c r="BO131" s="776"/>
      <c r="BP131" s="821" t="s">
        <v>874</v>
      </c>
      <c r="BQ131" s="822"/>
      <c r="BR131" s="502" t="s">
        <v>808</v>
      </c>
      <c r="BS131" s="502" t="s">
        <v>809</v>
      </c>
      <c r="BT131" s="502" t="s">
        <v>856</v>
      </c>
      <c r="BU131" s="502" t="s">
        <v>857</v>
      </c>
      <c r="BV131" s="503" t="s">
        <v>858</v>
      </c>
      <c r="BW131" s="410"/>
      <c r="BX131" s="410"/>
      <c r="BY131" s="410"/>
      <c r="BZ131" s="410"/>
      <c r="CA131" s="410"/>
      <c r="CB131" s="775"/>
      <c r="CC131" s="776"/>
      <c r="CD131" s="821" t="s">
        <v>874</v>
      </c>
      <c r="CE131" s="822"/>
      <c r="CF131" s="502" t="s">
        <v>808</v>
      </c>
      <c r="CG131" s="502" t="s">
        <v>809</v>
      </c>
      <c r="CH131" s="502" t="s">
        <v>856</v>
      </c>
      <c r="CI131" s="502" t="s">
        <v>857</v>
      </c>
      <c r="CJ131" s="503" t="s">
        <v>858</v>
      </c>
      <c r="CK131" s="410"/>
      <c r="CL131" s="410"/>
      <c r="CM131" s="410"/>
      <c r="CN131" s="410"/>
      <c r="CO131" s="410"/>
      <c r="CP131" s="775"/>
      <c r="CQ131" s="776"/>
      <c r="CR131" s="821" t="s">
        <v>874</v>
      </c>
      <c r="CS131" s="822"/>
      <c r="CT131" s="502" t="s">
        <v>808</v>
      </c>
      <c r="CU131" s="502" t="s">
        <v>809</v>
      </c>
      <c r="CV131" s="502" t="s">
        <v>856</v>
      </c>
      <c r="CW131" s="502" t="s">
        <v>857</v>
      </c>
      <c r="CX131" s="503" t="s">
        <v>858</v>
      </c>
    </row>
    <row r="132" spans="2:102">
      <c r="J132" s="511"/>
      <c r="K132" s="177"/>
      <c r="L132" s="493" t="s">
        <v>881</v>
      </c>
      <c r="M132" s="484"/>
      <c r="N132" s="960" t="s">
        <v>875</v>
      </c>
      <c r="O132" s="961"/>
      <c r="P132" s="961"/>
      <c r="Q132" s="961"/>
      <c r="R132" s="989"/>
      <c r="X132" s="668"/>
      <c r="Y132" s="177"/>
      <c r="Z132" s="493" t="s">
        <v>881</v>
      </c>
      <c r="AA132" s="484"/>
      <c r="AB132" s="960" t="s">
        <v>875</v>
      </c>
      <c r="AC132" s="961"/>
      <c r="AD132" s="961"/>
      <c r="AE132" s="961"/>
      <c r="AF132" s="962"/>
      <c r="AH132" s="410"/>
      <c r="AI132" s="410"/>
      <c r="AJ132" s="410"/>
      <c r="AK132" s="410"/>
      <c r="AL132" s="780"/>
      <c r="AM132" s="410"/>
      <c r="AN132" s="823" t="s">
        <v>881</v>
      </c>
      <c r="AO132" s="824"/>
      <c r="AP132" s="873" t="s">
        <v>875</v>
      </c>
      <c r="AQ132" s="874"/>
      <c r="AR132" s="874"/>
      <c r="AS132" s="874"/>
      <c r="AT132" s="875"/>
      <c r="AU132" s="410"/>
      <c r="AV132" s="410"/>
      <c r="AW132" s="410"/>
      <c r="AX132" s="410"/>
      <c r="AY132" s="410"/>
      <c r="AZ132" s="780"/>
      <c r="BA132" s="410"/>
      <c r="BB132" s="823" t="s">
        <v>881</v>
      </c>
      <c r="BC132" s="824"/>
      <c r="BD132" s="873" t="s">
        <v>875</v>
      </c>
      <c r="BE132" s="874"/>
      <c r="BF132" s="874"/>
      <c r="BG132" s="874"/>
      <c r="BH132" s="875"/>
      <c r="BI132" s="410"/>
      <c r="BJ132" s="410"/>
      <c r="BK132" s="410"/>
      <c r="BL132" s="410"/>
      <c r="BM132" s="410"/>
      <c r="BN132" s="780"/>
      <c r="BO132" s="410"/>
      <c r="BP132" s="823" t="s">
        <v>881</v>
      </c>
      <c r="BQ132" s="824"/>
      <c r="BR132" s="873" t="s">
        <v>875</v>
      </c>
      <c r="BS132" s="874"/>
      <c r="BT132" s="874"/>
      <c r="BU132" s="874"/>
      <c r="BV132" s="875"/>
      <c r="BW132" s="410"/>
      <c r="BX132" s="410"/>
      <c r="BY132" s="410"/>
      <c r="BZ132" s="410"/>
      <c r="CA132" s="410"/>
      <c r="CB132" s="780"/>
      <c r="CC132" s="410"/>
      <c r="CD132" s="823" t="s">
        <v>881</v>
      </c>
      <c r="CE132" s="824"/>
      <c r="CF132" s="873" t="s">
        <v>875</v>
      </c>
      <c r="CG132" s="874"/>
      <c r="CH132" s="874"/>
      <c r="CI132" s="874"/>
      <c r="CJ132" s="875"/>
      <c r="CK132" s="410"/>
      <c r="CL132" s="410"/>
      <c r="CM132" s="410"/>
      <c r="CN132" s="410"/>
      <c r="CO132" s="410"/>
      <c r="CP132" s="780"/>
      <c r="CQ132" s="410"/>
      <c r="CR132" s="823" t="s">
        <v>881</v>
      </c>
      <c r="CS132" s="824"/>
      <c r="CT132" s="873" t="s">
        <v>875</v>
      </c>
      <c r="CU132" s="874"/>
      <c r="CV132" s="874"/>
      <c r="CW132" s="874"/>
      <c r="CX132" s="875"/>
    </row>
    <row r="133" spans="2:102">
      <c r="J133" s="537" t="str">
        <f>AGR_LIV!B5</f>
        <v>AGR_EX_LIV_CAT_DAIRY</v>
      </c>
      <c r="K133" s="538"/>
      <c r="L133" s="494">
        <f>AGR_LIV!G5</f>
        <v>2101.1590000000001</v>
      </c>
      <c r="M133" s="484"/>
      <c r="N133" s="570">
        <v>1</v>
      </c>
      <c r="O133" s="570">
        <v>0</v>
      </c>
      <c r="P133" s="570">
        <v>1</v>
      </c>
      <c r="Q133" s="570">
        <v>1</v>
      </c>
      <c r="R133" s="571">
        <v>1</v>
      </c>
      <c r="X133" s="676" t="str">
        <f>J133</f>
        <v>AGR_EX_LIV_CAT_DAIRY</v>
      </c>
      <c r="Y133" s="538"/>
      <c r="Z133" s="494">
        <f>AGR_LIV!M5</f>
        <v>1080.14382844436</v>
      </c>
      <c r="AA133" s="484"/>
      <c r="AB133" s="570">
        <v>1</v>
      </c>
      <c r="AC133" s="570">
        <v>0</v>
      </c>
      <c r="AD133" s="570">
        <v>1</v>
      </c>
      <c r="AE133" s="570">
        <v>1</v>
      </c>
      <c r="AF133" s="670">
        <v>1</v>
      </c>
      <c r="AH133" s="410"/>
      <c r="AI133" s="410"/>
      <c r="AJ133" s="410"/>
      <c r="AK133" s="410"/>
      <c r="AL133" s="841" t="str">
        <f>J133</f>
        <v>AGR_EX_LIV_CAT_DAIRY</v>
      </c>
      <c r="AM133" s="852"/>
      <c r="AN133" s="827">
        <f>AGR_LIV!H5</f>
        <v>2091.0349999999999</v>
      </c>
      <c r="AO133" s="824"/>
      <c r="AP133" s="828">
        <v>1</v>
      </c>
      <c r="AQ133" s="828">
        <v>0</v>
      </c>
      <c r="AR133" s="828">
        <v>1</v>
      </c>
      <c r="AS133" s="828">
        <v>1</v>
      </c>
      <c r="AT133" s="829">
        <v>1</v>
      </c>
      <c r="AU133" s="410"/>
      <c r="AV133" s="410"/>
      <c r="AW133" s="410"/>
      <c r="AX133" s="410"/>
      <c r="AY133" s="410"/>
      <c r="AZ133" s="841" t="str">
        <f>AL133</f>
        <v>AGR_EX_LIV_CAT_DAIRY</v>
      </c>
      <c r="BA133" s="852"/>
      <c r="BB133" s="827">
        <f>AGR_LIV!I5</f>
        <v>1970.9298986220986</v>
      </c>
      <c r="BC133" s="824"/>
      <c r="BD133" s="828">
        <v>1</v>
      </c>
      <c r="BE133" s="828">
        <v>0</v>
      </c>
      <c r="BF133" s="828">
        <v>1</v>
      </c>
      <c r="BG133" s="828">
        <v>1</v>
      </c>
      <c r="BH133" s="829">
        <v>1</v>
      </c>
      <c r="BI133" s="410"/>
      <c r="BJ133" s="410"/>
      <c r="BK133" s="410"/>
      <c r="BL133" s="410"/>
      <c r="BM133" s="410"/>
      <c r="BN133" s="841" t="str">
        <f>AZ133</f>
        <v>AGR_EX_LIV_CAT_DAIRY</v>
      </c>
      <c r="BO133" s="852"/>
      <c r="BP133" s="827">
        <f>AGR_LIV!J5</f>
        <v>1654.0253077510333</v>
      </c>
      <c r="BQ133" s="824"/>
      <c r="BR133" s="828">
        <v>1</v>
      </c>
      <c r="BS133" s="828">
        <v>0</v>
      </c>
      <c r="BT133" s="828">
        <v>1</v>
      </c>
      <c r="BU133" s="828">
        <v>1</v>
      </c>
      <c r="BV133" s="829">
        <v>1</v>
      </c>
      <c r="BW133" s="410"/>
      <c r="BX133" s="410"/>
      <c r="BY133" s="410"/>
      <c r="BZ133" s="410"/>
      <c r="CA133" s="410"/>
      <c r="CB133" s="841" t="str">
        <f>BN133</f>
        <v>AGR_EX_LIV_CAT_DAIRY</v>
      </c>
      <c r="CC133" s="852"/>
      <c r="CD133" s="827">
        <f>AGR_LIV!K5</f>
        <v>1426.6883593119505</v>
      </c>
      <c r="CE133" s="824"/>
      <c r="CF133" s="828">
        <v>1</v>
      </c>
      <c r="CG133" s="828">
        <v>0</v>
      </c>
      <c r="CH133" s="828">
        <v>1</v>
      </c>
      <c r="CI133" s="828">
        <v>1</v>
      </c>
      <c r="CJ133" s="829">
        <v>1</v>
      </c>
      <c r="CK133" s="410"/>
      <c r="CL133" s="410"/>
      <c r="CM133" s="410"/>
      <c r="CN133" s="410"/>
      <c r="CO133" s="410"/>
      <c r="CP133" s="841" t="str">
        <f>CB133</f>
        <v>AGR_EX_LIV_CAT_DAIRY</v>
      </c>
      <c r="CQ133" s="852"/>
      <c r="CR133" s="827">
        <f>AGR_LIV!L5</f>
        <v>1242.5277968086386</v>
      </c>
      <c r="CS133" s="824"/>
      <c r="CT133" s="828">
        <v>1</v>
      </c>
      <c r="CU133" s="828">
        <v>0</v>
      </c>
      <c r="CV133" s="828">
        <v>1</v>
      </c>
      <c r="CW133" s="828">
        <v>1</v>
      </c>
      <c r="CX133" s="829">
        <v>1</v>
      </c>
    </row>
    <row r="134" spans="2:102">
      <c r="J134" s="537" t="str">
        <f>AGR_LIV!B16</f>
        <v>AGR_EX_LIV_CAT_NON-DAIRY</v>
      </c>
      <c r="K134" s="538"/>
      <c r="L134" s="494">
        <f>AGR_LIV!G16</f>
        <v>4089.768</v>
      </c>
      <c r="M134" s="484"/>
      <c r="N134" s="570">
        <v>0.75</v>
      </c>
      <c r="O134" s="570">
        <v>0</v>
      </c>
      <c r="P134" s="570">
        <v>0.5</v>
      </c>
      <c r="Q134" s="570">
        <v>0.2</v>
      </c>
      <c r="R134" s="571">
        <v>0.55000000000000004</v>
      </c>
      <c r="X134" s="676" t="str">
        <f>J134</f>
        <v>AGR_EX_LIV_CAT_NON-DAIRY</v>
      </c>
      <c r="Y134" s="538"/>
      <c r="Z134" s="494">
        <f>AGR_LIV!M16</f>
        <v>2093.2382440706288</v>
      </c>
      <c r="AA134" s="484"/>
      <c r="AB134" s="570">
        <v>0.75</v>
      </c>
      <c r="AC134" s="570">
        <v>0</v>
      </c>
      <c r="AD134" s="570">
        <v>0.5</v>
      </c>
      <c r="AE134" s="570">
        <v>0.2</v>
      </c>
      <c r="AF134" s="670">
        <v>0.55000000000000004</v>
      </c>
      <c r="AH134" s="410"/>
      <c r="AI134" s="410"/>
      <c r="AJ134" s="410"/>
      <c r="AK134" s="410"/>
      <c r="AL134" s="841" t="str">
        <f>J134</f>
        <v>AGR_EX_LIV_CAT_NON-DAIRY</v>
      </c>
      <c r="AM134" s="852"/>
      <c r="AN134" s="827">
        <f>AGR_LIV!H16</f>
        <v>4052.27</v>
      </c>
      <c r="AO134" s="824"/>
      <c r="AP134" s="828">
        <v>0.75</v>
      </c>
      <c r="AQ134" s="828">
        <v>0</v>
      </c>
      <c r="AR134" s="828">
        <v>0.5</v>
      </c>
      <c r="AS134" s="828">
        <v>0.2</v>
      </c>
      <c r="AT134" s="829">
        <v>0.55000000000000004</v>
      </c>
      <c r="AU134" s="410"/>
      <c r="AV134" s="410"/>
      <c r="AW134" s="410"/>
      <c r="AX134" s="410"/>
      <c r="AY134" s="410"/>
      <c r="AZ134" s="841" t="str">
        <f t="shared" ref="AZ134:AZ136" si="238">AL134</f>
        <v>AGR_EX_LIV_CAT_NON-DAIRY</v>
      </c>
      <c r="BA134" s="852"/>
      <c r="BB134" s="827">
        <f>AGR_LIV!I16</f>
        <v>3819.5152641105351</v>
      </c>
      <c r="BC134" s="824"/>
      <c r="BD134" s="828">
        <v>0.75</v>
      </c>
      <c r="BE134" s="828">
        <v>0</v>
      </c>
      <c r="BF134" s="828">
        <v>0.5</v>
      </c>
      <c r="BG134" s="828">
        <v>0.2</v>
      </c>
      <c r="BH134" s="829">
        <v>0.55000000000000004</v>
      </c>
      <c r="BI134" s="410"/>
      <c r="BJ134" s="410"/>
      <c r="BK134" s="410"/>
      <c r="BL134" s="410"/>
      <c r="BM134" s="410"/>
      <c r="BN134" s="841" t="str">
        <f t="shared" ref="BN134:BN136" si="239">AZ134</f>
        <v>AGR_EX_LIV_CAT_NON-DAIRY</v>
      </c>
      <c r="BO134" s="852"/>
      <c r="BP134" s="827">
        <f>AGR_LIV!J16</f>
        <v>3205.3777836527279</v>
      </c>
      <c r="BQ134" s="824"/>
      <c r="BR134" s="828">
        <v>0.75</v>
      </c>
      <c r="BS134" s="828">
        <v>0</v>
      </c>
      <c r="BT134" s="828">
        <v>0.5</v>
      </c>
      <c r="BU134" s="828">
        <v>0.2</v>
      </c>
      <c r="BV134" s="829">
        <v>0.55000000000000004</v>
      </c>
      <c r="BW134" s="410"/>
      <c r="BX134" s="410"/>
      <c r="BY134" s="410"/>
      <c r="BZ134" s="410"/>
      <c r="CA134" s="410"/>
      <c r="CB134" s="841" t="str">
        <f t="shared" ref="CB134:CB136" si="240">BN134</f>
        <v>AGR_EX_LIV_CAT_NON-DAIRY</v>
      </c>
      <c r="CC134" s="852"/>
      <c r="CD134" s="827">
        <f>AGR_LIV!K16</f>
        <v>2764.815719387308</v>
      </c>
      <c r="CE134" s="824"/>
      <c r="CF134" s="828">
        <v>0.75</v>
      </c>
      <c r="CG134" s="828">
        <v>0</v>
      </c>
      <c r="CH134" s="828">
        <v>0.5</v>
      </c>
      <c r="CI134" s="828">
        <v>0.2</v>
      </c>
      <c r="CJ134" s="829">
        <v>0.55000000000000004</v>
      </c>
      <c r="CK134" s="410"/>
      <c r="CL134" s="410"/>
      <c r="CM134" s="410"/>
      <c r="CN134" s="410"/>
      <c r="CO134" s="410"/>
      <c r="CP134" s="841" t="str">
        <f t="shared" ref="CP134:CP136" si="241">CB134</f>
        <v>AGR_EX_LIV_CAT_NON-DAIRY</v>
      </c>
      <c r="CQ134" s="852"/>
      <c r="CR134" s="827">
        <f>AGR_LIV!L16</f>
        <v>2407.9262734357599</v>
      </c>
      <c r="CS134" s="824"/>
      <c r="CT134" s="828">
        <v>0.75</v>
      </c>
      <c r="CU134" s="828">
        <v>0</v>
      </c>
      <c r="CV134" s="828">
        <v>0.5</v>
      </c>
      <c r="CW134" s="828">
        <v>0.2</v>
      </c>
      <c r="CX134" s="829">
        <v>0.55000000000000004</v>
      </c>
    </row>
    <row r="135" spans="2:102">
      <c r="J135" s="539" t="str">
        <f>AGR_LIV!B34</f>
        <v>AGR_EX_LIV_SWINE</v>
      </c>
      <c r="K135" s="538"/>
      <c r="L135" s="494">
        <f>AGR_LIV!G34</f>
        <v>9078.25</v>
      </c>
      <c r="M135" s="484"/>
      <c r="N135" s="570">
        <v>0.18</v>
      </c>
      <c r="O135" s="570">
        <v>0</v>
      </c>
      <c r="P135" s="570">
        <v>3.1</v>
      </c>
      <c r="Q135" s="570">
        <v>0.25</v>
      </c>
      <c r="R135" s="571">
        <v>0.8</v>
      </c>
      <c r="X135" s="687" t="str">
        <f>J135</f>
        <v>AGR_EX_LIV_SWINE</v>
      </c>
      <c r="Y135" s="538"/>
      <c r="Z135" s="494">
        <f>AGR_LIV!M34</f>
        <v>4765.3748163877262</v>
      </c>
      <c r="AA135" s="484"/>
      <c r="AB135" s="570">
        <v>0.18</v>
      </c>
      <c r="AC135" s="570">
        <v>0</v>
      </c>
      <c r="AD135" s="570">
        <v>3.1</v>
      </c>
      <c r="AE135" s="570">
        <v>0.25</v>
      </c>
      <c r="AF135" s="670">
        <v>0.8</v>
      </c>
      <c r="AH135" s="410"/>
      <c r="AI135" s="410"/>
      <c r="AJ135" s="410"/>
      <c r="AK135" s="410"/>
      <c r="AL135" s="841" t="str">
        <f>J135</f>
        <v>AGR_EX_LIV_SWINE</v>
      </c>
      <c r="AM135" s="852"/>
      <c r="AN135" s="827">
        <f>AGR_LIV!H34</f>
        <v>9225.2209999999995</v>
      </c>
      <c r="AO135" s="824"/>
      <c r="AP135" s="828">
        <v>0.18</v>
      </c>
      <c r="AQ135" s="828">
        <v>0</v>
      </c>
      <c r="AR135" s="828">
        <v>3.1</v>
      </c>
      <c r="AS135" s="828">
        <v>0.25</v>
      </c>
      <c r="AT135" s="829">
        <v>0.8</v>
      </c>
      <c r="AU135" s="410"/>
      <c r="AV135" s="410"/>
      <c r="AW135" s="410"/>
      <c r="AX135" s="410"/>
      <c r="AY135" s="410"/>
      <c r="AZ135" s="841" t="str">
        <f t="shared" si="238"/>
        <v>AGR_EX_LIV_SWINE</v>
      </c>
      <c r="BA135" s="852"/>
      <c r="BB135" s="827">
        <f>AGR_LIV!I34</f>
        <v>8695.3417280420745</v>
      </c>
      <c r="BC135" s="824"/>
      <c r="BD135" s="828">
        <v>0.18</v>
      </c>
      <c r="BE135" s="828">
        <v>0</v>
      </c>
      <c r="BF135" s="828">
        <v>3.1</v>
      </c>
      <c r="BG135" s="828">
        <v>0.25</v>
      </c>
      <c r="BH135" s="829">
        <v>0.8</v>
      </c>
      <c r="BI135" s="410"/>
      <c r="BJ135" s="410"/>
      <c r="BK135" s="410"/>
      <c r="BL135" s="410"/>
      <c r="BM135" s="410"/>
      <c r="BN135" s="841" t="str">
        <f t="shared" si="239"/>
        <v>AGR_EX_LIV_SWINE</v>
      </c>
      <c r="BO135" s="852"/>
      <c r="BP135" s="827">
        <f>AGR_LIV!J34</f>
        <v>7297.2231471956711</v>
      </c>
      <c r="BQ135" s="824"/>
      <c r="BR135" s="828">
        <v>0.18</v>
      </c>
      <c r="BS135" s="828">
        <v>0</v>
      </c>
      <c r="BT135" s="828">
        <v>3.1</v>
      </c>
      <c r="BU135" s="828">
        <v>0.25</v>
      </c>
      <c r="BV135" s="829">
        <v>0.8</v>
      </c>
      <c r="BW135" s="410"/>
      <c r="BX135" s="410"/>
      <c r="BY135" s="410"/>
      <c r="BZ135" s="410"/>
      <c r="CA135" s="410"/>
      <c r="CB135" s="841" t="str">
        <f t="shared" si="240"/>
        <v>AGR_EX_LIV_SWINE</v>
      </c>
      <c r="CC135" s="852"/>
      <c r="CD135" s="827">
        <f>AGR_LIV!K34</f>
        <v>6294.2587822681853</v>
      </c>
      <c r="CE135" s="824"/>
      <c r="CF135" s="828">
        <v>0.18</v>
      </c>
      <c r="CG135" s="828">
        <v>0</v>
      </c>
      <c r="CH135" s="828">
        <v>3.1</v>
      </c>
      <c r="CI135" s="828">
        <v>0.25</v>
      </c>
      <c r="CJ135" s="829">
        <v>0.8</v>
      </c>
      <c r="CK135" s="410"/>
      <c r="CL135" s="410"/>
      <c r="CM135" s="410"/>
      <c r="CN135" s="410"/>
      <c r="CO135" s="410"/>
      <c r="CP135" s="841" t="str">
        <f t="shared" si="241"/>
        <v>AGR_EX_LIV_SWINE</v>
      </c>
      <c r="CQ135" s="852"/>
      <c r="CR135" s="827">
        <f>AGR_LIV!L34</f>
        <v>5481.7798478757122</v>
      </c>
      <c r="CS135" s="824"/>
      <c r="CT135" s="828">
        <v>0.18</v>
      </c>
      <c r="CU135" s="828">
        <v>0</v>
      </c>
      <c r="CV135" s="828">
        <v>3.1</v>
      </c>
      <c r="CW135" s="828">
        <v>0.25</v>
      </c>
      <c r="CX135" s="829">
        <v>0.8</v>
      </c>
    </row>
    <row r="136" spans="2:102" ht="13.5" thickBot="1">
      <c r="J136" s="540" t="str">
        <f>AGR_LIV!B52</f>
        <v>AGR_EX_LIV_POULTRY</v>
      </c>
      <c r="K136" s="536"/>
      <c r="L136" s="500">
        <f>AGR_LIV!G52</f>
        <v>268862.57400000002</v>
      </c>
      <c r="M136" s="501"/>
      <c r="N136" s="572">
        <v>0.01</v>
      </c>
      <c r="O136" s="573">
        <v>0</v>
      </c>
      <c r="P136" s="573">
        <v>0.25</v>
      </c>
      <c r="Q136" s="573">
        <v>1.4999999999999999E-2</v>
      </c>
      <c r="R136" s="574">
        <v>0.02</v>
      </c>
      <c r="X136" s="678" t="str">
        <f>J136</f>
        <v>AGR_EX_LIV_POULTRY</v>
      </c>
      <c r="Y136" s="536"/>
      <c r="Z136" s="500">
        <f>AGR_LIV!M52</f>
        <v>141017.61786916296</v>
      </c>
      <c r="AA136" s="501"/>
      <c r="AB136" s="572">
        <v>0.01</v>
      </c>
      <c r="AC136" s="573">
        <v>0</v>
      </c>
      <c r="AD136" s="573">
        <v>0.25</v>
      </c>
      <c r="AE136" s="573">
        <v>1.4999999999999999E-2</v>
      </c>
      <c r="AF136" s="674">
        <v>0.02</v>
      </c>
      <c r="AH136" s="410"/>
      <c r="AI136" s="410"/>
      <c r="AJ136" s="410"/>
      <c r="AK136" s="410"/>
      <c r="AL136" s="845" t="str">
        <f>J136</f>
        <v>AGR_EX_LIV_POULTRY</v>
      </c>
      <c r="AM136" s="853"/>
      <c r="AN136" s="834">
        <f>AGR_LIV!H52</f>
        <v>272993.99099999998</v>
      </c>
      <c r="AO136" s="835"/>
      <c r="AP136" s="854">
        <v>0.01</v>
      </c>
      <c r="AQ136" s="836">
        <v>0</v>
      </c>
      <c r="AR136" s="836">
        <v>0.25</v>
      </c>
      <c r="AS136" s="836">
        <v>1.4999999999999999E-2</v>
      </c>
      <c r="AT136" s="837">
        <v>0.02</v>
      </c>
      <c r="AU136" s="410"/>
      <c r="AV136" s="410"/>
      <c r="AW136" s="410"/>
      <c r="AX136" s="410"/>
      <c r="AY136" s="410"/>
      <c r="AZ136" s="845" t="str">
        <f t="shared" si="238"/>
        <v>AGR_EX_LIV_POULTRY</v>
      </c>
      <c r="BA136" s="853"/>
      <c r="BB136" s="834">
        <f>AGR_LIV!I52</f>
        <v>257313.73171949401</v>
      </c>
      <c r="BC136" s="835"/>
      <c r="BD136" s="854">
        <v>0.01</v>
      </c>
      <c r="BE136" s="836">
        <v>0</v>
      </c>
      <c r="BF136" s="836">
        <v>0.25</v>
      </c>
      <c r="BG136" s="836">
        <v>1.4999999999999999E-2</v>
      </c>
      <c r="BH136" s="837">
        <v>0.02</v>
      </c>
      <c r="BI136" s="410"/>
      <c r="BJ136" s="410"/>
      <c r="BK136" s="410"/>
      <c r="BL136" s="410"/>
      <c r="BM136" s="410"/>
      <c r="BN136" s="845" t="str">
        <f t="shared" si="239"/>
        <v>AGR_EX_LIV_POULTRY</v>
      </c>
      <c r="BO136" s="853"/>
      <c r="BP136" s="834">
        <f>AGR_LIV!J52</f>
        <v>215940.41705564849</v>
      </c>
      <c r="BQ136" s="835"/>
      <c r="BR136" s="854">
        <v>0.01</v>
      </c>
      <c r="BS136" s="836">
        <v>0</v>
      </c>
      <c r="BT136" s="836">
        <v>0.25</v>
      </c>
      <c r="BU136" s="836">
        <v>1.4999999999999999E-2</v>
      </c>
      <c r="BV136" s="837">
        <v>0.02</v>
      </c>
      <c r="BW136" s="410"/>
      <c r="BX136" s="410"/>
      <c r="BY136" s="410"/>
      <c r="BZ136" s="410"/>
      <c r="CA136" s="410"/>
      <c r="CB136" s="845" t="str">
        <f t="shared" si="240"/>
        <v>AGR_EX_LIV_POULTRY</v>
      </c>
      <c r="CC136" s="853"/>
      <c r="CD136" s="834">
        <f>AGR_LIV!K52</f>
        <v>186260.55954195483</v>
      </c>
      <c r="CE136" s="835"/>
      <c r="CF136" s="854">
        <v>0.01</v>
      </c>
      <c r="CG136" s="836">
        <v>0</v>
      </c>
      <c r="CH136" s="836">
        <v>0.25</v>
      </c>
      <c r="CI136" s="836">
        <v>1.4999999999999999E-2</v>
      </c>
      <c r="CJ136" s="837">
        <v>0.02</v>
      </c>
      <c r="CK136" s="410"/>
      <c r="CL136" s="410"/>
      <c r="CM136" s="410"/>
      <c r="CN136" s="410"/>
      <c r="CO136" s="410"/>
      <c r="CP136" s="845" t="str">
        <f t="shared" si="241"/>
        <v>AGR_EX_LIV_POULTRY</v>
      </c>
      <c r="CQ136" s="853"/>
      <c r="CR136" s="834">
        <f>AGR_LIV!L52</f>
        <v>162217.57272318608</v>
      </c>
      <c r="CS136" s="835"/>
      <c r="CT136" s="854">
        <v>0.01</v>
      </c>
      <c r="CU136" s="836">
        <v>0</v>
      </c>
      <c r="CV136" s="836">
        <v>0.25</v>
      </c>
      <c r="CW136" s="836">
        <v>1.4999999999999999E-2</v>
      </c>
      <c r="CX136" s="837">
        <v>0.02</v>
      </c>
    </row>
    <row r="137" spans="2:102" ht="13.5" thickTop="1">
      <c r="J137" s="511"/>
      <c r="K137" s="177"/>
      <c r="L137" s="177"/>
      <c r="M137" s="177"/>
      <c r="N137" s="543">
        <f>SUM($L$133*N133+$L$134*N134+$L$135*N135+$L$136*N136)</f>
        <v>9491.195740000001</v>
      </c>
      <c r="O137" s="542">
        <f>SUM($L$133*O133+$L$134*O134+$L$135*O135+$L$136*O136)</f>
        <v>0</v>
      </c>
      <c r="P137" s="542">
        <f>SUM($L$133*P133+$L$134*P134+$L$135*P135+$L$136*P136)</f>
        <v>99504.261500000008</v>
      </c>
      <c r="Q137" s="542">
        <f>SUM($L$133*Q133+$L$134*Q134+$L$135*Q135+$L$136*Q136)</f>
        <v>9221.6137100000014</v>
      </c>
      <c r="R137" s="544">
        <f>SUM($L$133*R133+$L$134*R134+$L$135*R135+$L$136*R136)</f>
        <v>16990.382880000001</v>
      </c>
      <c r="X137" s="668"/>
      <c r="Y137" s="177"/>
      <c r="Z137" s="177"/>
      <c r="AA137" s="177"/>
      <c r="AB137" s="543">
        <f>SUM($Z$133*AB133+$Z$134*AB134+$Z$135*AB135+$Z$136*AB136)</f>
        <v>4918.0161571387516</v>
      </c>
      <c r="AC137" s="543">
        <f>SUM($Z$133*AC133+$Z$134*AC134+$Z$135*AC135+$Z$136*AC136)</f>
        <v>0</v>
      </c>
      <c r="AD137" s="543">
        <f>SUM($Z$133*AD133+$Z$134*AD134+$Z$135*AD135+$Z$136*AD136)</f>
        <v>52153.82934857237</v>
      </c>
      <c r="AE137" s="543">
        <f>SUM($Z$133*AE133+$Z$134*AE134+$Z$135*AE135+$Z$136*AE136)</f>
        <v>4805.3994493928622</v>
      </c>
      <c r="AF137" s="688">
        <f>SUM($Z$133*AF133+$Z$134*AF134+$Z$135*AF135+$Z$136*AF136)</f>
        <v>8864.0770731766461</v>
      </c>
      <c r="AH137" s="410"/>
      <c r="AI137" s="410"/>
      <c r="AJ137" s="410"/>
      <c r="AK137" s="410"/>
      <c r="AL137" s="780"/>
      <c r="AM137" s="410"/>
      <c r="AN137" s="410"/>
      <c r="AO137" s="410"/>
      <c r="AP137" s="855">
        <f>SUM($AN$133*AP133+$AN$134*AP134+$AN$135*AP135+$AN$136*AP136)</f>
        <v>9520.7171899999994</v>
      </c>
      <c r="AQ137" s="855">
        <f>SUM($AN$133*AQ133+$AN$134*AQ134+$AN$135*AQ135+$AN$136*AQ136)</f>
        <v>0</v>
      </c>
      <c r="AR137" s="855">
        <f>SUM($AN$133*AR133+$AN$134*AR134+$AN$135*AR135+$AN$136*AR136)</f>
        <v>100963.85285</v>
      </c>
      <c r="AS137" s="855">
        <f>SUM($AN$133*AS133+$AN$134*AS134+$AN$135*AS135+$AN$136*AS136)</f>
        <v>9302.7041150000005</v>
      </c>
      <c r="AT137" s="856">
        <f>SUM($AN$133*AT133+$AN$134*AT134+$AN$135*AT135+$AN$136*AT136)</f>
        <v>17159.840120000001</v>
      </c>
      <c r="AU137" s="410"/>
      <c r="AV137" s="410"/>
      <c r="AW137" s="410"/>
      <c r="AX137" s="410"/>
      <c r="AY137" s="410"/>
      <c r="AZ137" s="780"/>
      <c r="BA137" s="410"/>
      <c r="BB137" s="410"/>
      <c r="BC137" s="410"/>
      <c r="BD137" s="855">
        <f>SUM($BB$133*BD133+$BB$134*BD134+$BB$135*BD135+$BB$136*BD136)</f>
        <v>8973.8651749475139</v>
      </c>
      <c r="BE137" s="855">
        <f>SUM($BB$133*BE133+$BB$134*BE134+$BB$135*BE135+$BB$136*BE136)</f>
        <v>0</v>
      </c>
      <c r="BF137" s="855">
        <f>SUM($BB$133*BF133+$BB$134*BF134+$BB$135*BF135+$BB$136*BF136)</f>
        <v>95164.679817481301</v>
      </c>
      <c r="BG137" s="855">
        <f>SUM($BB$133*BG133+$BB$134*BG134+$BB$135*BG135+$BB$136*BG136)</f>
        <v>8768.3743592471328</v>
      </c>
      <c r="BH137" s="856">
        <f>SUM($BB$133*BH133+$BB$134*BH134+$BB$135*BH135+$BB$136*BH136)</f>
        <v>16174.211310706432</v>
      </c>
      <c r="BI137" s="410"/>
      <c r="BJ137" s="410"/>
      <c r="BK137" s="410"/>
      <c r="BL137" s="410"/>
      <c r="BM137" s="410"/>
      <c r="BN137" s="780"/>
      <c r="BO137" s="410"/>
      <c r="BP137" s="410"/>
      <c r="BQ137" s="410"/>
      <c r="BR137" s="855">
        <f>SUM($BP$133*BR133+$BP$134*BR134+$BP$135*BR135+$BP$136*BR136)</f>
        <v>7530.9629825422853</v>
      </c>
      <c r="BS137" s="855">
        <f>SUM($BP$133*BS133+$BP$134*BS134+$BP$135*BS135+$BP$136*BS136)</f>
        <v>0</v>
      </c>
      <c r="BT137" s="855">
        <f>SUM($BP$133*BT133+$BP$134*BT134+$BP$135*BT135+$BP$136*BT136)</f>
        <v>79863.210219796107</v>
      </c>
      <c r="BU137" s="855">
        <f>SUM($BP$133*BU133+$BP$134*BU134+$BP$135*BU135+$BP$136*BU136)</f>
        <v>7358.5129071152242</v>
      </c>
      <c r="BV137" s="856">
        <f>SUM($BP$133*BV133+$BP$134*BV134+$BP$135*BV135+$BP$136*BV136)</f>
        <v>13573.569947629541</v>
      </c>
      <c r="BW137" s="410"/>
      <c r="BX137" s="410"/>
      <c r="BY137" s="410"/>
      <c r="BZ137" s="410"/>
      <c r="CA137" s="410"/>
      <c r="CB137" s="780"/>
      <c r="CC137" s="410"/>
      <c r="CD137" s="410"/>
      <c r="CE137" s="410"/>
      <c r="CF137" s="855">
        <f>SUM($CD$133*CF133+$CD$134*CF134+$CD$135*CF135+$CD$136*CF136)</f>
        <v>6495.8723250802532</v>
      </c>
      <c r="CG137" s="855">
        <f>SUM($CD$133*CG133+$CD$134*CG134+$CD$135*CG135+$CD$136*CG136)</f>
        <v>0</v>
      </c>
      <c r="CH137" s="855">
        <f>SUM($CD$133*CH133+$CD$134*CH134+$CD$135*CH135+$CD$136*CH136)</f>
        <v>68886.438329525685</v>
      </c>
      <c r="CI137" s="855">
        <f>SUM($CD$133*CI133+$CD$134*CI134+$CD$135*CI135+$CD$136*CI136)</f>
        <v>6347.1245918857812</v>
      </c>
      <c r="CJ137" s="856">
        <f>SUM($CD$133*CJ133+$CD$134*CJ134+$CD$135*CJ135+$CD$136*CJ136)</f>
        <v>11707.955221628616</v>
      </c>
      <c r="CK137" s="410"/>
      <c r="CL137" s="410"/>
      <c r="CM137" s="410"/>
      <c r="CN137" s="410"/>
      <c r="CO137" s="410"/>
      <c r="CP137" s="780"/>
      <c r="CQ137" s="410"/>
      <c r="CR137" s="410"/>
      <c r="CS137" s="410"/>
      <c r="CT137" s="855">
        <f>SUM($CR$133*CT133+$CR$134*CT134+$CR$135*CT135+$CR$136*CT136)</f>
        <v>5657.3686017349482</v>
      </c>
      <c r="CU137" s="855">
        <f>SUM($CR$133*CU133+$CR$134*CU134+$CR$135*CU135+$CR$136*CU136)</f>
        <v>0</v>
      </c>
      <c r="CV137" s="855">
        <f>SUM($CR$133*CV133+$CR$134*CV134+$CR$135*CV135+$CR$136*CV136)</f>
        <v>59994.40164273775</v>
      </c>
      <c r="CW137" s="855">
        <f>SUM($CR$133*CW133+$CR$134*CW134+$CR$135*CW135+$CR$136*CW136)</f>
        <v>5527.8216043125103</v>
      </c>
      <c r="CX137" s="856">
        <f>SUM($CR$133*CX133+$CR$134*CX134+$CR$135*CX135+$CR$136*CX136)</f>
        <v>10196.662579962598</v>
      </c>
    </row>
    <row r="138" spans="2:102">
      <c r="J138" s="511"/>
      <c r="K138" s="177"/>
      <c r="L138" s="177"/>
      <c r="M138" s="177"/>
      <c r="N138" s="960" t="s">
        <v>882</v>
      </c>
      <c r="O138" s="961"/>
      <c r="P138" s="961"/>
      <c r="Q138" s="961"/>
      <c r="R138" s="988"/>
      <c r="X138" s="668"/>
      <c r="Y138" s="177"/>
      <c r="Z138" s="177"/>
      <c r="AA138" s="177"/>
      <c r="AB138" s="960" t="s">
        <v>882</v>
      </c>
      <c r="AC138" s="961"/>
      <c r="AD138" s="961"/>
      <c r="AE138" s="961"/>
      <c r="AF138" s="962"/>
      <c r="AH138" s="410"/>
      <c r="AI138" s="410"/>
      <c r="AJ138" s="410"/>
      <c r="AK138" s="410"/>
      <c r="AL138" s="780"/>
      <c r="AM138" s="410"/>
      <c r="AN138" s="410"/>
      <c r="AO138" s="410"/>
      <c r="AP138" s="873" t="s">
        <v>882</v>
      </c>
      <c r="AQ138" s="874"/>
      <c r="AR138" s="874"/>
      <c r="AS138" s="874"/>
      <c r="AT138" s="875"/>
      <c r="AU138" s="410"/>
      <c r="AV138" s="410"/>
      <c r="AW138" s="410"/>
      <c r="AX138" s="410"/>
      <c r="AY138" s="410"/>
      <c r="AZ138" s="780"/>
      <c r="BA138" s="410"/>
      <c r="BB138" s="410"/>
      <c r="BC138" s="410"/>
      <c r="BD138" s="873" t="s">
        <v>882</v>
      </c>
      <c r="BE138" s="874"/>
      <c r="BF138" s="874"/>
      <c r="BG138" s="874"/>
      <c r="BH138" s="875"/>
      <c r="BI138" s="410"/>
      <c r="BJ138" s="410"/>
      <c r="BK138" s="410"/>
      <c r="BL138" s="410"/>
      <c r="BM138" s="410"/>
      <c r="BN138" s="780"/>
      <c r="BO138" s="410"/>
      <c r="BP138" s="410"/>
      <c r="BQ138" s="410"/>
      <c r="BR138" s="873" t="s">
        <v>882</v>
      </c>
      <c r="BS138" s="874"/>
      <c r="BT138" s="874"/>
      <c r="BU138" s="874"/>
      <c r="BV138" s="875"/>
      <c r="BW138" s="410"/>
      <c r="BX138" s="410"/>
      <c r="BY138" s="410"/>
      <c r="BZ138" s="410"/>
      <c r="CA138" s="410"/>
      <c r="CB138" s="780"/>
      <c r="CC138" s="410"/>
      <c r="CD138" s="410"/>
      <c r="CE138" s="410"/>
      <c r="CF138" s="873" t="s">
        <v>882</v>
      </c>
      <c r="CG138" s="874"/>
      <c r="CH138" s="874"/>
      <c r="CI138" s="874"/>
      <c r="CJ138" s="875"/>
      <c r="CK138" s="410"/>
      <c r="CL138" s="410"/>
      <c r="CM138" s="410"/>
      <c r="CN138" s="410"/>
      <c r="CO138" s="410"/>
      <c r="CP138" s="780"/>
      <c r="CQ138" s="410"/>
      <c r="CR138" s="410"/>
      <c r="CS138" s="410"/>
      <c r="CT138" s="873" t="s">
        <v>882</v>
      </c>
      <c r="CU138" s="874"/>
      <c r="CV138" s="874"/>
      <c r="CW138" s="874"/>
      <c r="CX138" s="875"/>
    </row>
    <row r="139" spans="2:102">
      <c r="J139" s="537" t="str">
        <f>J133</f>
        <v>AGR_EX_LIV_CAT_DAIRY</v>
      </c>
      <c r="K139" s="177"/>
      <c r="L139" s="177"/>
      <c r="M139" s="177"/>
      <c r="N139" s="521">
        <f>N133*N143</f>
        <v>2.4603961685548377E-4</v>
      </c>
      <c r="O139" s="517">
        <f>O133*$O$143</f>
        <v>0</v>
      </c>
      <c r="P139" s="517">
        <f>P133*$P$143</f>
        <v>1.0790472261381486E-4</v>
      </c>
      <c r="Q139" s="517">
        <f>Q133*$Q$143</f>
        <v>3.6661359528255492E-4</v>
      </c>
      <c r="R139" s="522">
        <f>R133*$R$143</f>
        <v>3.7755318964465847E-4</v>
      </c>
      <c r="X139" s="676" t="str">
        <f>X133</f>
        <v>AGR_EX_LIV_CAT_DAIRY</v>
      </c>
      <c r="Y139" s="177"/>
      <c r="Z139" s="177"/>
      <c r="AA139" s="177"/>
      <c r="AB139" s="521">
        <f>AB133*$AB$143</f>
        <v>2.466950008366495E-4</v>
      </c>
      <c r="AC139" s="517">
        <f>AC133*$O$143</f>
        <v>0</v>
      </c>
      <c r="AD139" s="517">
        <f>AD133*$AD$143</f>
        <v>1.5782254347973995E-4</v>
      </c>
      <c r="AE139" s="517">
        <f>AE133*$AE$143</f>
        <v>2.7283267786732011E-3</v>
      </c>
      <c r="AF139" s="677">
        <f>AF133*$AF$143</f>
        <v>7.5581472777052966E-4</v>
      </c>
      <c r="AH139" s="410"/>
      <c r="AI139" s="410"/>
      <c r="AJ139" s="410"/>
      <c r="AK139" s="410"/>
      <c r="AL139" s="841" t="str">
        <f>AL133</f>
        <v>AGR_EX_LIV_CAT_DAIRY</v>
      </c>
      <c r="AM139" s="410"/>
      <c r="AN139" s="410"/>
      <c r="AO139" s="410"/>
      <c r="AP139" s="842">
        <f>AP133*$AP$143</f>
        <v>2.4074424265195515E-4</v>
      </c>
      <c r="AQ139" s="843">
        <v>0</v>
      </c>
      <c r="AR139" s="843">
        <f>AR133*$AR$143</f>
        <v>1.0539017205496234E-4</v>
      </c>
      <c r="AS139" s="843">
        <f>AS133*$AS$143</f>
        <v>4.0364576012754321E-4</v>
      </c>
      <c r="AT139" s="844">
        <f>AT133*$AT$143</f>
        <v>3.7446316981153789E-4</v>
      </c>
      <c r="AU139" s="410"/>
      <c r="AV139" s="410"/>
      <c r="AW139" s="410"/>
      <c r="AX139" s="410"/>
      <c r="AY139" s="410"/>
      <c r="AZ139" s="841" t="str">
        <f>AZ133</f>
        <v>AGR_EX_LIV_CAT_DAIRY</v>
      </c>
      <c r="BA139" s="410"/>
      <c r="BB139" s="410"/>
      <c r="BC139" s="410"/>
      <c r="BD139" s="842">
        <f>BD133*$BD$143</f>
        <v>2.3137145912626708E-4</v>
      </c>
      <c r="BE139" s="843">
        <v>0</v>
      </c>
      <c r="BF139" s="843">
        <f>BF133*$BF$143</f>
        <v>1.067485150775939E-4</v>
      </c>
      <c r="BG139" s="843">
        <f>BG133*$BG$143</f>
        <v>6.416397644859645E-4</v>
      </c>
      <c r="BH139" s="844">
        <f>BH133*$BH$143</f>
        <v>4.0066884098645763E-4</v>
      </c>
      <c r="BI139" s="410"/>
      <c r="BJ139" s="410"/>
      <c r="BK139" s="410"/>
      <c r="BL139" s="410"/>
      <c r="BM139" s="410"/>
      <c r="BN139" s="841" t="str">
        <f>BN133</f>
        <v>AGR_EX_LIV_CAT_DAIRY</v>
      </c>
      <c r="BO139" s="410"/>
      <c r="BP139" s="410"/>
      <c r="BQ139" s="410"/>
      <c r="BR139" s="842">
        <f>BR133*$BR$143</f>
        <v>2.4705136832606299E-4</v>
      </c>
      <c r="BS139" s="843">
        <v>0</v>
      </c>
      <c r="BT139" s="843">
        <f>BT133*$BT$143</f>
        <v>1.2116691361236526E-4</v>
      </c>
      <c r="BU139" s="843">
        <f>BU133*$BU$143</f>
        <v>1.0188577961987399E-3</v>
      </c>
      <c r="BV139" s="844">
        <f>BV133*$BV$143</f>
        <v>4.8147074792276795E-4</v>
      </c>
      <c r="BW139" s="410"/>
      <c r="BX139" s="410"/>
      <c r="BY139" s="410"/>
      <c r="BZ139" s="410"/>
      <c r="CA139" s="410"/>
      <c r="CB139" s="841" t="str">
        <f>CB133</f>
        <v>AGR_EX_LIV_CAT_DAIRY</v>
      </c>
      <c r="CC139" s="410"/>
      <c r="CD139" s="410"/>
      <c r="CE139" s="410"/>
      <c r="CF139" s="842">
        <f>CF133*$CF$143</f>
        <v>2.5320281210263466E-4</v>
      </c>
      <c r="CG139" s="843">
        <v>0</v>
      </c>
      <c r="CH139" s="843">
        <f>CH133*$CH$143</f>
        <v>1.3347865489402941E-4</v>
      </c>
      <c r="CI139" s="843">
        <f>CI133*$CI$143</f>
        <v>1.4760099149261018E-3</v>
      </c>
      <c r="CJ139" s="844">
        <f>CJ133*$CJ$143</f>
        <v>5.6286952972193745E-4</v>
      </c>
      <c r="CK139" s="410"/>
      <c r="CL139" s="410"/>
      <c r="CM139" s="410"/>
      <c r="CN139" s="410"/>
      <c r="CO139" s="410"/>
      <c r="CP139" s="841" t="str">
        <f>CP133</f>
        <v>AGR_EX_LIV_CAT_DAIRY</v>
      </c>
      <c r="CQ139" s="410"/>
      <c r="CR139" s="410"/>
      <c r="CS139" s="410"/>
      <c r="CT139" s="842">
        <f>CT133*$CT$143</f>
        <v>2.525929757258108E-4</v>
      </c>
      <c r="CU139" s="843">
        <v>0</v>
      </c>
      <c r="CV139" s="843">
        <f>CV133*$CV$143</f>
        <v>1.4522954351154353E-4</v>
      </c>
      <c r="CW139" s="843">
        <f>CW133*$CW$143</f>
        <v>2.0332710095379157E-3</v>
      </c>
      <c r="CX139" s="844">
        <f>CX133*$CX$143</f>
        <v>6.5166671667626908E-4</v>
      </c>
    </row>
    <row r="140" spans="2:102">
      <c r="J140" s="537" t="str">
        <f>J134</f>
        <v>AGR_EX_LIV_CAT_NON-DAIRY</v>
      </c>
      <c r="K140" s="177"/>
      <c r="L140" s="177"/>
      <c r="M140" s="177"/>
      <c r="N140" s="521">
        <f>N134*$N$143</f>
        <v>1.8452971264161283E-4</v>
      </c>
      <c r="O140" s="517">
        <f>O134*$O$143</f>
        <v>0</v>
      </c>
      <c r="P140" s="517">
        <f>P134*$P$143</f>
        <v>5.3952361306907428E-5</v>
      </c>
      <c r="Q140" s="517">
        <f>Q134*$Q$143</f>
        <v>7.3322719056510989E-5</v>
      </c>
      <c r="R140" s="522">
        <f>R134*$R$143</f>
        <v>2.0765425430456218E-4</v>
      </c>
      <c r="X140" s="676" t="str">
        <f>X134</f>
        <v>AGR_EX_LIV_CAT_NON-DAIRY</v>
      </c>
      <c r="Y140" s="177"/>
      <c r="Z140" s="177"/>
      <c r="AA140" s="177"/>
      <c r="AB140" s="521">
        <f>AB134*$AB$143</f>
        <v>1.8502125062748714E-4</v>
      </c>
      <c r="AC140" s="517">
        <f>AC134*$O$143</f>
        <v>0</v>
      </c>
      <c r="AD140" s="517">
        <f>AD134*$AD$143</f>
        <v>7.8911271739869976E-5</v>
      </c>
      <c r="AE140" s="517">
        <f>AE134*$AE$143</f>
        <v>5.4566535573464029E-4</v>
      </c>
      <c r="AF140" s="677">
        <f>AF134*$AF$143</f>
        <v>4.1569810027379132E-4</v>
      </c>
      <c r="AH140" s="410"/>
      <c r="AI140" s="410"/>
      <c r="AJ140" s="410"/>
      <c r="AK140" s="410"/>
      <c r="AL140" s="841" t="str">
        <f>AL134</f>
        <v>AGR_EX_LIV_CAT_NON-DAIRY</v>
      </c>
      <c r="AM140" s="410"/>
      <c r="AN140" s="410"/>
      <c r="AO140" s="410"/>
      <c r="AP140" s="842">
        <f>AP134*$AP$143</f>
        <v>1.8055818198896637E-4</v>
      </c>
      <c r="AQ140" s="843">
        <f>AQ134*$O$143</f>
        <v>0</v>
      </c>
      <c r="AR140" s="843">
        <f>AR134*$AR$143</f>
        <v>5.2695086027481169E-5</v>
      </c>
      <c r="AS140" s="843">
        <f>AS134*$AS$143</f>
        <v>8.0729152025508643E-5</v>
      </c>
      <c r="AT140" s="844">
        <f>AT134*$AT$143</f>
        <v>2.0595474339634587E-4</v>
      </c>
      <c r="AU140" s="410"/>
      <c r="AV140" s="410"/>
      <c r="AW140" s="410"/>
      <c r="AX140" s="410"/>
      <c r="AY140" s="410"/>
      <c r="AZ140" s="841" t="str">
        <f>AZ134</f>
        <v>AGR_EX_LIV_CAT_NON-DAIRY</v>
      </c>
      <c r="BA140" s="410"/>
      <c r="BB140" s="410"/>
      <c r="BC140" s="410"/>
      <c r="BD140" s="842">
        <f>BD134*$BD$143</f>
        <v>1.735285943447003E-4</v>
      </c>
      <c r="BE140" s="843">
        <f>BE134*$O$143</f>
        <v>0</v>
      </c>
      <c r="BF140" s="843">
        <f>BF134*$BF$143</f>
        <v>5.337425753879695E-5</v>
      </c>
      <c r="BG140" s="843">
        <f>BG134*$BG$143</f>
        <v>1.2832795289719289E-4</v>
      </c>
      <c r="BH140" s="844">
        <f>BH134*$BH$143</f>
        <v>2.2036786254255172E-4</v>
      </c>
      <c r="BI140" s="410"/>
      <c r="BJ140" s="410"/>
      <c r="BK140" s="410"/>
      <c r="BL140" s="410"/>
      <c r="BM140" s="410"/>
      <c r="BN140" s="841" t="str">
        <f>BN134</f>
        <v>AGR_EX_LIV_CAT_NON-DAIRY</v>
      </c>
      <c r="BO140" s="410"/>
      <c r="BP140" s="410"/>
      <c r="BQ140" s="410"/>
      <c r="BR140" s="842">
        <f>BR134*$BR$143</f>
        <v>1.8528852624454724E-4</v>
      </c>
      <c r="BS140" s="843">
        <f>BS134*$O$143</f>
        <v>0</v>
      </c>
      <c r="BT140" s="843">
        <f>BT134*$BT$143</f>
        <v>6.0583456806182628E-5</v>
      </c>
      <c r="BU140" s="843">
        <f>BU134*$BU$143</f>
        <v>2.0377155923974799E-4</v>
      </c>
      <c r="BV140" s="844">
        <f>BV134*$BV$143</f>
        <v>2.6480891135752238E-4</v>
      </c>
      <c r="BW140" s="410"/>
      <c r="BX140" s="410"/>
      <c r="BY140" s="410"/>
      <c r="BZ140" s="410"/>
      <c r="CA140" s="410"/>
      <c r="CB140" s="841" t="str">
        <f>CB134</f>
        <v>AGR_EX_LIV_CAT_NON-DAIRY</v>
      </c>
      <c r="CC140" s="410"/>
      <c r="CD140" s="410"/>
      <c r="CE140" s="410"/>
      <c r="CF140" s="842">
        <f>CF134*$CF$143</f>
        <v>1.8990210907697601E-4</v>
      </c>
      <c r="CG140" s="843">
        <f>CG134*$O$143</f>
        <v>0</v>
      </c>
      <c r="CH140" s="843">
        <f>CH134*$CH$143</f>
        <v>6.6739327447014706E-5</v>
      </c>
      <c r="CI140" s="843">
        <f>CI134*$CI$143</f>
        <v>2.9520198298522038E-4</v>
      </c>
      <c r="CJ140" s="844">
        <f>CJ134*$CJ$143</f>
        <v>3.0957824134706562E-4</v>
      </c>
      <c r="CK140" s="410"/>
      <c r="CL140" s="410"/>
      <c r="CM140" s="410"/>
      <c r="CN140" s="410"/>
      <c r="CO140" s="410"/>
      <c r="CP140" s="841" t="str">
        <f>CP134</f>
        <v>AGR_EX_LIV_CAT_NON-DAIRY</v>
      </c>
      <c r="CQ140" s="410"/>
      <c r="CR140" s="410"/>
      <c r="CS140" s="410"/>
      <c r="CT140" s="842">
        <f>CT134*$CT$143</f>
        <v>1.8944473179435811E-4</v>
      </c>
      <c r="CU140" s="843">
        <f>CU134*$O$143</f>
        <v>0</v>
      </c>
      <c r="CV140" s="843">
        <f>CV134*$CV$143</f>
        <v>7.2614771755771763E-5</v>
      </c>
      <c r="CW140" s="843">
        <f>CW134*$CW$143</f>
        <v>4.0665420190758315E-4</v>
      </c>
      <c r="CX140" s="844">
        <f>CX134*$CX$143</f>
        <v>3.5841669417194802E-4</v>
      </c>
    </row>
    <row r="141" spans="2:102">
      <c r="J141" s="537" t="str">
        <f>J135</f>
        <v>AGR_EX_LIV_SWINE</v>
      </c>
      <c r="K141" s="177"/>
      <c r="L141" s="177"/>
      <c r="M141" s="177"/>
      <c r="N141" s="521">
        <f>N135*$N$143</f>
        <v>4.4287131033987078E-5</v>
      </c>
      <c r="O141" s="517">
        <f>O135*$O$143</f>
        <v>0</v>
      </c>
      <c r="P141" s="517">
        <f>P135*$P$143</f>
        <v>3.3450464010282606E-4</v>
      </c>
      <c r="Q141" s="517">
        <f>Q135*$Q$143</f>
        <v>9.165339882063873E-5</v>
      </c>
      <c r="R141" s="522">
        <f>R135*$R$143</f>
        <v>3.0204255171572679E-4</v>
      </c>
      <c r="X141" s="676" t="str">
        <f>X135</f>
        <v>AGR_EX_LIV_SWINE</v>
      </c>
      <c r="Y141" s="177"/>
      <c r="Z141" s="177"/>
      <c r="AA141" s="177"/>
      <c r="AB141" s="521">
        <f>AB135*$AB$143</f>
        <v>4.4405100150596908E-5</v>
      </c>
      <c r="AC141" s="517">
        <f>AC135*$O$143</f>
        <v>0</v>
      </c>
      <c r="AD141" s="517">
        <f>AD135*$AD$143</f>
        <v>4.892498847871939E-4</v>
      </c>
      <c r="AE141" s="517">
        <f>AE135*$AE$143</f>
        <v>6.8208169466830028E-4</v>
      </c>
      <c r="AF141" s="677">
        <f>AF135*$AF$143</f>
        <v>6.0465178221642379E-4</v>
      </c>
      <c r="AH141" s="410"/>
      <c r="AI141" s="410"/>
      <c r="AJ141" s="410"/>
      <c r="AK141" s="410"/>
      <c r="AL141" s="841" t="str">
        <f>AL135</f>
        <v>AGR_EX_LIV_SWINE</v>
      </c>
      <c r="AM141" s="410"/>
      <c r="AN141" s="410"/>
      <c r="AO141" s="410"/>
      <c r="AP141" s="842">
        <f>AP135*$AP$143</f>
        <v>4.3333963677351927E-5</v>
      </c>
      <c r="AQ141" s="843">
        <f>AQ135*$O$143</f>
        <v>0</v>
      </c>
      <c r="AR141" s="843">
        <f>AR135*$AR$143</f>
        <v>3.2670953337038324E-4</v>
      </c>
      <c r="AS141" s="843">
        <f>AS135*$AS$143</f>
        <v>1.009114400318858E-4</v>
      </c>
      <c r="AT141" s="844">
        <f>AT135*$AT$143</f>
        <v>2.9957053584923031E-4</v>
      </c>
      <c r="AU141" s="410"/>
      <c r="AV141" s="410"/>
      <c r="AW141" s="410"/>
      <c r="AX141" s="410"/>
      <c r="AY141" s="410"/>
      <c r="AZ141" s="841" t="str">
        <f>AZ135</f>
        <v>AGR_EX_LIV_SWINE</v>
      </c>
      <c r="BA141" s="410"/>
      <c r="BB141" s="410"/>
      <c r="BC141" s="410"/>
      <c r="BD141" s="842">
        <f>BD135*$BD$143</f>
        <v>4.1646862642728071E-5</v>
      </c>
      <c r="BE141" s="843">
        <f>BE135*$O$143</f>
        <v>0</v>
      </c>
      <c r="BF141" s="843">
        <f>BF135*$BF$143</f>
        <v>3.3092039674054109E-4</v>
      </c>
      <c r="BG141" s="843">
        <f>BG135*$BG$143</f>
        <v>1.6040994112149112E-4</v>
      </c>
      <c r="BH141" s="844">
        <f>BH135*$BH$143</f>
        <v>3.2053507278916613E-4</v>
      </c>
      <c r="BI141" s="410"/>
      <c r="BJ141" s="410"/>
      <c r="BK141" s="410"/>
      <c r="BL141" s="410"/>
      <c r="BM141" s="410"/>
      <c r="BN141" s="841" t="str">
        <f>BN135</f>
        <v>AGR_EX_LIV_SWINE</v>
      </c>
      <c r="BO141" s="410"/>
      <c r="BP141" s="410"/>
      <c r="BQ141" s="410"/>
      <c r="BR141" s="842">
        <f>BR135*$BR$143</f>
        <v>4.4469246298691332E-5</v>
      </c>
      <c r="BS141" s="843">
        <f>BS135*$O$143</f>
        <v>0</v>
      </c>
      <c r="BT141" s="843">
        <f>BT135*$BT$143</f>
        <v>3.7561743219833232E-4</v>
      </c>
      <c r="BU141" s="843">
        <f>BU135*$BU$143</f>
        <v>2.5471444904968498E-4</v>
      </c>
      <c r="BV141" s="844">
        <f>BV135*$BV$143</f>
        <v>3.8517659833821436E-4</v>
      </c>
      <c r="BW141" s="410"/>
      <c r="BX141" s="410"/>
      <c r="BY141" s="410"/>
      <c r="BZ141" s="410"/>
      <c r="CA141" s="410"/>
      <c r="CB141" s="841" t="str">
        <f>CB135</f>
        <v>AGR_EX_LIV_SWINE</v>
      </c>
      <c r="CC141" s="410"/>
      <c r="CD141" s="410"/>
      <c r="CE141" s="410"/>
      <c r="CF141" s="842">
        <f>CF135*$CF$143</f>
        <v>4.5576506178474236E-5</v>
      </c>
      <c r="CG141" s="843">
        <f>CG135*$O$143</f>
        <v>0</v>
      </c>
      <c r="CH141" s="843">
        <f>CH135*$CH$143</f>
        <v>4.1378383017149121E-4</v>
      </c>
      <c r="CI141" s="843">
        <f>CI135*$CI$143</f>
        <v>3.6900247873152545E-4</v>
      </c>
      <c r="CJ141" s="844">
        <f>CJ135*$CJ$143</f>
        <v>4.5029562377754998E-4</v>
      </c>
      <c r="CK141" s="410"/>
      <c r="CL141" s="410"/>
      <c r="CM141" s="410"/>
      <c r="CN141" s="410"/>
      <c r="CO141" s="410"/>
      <c r="CP141" s="841" t="str">
        <f>CP135</f>
        <v>AGR_EX_LIV_SWINE</v>
      </c>
      <c r="CQ141" s="410"/>
      <c r="CR141" s="410"/>
      <c r="CS141" s="410"/>
      <c r="CT141" s="842">
        <f>CT135*$CT$143</f>
        <v>4.5466735630645945E-5</v>
      </c>
      <c r="CU141" s="843">
        <f>CU135*$O$143</f>
        <v>0</v>
      </c>
      <c r="CV141" s="843">
        <f>CV135*$CV$143</f>
        <v>4.5021158488578494E-4</v>
      </c>
      <c r="CW141" s="843">
        <f>CW135*$CW$143</f>
        <v>5.0831775238447893E-4</v>
      </c>
      <c r="CX141" s="844">
        <f>CX135*$CX$143</f>
        <v>5.2133337334101524E-4</v>
      </c>
    </row>
    <row r="142" spans="2:102" ht="13.5" thickBot="1">
      <c r="J142" s="540" t="str">
        <f>J136</f>
        <v>AGR_EX_LIV_POULTRY</v>
      </c>
      <c r="K142" s="504"/>
      <c r="L142" s="504"/>
      <c r="M142" s="504"/>
      <c r="N142" s="523">
        <f>N136*$N$143</f>
        <v>2.4603961685548378E-6</v>
      </c>
      <c r="O142" s="506">
        <f>O136*$O$143</f>
        <v>0</v>
      </c>
      <c r="P142" s="506">
        <f>P136*$P$143</f>
        <v>2.6976180653453714E-5</v>
      </c>
      <c r="Q142" s="506">
        <f>Q136*$Q$143</f>
        <v>5.4992039292383237E-6</v>
      </c>
      <c r="R142" s="524">
        <f>R136*$R$143</f>
        <v>7.5510637928931695E-6</v>
      </c>
      <c r="X142" s="678" t="str">
        <f>X136</f>
        <v>AGR_EX_LIV_POULTRY</v>
      </c>
      <c r="Y142" s="504"/>
      <c r="Z142" s="504"/>
      <c r="AA142" s="504"/>
      <c r="AB142" s="685">
        <f>AB136*$AB$143</f>
        <v>2.4669500083664948E-6</v>
      </c>
      <c r="AC142" s="686">
        <f>AC136*$O$143</f>
        <v>0</v>
      </c>
      <c r="AD142" s="686">
        <f>AD136*$AD$143</f>
        <v>3.9455635869934988E-5</v>
      </c>
      <c r="AE142" s="686">
        <f>AE136*$AE$143</f>
        <v>4.0924901680098015E-5</v>
      </c>
      <c r="AF142" s="689">
        <f>AF136*$AF$143</f>
        <v>1.5116294555410593E-5</v>
      </c>
      <c r="AH142" s="410"/>
      <c r="AI142" s="410"/>
      <c r="AJ142" s="410"/>
      <c r="AK142" s="410"/>
      <c r="AL142" s="845" t="str">
        <f>AL136</f>
        <v>AGR_EX_LIV_POULTRY</v>
      </c>
      <c r="AM142" s="651"/>
      <c r="AN142" s="651"/>
      <c r="AO142" s="651"/>
      <c r="AP142" s="846">
        <f>AP136*$AP$143</f>
        <v>2.4074424265195518E-6</v>
      </c>
      <c r="AQ142" s="847">
        <f>AQ136*$O$143</f>
        <v>0</v>
      </c>
      <c r="AR142" s="847">
        <f>AR136*$AR$143</f>
        <v>2.6347543013740584E-5</v>
      </c>
      <c r="AS142" s="847">
        <f>AS136*$AS$143</f>
        <v>6.054686401913148E-6</v>
      </c>
      <c r="AT142" s="848">
        <f>AT136*$AT$143</f>
        <v>7.4892633962307583E-6</v>
      </c>
      <c r="AU142" s="410"/>
      <c r="AV142" s="410"/>
      <c r="AW142" s="410"/>
      <c r="AX142" s="410"/>
      <c r="AY142" s="410"/>
      <c r="AZ142" s="845" t="str">
        <f>AZ136</f>
        <v>AGR_EX_LIV_POULTRY</v>
      </c>
      <c r="BA142" s="651"/>
      <c r="BB142" s="651"/>
      <c r="BC142" s="651"/>
      <c r="BD142" s="846">
        <f>BD136*$BD$143</f>
        <v>2.3137145912626709E-6</v>
      </c>
      <c r="BE142" s="847">
        <f>BE136*$O$143</f>
        <v>0</v>
      </c>
      <c r="BF142" s="847">
        <f>BF136*$BF$143</f>
        <v>2.6687128769398475E-5</v>
      </c>
      <c r="BG142" s="847">
        <f>BG136*$BG$143</f>
        <v>9.6245964672894677E-6</v>
      </c>
      <c r="BH142" s="848">
        <f>BH136*$BH$143</f>
        <v>8.0133768197291532E-6</v>
      </c>
      <c r="BI142" s="410"/>
      <c r="BJ142" s="410"/>
      <c r="BK142" s="410"/>
      <c r="BL142" s="410"/>
      <c r="BM142" s="410"/>
      <c r="BN142" s="845" t="str">
        <f>BN136</f>
        <v>AGR_EX_LIV_POULTRY</v>
      </c>
      <c r="BO142" s="651"/>
      <c r="BP142" s="651"/>
      <c r="BQ142" s="651"/>
      <c r="BR142" s="846">
        <f>BR136*$BR$143</f>
        <v>2.47051368326063E-6</v>
      </c>
      <c r="BS142" s="847">
        <f>BS136*$O$143</f>
        <v>0</v>
      </c>
      <c r="BT142" s="847">
        <f>BT136*$BT$143</f>
        <v>3.0291728403091314E-5</v>
      </c>
      <c r="BU142" s="847">
        <f>BU136*$BU$143</f>
        <v>1.5282866942981098E-5</v>
      </c>
      <c r="BV142" s="848">
        <f>BV136*$BV$143</f>
        <v>9.6294149584553589E-6</v>
      </c>
      <c r="BW142" s="410"/>
      <c r="BX142" s="410"/>
      <c r="BY142" s="410"/>
      <c r="BZ142" s="410"/>
      <c r="CA142" s="410"/>
      <c r="CB142" s="845" t="str">
        <f>CB136</f>
        <v>AGR_EX_LIV_POULTRY</v>
      </c>
      <c r="CC142" s="651"/>
      <c r="CD142" s="651"/>
      <c r="CE142" s="651"/>
      <c r="CF142" s="846">
        <f>CF136*$CF$143</f>
        <v>2.5320281210263464E-6</v>
      </c>
      <c r="CG142" s="847">
        <f>CG136*$O$143</f>
        <v>0</v>
      </c>
      <c r="CH142" s="847">
        <f>CH136*$CH$143</f>
        <v>3.3369663723507353E-5</v>
      </c>
      <c r="CI142" s="847">
        <f>CI136*$CI$143</f>
        <v>2.2140148723891527E-5</v>
      </c>
      <c r="CJ142" s="848">
        <f>CJ136*$CJ$143</f>
        <v>1.125739059443875E-5</v>
      </c>
      <c r="CK142" s="410"/>
      <c r="CL142" s="410"/>
      <c r="CM142" s="410"/>
      <c r="CN142" s="410"/>
      <c r="CO142" s="410"/>
      <c r="CP142" s="845" t="str">
        <f>CP136</f>
        <v>AGR_EX_LIV_POULTRY</v>
      </c>
      <c r="CQ142" s="651"/>
      <c r="CR142" s="651"/>
      <c r="CS142" s="651"/>
      <c r="CT142" s="846">
        <f>CT136*$CT$143</f>
        <v>2.525929757258108E-6</v>
      </c>
      <c r="CU142" s="847">
        <f>CU136*$O$143</f>
        <v>0</v>
      </c>
      <c r="CV142" s="847">
        <f>CV136*$CV$143</f>
        <v>3.6307385877885881E-5</v>
      </c>
      <c r="CW142" s="847">
        <f>CW136*$CW$143</f>
        <v>3.0499065143068735E-5</v>
      </c>
      <c r="CX142" s="848">
        <f>CX136*$CX$143</f>
        <v>1.3033334333525382E-5</v>
      </c>
    </row>
    <row r="143" spans="2:102" ht="14.25" thickTop="1" thickBot="1">
      <c r="J143" s="541"/>
      <c r="K143" s="192"/>
      <c r="L143" s="192"/>
      <c r="M143" s="192"/>
      <c r="N143" s="519">
        <f>N104*N107/N137</f>
        <v>2.4603961685548377E-4</v>
      </c>
      <c r="O143" s="519">
        <v>0</v>
      </c>
      <c r="P143" s="519">
        <f>P104*P107/P137</f>
        <v>1.0790472261381486E-4</v>
      </c>
      <c r="Q143" s="519">
        <f>Q104*Q107/Q137</f>
        <v>3.6661359528255492E-4</v>
      </c>
      <c r="R143" s="520">
        <f>R104*R107/R137</f>
        <v>3.7755318964465847E-4</v>
      </c>
      <c r="X143" s="690"/>
      <c r="Y143" s="691"/>
      <c r="Z143" s="691"/>
      <c r="AA143" s="691"/>
      <c r="AB143" s="683">
        <f>AB104*AB107/AB137</f>
        <v>2.466950008366495E-4</v>
      </c>
      <c r="AC143" s="683">
        <v>0</v>
      </c>
      <c r="AD143" s="683">
        <f>AD104*AD107/AD137</f>
        <v>1.5782254347973995E-4</v>
      </c>
      <c r="AE143" s="683">
        <f>AE104*AE107/AE137</f>
        <v>2.7283267786732011E-3</v>
      </c>
      <c r="AF143" s="684">
        <f>AF104*AF107/AF137</f>
        <v>7.5581472777052966E-4</v>
      </c>
      <c r="AH143" s="410"/>
      <c r="AI143" s="410"/>
      <c r="AJ143" s="410"/>
      <c r="AK143" s="410"/>
      <c r="AL143" s="817"/>
      <c r="AM143" s="818"/>
      <c r="AN143" s="818"/>
      <c r="AO143" s="818"/>
      <c r="AP143" s="850">
        <f>AP104*AP107/AP137</f>
        <v>2.4074424265195515E-4</v>
      </c>
      <c r="AQ143" s="850">
        <v>0</v>
      </c>
      <c r="AR143" s="850">
        <f t="shared" ref="AR143:AT143" si="242">AR104*AR107/AR137</f>
        <v>1.0539017205496234E-4</v>
      </c>
      <c r="AS143" s="850">
        <f t="shared" si="242"/>
        <v>4.0364576012754321E-4</v>
      </c>
      <c r="AT143" s="851">
        <f t="shared" si="242"/>
        <v>3.7446316981153789E-4</v>
      </c>
      <c r="AU143" s="410"/>
      <c r="AV143" s="410"/>
      <c r="AW143" s="410"/>
      <c r="AX143" s="410"/>
      <c r="AY143" s="410"/>
      <c r="AZ143" s="817"/>
      <c r="BA143" s="818"/>
      <c r="BB143" s="818"/>
      <c r="BC143" s="818"/>
      <c r="BD143" s="850">
        <f>BD104*BD107/BD137</f>
        <v>2.3137145912626708E-4</v>
      </c>
      <c r="BE143" s="850">
        <v>0</v>
      </c>
      <c r="BF143" s="850">
        <f t="shared" ref="BF143:BH143" si="243">BF104*BF107/BF137</f>
        <v>1.067485150775939E-4</v>
      </c>
      <c r="BG143" s="850">
        <f>BG104*BG107/BG137</f>
        <v>6.416397644859645E-4</v>
      </c>
      <c r="BH143" s="851">
        <f t="shared" si="243"/>
        <v>4.0066884098645763E-4</v>
      </c>
      <c r="BI143" s="410"/>
      <c r="BJ143" s="410"/>
      <c r="BK143" s="410"/>
      <c r="BL143" s="410"/>
      <c r="BM143" s="410"/>
      <c r="BN143" s="817"/>
      <c r="BO143" s="818"/>
      <c r="BP143" s="818"/>
      <c r="BQ143" s="818"/>
      <c r="BR143" s="850">
        <f>BR104*BR107/BR137</f>
        <v>2.4705136832606299E-4</v>
      </c>
      <c r="BS143" s="850">
        <v>0</v>
      </c>
      <c r="BT143" s="850">
        <f t="shared" ref="BT143" si="244">BT104*BT107/BT137</f>
        <v>1.2116691361236526E-4</v>
      </c>
      <c r="BU143" s="850">
        <f>BU104*BU107/BU137</f>
        <v>1.0188577961987399E-3</v>
      </c>
      <c r="BV143" s="851">
        <f t="shared" ref="BV143" si="245">BV104*BV107/BV137</f>
        <v>4.8147074792276795E-4</v>
      </c>
      <c r="BW143" s="410"/>
      <c r="BX143" s="410"/>
      <c r="BY143" s="410"/>
      <c r="BZ143" s="410"/>
      <c r="CA143" s="410"/>
      <c r="CB143" s="817"/>
      <c r="CC143" s="818"/>
      <c r="CD143" s="818"/>
      <c r="CE143" s="818"/>
      <c r="CF143" s="850">
        <f>CF104*CF107/CF137</f>
        <v>2.5320281210263466E-4</v>
      </c>
      <c r="CG143" s="850">
        <v>0</v>
      </c>
      <c r="CH143" s="850">
        <f t="shared" ref="CH143" si="246">CH104*CH107/CH137</f>
        <v>1.3347865489402941E-4</v>
      </c>
      <c r="CI143" s="850">
        <f>CI104*CI107/CI137</f>
        <v>1.4760099149261018E-3</v>
      </c>
      <c r="CJ143" s="851">
        <f t="shared" ref="CJ143" si="247">CJ104*CJ107/CJ137</f>
        <v>5.6286952972193745E-4</v>
      </c>
      <c r="CK143" s="410"/>
      <c r="CL143" s="410"/>
      <c r="CM143" s="410"/>
      <c r="CN143" s="410"/>
      <c r="CO143" s="410"/>
      <c r="CP143" s="817"/>
      <c r="CQ143" s="818"/>
      <c r="CR143" s="818"/>
      <c r="CS143" s="818"/>
      <c r="CT143" s="850">
        <f>CT104*CT107/CT137</f>
        <v>2.525929757258108E-4</v>
      </c>
      <c r="CU143" s="850">
        <v>0</v>
      </c>
      <c r="CV143" s="850">
        <f t="shared" ref="CV143" si="248">CV104*CV107/CV137</f>
        <v>1.4522954351154353E-4</v>
      </c>
      <c r="CW143" s="850">
        <f>CW104*CW107/CW137</f>
        <v>2.0332710095379157E-3</v>
      </c>
      <c r="CX143" s="851">
        <f t="shared" ref="CX143" si="249">CX104*CX107/CX137</f>
        <v>6.5166671667626908E-4</v>
      </c>
    </row>
    <row r="146" spans="14:102" ht="13.5" thickBot="1"/>
    <row r="147" spans="14:102">
      <c r="N147" s="587" t="s">
        <v>880</v>
      </c>
      <c r="O147" s="588"/>
      <c r="P147" s="588"/>
      <c r="Q147" s="588"/>
      <c r="R147" s="589"/>
      <c r="AB147" s="587" t="s">
        <v>880</v>
      </c>
      <c r="AC147" s="588"/>
      <c r="AD147" s="588"/>
      <c r="AE147" s="588"/>
      <c r="AF147" s="589"/>
      <c r="AP147" s="587" t="s">
        <v>880</v>
      </c>
      <c r="AQ147" s="588"/>
      <c r="AR147" s="588"/>
      <c r="AS147" s="588"/>
      <c r="AT147" s="589"/>
      <c r="BD147" s="587" t="s">
        <v>880</v>
      </c>
      <c r="BE147" s="588"/>
      <c r="BF147" s="588"/>
      <c r="BG147" s="588"/>
      <c r="BH147" s="589"/>
      <c r="BR147" s="587" t="s">
        <v>880</v>
      </c>
      <c r="BS147" s="588"/>
      <c r="BT147" s="588"/>
      <c r="BU147" s="588"/>
      <c r="BV147" s="589"/>
      <c r="CF147" s="587" t="s">
        <v>880</v>
      </c>
      <c r="CG147" s="588"/>
      <c r="CH147" s="588"/>
      <c r="CI147" s="588"/>
      <c r="CJ147" s="589"/>
      <c r="CT147" s="587" t="s">
        <v>880</v>
      </c>
      <c r="CU147" s="588"/>
      <c r="CV147" s="588"/>
      <c r="CW147" s="588"/>
      <c r="CX147" s="589"/>
    </row>
    <row r="148" spans="14:102">
      <c r="N148" s="590">
        <f t="shared" ref="N148:N155" si="250">N121*L111</f>
        <v>7.2626448614293295</v>
      </c>
      <c r="O148" s="173">
        <f t="shared" ref="O148:O155" si="251">O121*L111</f>
        <v>1.2262631567700675</v>
      </c>
      <c r="P148" s="173">
        <f t="shared" ref="P148:P155" si="252">P121*L111</f>
        <v>0</v>
      </c>
      <c r="Q148" s="173">
        <f t="shared" ref="Q148:Q155" si="253">Q121*L111</f>
        <v>0</v>
      </c>
      <c r="R148" s="591">
        <f t="shared" ref="R148:R155" si="254">R121*L111</f>
        <v>3.3008815997740859</v>
      </c>
      <c r="AB148" s="590">
        <f t="shared" ref="AB148:AB155" si="255">AB121*Z111</f>
        <v>4.2597402412328531</v>
      </c>
      <c r="AC148" s="173">
        <f t="shared" ref="AC148:AC155" si="256">AC121*Z111</f>
        <v>1.9281046819060539</v>
      </c>
      <c r="AD148" s="173">
        <f t="shared" ref="AD148:AD155" si="257">AD121*Z111</f>
        <v>0</v>
      </c>
      <c r="AE148" s="173">
        <f t="shared" ref="AE148:AE155" si="258">AE121*Z111</f>
        <v>0</v>
      </c>
      <c r="AF148" s="591">
        <f t="shared" ref="AF148:AF155" si="259">AF121*Z111</f>
        <v>3.9377312659988939</v>
      </c>
      <c r="AP148" s="590">
        <f t="shared" ref="AP148:AP155" si="260">AP121*AN111</f>
        <v>7.3318252543179163</v>
      </c>
      <c r="AQ148" s="173">
        <f t="shared" ref="AQ148:AQ155" si="261">AQ121*AN111</f>
        <v>1.2151367107509692</v>
      </c>
      <c r="AR148" s="173">
        <f t="shared" ref="AR148:AR155" si="262">AR121*AN111</f>
        <v>0</v>
      </c>
      <c r="AS148" s="173">
        <f t="shared" ref="AS148:AS155" si="263">AS121*AN111</f>
        <v>0</v>
      </c>
      <c r="AT148" s="591">
        <f t="shared" ref="AT148:AT155" si="264">AT121*AN111</f>
        <v>3.3975570955957455</v>
      </c>
      <c r="BD148" s="590">
        <f t="shared" ref="BD148:BD155" si="265">BD121*BB111</f>
        <v>6.737443323226584</v>
      </c>
      <c r="BE148" s="173">
        <f>BE121*BB111</f>
        <v>1.1976199987066201</v>
      </c>
      <c r="BF148" s="173">
        <f t="shared" ref="BF148:BF155" si="266">BF121*BB111</f>
        <v>0</v>
      </c>
      <c r="BG148" s="173">
        <f t="shared" ref="BG148:BG155" si="267">BG121*BB111</f>
        <v>0</v>
      </c>
      <c r="BH148" s="591">
        <f t="shared" ref="BH148:BH155" si="268">BH121*BB111</f>
        <v>3.4763137371938941</v>
      </c>
      <c r="BR148" s="590">
        <f t="shared" ref="BR148:BR155" si="269">BR121*BP111</f>
        <v>6.1289923756132385</v>
      </c>
      <c r="BS148" s="173">
        <f>BS121*BP111</f>
        <v>1.2833015613702001</v>
      </c>
      <c r="BT148" s="173">
        <f t="shared" ref="BT148:BT155" si="270">BT121*BP111</f>
        <v>0</v>
      </c>
      <c r="BU148" s="173">
        <f t="shared" ref="BU148:BU155" si="271">BU121*BP111</f>
        <v>0</v>
      </c>
      <c r="BV148" s="591">
        <f t="shared" ref="BV148:BV155" si="272">BV121*BP111</f>
        <v>3.5664051040603026</v>
      </c>
      <c r="CF148" s="590">
        <f t="shared" ref="CF148:CF155" si="273">CF121*CD111</f>
        <v>5.5135010828646465</v>
      </c>
      <c r="CG148" s="173">
        <f>CG121*CD111</f>
        <v>1.405729503015025</v>
      </c>
      <c r="CH148" s="173">
        <f t="shared" ref="CH148:CH155" si="274">CH121*CD111</f>
        <v>0</v>
      </c>
      <c r="CI148" s="173">
        <f t="shared" ref="CI148:CI155" si="275">CI121*CD111</f>
        <v>0</v>
      </c>
      <c r="CJ148" s="591">
        <f t="shared" ref="CJ148:CJ153" si="276">CJ121*CD111</f>
        <v>3.6691312618209637</v>
      </c>
      <c r="CT148" s="590">
        <f t="shared" ref="CT148:CT155" si="277">CT121*CR111</f>
        <v>4.8906126646760182</v>
      </c>
      <c r="CU148" s="173">
        <f>CU121*CR111</f>
        <v>1.5952324164224947</v>
      </c>
      <c r="CV148" s="173">
        <f t="shared" ref="CV148:CV155" si="278">CV121*CR111</f>
        <v>0</v>
      </c>
      <c r="CW148" s="173">
        <f t="shared" ref="CW148:CW155" si="279">CW121*CR111</f>
        <v>0</v>
      </c>
      <c r="CX148" s="591">
        <f t="shared" ref="CX148:CX153" si="280">CX121*CR111</f>
        <v>3.7898855382792713</v>
      </c>
    </row>
    <row r="149" spans="14:102">
      <c r="N149" s="590">
        <f t="shared" si="250"/>
        <v>2.1167093373622978</v>
      </c>
      <c r="O149" s="173">
        <f t="shared" si="251"/>
        <v>0.30378688687038075</v>
      </c>
      <c r="P149" s="173">
        <f t="shared" si="252"/>
        <v>0</v>
      </c>
      <c r="Q149" s="173">
        <f t="shared" si="253"/>
        <v>0</v>
      </c>
      <c r="R149" s="591">
        <f t="shared" si="254"/>
        <v>0.91394480732938088</v>
      </c>
      <c r="AB149" s="590">
        <f t="shared" si="255"/>
        <v>1.144170489449214</v>
      </c>
      <c r="AC149" s="173">
        <f t="shared" si="256"/>
        <v>0.44020721916653638</v>
      </c>
      <c r="AD149" s="173">
        <f t="shared" si="257"/>
        <v>0</v>
      </c>
      <c r="AE149" s="173">
        <f t="shared" si="258"/>
        <v>0</v>
      </c>
      <c r="AF149" s="591">
        <f t="shared" si="259"/>
        <v>1.0047946287921519</v>
      </c>
      <c r="AP149" s="590">
        <f>AP122*AN112</f>
        <v>1.8848849039196256</v>
      </c>
      <c r="AQ149" s="173">
        <f t="shared" si="261"/>
        <v>0.26553195806222307</v>
      </c>
      <c r="AR149" s="173">
        <f t="shared" si="262"/>
        <v>0</v>
      </c>
      <c r="AS149" s="173">
        <f t="shared" si="263"/>
        <v>0</v>
      </c>
      <c r="AT149" s="591">
        <f t="shared" si="264"/>
        <v>0.82978026135113292</v>
      </c>
      <c r="BD149" s="590">
        <f t="shared" si="265"/>
        <v>1.8624173855019348</v>
      </c>
      <c r="BE149" s="173">
        <f t="shared" ref="BE149:BE155" si="281">BE122*BB112</f>
        <v>0.28139725558175971</v>
      </c>
      <c r="BF149" s="173">
        <f t="shared" si="266"/>
        <v>0</v>
      </c>
      <c r="BG149" s="173">
        <f t="shared" si="267"/>
        <v>0</v>
      </c>
      <c r="BH149" s="591">
        <f t="shared" si="268"/>
        <v>0.91290263820476913</v>
      </c>
      <c r="BR149" s="590">
        <f t="shared" si="269"/>
        <v>1.6834891117106205</v>
      </c>
      <c r="BS149" s="173">
        <f t="shared" ref="BS149:BS155" si="282">BS122*BP112</f>
        <v>0.29961867501638673</v>
      </c>
      <c r="BT149" s="173">
        <f t="shared" si="270"/>
        <v>0</v>
      </c>
      <c r="BU149" s="173">
        <f t="shared" si="271"/>
        <v>0</v>
      </c>
      <c r="BV149" s="591">
        <f t="shared" si="272"/>
        <v>0.93062670061361763</v>
      </c>
      <c r="CF149" s="590">
        <f t="shared" si="273"/>
        <v>1.5041894292778917</v>
      </c>
      <c r="CG149" s="173">
        <f t="shared" ref="CG149:CG155" si="283">CG122*CD112</f>
        <v>0.32598360152974654</v>
      </c>
      <c r="CH149" s="173">
        <f t="shared" si="274"/>
        <v>0</v>
      </c>
      <c r="CI149" s="173">
        <f t="shared" si="275"/>
        <v>0</v>
      </c>
      <c r="CJ149" s="591">
        <f t="shared" si="276"/>
        <v>0.95095928284587838</v>
      </c>
      <c r="CT149" s="590">
        <f t="shared" si="277"/>
        <v>1.3244543470701322</v>
      </c>
      <c r="CU149" s="173">
        <f t="shared" ref="CU149:CU155" si="284">CU122*CR112</f>
        <v>0.36721179029606094</v>
      </c>
      <c r="CV149" s="173">
        <f t="shared" si="278"/>
        <v>0</v>
      </c>
      <c r="CW149" s="173">
        <f t="shared" si="279"/>
        <v>0</v>
      </c>
      <c r="CX149" s="591">
        <f t="shared" si="280"/>
        <v>0.97504222563176435</v>
      </c>
    </row>
    <row r="150" spans="14:102">
      <c r="N150" s="590">
        <f t="shared" si="250"/>
        <v>4.8583445072344196</v>
      </c>
      <c r="O150" s="173">
        <f t="shared" si="251"/>
        <v>3.2812337575571919</v>
      </c>
      <c r="P150" s="173">
        <f t="shared" si="252"/>
        <v>0</v>
      </c>
      <c r="Q150" s="173">
        <f t="shared" si="253"/>
        <v>0</v>
      </c>
      <c r="R150" s="591">
        <f t="shared" si="254"/>
        <v>2.2964488980372582</v>
      </c>
      <c r="AB150" s="590">
        <f t="shared" si="255"/>
        <v>0.91389706337395182</v>
      </c>
      <c r="AC150" s="173">
        <f t="shared" si="256"/>
        <v>1.6546447500390555</v>
      </c>
      <c r="AD150" s="173">
        <f t="shared" si="257"/>
        <v>0</v>
      </c>
      <c r="AE150" s="173">
        <f t="shared" si="258"/>
        <v>0</v>
      </c>
      <c r="AF150" s="591">
        <f t="shared" si="259"/>
        <v>0.87860481391303791</v>
      </c>
      <c r="AP150" s="590">
        <f>AP123*AN113</f>
        <v>5.093972019175399</v>
      </c>
      <c r="AQ150" s="173">
        <f t="shared" si="261"/>
        <v>3.3769885065893392</v>
      </c>
      <c r="AR150" s="173">
        <f t="shared" si="262"/>
        <v>0</v>
      </c>
      <c r="AS150" s="173">
        <f t="shared" si="263"/>
        <v>0</v>
      </c>
      <c r="AT150" s="591">
        <f t="shared" si="264"/>
        <v>2.4549607478786908</v>
      </c>
      <c r="BD150" s="590">
        <f t="shared" si="265"/>
        <v>4.7848093674360292</v>
      </c>
      <c r="BE150" s="173">
        <f t="shared" si="281"/>
        <v>3.4021115212563218</v>
      </c>
      <c r="BF150" s="173">
        <f t="shared" si="266"/>
        <v>0</v>
      </c>
      <c r="BG150" s="173">
        <f t="shared" si="267"/>
        <v>0</v>
      </c>
      <c r="BH150" s="591">
        <f t="shared" si="268"/>
        <v>2.5675671980187134</v>
      </c>
      <c r="BR150" s="590">
        <f t="shared" si="269"/>
        <v>3.7926489110925288</v>
      </c>
      <c r="BS150" s="173">
        <f t="shared" si="282"/>
        <v>3.1764518348561661</v>
      </c>
      <c r="BT150" s="173">
        <f t="shared" si="270"/>
        <v>0</v>
      </c>
      <c r="BU150" s="173">
        <f t="shared" si="271"/>
        <v>0</v>
      </c>
      <c r="BV150" s="591">
        <f t="shared" si="272"/>
        <v>2.2951843418468623</v>
      </c>
      <c r="CF150" s="590">
        <f t="shared" si="273"/>
        <v>2.8148529152838369</v>
      </c>
      <c r="CG150" s="173">
        <f t="shared" si="283"/>
        <v>2.8707144373001166</v>
      </c>
      <c r="CH150" s="173">
        <f t="shared" si="274"/>
        <v>0</v>
      </c>
      <c r="CI150" s="173">
        <f t="shared" si="275"/>
        <v>0</v>
      </c>
      <c r="CJ150" s="591">
        <f t="shared" si="276"/>
        <v>1.9481609345165558</v>
      </c>
      <c r="CT150" s="590">
        <f t="shared" si="277"/>
        <v>1.8538997510354533</v>
      </c>
      <c r="CU150" s="173">
        <f t="shared" si="284"/>
        <v>2.418838851017667</v>
      </c>
      <c r="CV150" s="173">
        <f t="shared" si="278"/>
        <v>0</v>
      </c>
      <c r="CW150" s="173">
        <f t="shared" si="279"/>
        <v>0</v>
      </c>
      <c r="CX150" s="591">
        <f t="shared" si="280"/>
        <v>1.494109444176893</v>
      </c>
    </row>
    <row r="151" spans="14:102">
      <c r="N151" s="590">
        <f t="shared" si="250"/>
        <v>0.65311330023227976</v>
      </c>
      <c r="O151" s="173">
        <f t="shared" si="251"/>
        <v>5.8380927196392943E-2</v>
      </c>
      <c r="P151" s="173">
        <f t="shared" si="252"/>
        <v>0</v>
      </c>
      <c r="Q151" s="173">
        <f t="shared" si="253"/>
        <v>0</v>
      </c>
      <c r="R151" s="591">
        <f t="shared" si="254"/>
        <v>0.27937962370949804</v>
      </c>
      <c r="AB151" s="590">
        <f t="shared" si="255"/>
        <v>1.3266097561096801</v>
      </c>
      <c r="AC151" s="173">
        <f t="shared" si="256"/>
        <v>0.31789541743199445</v>
      </c>
      <c r="AD151" s="173">
        <f t="shared" si="257"/>
        <v>0</v>
      </c>
      <c r="AE151" s="173">
        <f t="shared" si="258"/>
        <v>0</v>
      </c>
      <c r="AF151" s="591">
        <f t="shared" si="259"/>
        <v>1.1541897295763135</v>
      </c>
      <c r="AP151" s="590">
        <f t="shared" si="260"/>
        <v>0.50918734034734969</v>
      </c>
      <c r="AQ151" s="173">
        <f t="shared" si="261"/>
        <v>4.4677022481117844E-2</v>
      </c>
      <c r="AR151" s="173">
        <f t="shared" si="262"/>
        <v>0</v>
      </c>
      <c r="AS151" s="173">
        <f t="shared" si="263"/>
        <v>0</v>
      </c>
      <c r="AT151" s="591">
        <f t="shared" si="264"/>
        <v>0.22207686449005445</v>
      </c>
      <c r="BD151" s="590">
        <f t="shared" si="265"/>
        <v>0.39005161737869998</v>
      </c>
      <c r="BE151" s="173">
        <f t="shared" si="281"/>
        <v>3.6706213459617838E-2</v>
      </c>
      <c r="BF151" s="173">
        <f t="shared" si="266"/>
        <v>0</v>
      </c>
      <c r="BG151" s="173">
        <f t="shared" si="267"/>
        <v>0</v>
      </c>
      <c r="BH151" s="591">
        <f t="shared" si="268"/>
        <v>0.18941614086879141</v>
      </c>
      <c r="BR151" s="590">
        <f t="shared" si="269"/>
        <v>0.62660137362148927</v>
      </c>
      <c r="BS151" s="173">
        <f t="shared" si="282"/>
        <v>6.9458367576932356E-2</v>
      </c>
      <c r="BT151" s="173">
        <f t="shared" si="270"/>
        <v>0</v>
      </c>
      <c r="BU151" s="173">
        <f t="shared" si="271"/>
        <v>0</v>
      </c>
      <c r="BV151" s="591">
        <f t="shared" si="272"/>
        <v>0.34316579686549875</v>
      </c>
      <c r="CF151" s="590">
        <f t="shared" si="273"/>
        <v>0.86275445306024912</v>
      </c>
      <c r="CG151" s="173">
        <f t="shared" si="283"/>
        <v>0.11645418307949419</v>
      </c>
      <c r="CH151" s="173">
        <f t="shared" si="274"/>
        <v>0</v>
      </c>
      <c r="CI151" s="173">
        <f t="shared" si="275"/>
        <v>0</v>
      </c>
      <c r="CJ151" s="591">
        <f t="shared" si="276"/>
        <v>0.54037351540768197</v>
      </c>
      <c r="CT151" s="590">
        <f t="shared" si="277"/>
        <v>1.0969550401539185</v>
      </c>
      <c r="CU151" s="173">
        <f t="shared" si="284"/>
        <v>0.18942753771402321</v>
      </c>
      <c r="CV151" s="173">
        <f t="shared" si="278"/>
        <v>0</v>
      </c>
      <c r="CW151" s="173">
        <f t="shared" si="279"/>
        <v>0</v>
      </c>
      <c r="CX151" s="591">
        <f t="shared" si="280"/>
        <v>0.80006028891650816</v>
      </c>
    </row>
    <row r="152" spans="14:102">
      <c r="N152" s="590">
        <f t="shared" si="250"/>
        <v>3.1426719730435795</v>
      </c>
      <c r="O152" s="173">
        <f t="shared" si="251"/>
        <v>0.41270853946162323</v>
      </c>
      <c r="P152" s="173">
        <f t="shared" si="252"/>
        <v>0</v>
      </c>
      <c r="Q152" s="173">
        <f t="shared" si="253"/>
        <v>0</v>
      </c>
      <c r="R152" s="591">
        <f t="shared" si="254"/>
        <v>1.4283485269998035</v>
      </c>
      <c r="AB152" s="590">
        <f t="shared" si="255"/>
        <v>1.9523671426895746</v>
      </c>
      <c r="AC152" s="173">
        <f t="shared" si="256"/>
        <v>0.68732875475651622</v>
      </c>
      <c r="AD152" s="173">
        <f t="shared" si="257"/>
        <v>0</v>
      </c>
      <c r="AE152" s="173">
        <f t="shared" si="258"/>
        <v>0</v>
      </c>
      <c r="AF152" s="591">
        <f t="shared" si="259"/>
        <v>1.8047807389899984</v>
      </c>
      <c r="AP152" s="590">
        <f t="shared" si="260"/>
        <v>3.0490778421718754</v>
      </c>
      <c r="AQ152" s="173">
        <f t="shared" si="261"/>
        <v>0.39304029639593391</v>
      </c>
      <c r="AR152" s="173">
        <f t="shared" si="262"/>
        <v>0</v>
      </c>
      <c r="AS152" s="173">
        <f t="shared" si="263"/>
        <v>0</v>
      </c>
      <c r="AT152" s="591">
        <f t="shared" si="264"/>
        <v>1.4129382109310189</v>
      </c>
      <c r="BD152" s="590">
        <f t="shared" si="265"/>
        <v>2.5866408970203505</v>
      </c>
      <c r="BE152" s="173">
        <f t="shared" si="281"/>
        <v>0.35761488336965491</v>
      </c>
      <c r="BF152" s="173">
        <f t="shared" si="266"/>
        <v>0</v>
      </c>
      <c r="BG152" s="173">
        <f t="shared" si="267"/>
        <v>0</v>
      </c>
      <c r="BH152" s="591">
        <f t="shared" si="268"/>
        <v>1.334627224618061</v>
      </c>
      <c r="BR152" s="590">
        <f t="shared" si="269"/>
        <v>2.4339131338875388</v>
      </c>
      <c r="BS152" s="173">
        <f t="shared" si="282"/>
        <v>0.39636951602348808</v>
      </c>
      <c r="BT152" s="173">
        <f t="shared" si="270"/>
        <v>0</v>
      </c>
      <c r="BU152" s="173">
        <f t="shared" si="271"/>
        <v>0</v>
      </c>
      <c r="BV152" s="591">
        <f t="shared" si="272"/>
        <v>1.4162719891893181</v>
      </c>
      <c r="CF152" s="590">
        <f t="shared" si="273"/>
        <v>2.2777471015264257</v>
      </c>
      <c r="CG152" s="173">
        <f t="shared" si="283"/>
        <v>0.45168464687965043</v>
      </c>
      <c r="CH152" s="173">
        <f t="shared" si="274"/>
        <v>0</v>
      </c>
      <c r="CI152" s="173">
        <f t="shared" si="275"/>
        <v>0</v>
      </c>
      <c r="CJ152" s="591">
        <f t="shared" si="276"/>
        <v>1.5157978516965254</v>
      </c>
      <c r="CT152" s="590">
        <f t="shared" si="277"/>
        <v>2.1175546840649822</v>
      </c>
      <c r="CU152" s="173">
        <f t="shared" si="284"/>
        <v>0.53721838028743663</v>
      </c>
      <c r="CV152" s="173">
        <f t="shared" si="278"/>
        <v>0</v>
      </c>
      <c r="CW152" s="173">
        <f t="shared" si="279"/>
        <v>0</v>
      </c>
      <c r="CX152" s="591">
        <f t="shared" si="280"/>
        <v>1.6409579788680828</v>
      </c>
    </row>
    <row r="153" spans="14:102">
      <c r="N153" s="590">
        <f t="shared" si="250"/>
        <v>1.263979722794645</v>
      </c>
      <c r="O153" s="173">
        <f t="shared" si="251"/>
        <v>9.3369930667356341E-2</v>
      </c>
      <c r="P153" s="173">
        <f t="shared" si="252"/>
        <v>0</v>
      </c>
      <c r="Q153" s="173">
        <f t="shared" si="253"/>
        <v>0</v>
      </c>
      <c r="R153" s="591">
        <f t="shared" si="254"/>
        <v>0.57448043916046199</v>
      </c>
      <c r="AB153" s="590">
        <f t="shared" si="255"/>
        <v>0.53690187711126147</v>
      </c>
      <c r="AC153" s="173">
        <f t="shared" si="256"/>
        <v>0.10632134752510382</v>
      </c>
      <c r="AD153" s="173">
        <f t="shared" si="257"/>
        <v>0</v>
      </c>
      <c r="AE153" s="173">
        <f t="shared" si="258"/>
        <v>0</v>
      </c>
      <c r="AF153" s="591">
        <f t="shared" si="259"/>
        <v>0.49631554708665193</v>
      </c>
      <c r="AP153" s="590">
        <f t="shared" si="260"/>
        <v>1.2844451365064591</v>
      </c>
      <c r="AQ153" s="173">
        <f t="shared" si="261"/>
        <v>9.3133656092044353E-2</v>
      </c>
      <c r="AR153" s="173">
        <f t="shared" si="262"/>
        <v>0</v>
      </c>
      <c r="AS153" s="173">
        <f t="shared" si="263"/>
        <v>0</v>
      </c>
      <c r="AT153" s="591">
        <f t="shared" si="264"/>
        <v>0.59520999697461396</v>
      </c>
      <c r="BD153" s="590">
        <f t="shared" si="265"/>
        <v>1.0896403739236551</v>
      </c>
      <c r="BE153" s="173">
        <f t="shared" si="281"/>
        <v>8.4739355904603755E-2</v>
      </c>
      <c r="BF153" s="173">
        <f t="shared" si="266"/>
        <v>0</v>
      </c>
      <c r="BG153" s="173">
        <f t="shared" si="267"/>
        <v>0</v>
      </c>
      <c r="BH153" s="591">
        <f t="shared" si="268"/>
        <v>0.56222095218425383</v>
      </c>
      <c r="BR153" s="590">
        <f t="shared" si="269"/>
        <v>0.95346401510545731</v>
      </c>
      <c r="BS153" s="173">
        <f t="shared" si="282"/>
        <v>8.7341773432710379E-2</v>
      </c>
      <c r="BT153" s="173">
        <f t="shared" si="270"/>
        <v>0</v>
      </c>
      <c r="BU153" s="173">
        <f t="shared" si="271"/>
        <v>0</v>
      </c>
      <c r="BV153" s="591">
        <f t="shared" si="272"/>
        <v>0.55481206723963328</v>
      </c>
      <c r="CF153" s="590">
        <f t="shared" si="273"/>
        <v>0.81582492692870967</v>
      </c>
      <c r="CG153" s="173">
        <f t="shared" si="283"/>
        <v>9.1001661907948991E-2</v>
      </c>
      <c r="CH153" s="173">
        <f t="shared" si="274"/>
        <v>0</v>
      </c>
      <c r="CI153" s="173">
        <f t="shared" si="275"/>
        <v>0</v>
      </c>
      <c r="CJ153" s="591">
        <f t="shared" si="276"/>
        <v>0.54291614322340331</v>
      </c>
      <c r="CT153" s="590">
        <f t="shared" si="277"/>
        <v>0.67688128997711217</v>
      </c>
      <c r="CU153" s="173">
        <f t="shared" si="284"/>
        <v>9.6594247862377261E-2</v>
      </c>
      <c r="CV153" s="173">
        <f t="shared" si="278"/>
        <v>0</v>
      </c>
      <c r="CW153" s="173">
        <f t="shared" si="279"/>
        <v>0</v>
      </c>
      <c r="CX153" s="591">
        <f t="shared" si="280"/>
        <v>0.5245360423950105</v>
      </c>
    </row>
    <row r="154" spans="14:102">
      <c r="N154" s="590">
        <f t="shared" si="250"/>
        <v>1.4537104455394321</v>
      </c>
      <c r="O154" s="173">
        <f t="shared" si="251"/>
        <v>0.12272605875609162</v>
      </c>
      <c r="P154" s="173">
        <f t="shared" si="252"/>
        <v>0</v>
      </c>
      <c r="Q154" s="173">
        <f t="shared" si="253"/>
        <v>0</v>
      </c>
      <c r="R154" s="591">
        <f t="shared" si="254"/>
        <v>0.70790710831679271</v>
      </c>
      <c r="AB154" s="590">
        <f t="shared" si="255"/>
        <v>0.70883049250599228</v>
      </c>
      <c r="AC154" s="173">
        <f t="shared" si="256"/>
        <v>0.16042050851474313</v>
      </c>
      <c r="AD154" s="173">
        <f t="shared" si="257"/>
        <v>0</v>
      </c>
      <c r="AE154" s="173">
        <f t="shared" si="258"/>
        <v>0</v>
      </c>
      <c r="AF154" s="591">
        <f t="shared" si="259"/>
        <v>0.70205085485608743</v>
      </c>
      <c r="AP154" s="590">
        <f t="shared" si="260"/>
        <v>1.2838948193354245</v>
      </c>
      <c r="AQ154" s="173">
        <f t="shared" si="261"/>
        <v>0.10639286082266261</v>
      </c>
      <c r="AR154" s="173">
        <f t="shared" si="262"/>
        <v>0</v>
      </c>
      <c r="AS154" s="173">
        <f t="shared" si="263"/>
        <v>0</v>
      </c>
      <c r="AT154" s="591">
        <f t="shared" si="264"/>
        <v>0.63745176514578261</v>
      </c>
      <c r="BD154" s="590">
        <f t="shared" si="265"/>
        <v>1.0891735203454218</v>
      </c>
      <c r="BE154" s="173">
        <f t="shared" si="281"/>
        <v>9.6803485198201242E-2</v>
      </c>
      <c r="BF154" s="173">
        <f t="shared" si="266"/>
        <v>0</v>
      </c>
      <c r="BG154" s="173">
        <f t="shared" si="267"/>
        <v>0</v>
      </c>
      <c r="BH154" s="591">
        <f t="shared" si="268"/>
        <v>0.60212150365996076</v>
      </c>
      <c r="BR154" s="590">
        <f t="shared" si="269"/>
        <v>0.9963677797524586</v>
      </c>
      <c r="BS154" s="173">
        <f t="shared" si="282"/>
        <v>0.10431081074132965</v>
      </c>
      <c r="BT154" s="173">
        <f t="shared" si="270"/>
        <v>0</v>
      </c>
      <c r="BU154" s="173">
        <f t="shared" si="271"/>
        <v>0</v>
      </c>
      <c r="BV154" s="591">
        <f t="shared" si="272"/>
        <v>0.62119004889122664</v>
      </c>
      <c r="CF154" s="590">
        <f t="shared" si="273"/>
        <v>0.90210857900895447</v>
      </c>
      <c r="CG154" s="173">
        <f t="shared" si="283"/>
        <v>0.11500139615253066</v>
      </c>
      <c r="CH154" s="173">
        <f t="shared" si="274"/>
        <v>0</v>
      </c>
      <c r="CI154" s="173">
        <f t="shared" si="275"/>
        <v>0</v>
      </c>
      <c r="CJ154" s="591">
        <f t="shared" ref="CJ154:CJ155" si="285">CJ127*CD117</f>
        <v>0.64321745431001121</v>
      </c>
      <c r="CT154" s="590">
        <f t="shared" si="277"/>
        <v>0.80630929268714702</v>
      </c>
      <c r="CU154" s="173">
        <f t="shared" si="284"/>
        <v>0.13150200287252137</v>
      </c>
      <c r="CV154" s="173">
        <f t="shared" si="278"/>
        <v>0</v>
      </c>
      <c r="CW154" s="173">
        <f t="shared" si="279"/>
        <v>0</v>
      </c>
      <c r="CX154" s="591">
        <f t="shared" ref="CX154:CX155" si="286">CX127*CR117</f>
        <v>0.6694647489392187</v>
      </c>
    </row>
    <row r="155" spans="14:102" ht="13.5" thickBot="1">
      <c r="N155" s="592">
        <f t="shared" si="250"/>
        <v>0.2657173226940176</v>
      </c>
      <c r="O155" s="586">
        <f t="shared" si="251"/>
        <v>1.4955036773895513E-2</v>
      </c>
      <c r="P155" s="586">
        <f t="shared" si="252"/>
        <v>0</v>
      </c>
      <c r="Q155" s="586">
        <f t="shared" si="253"/>
        <v>0</v>
      </c>
      <c r="R155" s="593">
        <f t="shared" si="254"/>
        <v>0.12076887111471638</v>
      </c>
      <c r="AB155" s="592">
        <f t="shared" si="255"/>
        <v>7.6732937527470582E-2</v>
      </c>
      <c r="AC155" s="586">
        <f t="shared" si="256"/>
        <v>1.1577320659995718E-2</v>
      </c>
      <c r="AD155" s="586">
        <f t="shared" si="257"/>
        <v>0</v>
      </c>
      <c r="AE155" s="586">
        <f t="shared" si="258"/>
        <v>0</v>
      </c>
      <c r="AF155" s="593">
        <f t="shared" si="259"/>
        <v>7.093242078686271E-2</v>
      </c>
      <c r="AP155" s="592">
        <f t="shared" si="260"/>
        <v>0.19123332891595118</v>
      </c>
      <c r="AQ155" s="586">
        <f t="shared" si="261"/>
        <v>1.0564656149710026E-2</v>
      </c>
      <c r="AR155" s="586">
        <f t="shared" si="262"/>
        <v>0</v>
      </c>
      <c r="AS155" s="586">
        <f t="shared" si="263"/>
        <v>0</v>
      </c>
      <c r="AT155" s="593">
        <f t="shared" si="264"/>
        <v>8.8617244824560334E-2</v>
      </c>
      <c r="BD155" s="592">
        <f t="shared" si="265"/>
        <v>0.14649003093732935</v>
      </c>
      <c r="BE155" s="586">
        <f t="shared" si="281"/>
        <v>8.6798202347216479E-3</v>
      </c>
      <c r="BF155" s="586">
        <f t="shared" si="266"/>
        <v>0</v>
      </c>
      <c r="BG155" s="586">
        <f t="shared" si="267"/>
        <v>0</v>
      </c>
      <c r="BH155" s="593">
        <f t="shared" si="268"/>
        <v>7.5584354847755109E-2</v>
      </c>
      <c r="BR155" s="592">
        <f t="shared" si="269"/>
        <v>0.12933568606666321</v>
      </c>
      <c r="BS155" s="586">
        <f t="shared" si="282"/>
        <v>9.026861061786854E-3</v>
      </c>
      <c r="BT155" s="586">
        <f t="shared" si="270"/>
        <v>0</v>
      </c>
      <c r="BU155" s="586">
        <f t="shared" si="271"/>
        <v>0</v>
      </c>
      <c r="BV155" s="593">
        <f t="shared" si="272"/>
        <v>7.5259263294341544E-2</v>
      </c>
      <c r="CF155" s="592">
        <f t="shared" si="273"/>
        <v>0.11197976997928588</v>
      </c>
      <c r="CG155" s="586">
        <f t="shared" si="283"/>
        <v>9.5168365819884963E-3</v>
      </c>
      <c r="CH155" s="586">
        <f t="shared" si="274"/>
        <v>0</v>
      </c>
      <c r="CI155" s="586">
        <f t="shared" si="275"/>
        <v>0</v>
      </c>
      <c r="CJ155" s="593">
        <f t="shared" si="285"/>
        <v>7.4520430584379932E-2</v>
      </c>
      <c r="CT155" s="592">
        <f t="shared" si="277"/>
        <v>9.443705934523601E-2</v>
      </c>
      <c r="CU155" s="586">
        <f t="shared" si="284"/>
        <v>1.0267906341417807E-2</v>
      </c>
      <c r="CV155" s="586">
        <f t="shared" si="278"/>
        <v>0</v>
      </c>
      <c r="CW155" s="586">
        <f t="shared" si="279"/>
        <v>0</v>
      </c>
      <c r="CX155" s="593">
        <f t="shared" si="286"/>
        <v>7.3182169603251745E-2</v>
      </c>
    </row>
    <row r="156" spans="14:102" ht="13.5" thickTop="1">
      <c r="N156" s="590">
        <f>SUM(N148:N155)</f>
        <v>21.016891470329998</v>
      </c>
      <c r="O156" s="173">
        <f t="shared" ref="O156:R156" si="287">SUM(O148:O155)</f>
        <v>5.5134242940530003</v>
      </c>
      <c r="P156" s="173">
        <f t="shared" si="287"/>
        <v>0</v>
      </c>
      <c r="Q156" s="173">
        <f t="shared" si="287"/>
        <v>0</v>
      </c>
      <c r="R156" s="591">
        <f t="shared" si="287"/>
        <v>9.6221598744419961</v>
      </c>
      <c r="AB156" s="590">
        <f>SUM(AB148:AB155)</f>
        <v>10.919249999999998</v>
      </c>
      <c r="AC156" s="173">
        <f t="shared" ref="AC156:AF156" si="288">SUM(AC148:AC155)</f>
        <v>5.3064999999999989</v>
      </c>
      <c r="AD156" s="173">
        <f t="shared" si="288"/>
        <v>0</v>
      </c>
      <c r="AE156" s="173">
        <f t="shared" si="288"/>
        <v>0</v>
      </c>
      <c r="AF156" s="591">
        <f t="shared" si="288"/>
        <v>10.049399999999999</v>
      </c>
      <c r="AP156" s="590">
        <f>SUM(AP148:AP155)</f>
        <v>20.628520644690003</v>
      </c>
      <c r="AQ156" s="173">
        <f t="shared" ref="AQ156:AT156" si="289">SUM(AQ148:AQ155)</f>
        <v>5.5054656673439997</v>
      </c>
      <c r="AR156" s="173">
        <f t="shared" si="289"/>
        <v>0</v>
      </c>
      <c r="AS156" s="173">
        <f t="shared" si="289"/>
        <v>0</v>
      </c>
      <c r="AT156" s="591">
        <f t="shared" si="289"/>
        <v>9.6385921871915983</v>
      </c>
      <c r="BD156" s="590">
        <f>SUM(BD148:BD155)</f>
        <v>18.686666515770007</v>
      </c>
      <c r="BE156" s="173">
        <f t="shared" ref="BE156:BH156" si="290">SUM(BE148:BE155)</f>
        <v>5.4656725337115004</v>
      </c>
      <c r="BF156" s="173">
        <f t="shared" si="290"/>
        <v>0</v>
      </c>
      <c r="BG156" s="173">
        <f t="shared" si="290"/>
        <v>0</v>
      </c>
      <c r="BH156" s="591">
        <f t="shared" si="290"/>
        <v>9.7207537495961986</v>
      </c>
      <c r="BR156" s="590">
        <f>SUM(BR148:BR155)</f>
        <v>16.744812386849997</v>
      </c>
      <c r="BS156" s="173">
        <f t="shared" ref="BS156:BV156" si="291">SUM(BS148:BS155)</f>
        <v>5.4258794000790003</v>
      </c>
      <c r="BT156" s="173">
        <f t="shared" si="291"/>
        <v>0</v>
      </c>
      <c r="BU156" s="173">
        <f t="shared" si="291"/>
        <v>0</v>
      </c>
      <c r="BV156" s="591">
        <f t="shared" si="291"/>
        <v>9.8029153120008026</v>
      </c>
      <c r="CF156" s="590">
        <f>SUM(CF148:CF155)</f>
        <v>14.802958257929999</v>
      </c>
      <c r="CG156" s="173">
        <f t="shared" ref="CG156:CI156" si="292">SUM(CG148:CG155)</f>
        <v>5.3860862664465001</v>
      </c>
      <c r="CH156" s="173">
        <f t="shared" si="292"/>
        <v>0</v>
      </c>
      <c r="CI156" s="173">
        <f t="shared" si="292"/>
        <v>0</v>
      </c>
      <c r="CJ156" s="591">
        <f>SUM(CJ148:CJ155)</f>
        <v>9.8850768744054012</v>
      </c>
      <c r="CT156" s="590">
        <f>SUM(CT148:CT155)</f>
        <v>12.861104129009998</v>
      </c>
      <c r="CU156" s="173">
        <f t="shared" ref="CU156:CW156" si="293">SUM(CU148:CU155)</f>
        <v>5.3462931328139982</v>
      </c>
      <c r="CV156" s="173">
        <f t="shared" si="293"/>
        <v>0</v>
      </c>
      <c r="CW156" s="173">
        <f t="shared" si="293"/>
        <v>0</v>
      </c>
      <c r="CX156" s="591">
        <f>SUM(CX148:CX155)</f>
        <v>9.9672384368100015</v>
      </c>
    </row>
    <row r="157" spans="14:102">
      <c r="N157" s="596" t="b">
        <f>N104*N106=SUM(N148:N155)</f>
        <v>1</v>
      </c>
      <c r="O157" s="597" t="b">
        <f>O104*O106=SUM(O148:O155)</f>
        <v>1</v>
      </c>
      <c r="P157" s="597" t="b">
        <f>P104*P106=SUM(P148:P155)</f>
        <v>1</v>
      </c>
      <c r="Q157" s="597" t="b">
        <f>Q104*Q106=SUM(Q148:Q155)</f>
        <v>1</v>
      </c>
      <c r="R157" s="598" t="b">
        <f>R104*R106=SUM(R148:R155)</f>
        <v>1</v>
      </c>
      <c r="AB157" s="596" t="b">
        <f>AB104*AB106=SUM(AB148:AB155)</f>
        <v>1</v>
      </c>
      <c r="AC157" s="597" t="b">
        <f>AC104*AC106=SUM(AC148:AC155)</f>
        <v>1</v>
      </c>
      <c r="AD157" s="597" t="b">
        <f>AD104*AD106=SUM(AD148:AD155)</f>
        <v>1</v>
      </c>
      <c r="AE157" s="597" t="b">
        <f>AE104*AE106=SUM(AE148:AE155)</f>
        <v>1</v>
      </c>
      <c r="AF157" s="598" t="b">
        <f>AF104*AF106=SUM(AF148:AF155)</f>
        <v>1</v>
      </c>
      <c r="AP157" s="596" t="b">
        <f>AP104*AP106=SUM(AP148:AP155)</f>
        <v>1</v>
      </c>
      <c r="AQ157" s="597" t="b">
        <f>AQ104*AQ106=SUM(AQ148:AQ155)</f>
        <v>1</v>
      </c>
      <c r="AR157" s="597" t="b">
        <f>AR104*AR106=SUM(AR148:AR155)</f>
        <v>1</v>
      </c>
      <c r="AS157" s="597" t="b">
        <f>AS104*AS106=SUM(AS148:AS155)</f>
        <v>1</v>
      </c>
      <c r="AT157" s="598" t="b">
        <f>AT104*AT106=SUM(AT148:AT155)</f>
        <v>1</v>
      </c>
      <c r="BD157" s="596" t="b">
        <f>BD104*BD106=SUM(BD148:BD155)</f>
        <v>1</v>
      </c>
      <c r="BE157" s="597" t="b">
        <f>BE104*BE106=SUM(BE148:BE155)</f>
        <v>1</v>
      </c>
      <c r="BF157" s="597" t="b">
        <f>BF104*BF106=SUM(BF148:BF155)</f>
        <v>1</v>
      </c>
      <c r="BG157" s="597" t="b">
        <f>BG104*BG106=SUM(BG148:BG155)</f>
        <v>1</v>
      </c>
      <c r="BH157" s="598" t="b">
        <f>BH104*BH106=SUM(BH148:BH155)</f>
        <v>1</v>
      </c>
      <c r="BR157" s="596" t="b">
        <f>BR104*BR106=SUM(BR148:BR155)</f>
        <v>1</v>
      </c>
      <c r="BS157" s="597" t="b">
        <f>BS104*BS106=SUM(BS148:BS155)</f>
        <v>1</v>
      </c>
      <c r="BT157" s="597" t="b">
        <f>BT104*BT106=SUM(BT148:BT155)</f>
        <v>1</v>
      </c>
      <c r="BU157" s="597" t="b">
        <f>BU104*BU106=SUM(BU148:BU155)</f>
        <v>1</v>
      </c>
      <c r="BV157" s="598" t="b">
        <f>BV104*BV106=SUM(BV148:BV155)</f>
        <v>1</v>
      </c>
      <c r="CF157" s="596" t="b">
        <f>CF104*CF106=SUM(CF148:CF155)</f>
        <v>1</v>
      </c>
      <c r="CG157" s="597" t="b">
        <f>CG104*CG106=SUM(CG148:CG155)</f>
        <v>1</v>
      </c>
      <c r="CH157" s="597" t="b">
        <f>CH104*CH106=SUM(CH148:CH155)</f>
        <v>1</v>
      </c>
      <c r="CI157" s="597" t="b">
        <f>CI104*CI106=SUM(CI148:CI155)</f>
        <v>1</v>
      </c>
      <c r="CJ157" s="598" t="b">
        <f>CJ104*CJ106=SUM(CJ148:CJ155)</f>
        <v>1</v>
      </c>
      <c r="CT157" s="596" t="b">
        <f>CT104*CT106=SUM(CT148:CT155)</f>
        <v>1</v>
      </c>
      <c r="CU157" s="597" t="b">
        <f>CU104*CU106=SUM(CU148:CU155)</f>
        <v>1</v>
      </c>
      <c r="CV157" s="597" t="b">
        <f>CV104*CV106=SUM(CV148:CV155)</f>
        <v>1</v>
      </c>
      <c r="CW157" s="597" t="b">
        <f>CW104*CW106=SUM(CW148:CW155)</f>
        <v>1</v>
      </c>
      <c r="CX157" s="598" t="b">
        <f>CX104*CX106=SUM(CX148:CX155)</f>
        <v>1</v>
      </c>
    </row>
    <row r="158" spans="14:102">
      <c r="N158" s="594"/>
      <c r="R158" s="595"/>
      <c r="AB158" s="594"/>
      <c r="AF158" s="595"/>
      <c r="AP158" s="594"/>
      <c r="AT158" s="595"/>
      <c r="BD158" s="594"/>
      <c r="BH158" s="595"/>
      <c r="BR158" s="594"/>
      <c r="BV158" s="595"/>
      <c r="CF158" s="594"/>
      <c r="CJ158" s="595"/>
      <c r="CT158" s="594"/>
      <c r="CX158" s="595"/>
    </row>
    <row r="159" spans="14:102">
      <c r="N159" s="590">
        <f>$L$133*N139</f>
        <v>0.51696835531245144</v>
      </c>
      <c r="O159" s="173">
        <f>$L$133*O139</f>
        <v>0</v>
      </c>
      <c r="P159" s="173">
        <f>$L$133*P139</f>
        <v>0.22672497906252062</v>
      </c>
      <c r="Q159" s="173">
        <f>$L$133*Q139</f>
        <v>0.77031345525029782</v>
      </c>
      <c r="R159" s="591">
        <f>$L$133*R139</f>
        <v>0.79329928240058101</v>
      </c>
      <c r="AB159" s="590">
        <f>$L$133*AB139</f>
        <v>0.5183454212629337</v>
      </c>
      <c r="AC159" s="173">
        <f>$L$133*AC139</f>
        <v>0</v>
      </c>
      <c r="AD159" s="173">
        <f>$L$133*AD139</f>
        <v>0.33161025763534696</v>
      </c>
      <c r="AE159" s="173">
        <f>$L$133*AE139</f>
        <v>5.7326483659502045</v>
      </c>
      <c r="AF159" s="591">
        <f>$L$133*AF139</f>
        <v>1.5880869175875985</v>
      </c>
      <c r="AP159" s="590">
        <f>AN133*AP139</f>
        <v>0.50340463743373098</v>
      </c>
      <c r="AQ159" s="173">
        <f>AN133*AQ139</f>
        <v>0</v>
      </c>
      <c r="AR159" s="746">
        <f>AN133*AR139</f>
        <v>0.22037453842294816</v>
      </c>
      <c r="AS159" s="173">
        <f>AN133*AS139</f>
        <v>0.8440374120282973</v>
      </c>
      <c r="AT159" s="591">
        <f>AN133*AT139</f>
        <v>0.78301559428686907</v>
      </c>
      <c r="BD159" s="590">
        <f>BB133*BD139</f>
        <v>0.45601692647978059</v>
      </c>
      <c r="BE159" s="173">
        <f>BB133*BE139</f>
        <v>0</v>
      </c>
      <c r="BF159" s="746">
        <f>BB133*BF139</f>
        <v>0.21039383999994171</v>
      </c>
      <c r="BG159" s="173">
        <f>BB133*BG139</f>
        <v>1.2646269959702292</v>
      </c>
      <c r="BH159" s="591">
        <f>BB133*BH139</f>
        <v>0.78969019814647268</v>
      </c>
      <c r="BR159" s="590">
        <f>BP133*BR139</f>
        <v>0.4086292155258302</v>
      </c>
      <c r="BS159" s="173">
        <f>BP133*BS139</f>
        <v>0</v>
      </c>
      <c r="BT159" s="746">
        <f>BP133*BT139</f>
        <v>0.20041314157693532</v>
      </c>
      <c r="BU159" s="173">
        <f>BP133*BU139</f>
        <v>1.6852165799121603</v>
      </c>
      <c r="BV159" s="591">
        <f>BP133*BV139</f>
        <v>0.7963648020060764</v>
      </c>
      <c r="CF159" s="590">
        <f>CD133*CF139</f>
        <v>0.36124150457187992</v>
      </c>
      <c r="CG159" s="173">
        <f>CD133*CG139</f>
        <v>0</v>
      </c>
      <c r="CH159" s="746">
        <f>CD133*CH139</f>
        <v>0.19043244315392888</v>
      </c>
      <c r="CI159" s="173">
        <f>CD133*CI139</f>
        <v>2.1058061638540919</v>
      </c>
      <c r="CJ159" s="591">
        <f>CD133*CJ139</f>
        <v>0.80303940586568012</v>
      </c>
      <c r="CT159" s="590">
        <f>CR133*CT139</f>
        <v>0.31385379361792964</v>
      </c>
      <c r="CU159" s="173">
        <f>CR133*CU139</f>
        <v>0</v>
      </c>
      <c r="CV159" s="746">
        <f>CR133*CV139</f>
        <v>0.18045174473092249</v>
      </c>
      <c r="CW159" s="173">
        <f>CR133*CW139</f>
        <v>2.5263957477960228</v>
      </c>
      <c r="CX159" s="591">
        <f>CR133*CX139</f>
        <v>0.80971400972528396</v>
      </c>
    </row>
    <row r="160" spans="14:102">
      <c r="N160" s="590">
        <f>$L$134*N140</f>
        <v>0.75468371381086363</v>
      </c>
      <c r="O160" s="173">
        <f>$L$134*O140</f>
        <v>0</v>
      </c>
      <c r="P160" s="173">
        <f>$L$134*P140</f>
        <v>0.22065264079742819</v>
      </c>
      <c r="Q160" s="173">
        <f>$L$134*Q140</f>
        <v>0.29987291007030886</v>
      </c>
      <c r="R160" s="591">
        <f>$L$134*R140</f>
        <v>0.84925772431866065</v>
      </c>
      <c r="AB160" s="590">
        <f>$L$134*AB140</f>
        <v>0.75669399013627681</v>
      </c>
      <c r="AC160" s="173">
        <f>$L$134*AC140</f>
        <v>0</v>
      </c>
      <c r="AD160" s="173">
        <f>$L$134*AD140</f>
        <v>0.32272879400102455</v>
      </c>
      <c r="AE160" s="173">
        <f>$L$134*AE140</f>
        <v>2.2316447105921484</v>
      </c>
      <c r="AF160" s="591">
        <f>$L$134*AF140</f>
        <v>1.700108788160543</v>
      </c>
      <c r="AP160" s="590">
        <f t="shared" ref="AP160:AP162" si="294">AN134*AP140</f>
        <v>0.73167050412842871</v>
      </c>
      <c r="AQ160" s="173">
        <f t="shared" ref="AQ160:AQ162" si="295">AN134*AQ140</f>
        <v>0</v>
      </c>
      <c r="AR160" s="746">
        <f t="shared" ref="AR160:AR162" si="296">AN134*AR140</f>
        <v>0.2135347162565811</v>
      </c>
      <c r="AS160" s="173">
        <f t="shared" ref="AS160:AS162" si="297">AN134*AS140</f>
        <v>0.32713632087840788</v>
      </c>
      <c r="AT160" s="591">
        <f t="shared" ref="AT160:AT162" si="298">AN134*AT140</f>
        <v>0.83458422802271048</v>
      </c>
      <c r="BD160" s="590">
        <f t="shared" ref="BD160:BD162" si="299">BB134*BD140</f>
        <v>0.66279511485922782</v>
      </c>
      <c r="BE160" s="173">
        <f t="shared" ref="BE160:BE162" si="300">BB134*BE140</f>
        <v>0</v>
      </c>
      <c r="BF160" s="746">
        <f t="shared" ref="BF160:BF162" si="301">BB134*BF140</f>
        <v>0.20386379138000174</v>
      </c>
      <c r="BG160" s="173">
        <f t="shared" ref="BG160:BG162" si="302">BB134*BG140</f>
        <v>0.49015057490288605</v>
      </c>
      <c r="BH160" s="591">
        <f t="shared" ref="BH160:BH162" si="303">BB134*BH140</f>
        <v>0.84169841470068851</v>
      </c>
      <c r="BR160" s="590">
        <f t="shared" ref="BR160:BR162" si="304">BP134*BR140</f>
        <v>0.59391972559002715</v>
      </c>
      <c r="BS160" s="173">
        <f t="shared" ref="BS160:BS162" si="305">BP134*BS140</f>
        <v>0</v>
      </c>
      <c r="BT160" s="746">
        <f t="shared" ref="BT160:BT162" si="306">BP134*BT140</f>
        <v>0.19419286650342243</v>
      </c>
      <c r="BU160" s="173">
        <f t="shared" ref="BU160:BU162" si="307">BP134*BU140</f>
        <v>0.65316482892736394</v>
      </c>
      <c r="BV160" s="591">
        <f t="shared" ref="BV160:BV162" si="308">BP134*BV140</f>
        <v>0.84881260137866676</v>
      </c>
      <c r="CF160" s="590">
        <f>CD134*CF140</f>
        <v>0.52504433632082648</v>
      </c>
      <c r="CG160" s="173">
        <f t="shared" ref="CG160:CG162" si="309">CD134*CG140</f>
        <v>0</v>
      </c>
      <c r="CH160" s="746">
        <f t="shared" ref="CH160:CH162" si="310">CD134*CH140</f>
        <v>0.18452194162684307</v>
      </c>
      <c r="CI160" s="173">
        <f t="shared" ref="CI160:CI162" si="311">CD134*CI140</f>
        <v>0.81617908295184194</v>
      </c>
      <c r="CJ160" s="591">
        <f t="shared" ref="CJ160:CJ162" si="312">CD134*CJ140</f>
        <v>0.8559267880566449</v>
      </c>
      <c r="CT160" s="590">
        <f>CR134*CT140</f>
        <v>0.45616894705162575</v>
      </c>
      <c r="CU160" s="173">
        <f t="shared" ref="CU160:CU162" si="313">CR134*CU140</f>
        <v>0</v>
      </c>
      <c r="CV160" s="746">
        <f t="shared" ref="CV160:CV162" si="314">CR134*CV140</f>
        <v>0.17485101675026377</v>
      </c>
      <c r="CW160" s="173">
        <f t="shared" ref="CW160:CW162" si="315">CR134*CW140</f>
        <v>0.97919333697631983</v>
      </c>
      <c r="CX160" s="591">
        <f t="shared" ref="CX160:CX162" si="316">CR134*CX140</f>
        <v>0.86304097473462327</v>
      </c>
    </row>
    <row r="161" spans="14:102">
      <c r="N161" s="590">
        <f>$L$135*N141</f>
        <v>0.40204964730929321</v>
      </c>
      <c r="O161" s="173">
        <f>$L$135*O141</f>
        <v>0</v>
      </c>
      <c r="P161" s="173">
        <f>$L$135*P141</f>
        <v>3.0367167490134808</v>
      </c>
      <c r="Q161" s="173">
        <f>$L$135*Q141</f>
        <v>0.83205246784346354</v>
      </c>
      <c r="R161" s="591">
        <f>$L$135*R141</f>
        <v>2.7420177951132967</v>
      </c>
      <c r="AB161" s="590">
        <f>$L$135*AB141</f>
        <v>0.40312060044215636</v>
      </c>
      <c r="AC161" s="173">
        <f>$L$135*AC141</f>
        <v>0</v>
      </c>
      <c r="AD161" s="173">
        <f>$L$135*AD141</f>
        <v>4.4415327665693427</v>
      </c>
      <c r="AE161" s="173">
        <f>$L$135*AE141</f>
        <v>6.1921081446224973</v>
      </c>
      <c r="AF161" s="591">
        <f>$L$135*AF141</f>
        <v>5.4891800419062493</v>
      </c>
      <c r="AP161" s="590">
        <f t="shared" si="294"/>
        <v>0.39976539172954417</v>
      </c>
      <c r="AQ161" s="173">
        <f t="shared" si="295"/>
        <v>0</v>
      </c>
      <c r="AR161" s="746">
        <f t="shared" si="296"/>
        <v>3.0139676481486601</v>
      </c>
      <c r="AS161" s="173">
        <f t="shared" si="297"/>
        <v>0.93093033572239359</v>
      </c>
      <c r="AT161" s="591">
        <f t="shared" si="298"/>
        <v>2.7636043982975722</v>
      </c>
      <c r="BD161" s="590">
        <f t="shared" si="299"/>
        <v>0.36213370257935001</v>
      </c>
      <c r="BE161" s="173">
        <f t="shared" si="300"/>
        <v>0</v>
      </c>
      <c r="BF161" s="746">
        <f t="shared" si="301"/>
        <v>2.8774659344382654</v>
      </c>
      <c r="BG161" s="173">
        <f t="shared" si="302"/>
        <v>1.3948192546264742</v>
      </c>
      <c r="BH161" s="591">
        <f t="shared" si="303"/>
        <v>2.7871619937246397</v>
      </c>
      <c r="BR161" s="590">
        <f t="shared" si="304"/>
        <v>0.3245020134291558</v>
      </c>
      <c r="BS161" s="173">
        <f t="shared" si="305"/>
        <v>0</v>
      </c>
      <c r="BT161" s="746">
        <f t="shared" si="306"/>
        <v>2.740964220727871</v>
      </c>
      <c r="BU161" s="173">
        <f t="shared" si="307"/>
        <v>1.8587081735305537</v>
      </c>
      <c r="BV161" s="591">
        <f t="shared" si="308"/>
        <v>2.8107195891517076</v>
      </c>
      <c r="CF161" s="590">
        <f>CD135*CF141</f>
        <v>0.28687032427896164</v>
      </c>
      <c r="CG161" s="173">
        <f t="shared" si="309"/>
        <v>0</v>
      </c>
      <c r="CH161" s="746">
        <f t="shared" si="310"/>
        <v>2.6044625070174758</v>
      </c>
      <c r="CI161" s="173">
        <f t="shared" si="311"/>
        <v>2.3225970924346333</v>
      </c>
      <c r="CJ161" s="591">
        <f t="shared" si="312"/>
        <v>2.8342771845787746</v>
      </c>
      <c r="CT161" s="590">
        <f>CR135*CT141</f>
        <v>0.24923863512876757</v>
      </c>
      <c r="CU161" s="173">
        <f t="shared" si="313"/>
        <v>0</v>
      </c>
      <c r="CV161" s="746">
        <f t="shared" si="314"/>
        <v>2.4679607933070815</v>
      </c>
      <c r="CW161" s="173">
        <f t="shared" si="315"/>
        <v>2.7864860113387127</v>
      </c>
      <c r="CX161" s="591">
        <f t="shared" si="316"/>
        <v>2.8578347800058426</v>
      </c>
    </row>
    <row r="162" spans="14:102" ht="13.5" thickBot="1">
      <c r="N162" s="592">
        <f>$L$136*N142</f>
        <v>0.66150844693739164</v>
      </c>
      <c r="O162" s="586">
        <f>$L$136*O142</f>
        <v>0</v>
      </c>
      <c r="P162" s="586">
        <f>$L$136*P142</f>
        <v>7.2528853671765683</v>
      </c>
      <c r="Q162" s="586">
        <f>$L$136*Q142</f>
        <v>1.4785301233659296</v>
      </c>
      <c r="R162" s="593">
        <f>$L$136*R142</f>
        <v>2.0301984477954607</v>
      </c>
      <c r="AB162" s="592">
        <f>$L$136*AB142</f>
        <v>0.66327052917873741</v>
      </c>
      <c r="AC162" s="586">
        <f>$L$136*AC142</f>
        <v>0</v>
      </c>
      <c r="AD162" s="586">
        <f>$L$136*AD142</f>
        <v>10.608143818797451</v>
      </c>
      <c r="AE162" s="586">
        <f>$L$136*AE142</f>
        <v>11.003174406408078</v>
      </c>
      <c r="AF162" s="593">
        <f>$L$136*AF142</f>
        <v>4.0642058635098781</v>
      </c>
      <c r="AP162" s="592">
        <f t="shared" si="294"/>
        <v>0.65721731611829659</v>
      </c>
      <c r="AQ162" s="586">
        <f t="shared" si="295"/>
        <v>0</v>
      </c>
      <c r="AR162" s="747">
        <f t="shared" si="296"/>
        <v>7.1927209203652094</v>
      </c>
      <c r="AS162" s="586">
        <f t="shared" si="297"/>
        <v>1.6528930051117001</v>
      </c>
      <c r="AT162" s="593">
        <f t="shared" si="298"/>
        <v>2.0445239041872489</v>
      </c>
      <c r="BD162" s="592">
        <f t="shared" si="299"/>
        <v>0.59535053561164164</v>
      </c>
      <c r="BE162" s="586">
        <f t="shared" si="300"/>
        <v>0</v>
      </c>
      <c r="BF162" s="747">
        <f t="shared" si="301"/>
        <v>6.8669646925325898</v>
      </c>
      <c r="BG162" s="586">
        <f t="shared" si="302"/>
        <v>2.4765408332925118</v>
      </c>
      <c r="BH162" s="593">
        <f t="shared" si="303"/>
        <v>2.0619518931589993</v>
      </c>
      <c r="BR162" s="592">
        <f t="shared" si="304"/>
        <v>0.53348375510498669</v>
      </c>
      <c r="BS162" s="586">
        <f t="shared" si="305"/>
        <v>0</v>
      </c>
      <c r="BT162" s="747">
        <f t="shared" si="306"/>
        <v>6.5412084646999711</v>
      </c>
      <c r="BU162" s="586">
        <f t="shared" si="307"/>
        <v>3.3001886614733222</v>
      </c>
      <c r="BV162" s="593">
        <f t="shared" si="308"/>
        <v>2.0793798821307501</v>
      </c>
      <c r="CF162" s="592">
        <f t="shared" ref="CF162" si="317">CD136*CF142</f>
        <v>0.4716169745983318</v>
      </c>
      <c r="CG162" s="586">
        <f t="shared" si="309"/>
        <v>0</v>
      </c>
      <c r="CH162" s="747">
        <f t="shared" si="310"/>
        <v>6.2154522368673515</v>
      </c>
      <c r="CI162" s="586">
        <f t="shared" si="311"/>
        <v>4.1238364896541331</v>
      </c>
      <c r="CJ162" s="593">
        <f t="shared" si="312"/>
        <v>2.0968078711025009</v>
      </c>
      <c r="CT162" s="592">
        <f t="shared" ref="CT162" si="318">CR136*CT142</f>
        <v>0.4097501940916769</v>
      </c>
      <c r="CU162" s="586">
        <f t="shared" si="313"/>
        <v>0</v>
      </c>
      <c r="CV162" s="747">
        <f t="shared" si="314"/>
        <v>5.8896960090347319</v>
      </c>
      <c r="CW162" s="586">
        <f t="shared" si="315"/>
        <v>4.9474843178349426</v>
      </c>
      <c r="CX162" s="593">
        <f t="shared" si="316"/>
        <v>2.1142358600742517</v>
      </c>
    </row>
    <row r="163" spans="14:102" ht="13.5" thickTop="1">
      <c r="N163" s="590">
        <f>SUM(N159:N162)</f>
        <v>2.3352101633699998</v>
      </c>
      <c r="O163" s="173">
        <f t="shared" ref="O163:R163" si="319">SUM(O159:O162)</f>
        <v>0</v>
      </c>
      <c r="P163" s="173">
        <f t="shared" si="319"/>
        <v>10.736979736049998</v>
      </c>
      <c r="Q163" s="173">
        <f t="shared" si="319"/>
        <v>3.3807689565299999</v>
      </c>
      <c r="R163" s="591">
        <f t="shared" si="319"/>
        <v>6.4147732496279994</v>
      </c>
      <c r="AB163" s="590">
        <f>SUM(AB159:AB162)</f>
        <v>2.3414305410201042</v>
      </c>
      <c r="AC163" s="173">
        <f t="shared" ref="AC163:AF163" si="320">SUM(AC159:AC162)</f>
        <v>0</v>
      </c>
      <c r="AD163" s="173">
        <f t="shared" si="320"/>
        <v>15.704015637003167</v>
      </c>
      <c r="AE163" s="173">
        <f t="shared" si="320"/>
        <v>25.159575627572927</v>
      </c>
      <c r="AF163" s="591">
        <f t="shared" si="320"/>
        <v>12.841581611164269</v>
      </c>
      <c r="AP163" s="590">
        <f>SUM(AP159:AP162)</f>
        <v>2.2920578494100003</v>
      </c>
      <c r="AQ163" s="173">
        <f t="shared" ref="AQ163:AT163" si="321">SUM(AQ159:AQ162)</f>
        <v>0</v>
      </c>
      <c r="AR163" s="173">
        <f t="shared" si="321"/>
        <v>10.640597823193399</v>
      </c>
      <c r="AS163" s="173">
        <f t="shared" si="321"/>
        <v>3.7549970737407987</v>
      </c>
      <c r="AT163" s="591">
        <f t="shared" si="321"/>
        <v>6.4257281247944</v>
      </c>
      <c r="BD163" s="590">
        <f>SUM(BD159:BD162)</f>
        <v>2.0762962795300002</v>
      </c>
      <c r="BE163" s="173">
        <f t="shared" ref="BE163:BH163" si="322">SUM(BE159:BE162)</f>
        <v>0</v>
      </c>
      <c r="BF163" s="173">
        <f t="shared" si="322"/>
        <v>10.158688258350798</v>
      </c>
      <c r="BG163" s="173">
        <f t="shared" si="322"/>
        <v>5.6261376587921017</v>
      </c>
      <c r="BH163" s="591">
        <f t="shared" si="322"/>
        <v>6.4805024997308003</v>
      </c>
      <c r="BR163" s="590">
        <f>SUM(BR159:BR162)</f>
        <v>1.8605347096499998</v>
      </c>
      <c r="BS163" s="173">
        <f t="shared" ref="BS163:BV163" si="323">SUM(BS159:BS162)</f>
        <v>0</v>
      </c>
      <c r="BT163" s="173">
        <f t="shared" si="323"/>
        <v>9.6767786935082007</v>
      </c>
      <c r="BU163" s="173">
        <f t="shared" si="323"/>
        <v>7.4972782438434002</v>
      </c>
      <c r="BV163" s="591">
        <f t="shared" si="323"/>
        <v>6.5352768746672005</v>
      </c>
      <c r="CF163" s="590">
        <f>SUM(CF159:CF162)</f>
        <v>1.6447731397699998</v>
      </c>
      <c r="CG163" s="173">
        <f t="shared" ref="CG163:CJ163" si="324">SUM(CG159:CG162)</f>
        <v>0</v>
      </c>
      <c r="CH163" s="173">
        <f t="shared" si="324"/>
        <v>9.1948691286655997</v>
      </c>
      <c r="CI163" s="173">
        <f t="shared" si="324"/>
        <v>9.3684188288947006</v>
      </c>
      <c r="CJ163" s="591">
        <f t="shared" si="324"/>
        <v>6.5900512496036008</v>
      </c>
      <c r="CT163" s="590">
        <f>SUM(CT159:CT162)</f>
        <v>1.4290115698900001</v>
      </c>
      <c r="CU163" s="173">
        <f t="shared" ref="CU163:CX163" si="325">SUM(CU159:CU162)</f>
        <v>0</v>
      </c>
      <c r="CV163" s="173">
        <f t="shared" si="325"/>
        <v>8.7129595638229986</v>
      </c>
      <c r="CW163" s="173">
        <f t="shared" si="325"/>
        <v>11.239559413945997</v>
      </c>
      <c r="CX163" s="591">
        <f t="shared" si="325"/>
        <v>6.6448256245400019</v>
      </c>
    </row>
    <row r="164" spans="14:102" ht="13.5" thickBot="1">
      <c r="N164" s="599" t="b">
        <f>N104*N107=N163</f>
        <v>1</v>
      </c>
      <c r="O164" s="600" t="b">
        <f>O104*O107=O163</f>
        <v>1</v>
      </c>
      <c r="P164" s="600" t="b">
        <f>P104*P107=P163</f>
        <v>1</v>
      </c>
      <c r="Q164" s="600" t="b">
        <f>Q104*Q107=Q163</f>
        <v>1</v>
      </c>
      <c r="R164" s="601" t="b">
        <f>R104*R107=R163</f>
        <v>1</v>
      </c>
      <c r="AB164" s="599" t="b">
        <f>AB104*AB107=AB163</f>
        <v>0</v>
      </c>
      <c r="AC164" s="600" t="b">
        <f>AC104*AC107=AC163</f>
        <v>1</v>
      </c>
      <c r="AD164" s="600" t="b">
        <f>AD104*AD107=AD163</f>
        <v>0</v>
      </c>
      <c r="AE164" s="600" t="b">
        <f>AE104*AE107=AE163</f>
        <v>0</v>
      </c>
      <c r="AF164" s="601" t="b">
        <f>AF104*AF107=AF163</f>
        <v>0</v>
      </c>
      <c r="AP164" s="599" t="b">
        <f>AP104*AP107=AP163</f>
        <v>1</v>
      </c>
      <c r="AQ164" s="600" t="b">
        <f>AQ104*AQ107=AQ163</f>
        <v>1</v>
      </c>
      <c r="AR164" s="600" t="b">
        <f>AR104*AR107=AR163</f>
        <v>1</v>
      </c>
      <c r="AS164" s="600" t="b">
        <f>AS104*AS107=AS163</f>
        <v>1</v>
      </c>
      <c r="AT164" s="601" t="b">
        <f>AT104*AT107=AT163</f>
        <v>1</v>
      </c>
      <c r="BD164" s="599" t="b">
        <f>BD104*BD107=BD163</f>
        <v>1</v>
      </c>
      <c r="BE164" s="600" t="b">
        <f>BE104*BE107=BE163</f>
        <v>1</v>
      </c>
      <c r="BF164" s="600" t="b">
        <f>BF104*BF107=BF163</f>
        <v>1</v>
      </c>
      <c r="BG164" s="600" t="b">
        <f>BG104*BG107=BG163</f>
        <v>1</v>
      </c>
      <c r="BH164" s="601" t="b">
        <f>BH104*BH107=BH163</f>
        <v>1</v>
      </c>
      <c r="BR164" s="599" t="b">
        <f>BR104*BR107=BR163</f>
        <v>1</v>
      </c>
      <c r="BS164" s="600" t="b">
        <f>BS104*BS107=BS163</f>
        <v>1</v>
      </c>
      <c r="BT164" s="600" t="b">
        <f>BT104*BT107=BT163</f>
        <v>1</v>
      </c>
      <c r="BU164" s="600" t="b">
        <f>BU104*BU107=BU163</f>
        <v>1</v>
      </c>
      <c r="BV164" s="601" t="b">
        <f>BV104*BV107=BV163</f>
        <v>1</v>
      </c>
      <c r="CF164" s="599" t="b">
        <f>CF104*CF107=CF163</f>
        <v>1</v>
      </c>
      <c r="CG164" s="600" t="b">
        <f>CG104*CG107=CG163</f>
        <v>1</v>
      </c>
      <c r="CH164" s="600" t="b">
        <f>CH104*CH107=CH163</f>
        <v>1</v>
      </c>
      <c r="CI164" s="600" t="b">
        <f>CI104*CI107=CI163</f>
        <v>1</v>
      </c>
      <c r="CJ164" s="601" t="b">
        <f>CJ104*CJ107=CJ163</f>
        <v>1</v>
      </c>
      <c r="CT164" s="599" t="b">
        <f>CT104*CT107=CT163</f>
        <v>1</v>
      </c>
      <c r="CU164" s="600" t="b">
        <f>CU104*CU107=CU163</f>
        <v>1</v>
      </c>
      <c r="CV164" s="600" t="b">
        <f>CV104*CV107=CV163</f>
        <v>1</v>
      </c>
      <c r="CW164" s="600" t="b">
        <f>CW104*CW107=CW163</f>
        <v>1</v>
      </c>
      <c r="CX164" s="601" t="b">
        <f>CX104*CX107=CX163</f>
        <v>1</v>
      </c>
    </row>
  </sheetData>
  <mergeCells count="46">
    <mergeCell ref="AB138:AF138"/>
    <mergeCell ref="AB132:AF132"/>
    <mergeCell ref="AH54:AJ54"/>
    <mergeCell ref="CL53:CX53"/>
    <mergeCell ref="BX54:BZ54"/>
    <mergeCell ref="BJ54:BL54"/>
    <mergeCell ref="AL130:AT130"/>
    <mergeCell ref="AL108:AT108"/>
    <mergeCell ref="X130:AF130"/>
    <mergeCell ref="X108:AF108"/>
    <mergeCell ref="CF73:CJ73"/>
    <mergeCell ref="BX53:CJ53"/>
    <mergeCell ref="CA54:CE54"/>
    <mergeCell ref="CF54:CJ54"/>
    <mergeCell ref="AP73:AT73"/>
    <mergeCell ref="AB73:AF73"/>
    <mergeCell ref="N120:R120"/>
    <mergeCell ref="N110:R110"/>
    <mergeCell ref="N132:R132"/>
    <mergeCell ref="N138:R138"/>
    <mergeCell ref="B54:D54"/>
    <mergeCell ref="F54:G54"/>
    <mergeCell ref="F55:F56"/>
    <mergeCell ref="G55:G56"/>
    <mergeCell ref="I54:M54"/>
    <mergeCell ref="N89:R89"/>
    <mergeCell ref="N75:R75"/>
    <mergeCell ref="F53:R53"/>
    <mergeCell ref="M74:M75"/>
    <mergeCell ref="N54:R54"/>
    <mergeCell ref="T53:AF53"/>
    <mergeCell ref="AB54:AF54"/>
    <mergeCell ref="V54:AA54"/>
    <mergeCell ref="T54:U54"/>
    <mergeCell ref="N73:R73"/>
    <mergeCell ref="AB120:AF120"/>
    <mergeCell ref="AH53:AT53"/>
    <mergeCell ref="AK54:AO54"/>
    <mergeCell ref="AP54:AT54"/>
    <mergeCell ref="AP75:AT75"/>
    <mergeCell ref="AP89:AT89"/>
    <mergeCell ref="AV53:BH53"/>
    <mergeCell ref="BJ53:BV53"/>
    <mergeCell ref="BM54:BQ54"/>
    <mergeCell ref="BR54:BV54"/>
    <mergeCell ref="AB110:AF110"/>
  </mergeCells>
  <phoneticPr fontId="166" type="noConversion"/>
  <conditionalFormatting sqref="H57:H69">
    <cfRule type="colorScale" priority="25">
      <colorScale>
        <cfvo type="percent" val="0"/>
        <cfvo type="percent" val="100"/>
        <color theme="0"/>
        <color theme="6" tint="0.39997558519241921"/>
      </colorScale>
    </cfRule>
  </conditionalFormatting>
  <conditionalFormatting sqref="I57:M69">
    <cfRule type="colorScale" priority="24">
      <colorScale>
        <cfvo type="percent" val="0"/>
        <cfvo type="percent" val="100"/>
        <color theme="0"/>
        <color theme="6" tint="0.39997558519241921"/>
      </colorScale>
    </cfRule>
  </conditionalFormatting>
  <conditionalFormatting sqref="N57:R69">
    <cfRule type="colorScale" priority="23">
      <colorScale>
        <cfvo type="num" val="0"/>
        <cfvo type="num" val="79000"/>
        <color theme="0"/>
        <color theme="6" tint="0.39997558519241921"/>
      </colorScale>
    </cfRule>
  </conditionalFormatting>
  <conditionalFormatting sqref="V57:V69">
    <cfRule type="colorScale" priority="18">
      <colorScale>
        <cfvo type="percent" val="0"/>
        <cfvo type="percent" val="100"/>
        <color theme="0"/>
        <color theme="6" tint="0.39997558519241921"/>
      </colorScale>
    </cfRule>
  </conditionalFormatting>
  <conditionalFormatting sqref="W57:AA69">
    <cfRule type="colorScale" priority="17">
      <colorScale>
        <cfvo type="percent" val="0"/>
        <cfvo type="percent" val="100"/>
        <color theme="0"/>
        <color theme="6" tint="0.39997558519241921"/>
      </colorScale>
    </cfRule>
  </conditionalFormatting>
  <conditionalFormatting sqref="AB57:AF69">
    <cfRule type="colorScale" priority="16">
      <colorScale>
        <cfvo type="num" val="0"/>
        <cfvo type="num" val="79000"/>
        <color theme="0"/>
        <color theme="6" tint="0.39997558519241921"/>
      </colorScale>
    </cfRule>
  </conditionalFormatting>
  <conditionalFormatting sqref="AJ57:AJ69">
    <cfRule type="colorScale" priority="15">
      <colorScale>
        <cfvo type="percent" val="0"/>
        <cfvo type="percent" val="100"/>
        <color theme="0"/>
        <color theme="6" tint="0.39997558519241921"/>
      </colorScale>
    </cfRule>
  </conditionalFormatting>
  <conditionalFormatting sqref="AK57:AO69">
    <cfRule type="colorScale" priority="14">
      <colorScale>
        <cfvo type="percent" val="0"/>
        <cfvo type="percent" val="100"/>
        <color theme="0"/>
        <color theme="6" tint="0.39997558519241921"/>
      </colorScale>
    </cfRule>
  </conditionalFormatting>
  <conditionalFormatting sqref="AP57:AT69">
    <cfRule type="colorScale" priority="13">
      <colorScale>
        <cfvo type="num" val="0"/>
        <cfvo type="num" val="79000"/>
        <color theme="0"/>
        <color theme="6" tint="0.39997558519241921"/>
      </colorScale>
    </cfRule>
  </conditionalFormatting>
  <conditionalFormatting sqref="AX57:AX69">
    <cfRule type="colorScale" priority="12">
      <colorScale>
        <cfvo type="percent" val="0"/>
        <cfvo type="percent" val="100"/>
        <color theme="0"/>
        <color theme="6" tint="0.39997558519241921"/>
      </colorScale>
    </cfRule>
  </conditionalFormatting>
  <conditionalFormatting sqref="AY57:BC69">
    <cfRule type="colorScale" priority="11">
      <colorScale>
        <cfvo type="percent" val="0"/>
        <cfvo type="percent" val="100"/>
        <color theme="0"/>
        <color theme="6" tint="0.39997558519241921"/>
      </colorScale>
    </cfRule>
  </conditionalFormatting>
  <conditionalFormatting sqref="BD57:BH69">
    <cfRule type="colorScale" priority="10">
      <colorScale>
        <cfvo type="num" val="0"/>
        <cfvo type="num" val="79000"/>
        <color theme="0"/>
        <color theme="6" tint="0.39997558519241921"/>
      </colorScale>
    </cfRule>
  </conditionalFormatting>
  <conditionalFormatting sqref="BL57:BL69">
    <cfRule type="colorScale" priority="9">
      <colorScale>
        <cfvo type="percent" val="0"/>
        <cfvo type="percent" val="100"/>
        <color theme="0"/>
        <color theme="6" tint="0.39997558519241921"/>
      </colorScale>
    </cfRule>
  </conditionalFormatting>
  <conditionalFormatting sqref="BM57:BQ69">
    <cfRule type="colorScale" priority="8">
      <colorScale>
        <cfvo type="percent" val="0"/>
        <cfvo type="percent" val="100"/>
        <color theme="0"/>
        <color theme="6" tint="0.39997558519241921"/>
      </colorScale>
    </cfRule>
  </conditionalFormatting>
  <conditionalFormatting sqref="BR57:BV69">
    <cfRule type="colorScale" priority="7">
      <colorScale>
        <cfvo type="num" val="0"/>
        <cfvo type="num" val="79000"/>
        <color theme="0"/>
        <color theme="6" tint="0.39997558519241921"/>
      </colorScale>
    </cfRule>
  </conditionalFormatting>
  <conditionalFormatting sqref="BZ57:BZ69">
    <cfRule type="colorScale" priority="6">
      <colorScale>
        <cfvo type="percent" val="0"/>
        <cfvo type="percent" val="100"/>
        <color theme="0"/>
        <color theme="6" tint="0.39997558519241921"/>
      </colorScale>
    </cfRule>
  </conditionalFormatting>
  <conditionalFormatting sqref="CA57:CE69">
    <cfRule type="colorScale" priority="5">
      <colorScale>
        <cfvo type="percent" val="0"/>
        <cfvo type="percent" val="100"/>
        <color theme="0"/>
        <color theme="6" tint="0.39997558519241921"/>
      </colorScale>
    </cfRule>
  </conditionalFormatting>
  <conditionalFormatting sqref="CF57:CJ69">
    <cfRule type="colorScale" priority="4">
      <colorScale>
        <cfvo type="num" val="0"/>
        <cfvo type="num" val="79000"/>
        <color theme="0"/>
        <color theme="6" tint="0.39997558519241921"/>
      </colorScale>
    </cfRule>
  </conditionalFormatting>
  <conditionalFormatting sqref="CN57:CN69">
    <cfRule type="colorScale" priority="3">
      <colorScale>
        <cfvo type="percent" val="0"/>
        <cfvo type="percent" val="100"/>
        <color theme="0"/>
        <color theme="6" tint="0.39997558519241921"/>
      </colorScale>
    </cfRule>
  </conditionalFormatting>
  <conditionalFormatting sqref="CO57:CS69">
    <cfRule type="colorScale" priority="2">
      <colorScale>
        <cfvo type="percent" val="0"/>
        <cfvo type="percent" val="100"/>
        <color theme="0"/>
        <color theme="6" tint="0.39997558519241921"/>
      </colorScale>
    </cfRule>
  </conditionalFormatting>
  <conditionalFormatting sqref="CT57:CX69">
    <cfRule type="colorScale" priority="1">
      <colorScale>
        <cfvo type="num" val="0"/>
        <cfvo type="num" val="79000"/>
        <color theme="0"/>
        <color theme="6" tint="0.39997558519241921"/>
      </colorScale>
    </cfRule>
  </conditionalFormatting>
  <pageMargins left="0.7" right="0.7" top="0.75" bottom="0.75" header="0.3" footer="0.3"/>
  <pageSetup paperSize="9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50CB-5799-4275-9882-6D6B75468452}">
  <dimension ref="B2:AG51"/>
  <sheetViews>
    <sheetView zoomScale="55" zoomScaleNormal="55" workbookViewId="0">
      <selection activeCell="P23" sqref="P23"/>
    </sheetView>
  </sheetViews>
  <sheetFormatPr defaultColWidth="8.85546875" defaultRowHeight="12.75"/>
  <cols>
    <col min="1" max="1" width="8.85546875" style="265"/>
    <col min="2" max="2" width="24.85546875" style="265" customWidth="1"/>
    <col min="3" max="3" width="30.85546875" style="265" customWidth="1"/>
    <col min="4" max="4" width="35.140625" style="265" bestFit="1" customWidth="1"/>
    <col min="5" max="5" width="20.42578125" style="265" customWidth="1"/>
    <col min="6" max="6" width="15.140625" style="265" bestFit="1" customWidth="1"/>
    <col min="7" max="9" width="15.140625" style="265" customWidth="1"/>
    <col min="10" max="16" width="11.5703125" style="265" customWidth="1"/>
    <col min="17" max="18" width="10.42578125" style="265" customWidth="1"/>
    <col min="19" max="19" width="8.85546875" style="265"/>
    <col min="20" max="20" width="12.140625" style="265" bestFit="1" customWidth="1"/>
    <col min="21" max="22" width="12.140625" style="265" customWidth="1"/>
    <col min="23" max="23" width="17.140625" style="265" customWidth="1"/>
    <col min="24" max="25" width="8.85546875" style="265"/>
    <col min="26" max="26" width="23.42578125" style="265" customWidth="1"/>
    <col min="27" max="27" width="22" style="265" customWidth="1"/>
    <col min="28" max="16384" width="8.85546875" style="265"/>
  </cols>
  <sheetData>
    <row r="2" spans="2:33">
      <c r="B2" s="229"/>
      <c r="C2" s="229"/>
      <c r="D2" s="229"/>
      <c r="E2" s="229"/>
      <c r="F2" s="243" t="s">
        <v>337</v>
      </c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4"/>
      <c r="R2" s="244"/>
      <c r="S2" s="244"/>
      <c r="T2" s="229"/>
      <c r="U2" s="229"/>
      <c r="V2" s="229"/>
    </row>
    <row r="3" spans="2:33" ht="38.25">
      <c r="B3" s="71" t="s">
        <v>179</v>
      </c>
      <c r="C3" s="72" t="s">
        <v>358</v>
      </c>
      <c r="D3" s="71" t="s">
        <v>305</v>
      </c>
      <c r="E3" s="71" t="s">
        <v>306</v>
      </c>
      <c r="F3" s="71" t="s">
        <v>855</v>
      </c>
      <c r="G3" s="71" t="s">
        <v>433</v>
      </c>
      <c r="H3" s="71" t="s">
        <v>434</v>
      </c>
      <c r="I3" s="71" t="s">
        <v>435</v>
      </c>
      <c r="J3" s="71" t="s">
        <v>436</v>
      </c>
      <c r="K3" s="71" t="s">
        <v>437</v>
      </c>
      <c r="L3" s="71" t="s">
        <v>340</v>
      </c>
      <c r="M3" s="73" t="s">
        <v>438</v>
      </c>
      <c r="N3" s="73" t="s">
        <v>389</v>
      </c>
      <c r="O3" s="71" t="s">
        <v>439</v>
      </c>
      <c r="P3" s="71" t="s">
        <v>440</v>
      </c>
      <c r="Q3" s="245" t="s">
        <v>441</v>
      </c>
      <c r="R3" s="245" t="s">
        <v>442</v>
      </c>
      <c r="S3" s="245" t="s">
        <v>343</v>
      </c>
      <c r="T3" s="245" t="s">
        <v>443</v>
      </c>
      <c r="U3" s="245" t="s">
        <v>384</v>
      </c>
      <c r="V3" s="245" t="s">
        <v>444</v>
      </c>
    </row>
    <row r="4" spans="2:33" ht="38.25">
      <c r="B4" s="74" t="s">
        <v>348</v>
      </c>
      <c r="C4" s="74" t="s">
        <v>349</v>
      </c>
      <c r="D4" s="74" t="s">
        <v>350</v>
      </c>
      <c r="E4" s="74" t="s">
        <v>351</v>
      </c>
      <c r="F4" s="74" t="s">
        <v>445</v>
      </c>
      <c r="G4" s="74" t="s">
        <v>445</v>
      </c>
      <c r="H4" s="74" t="s">
        <v>445</v>
      </c>
      <c r="I4" s="74" t="s">
        <v>445</v>
      </c>
      <c r="J4" s="74" t="s">
        <v>445</v>
      </c>
      <c r="K4" s="74" t="s">
        <v>445</v>
      </c>
      <c r="L4" s="74" t="s">
        <v>445</v>
      </c>
      <c r="M4" s="74" t="s">
        <v>446</v>
      </c>
      <c r="N4" s="74" t="s">
        <v>447</v>
      </c>
      <c r="O4" s="47" t="s">
        <v>471</v>
      </c>
      <c r="P4" s="74" t="s">
        <v>448</v>
      </c>
      <c r="Q4" s="74"/>
      <c r="R4" s="74"/>
      <c r="S4" s="74" t="s">
        <v>449</v>
      </c>
      <c r="T4" s="74" t="s">
        <v>450</v>
      </c>
      <c r="U4" s="74"/>
      <c r="V4" s="74"/>
      <c r="AA4" s="265" t="s">
        <v>451</v>
      </c>
      <c r="AF4" s="265" t="s">
        <v>452</v>
      </c>
      <c r="AG4" s="265" t="s">
        <v>453</v>
      </c>
    </row>
    <row r="5" spans="2:33" ht="15.95" customHeight="1">
      <c r="B5" s="320" t="str">
        <f>AGR_Proc!D26</f>
        <v>AGR_EX_BIOG</v>
      </c>
      <c r="C5" s="320" t="str">
        <f>AGR_Proc!E26</f>
        <v>Agriculture Existing Biogass</v>
      </c>
      <c r="E5" s="320"/>
      <c r="F5" s="320">
        <v>374</v>
      </c>
      <c r="G5" s="320">
        <v>374</v>
      </c>
      <c r="H5" s="320">
        <v>374</v>
      </c>
      <c r="I5" s="320">
        <v>374</v>
      </c>
      <c r="J5" s="320">
        <v>374</v>
      </c>
      <c r="K5" s="320">
        <v>374</v>
      </c>
      <c r="L5" s="320">
        <v>374</v>
      </c>
      <c r="M5" s="320"/>
      <c r="N5" s="319"/>
      <c r="O5" s="229"/>
      <c r="P5" s="229"/>
      <c r="Q5" s="320">
        <f>E36*F42/1000*F48</f>
        <v>0.57499999999999996</v>
      </c>
      <c r="R5" s="320"/>
      <c r="S5" s="320">
        <v>1</v>
      </c>
      <c r="T5" s="319"/>
      <c r="U5" s="319">
        <v>1</v>
      </c>
      <c r="V5" s="319"/>
      <c r="AA5" s="265" t="s">
        <v>239</v>
      </c>
      <c r="AF5" s="272">
        <v>0.32200000000000001</v>
      </c>
      <c r="AG5" s="265">
        <f>AF5*0.95</f>
        <v>0.30590000000000001</v>
      </c>
    </row>
    <row r="6" spans="2:33" ht="15.95" customHeight="1">
      <c r="B6" s="279"/>
      <c r="C6" s="279"/>
      <c r="D6" s="279" t="s">
        <v>124</v>
      </c>
      <c r="E6" s="279"/>
      <c r="F6" s="279"/>
      <c r="G6" s="279"/>
      <c r="H6" s="279"/>
      <c r="I6" s="279"/>
      <c r="J6" s="279"/>
      <c r="K6" s="279"/>
      <c r="L6" s="279"/>
      <c r="M6" s="279"/>
      <c r="N6" s="279"/>
      <c r="O6" s="279">
        <v>0.30590000000000001</v>
      </c>
      <c r="P6" s="279">
        <v>3.9503400000000001E-2</v>
      </c>
      <c r="Q6" s="279"/>
      <c r="R6" s="279"/>
      <c r="S6" s="279"/>
      <c r="T6" s="279">
        <f>E36*$F$46/(O6*1000)</f>
        <v>0.14710689767898008</v>
      </c>
      <c r="U6" s="279"/>
      <c r="V6" s="279">
        <v>3</v>
      </c>
      <c r="AA6" s="349">
        <f>O6*AGR_LAND!$U$34*AGR_LAND!$G$28</f>
        <v>557.27726764109411</v>
      </c>
      <c r="AF6" s="272">
        <v>0.32200000000000001</v>
      </c>
      <c r="AG6" s="265">
        <f t="shared" ref="AG6:AG24" si="0">AF6*0.95</f>
        <v>0.30590000000000001</v>
      </c>
    </row>
    <row r="7" spans="2:33" ht="15.95" customHeight="1">
      <c r="B7" s="319"/>
      <c r="C7" s="319"/>
      <c r="D7" s="319" t="s">
        <v>126</v>
      </c>
      <c r="E7" s="319"/>
      <c r="F7" s="319"/>
      <c r="G7" s="319"/>
      <c r="H7" s="319"/>
      <c r="I7" s="319"/>
      <c r="J7" s="319"/>
      <c r="K7" s="319"/>
      <c r="L7" s="319"/>
      <c r="M7" s="319"/>
      <c r="N7" s="319"/>
      <c r="O7" s="319">
        <v>0.30590000000000001</v>
      </c>
      <c r="P7" s="319">
        <v>8.4101999999999996E-3</v>
      </c>
      <c r="Q7" s="319"/>
      <c r="R7" s="319"/>
      <c r="S7" s="319"/>
      <c r="T7" s="319">
        <f>E36*$F$46/(O7*1000)</f>
        <v>0.14710689767898008</v>
      </c>
      <c r="U7" s="319"/>
      <c r="V7" s="319">
        <v>3</v>
      </c>
      <c r="AA7" s="349">
        <f>O7*AGR_LAND!$U$42*AGR_LAND!$G$36</f>
        <v>121.849601053488</v>
      </c>
      <c r="AF7" s="272">
        <v>0.40899999999999997</v>
      </c>
      <c r="AG7" s="265">
        <f t="shared" si="0"/>
        <v>0.38854999999999995</v>
      </c>
    </row>
    <row r="8" spans="2:33" ht="15.95" customHeight="1">
      <c r="B8" s="279"/>
      <c r="C8" s="279"/>
      <c r="D8" s="279" t="s">
        <v>127</v>
      </c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>
        <v>0.38854999999999995</v>
      </c>
      <c r="P8" s="279">
        <v>2.1270600000000001E-2</v>
      </c>
      <c r="Q8" s="279"/>
      <c r="R8" s="279"/>
      <c r="S8" s="279"/>
      <c r="T8" s="279">
        <f>E36*$F$46/(O8*1000)</f>
        <v>0.11581521039763223</v>
      </c>
      <c r="U8" s="279"/>
      <c r="V8" s="279">
        <v>3</v>
      </c>
      <c r="AA8" s="349">
        <f>O8*AGR_LAND!$U$50*AGR_LAND!$G$44</f>
        <v>783.15922332991181</v>
      </c>
      <c r="AF8" s="272">
        <v>0.32200000000000001</v>
      </c>
      <c r="AG8" s="265">
        <f t="shared" si="0"/>
        <v>0.30590000000000001</v>
      </c>
    </row>
    <row r="9" spans="2:33" ht="15.95" customHeight="1">
      <c r="B9" s="319"/>
      <c r="C9" s="319"/>
      <c r="D9" s="319" t="s">
        <v>128</v>
      </c>
      <c r="E9" s="319"/>
      <c r="F9" s="319"/>
      <c r="G9" s="319"/>
      <c r="H9" s="319"/>
      <c r="I9" s="319"/>
      <c r="J9" s="319"/>
      <c r="K9" s="319"/>
      <c r="L9" s="319"/>
      <c r="M9" s="319"/>
      <c r="N9" s="319"/>
      <c r="O9" s="319">
        <v>0.30590000000000001</v>
      </c>
      <c r="P9" s="319">
        <v>6.5585000000000001E-3</v>
      </c>
      <c r="Q9" s="319"/>
      <c r="R9" s="319"/>
      <c r="S9" s="319"/>
      <c r="T9" s="319">
        <f>E36*$F$46/(O9*1000)</f>
        <v>0.14710689767898008</v>
      </c>
      <c r="U9" s="319"/>
      <c r="V9" s="319">
        <v>3</v>
      </c>
      <c r="AA9" s="349">
        <f>O9*AGR_LAND!$U$58*AGR_LAND!$G$52</f>
        <v>37.836348858000001</v>
      </c>
      <c r="AF9" s="272">
        <v>0.32200000000000001</v>
      </c>
      <c r="AG9" s="265">
        <f t="shared" si="0"/>
        <v>0.30590000000000001</v>
      </c>
    </row>
    <row r="10" spans="2:33" ht="15.95" customHeight="1">
      <c r="B10" s="279"/>
      <c r="C10" s="279"/>
      <c r="D10" s="279" t="s">
        <v>129</v>
      </c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>
        <v>0.30590000000000001</v>
      </c>
      <c r="P10" s="279">
        <v>2.38757E-2</v>
      </c>
      <c r="Q10" s="279"/>
      <c r="R10" s="279"/>
      <c r="S10" s="279"/>
      <c r="T10" s="279">
        <f>E36*$F$46/(O10*1000)</f>
        <v>0.14710689767898008</v>
      </c>
      <c r="U10" s="279"/>
      <c r="V10" s="279">
        <v>3</v>
      </c>
      <c r="AA10" s="349">
        <f>O10*AGR_LAND!$U$66*AGR_LAND!$G$60</f>
        <v>280.21093169916008</v>
      </c>
      <c r="AF10" s="272">
        <v>0.32200000000000001</v>
      </c>
      <c r="AG10" s="265">
        <f t="shared" si="0"/>
        <v>0.30590000000000001</v>
      </c>
    </row>
    <row r="11" spans="2:33" ht="15.95" customHeight="1">
      <c r="B11" s="319"/>
      <c r="C11" s="319"/>
      <c r="D11" s="319" t="s">
        <v>130</v>
      </c>
      <c r="E11" s="319"/>
      <c r="F11" s="319"/>
      <c r="G11" s="319"/>
      <c r="H11" s="319"/>
      <c r="I11" s="319"/>
      <c r="J11" s="319"/>
      <c r="K11" s="319"/>
      <c r="L11" s="319"/>
      <c r="M11" s="319"/>
      <c r="N11" s="319"/>
      <c r="O11" s="319">
        <v>0.30590000000000001</v>
      </c>
      <c r="P11" s="319">
        <v>6.3896999999999999E-3</v>
      </c>
      <c r="Q11" s="319"/>
      <c r="R11" s="319"/>
      <c r="S11" s="319"/>
      <c r="T11" s="319">
        <f>E36*$F$46/(O11*1000)</f>
        <v>0.14710689767898008</v>
      </c>
      <c r="U11" s="319"/>
      <c r="V11" s="319">
        <v>3</v>
      </c>
      <c r="AA11" s="349">
        <f>O11*AGR_LAND!$U$74*AGR_LAND!$G$68</f>
        <v>91.345096048783518</v>
      </c>
      <c r="AF11" s="272">
        <v>0.32200000000000001</v>
      </c>
      <c r="AG11" s="265">
        <f t="shared" si="0"/>
        <v>0.30590000000000001</v>
      </c>
    </row>
    <row r="12" spans="2:33" ht="15.95" customHeight="1">
      <c r="B12" s="279"/>
      <c r="C12" s="279"/>
      <c r="D12" s="279" t="s">
        <v>131</v>
      </c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O12" s="279">
        <v>0.30590000000000001</v>
      </c>
      <c r="P12" s="279">
        <v>5.8006299999999997E-2</v>
      </c>
      <c r="Q12" s="279"/>
      <c r="R12" s="279"/>
      <c r="S12" s="279"/>
      <c r="T12" s="279">
        <f>E36*$F$46/(O12*1000)</f>
        <v>0.14710689767898008</v>
      </c>
      <c r="U12" s="279"/>
      <c r="V12" s="279">
        <v>3</v>
      </c>
      <c r="AA12" s="349">
        <f>AGR_LAND!$U$82*AGR_LAND!$G$76</f>
        <v>562.57420527000011</v>
      </c>
      <c r="AF12" s="272">
        <v>0.32200000000000001</v>
      </c>
      <c r="AG12" s="265">
        <f t="shared" si="0"/>
        <v>0.30590000000000001</v>
      </c>
    </row>
    <row r="13" spans="2:33" ht="15.95" customHeight="1">
      <c r="B13" s="319"/>
      <c r="C13" s="319"/>
      <c r="D13" s="319" t="s">
        <v>132</v>
      </c>
      <c r="E13" s="319"/>
      <c r="F13" s="319"/>
      <c r="G13" s="319"/>
      <c r="H13" s="319"/>
      <c r="I13" s="319"/>
      <c r="J13" s="319"/>
      <c r="K13" s="319"/>
      <c r="L13" s="319"/>
      <c r="M13" s="319"/>
      <c r="N13" s="319"/>
      <c r="O13" s="319">
        <v>0.30590000000000001</v>
      </c>
      <c r="P13" s="319">
        <v>8.2019999999999999E-4</v>
      </c>
      <c r="Q13" s="319"/>
      <c r="R13" s="319"/>
      <c r="S13" s="319"/>
      <c r="T13" s="319">
        <f>E36*$F$46/(O13*1000)</f>
        <v>0.14710689767898008</v>
      </c>
      <c r="U13" s="319"/>
      <c r="V13" s="319">
        <v>3</v>
      </c>
      <c r="X13" s="79"/>
      <c r="Y13" s="79" t="s">
        <v>120</v>
      </c>
      <c r="Z13" s="79"/>
      <c r="AA13" s="349">
        <f>O13*AGR_LAND!$U$90*AGR_LAND!$G$84</f>
        <v>15.901873576858499</v>
      </c>
      <c r="AF13" s="272">
        <v>0</v>
      </c>
      <c r="AG13" s="265">
        <f t="shared" si="0"/>
        <v>0</v>
      </c>
    </row>
    <row r="14" spans="2:33" ht="15.95" customHeight="1">
      <c r="B14" s="279"/>
      <c r="C14" s="279"/>
      <c r="D14" s="279" t="s">
        <v>106</v>
      </c>
      <c r="E14" s="279"/>
      <c r="F14" s="279"/>
      <c r="G14" s="279"/>
      <c r="H14" s="279"/>
      <c r="I14" s="279"/>
      <c r="J14" s="279"/>
      <c r="K14" s="279"/>
      <c r="L14" s="279"/>
      <c r="M14" s="279"/>
      <c r="N14" s="279"/>
      <c r="O14" s="279">
        <v>9.7849999999999993E-2</v>
      </c>
      <c r="P14" s="279">
        <v>0.3757413</v>
      </c>
      <c r="Q14" s="279"/>
      <c r="R14" s="279"/>
      <c r="S14" s="279"/>
      <c r="T14" s="279">
        <f>E36*$F$45/(O14*1000)</f>
        <v>0.59785385794583545</v>
      </c>
      <c r="U14" s="279"/>
      <c r="V14" s="279">
        <v>3</v>
      </c>
      <c r="X14" s="81"/>
      <c r="Y14" s="81" t="s">
        <v>122</v>
      </c>
      <c r="Z14" s="81"/>
      <c r="AA14" s="349" t="e">
        <f>#REF!*AGR_LAND!$U$95*AGR_LAND!$G$92</f>
        <v>#REF!</v>
      </c>
      <c r="AF14" s="272">
        <v>0</v>
      </c>
      <c r="AG14" s="265">
        <f t="shared" si="0"/>
        <v>0</v>
      </c>
    </row>
    <row r="15" spans="2:33" ht="15.95" customHeight="1">
      <c r="B15" s="319"/>
      <c r="C15" s="319"/>
      <c r="D15" s="319" t="s">
        <v>108</v>
      </c>
      <c r="E15" s="319"/>
      <c r="F15" s="319"/>
      <c r="G15" s="319"/>
      <c r="H15" s="319"/>
      <c r="I15" s="319"/>
      <c r="J15" s="319"/>
      <c r="K15" s="319"/>
      <c r="L15" s="319"/>
      <c r="M15" s="319"/>
      <c r="N15" s="319"/>
      <c r="O15" s="319">
        <v>9.7849999999999993E-2</v>
      </c>
      <c r="P15" s="319">
        <v>0.241698</v>
      </c>
      <c r="Q15" s="319"/>
      <c r="R15" s="319"/>
      <c r="S15" s="319"/>
      <c r="T15" s="319">
        <f>E36*$F$45/(O15*1000)</f>
        <v>0.59785385794583545</v>
      </c>
      <c r="U15" s="319"/>
      <c r="V15" s="319">
        <v>3</v>
      </c>
      <c r="AA15" s="349" t="e">
        <f>#REF!*AGR_LAND!$U$100*AGR_LAND!$G$97</f>
        <v>#REF!</v>
      </c>
      <c r="AF15" s="272">
        <v>0</v>
      </c>
      <c r="AG15" s="265">
        <f t="shared" si="0"/>
        <v>0</v>
      </c>
    </row>
    <row r="16" spans="2:33" ht="15.95" customHeight="1">
      <c r="B16" s="279"/>
      <c r="C16" s="279"/>
      <c r="D16" s="279" t="s">
        <v>112</v>
      </c>
      <c r="E16" s="279"/>
      <c r="F16" s="279"/>
      <c r="G16" s="279"/>
      <c r="H16" s="279"/>
      <c r="I16" s="279"/>
      <c r="J16" s="279"/>
      <c r="K16" s="279"/>
      <c r="L16" s="279"/>
      <c r="M16" s="279"/>
      <c r="N16" s="279"/>
      <c r="O16" s="279">
        <v>1.1875E-2</v>
      </c>
      <c r="P16" s="279">
        <v>0.1680845</v>
      </c>
      <c r="Q16" s="279"/>
      <c r="R16" s="279"/>
      <c r="S16" s="279"/>
      <c r="T16" s="279">
        <f>E36*$F$45/(O16*1000)</f>
        <v>4.9263157894736844</v>
      </c>
      <c r="U16" s="279"/>
      <c r="V16" s="279">
        <v>3</v>
      </c>
      <c r="X16" s="79">
        <v>7.1861999999999995E-2</v>
      </c>
      <c r="Y16" s="79" t="s">
        <v>133</v>
      </c>
      <c r="Z16" s="79"/>
      <c r="AA16" s="349" t="e">
        <f>#REF!*AGR_LAND!$U$105*AGR_LAND!$G$102</f>
        <v>#REF!</v>
      </c>
      <c r="AF16" s="272">
        <v>0</v>
      </c>
      <c r="AG16" s="265">
        <f t="shared" si="0"/>
        <v>0</v>
      </c>
    </row>
    <row r="17" spans="2:33" ht="15.95" customHeight="1">
      <c r="B17" s="319" t="str">
        <f t="shared" ref="B17" si="1">IF(O17&gt;0,"","\I:")</f>
        <v/>
      </c>
      <c r="C17" s="319"/>
      <c r="D17" s="319" t="s">
        <v>118</v>
      </c>
      <c r="E17" s="319"/>
      <c r="F17" s="319"/>
      <c r="G17" s="319"/>
      <c r="H17" s="319"/>
      <c r="I17" s="319"/>
      <c r="J17" s="319"/>
      <c r="K17" s="319"/>
      <c r="L17" s="319"/>
      <c r="M17" s="319"/>
      <c r="N17" s="319"/>
      <c r="O17" s="319">
        <v>8.8349999999999998E-2</v>
      </c>
      <c r="P17" s="319">
        <v>4.9154799999999998E-2</v>
      </c>
      <c r="Q17" s="319"/>
      <c r="R17" s="319"/>
      <c r="S17" s="319"/>
      <c r="T17" s="319">
        <f>E36*$F$45/(O17*1000)</f>
        <v>0.66213921901528017</v>
      </c>
      <c r="U17" s="319"/>
      <c r="V17" s="319">
        <v>3</v>
      </c>
      <c r="X17" s="81">
        <v>3.9537999999999997E-2</v>
      </c>
      <c r="Y17" s="81" t="s">
        <v>134</v>
      </c>
      <c r="Z17" s="81"/>
      <c r="AA17" s="349" t="e">
        <f>#REF!*AGR_LAND!$U$110*AGR_LAND!$G$107</f>
        <v>#REF!</v>
      </c>
      <c r="AF17" s="272">
        <v>0</v>
      </c>
      <c r="AG17" s="265">
        <f t="shared" si="0"/>
        <v>0</v>
      </c>
    </row>
    <row r="18" spans="2:33" ht="15.95" customHeight="1" thickBot="1">
      <c r="E18" s="414" t="str">
        <f>AGR_Comm!D14</f>
        <v>PRI_BIOG_AGR</v>
      </c>
      <c r="F18" s="414"/>
      <c r="G18" s="414"/>
      <c r="H18" s="414"/>
      <c r="I18" s="414"/>
      <c r="J18" s="414"/>
      <c r="K18" s="414"/>
      <c r="L18" s="414"/>
      <c r="M18" s="414">
        <v>23</v>
      </c>
      <c r="N18" s="414">
        <f>M18/1000</f>
        <v>2.3E-2</v>
      </c>
      <c r="AA18" s="349" t="e">
        <f>#REF!*AGR_LAND!$U$115*AGR_LAND!$G$112</f>
        <v>#REF!</v>
      </c>
      <c r="AC18" s="265" t="s">
        <v>454</v>
      </c>
      <c r="AF18" s="272">
        <v>0</v>
      </c>
      <c r="AG18" s="265">
        <f t="shared" si="0"/>
        <v>0</v>
      </c>
    </row>
    <row r="19" spans="2:33" ht="15.95" customHeight="1">
      <c r="AA19" s="349" t="e">
        <f>#REF!*AGR_LAND!U120*AGR_LAND!G117</f>
        <v>#REF!</v>
      </c>
      <c r="AC19" s="265" t="e">
        <f>SUM(AA6:AA19)</f>
        <v>#REF!</v>
      </c>
      <c r="AF19" s="272">
        <v>0.10299999999999999</v>
      </c>
      <c r="AG19" s="265">
        <f t="shared" si="0"/>
        <v>9.7849999999999993E-2</v>
      </c>
    </row>
    <row r="20" spans="2:33" ht="15.95" customHeight="1">
      <c r="AA20" s="349">
        <f>O14*AGR_LIV!$U$12*AGR_LIV!$G$5</f>
        <v>1458.2067098038751</v>
      </c>
      <c r="AF20" s="272">
        <v>0.10299999999999999</v>
      </c>
      <c r="AG20" s="265">
        <f t="shared" si="0"/>
        <v>9.7849999999999993E-2</v>
      </c>
    </row>
    <row r="21" spans="2:33" ht="15.95" customHeight="1">
      <c r="AA21" s="349">
        <f>O15*AGR_LIV!$U$23*AGR_LIV!$G$16</f>
        <v>1175.3398170756</v>
      </c>
      <c r="AF21" s="272">
        <v>0</v>
      </c>
      <c r="AG21" s="265">
        <f t="shared" si="0"/>
        <v>0</v>
      </c>
    </row>
    <row r="22" spans="2:33" ht="15.95" customHeight="1">
      <c r="AA22" s="349" t="e">
        <f>#REF!*AGR_LIV!$U$30*AGR_LIV!$G$27</f>
        <v>#REF!</v>
      </c>
      <c r="AF22" s="272">
        <f>0.0125</f>
        <v>1.2500000000000001E-2</v>
      </c>
      <c r="AG22" s="265">
        <f t="shared" si="0"/>
        <v>1.1875E-2</v>
      </c>
    </row>
    <row r="23" spans="2:33" ht="15.95" customHeight="1">
      <c r="AA23" s="349">
        <f>O16*AGR_LIV!$U$41*AGR_LIV!$G$34</f>
        <v>111.36175796875</v>
      </c>
      <c r="AF23" s="272">
        <v>0</v>
      </c>
      <c r="AG23" s="265">
        <f t="shared" si="0"/>
        <v>0</v>
      </c>
    </row>
    <row r="24" spans="2:33" ht="15.95" customHeight="1">
      <c r="AA24" s="349" t="e">
        <f>#REF!*AGR_LIV!$U$48*AGR_LIV!$G$45</f>
        <v>#REF!</v>
      </c>
      <c r="AC24" s="265" t="s">
        <v>455</v>
      </c>
      <c r="AF24" s="272">
        <f>0.093</f>
        <v>9.2999999999999999E-2</v>
      </c>
      <c r="AG24" s="265">
        <f t="shared" si="0"/>
        <v>8.8349999999999998E-2</v>
      </c>
    </row>
    <row r="25" spans="2:33" ht="15.95" customHeight="1">
      <c r="X25" s="79">
        <v>6.0317999999999997E-2</v>
      </c>
      <c r="Y25" s="79" t="s">
        <v>135</v>
      </c>
      <c r="Z25" s="79"/>
      <c r="AA25" s="349">
        <f>O17*AGR_LIV!$U$59*AGR_LIV!$G$52</f>
        <v>237.54008412900001</v>
      </c>
      <c r="AC25" s="265" t="e">
        <f>SUM(AA20:AA25)</f>
        <v>#REF!</v>
      </c>
    </row>
    <row r="26" spans="2:33">
      <c r="X26" s="81">
        <v>5.1082000000000002E-2</v>
      </c>
      <c r="Y26" s="81" t="s">
        <v>136</v>
      </c>
      <c r="Z26" s="81"/>
    </row>
    <row r="27" spans="2:33">
      <c r="X27" s="79">
        <v>6.3203999999999996E-2</v>
      </c>
      <c r="Y27" s="79" t="s">
        <v>137</v>
      </c>
      <c r="Z27" s="79"/>
      <c r="AA27" s="265" t="s">
        <v>456</v>
      </c>
    </row>
    <row r="28" spans="2:33">
      <c r="X28" s="81">
        <v>3.8671999999999998E-2</v>
      </c>
      <c r="Y28" s="81" t="s">
        <v>138</v>
      </c>
      <c r="Z28" s="81"/>
      <c r="AA28" s="265" t="e">
        <f>SUM(AA6:AA25)</f>
        <v>#REF!</v>
      </c>
    </row>
    <row r="29" spans="2:33">
      <c r="X29" s="79">
        <v>4.9639999999999997E-2</v>
      </c>
      <c r="Y29" s="79" t="s">
        <v>139</v>
      </c>
      <c r="Z29" s="79"/>
    </row>
    <row r="30" spans="2:33">
      <c r="B30" s="229"/>
      <c r="C30" s="229"/>
    </row>
    <row r="31" spans="2:33">
      <c r="L31" s="265">
        <f>L32*17695.67</f>
        <v>39.82499011849999</v>
      </c>
    </row>
    <row r="32" spans="2:33">
      <c r="L32" s="265">
        <f>N18*O15</f>
        <v>2.2505499999999996E-3</v>
      </c>
    </row>
    <row r="33" spans="4:7" ht="15.95" customHeight="1"/>
    <row r="34" spans="4:7" ht="15.95" customHeight="1"/>
    <row r="36" spans="4:7" ht="15">
      <c r="D36" s="423" t="s">
        <v>457</v>
      </c>
      <c r="E36" s="265">
        <v>4.5</v>
      </c>
    </row>
    <row r="37" spans="4:7" ht="13.5" thickBot="1"/>
    <row r="38" spans="4:7" ht="43.5" thickBot="1">
      <c r="D38" s="415" t="s">
        <v>458</v>
      </c>
      <c r="E38" s="416" t="s">
        <v>459</v>
      </c>
      <c r="F38" s="416" t="s">
        <v>460</v>
      </c>
    </row>
    <row r="39" spans="4:7" ht="29.25" thickBot="1">
      <c r="D39" s="417" t="s">
        <v>461</v>
      </c>
      <c r="E39" s="418">
        <v>4300</v>
      </c>
      <c r="F39" s="418">
        <v>1600</v>
      </c>
    </row>
    <row r="40" spans="4:7" ht="15" thickBot="1">
      <c r="D40" s="417" t="s">
        <v>462</v>
      </c>
      <c r="E40" s="418">
        <v>800</v>
      </c>
      <c r="F40" s="418">
        <v>300</v>
      </c>
    </row>
    <row r="41" spans="4:7" ht="29.25" thickBot="1">
      <c r="D41" s="417" t="s">
        <v>463</v>
      </c>
      <c r="E41" s="418">
        <v>270</v>
      </c>
      <c r="F41" s="418">
        <v>100</v>
      </c>
    </row>
    <row r="42" spans="4:7" ht="29.25" thickBot="1">
      <c r="D42" s="417" t="s">
        <v>464</v>
      </c>
      <c r="E42" s="418">
        <v>20</v>
      </c>
      <c r="F42" s="418">
        <v>20</v>
      </c>
    </row>
    <row r="43" spans="4:7" ht="15" thickBot="1">
      <c r="D43" s="417" t="s">
        <v>465</v>
      </c>
      <c r="E43" s="418">
        <v>15</v>
      </c>
      <c r="F43" s="418">
        <v>10</v>
      </c>
    </row>
    <row r="44" spans="4:7" ht="15" thickBot="1">
      <c r="D44" s="417" t="s">
        <v>466</v>
      </c>
      <c r="E44" s="418">
        <v>2</v>
      </c>
      <c r="F44" s="418">
        <v>3</v>
      </c>
    </row>
    <row r="45" spans="4:7" ht="15" thickBot="1">
      <c r="D45" s="417" t="s">
        <v>467</v>
      </c>
      <c r="E45" s="418">
        <v>16</v>
      </c>
      <c r="F45" s="418">
        <v>13</v>
      </c>
    </row>
    <row r="46" spans="4:7" ht="14.25">
      <c r="D46" s="419" t="s">
        <v>468</v>
      </c>
      <c r="E46" s="420">
        <v>10</v>
      </c>
      <c r="F46" s="420">
        <v>10</v>
      </c>
    </row>
    <row r="47" spans="4:7">
      <c r="D47"/>
      <c r="E47"/>
      <c r="F47"/>
    </row>
    <row r="48" spans="4:7">
      <c r="D48" s="38" t="s">
        <v>469</v>
      </c>
      <c r="E48"/>
      <c r="F48">
        <f>N18*1000/3.6</f>
        <v>6.3888888888888884</v>
      </c>
      <c r="G48" s="38" t="s">
        <v>470</v>
      </c>
    </row>
    <row r="49" spans="4:7">
      <c r="D49"/>
      <c r="E49"/>
      <c r="F49"/>
      <c r="G49"/>
    </row>
    <row r="50" spans="4:7">
      <c r="D50" s="38"/>
      <c r="E50"/>
      <c r="F50"/>
      <c r="G50" s="38"/>
    </row>
    <row r="51" spans="4:7">
      <c r="D51"/>
      <c r="E51"/>
      <c r="F51"/>
      <c r="G51" s="38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5F0F3-5DCD-4C7D-A302-66D546551CB0}">
  <dimension ref="B2:AD12"/>
  <sheetViews>
    <sheetView topLeftCell="E1" zoomScale="115" zoomScaleNormal="115" workbookViewId="0">
      <selection activeCell="V32" sqref="V32"/>
    </sheetView>
  </sheetViews>
  <sheetFormatPr defaultRowHeight="12.75"/>
  <cols>
    <col min="1" max="1" width="3.42578125" customWidth="1"/>
    <col min="2" max="2" width="34.42578125" customWidth="1"/>
    <col min="3" max="3" width="48.28515625" customWidth="1"/>
    <col min="4" max="4" width="40.42578125" customWidth="1"/>
    <col min="5" max="5" width="20.42578125" customWidth="1"/>
    <col min="6" max="12" width="6.140625" customWidth="1"/>
    <col min="13" max="13" width="9.42578125" customWidth="1"/>
    <col min="14" max="27" width="7.85546875" customWidth="1"/>
    <col min="28" max="28" width="9" customWidth="1"/>
    <col min="29" max="30" width="7.85546875" customWidth="1"/>
    <col min="31" max="31" width="3.42578125" customWidth="1"/>
  </cols>
  <sheetData>
    <row r="2" spans="2:30" ht="18">
      <c r="B2" s="263" t="s">
        <v>472</v>
      </c>
      <c r="C2" s="185"/>
      <c r="D2" s="185"/>
      <c r="E2" s="185"/>
    </row>
    <row r="4" spans="2:30">
      <c r="E4" s="64" t="s">
        <v>303</v>
      </c>
      <c r="F4" s="93"/>
      <c r="G4" s="93"/>
      <c r="H4" s="93"/>
      <c r="I4" s="93"/>
      <c r="J4" s="93"/>
      <c r="K4" s="93"/>
      <c r="L4" s="93"/>
    </row>
    <row r="5" spans="2:30" ht="63.75">
      <c r="B5" s="181" t="s">
        <v>179</v>
      </c>
      <c r="C5" s="181" t="s">
        <v>358</v>
      </c>
      <c r="D5" s="181" t="s">
        <v>305</v>
      </c>
      <c r="E5" s="181" t="s">
        <v>306</v>
      </c>
      <c r="F5" s="182" t="s">
        <v>473</v>
      </c>
      <c r="G5" s="182" t="s">
        <v>474</v>
      </c>
      <c r="H5" s="182" t="s">
        <v>475</v>
      </c>
      <c r="I5" s="182" t="s">
        <v>476</v>
      </c>
      <c r="J5" s="182" t="s">
        <v>477</v>
      </c>
      <c r="K5" s="182" t="s">
        <v>478</v>
      </c>
      <c r="L5" s="182" t="s">
        <v>479</v>
      </c>
      <c r="M5" s="183" t="s">
        <v>480</v>
      </c>
      <c r="N5" s="183" t="s">
        <v>433</v>
      </c>
      <c r="O5" s="183" t="s">
        <v>434</v>
      </c>
      <c r="P5" s="183" t="s">
        <v>435</v>
      </c>
      <c r="Q5" s="183" t="s">
        <v>436</v>
      </c>
      <c r="R5" s="183" t="s">
        <v>437</v>
      </c>
      <c r="S5" s="183" t="s">
        <v>340</v>
      </c>
      <c r="T5" s="181" t="s">
        <v>307</v>
      </c>
      <c r="U5" s="182" t="s">
        <v>481</v>
      </c>
      <c r="V5" s="182" t="s">
        <v>482</v>
      </c>
      <c r="W5" s="182" t="s">
        <v>483</v>
      </c>
      <c r="X5" s="182" t="s">
        <v>484</v>
      </c>
      <c r="Y5" s="183" t="s">
        <v>485</v>
      </c>
      <c r="Z5" s="183" t="s">
        <v>344</v>
      </c>
      <c r="AA5" s="183" t="s">
        <v>486</v>
      </c>
      <c r="AB5" s="183" t="s">
        <v>343</v>
      </c>
      <c r="AC5" s="183" t="s">
        <v>442</v>
      </c>
      <c r="AD5" s="183" t="s">
        <v>441</v>
      </c>
    </row>
    <row r="6" spans="2:30" ht="13.5" thickBot="1">
      <c r="B6" s="184" t="s">
        <v>90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 t="s">
        <v>229</v>
      </c>
      <c r="N6" s="184" t="s">
        <v>229</v>
      </c>
      <c r="O6" s="184" t="s">
        <v>229</v>
      </c>
      <c r="P6" s="184" t="s">
        <v>229</v>
      </c>
      <c r="Q6" s="184" t="s">
        <v>229</v>
      </c>
      <c r="R6" s="184" t="s">
        <v>229</v>
      </c>
      <c r="S6" s="184" t="s">
        <v>229</v>
      </c>
      <c r="T6" s="184" t="s">
        <v>487</v>
      </c>
      <c r="U6" s="184" t="s">
        <v>487</v>
      </c>
      <c r="V6" s="184" t="s">
        <v>487</v>
      </c>
      <c r="W6" s="184" t="s">
        <v>487</v>
      </c>
      <c r="X6" s="184" t="s">
        <v>487</v>
      </c>
      <c r="Y6" s="184" t="s">
        <v>37</v>
      </c>
      <c r="Z6" s="184" t="s">
        <v>487</v>
      </c>
      <c r="AA6" s="184" t="s">
        <v>487</v>
      </c>
      <c r="AB6" s="184" t="s">
        <v>488</v>
      </c>
      <c r="AC6" s="184" t="s">
        <v>489</v>
      </c>
      <c r="AD6" s="184" t="s">
        <v>490</v>
      </c>
    </row>
    <row r="7" spans="2:30" ht="15.75" customHeight="1">
      <c r="B7" s="87" t="str">
        <f>AGR_Proc!D22</f>
        <v>CHPI_EX_BIOG_AGR</v>
      </c>
      <c r="C7" s="87" t="str">
        <f>AGR_Proc!E22</f>
        <v>Industrial Chp Plants for biogas from agriculture residues</v>
      </c>
      <c r="D7" s="87" t="str">
        <f>SECTF!E22</f>
        <v>AGR_BIOG</v>
      </c>
      <c r="E7" s="87"/>
      <c r="F7" s="87"/>
      <c r="G7" s="87"/>
      <c r="H7" s="87"/>
      <c r="I7" s="87"/>
      <c r="J7" s="87"/>
      <c r="K7" s="87"/>
      <c r="L7" s="87"/>
      <c r="M7" s="87">
        <v>0.117868</v>
      </c>
      <c r="N7" s="87">
        <v>0.117868</v>
      </c>
      <c r="O7" s="87">
        <v>0.117868</v>
      </c>
      <c r="P7" s="87">
        <v>0.117868</v>
      </c>
      <c r="Q7" s="87">
        <v>0.117868</v>
      </c>
      <c r="R7" s="87">
        <v>0.117868</v>
      </c>
      <c r="S7" s="87">
        <v>0.117868</v>
      </c>
      <c r="T7" s="87">
        <v>0.4</v>
      </c>
      <c r="U7" s="87">
        <v>1</v>
      </c>
      <c r="V7" s="87"/>
      <c r="W7" s="87"/>
      <c r="X7" s="87"/>
      <c r="Y7" s="87"/>
      <c r="Z7" s="87">
        <v>0.81</v>
      </c>
      <c r="AA7" s="87"/>
      <c r="AB7" s="87">
        <v>31.536000000000001</v>
      </c>
      <c r="AC7" s="87">
        <v>125</v>
      </c>
      <c r="AD7" s="87">
        <v>2.778</v>
      </c>
    </row>
    <row r="8" spans="2:30" ht="15.75" customHeight="1">
      <c r="B8" s="197"/>
      <c r="C8" s="197"/>
      <c r="D8" s="197"/>
      <c r="E8" s="197" t="str">
        <f>AGR_Comm!D100</f>
        <v>ELC_GNC</v>
      </c>
      <c r="F8" s="197"/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</row>
    <row r="9" spans="2:30" ht="15.75" customHeight="1" thickBot="1">
      <c r="B9" s="199"/>
      <c r="C9" s="199"/>
      <c r="D9" s="199"/>
      <c r="E9" s="199" t="str">
        <f>AGR_Comm!D31</f>
        <v>AGR_HT_OWN_USE</v>
      </c>
      <c r="F9" s="199"/>
      <c r="G9" s="199"/>
      <c r="H9" s="199"/>
      <c r="I9" s="199"/>
      <c r="J9" s="199"/>
      <c r="K9" s="199"/>
      <c r="L9" s="199"/>
      <c r="M9" s="199"/>
      <c r="N9" s="199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</row>
    <row r="12" spans="2:30">
      <c r="M12">
        <f>M7*AB7*Z7</f>
        <v>3.01083905088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C152-4794-44ED-B0D3-BEDD616A4928}">
  <dimension ref="B2:G29"/>
  <sheetViews>
    <sheetView zoomScale="115" zoomScaleNormal="115" workbookViewId="0">
      <selection activeCell="D41" sqref="D41"/>
    </sheetView>
  </sheetViews>
  <sheetFormatPr defaultRowHeight="12.75"/>
  <cols>
    <col min="1" max="1" width="3.42578125" customWidth="1"/>
    <col min="2" max="2" width="26" customWidth="1"/>
    <col min="3" max="3" width="39.42578125" customWidth="1"/>
    <col min="4" max="4" width="27" customWidth="1"/>
    <col min="5" max="5" width="32.5703125" customWidth="1"/>
    <col min="6" max="6" width="39.85546875" customWidth="1"/>
    <col min="8" max="8" width="3.42578125" customWidth="1"/>
  </cols>
  <sheetData>
    <row r="2" spans="2:7" ht="18">
      <c r="B2" s="259" t="s">
        <v>491</v>
      </c>
      <c r="C2" s="63"/>
      <c r="D2" s="63"/>
    </row>
    <row r="3" spans="2:7">
      <c r="E3" s="64" t="s">
        <v>492</v>
      </c>
    </row>
    <row r="5" spans="2:7">
      <c r="B5" s="186" t="s">
        <v>179</v>
      </c>
      <c r="C5" s="186" t="s">
        <v>304</v>
      </c>
      <c r="D5" s="186" t="s">
        <v>305</v>
      </c>
      <c r="E5" s="186" t="s">
        <v>306</v>
      </c>
      <c r="F5" s="187" t="s">
        <v>493</v>
      </c>
      <c r="G5" s="187" t="s">
        <v>307</v>
      </c>
    </row>
    <row r="6" spans="2:7" ht="13.5" thickBot="1">
      <c r="B6" s="188" t="s">
        <v>90</v>
      </c>
      <c r="C6" s="189"/>
      <c r="D6" s="189"/>
      <c r="E6" s="189"/>
      <c r="F6" s="188" t="s">
        <v>487</v>
      </c>
      <c r="G6" s="188"/>
    </row>
    <row r="7" spans="2:7" ht="13.5" thickBot="1"/>
    <row r="8" spans="2:7">
      <c r="B8" s="190" t="str">
        <f>AGR_Proc!D23</f>
        <v>ELC_VOLT_DIV_AGR_CHPI</v>
      </c>
      <c r="C8" s="190" t="str">
        <f>AGR_Proc!E23</f>
        <v>Voltage Divider - AGR CHPI</v>
      </c>
      <c r="D8" s="191" t="str">
        <f>AGR_Comm!D100</f>
        <v>ELC_GNC</v>
      </c>
      <c r="E8" s="190"/>
      <c r="F8" s="190"/>
      <c r="G8" s="190">
        <v>1</v>
      </c>
    </row>
    <row r="9" spans="2:7">
      <c r="B9" s="177"/>
      <c r="C9" s="177"/>
      <c r="D9" s="177"/>
      <c r="E9" s="177" t="s">
        <v>494</v>
      </c>
      <c r="F9" s="180">
        <v>0</v>
      </c>
      <c r="G9" s="177"/>
    </row>
    <row r="10" spans="2:7">
      <c r="B10" s="177"/>
      <c r="C10" s="177"/>
      <c r="D10" s="177"/>
      <c r="E10" s="177" t="s">
        <v>495</v>
      </c>
      <c r="F10" s="180">
        <v>1</v>
      </c>
      <c r="G10" s="177"/>
    </row>
    <row r="11" spans="2:7" ht="13.5" thickBot="1">
      <c r="B11" s="192"/>
      <c r="C11" s="192"/>
      <c r="D11" s="192"/>
      <c r="E11" s="193" t="s">
        <v>496</v>
      </c>
      <c r="F11" s="194">
        <v>0</v>
      </c>
      <c r="G11" s="192"/>
    </row>
    <row r="14" spans="2:7" ht="18">
      <c r="B14" s="259" t="s">
        <v>497</v>
      </c>
      <c r="C14" s="63"/>
      <c r="D14" s="63"/>
    </row>
    <row r="15" spans="2:7">
      <c r="E15" s="64" t="s">
        <v>796</v>
      </c>
    </row>
    <row r="17" spans="2:7">
      <c r="B17" s="186" t="s">
        <v>179</v>
      </c>
      <c r="C17" s="186" t="s">
        <v>304</v>
      </c>
      <c r="D17" s="186" t="s">
        <v>305</v>
      </c>
      <c r="E17" s="186" t="s">
        <v>306</v>
      </c>
      <c r="F17" s="187" t="s">
        <v>493</v>
      </c>
      <c r="G17" s="187" t="s">
        <v>307</v>
      </c>
    </row>
    <row r="18" spans="2:7" ht="13.5" thickBot="1">
      <c r="B18" s="188" t="s">
        <v>90</v>
      </c>
      <c r="C18" s="189"/>
      <c r="D18" s="189"/>
      <c r="E18" s="189"/>
      <c r="F18" s="188" t="s">
        <v>487</v>
      </c>
      <c r="G18" s="188"/>
    </row>
    <row r="19" spans="2:7">
      <c r="B19" s="190" t="str">
        <f>AGR_Proc!D24</f>
        <v>HT_DIV_AGR_CHPI</v>
      </c>
      <c r="C19" s="190" t="str">
        <f>AGR_Proc!E24</f>
        <v>Heat Divider - AGR CHPI</v>
      </c>
      <c r="D19" s="191" t="str">
        <f>AGR_Comm!D30</f>
        <v>HT_AGR_CHPI</v>
      </c>
      <c r="E19" s="190"/>
      <c r="F19" s="190"/>
      <c r="G19" s="190">
        <v>1</v>
      </c>
    </row>
    <row r="20" spans="2:7">
      <c r="B20" s="177"/>
      <c r="C20" s="177"/>
      <c r="D20" s="177"/>
      <c r="E20" t="str">
        <f>AGR_Comm!D31</f>
        <v>AGR_HT_OWN_USE</v>
      </c>
      <c r="F20" s="180">
        <v>1</v>
      </c>
      <c r="G20" s="177"/>
    </row>
    <row r="21" spans="2:7" ht="13.5" thickBot="1">
      <c r="B21" s="193"/>
      <c r="C21" s="193"/>
      <c r="D21" s="193"/>
      <c r="E21" s="195" t="s">
        <v>498</v>
      </c>
      <c r="F21" s="194">
        <v>0</v>
      </c>
      <c r="G21" s="193"/>
    </row>
    <row r="26" spans="2:7">
      <c r="E26" s="426" t="s">
        <v>337</v>
      </c>
    </row>
    <row r="27" spans="2:7">
      <c r="B27" s="186" t="s">
        <v>179</v>
      </c>
      <c r="C27" s="186" t="s">
        <v>792</v>
      </c>
      <c r="D27" s="186" t="s">
        <v>305</v>
      </c>
      <c r="E27" s="186" t="s">
        <v>306</v>
      </c>
      <c r="F27" s="187" t="s">
        <v>307</v>
      </c>
    </row>
    <row r="28" spans="2:7" ht="13.5" thickBot="1">
      <c r="B28" s="188" t="s">
        <v>90</v>
      </c>
      <c r="C28" s="189"/>
      <c r="D28" s="189"/>
      <c r="E28" s="189"/>
      <c r="F28" s="188"/>
    </row>
    <row r="29" spans="2:7" ht="13.5" thickBot="1">
      <c r="B29" s="193" t="str">
        <f>AGR_Proc!D20</f>
        <v>AGR_DEM_OWN_HEAT</v>
      </c>
      <c r="C29" s="193" t="s">
        <v>793</v>
      </c>
      <c r="D29" s="193" t="str">
        <f>AGR_Comm!D31</f>
        <v>AGR_HT_OWN_USE</v>
      </c>
      <c r="E29" s="195" t="str">
        <f>AGR_Comm!D92</f>
        <v>AGR_DEM_HT_OWN_USE</v>
      </c>
      <c r="F29" s="19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2"/>
  <dimension ref="B2:J24"/>
  <sheetViews>
    <sheetView topLeftCell="B1" zoomScale="130" zoomScaleNormal="130" workbookViewId="0">
      <selection activeCell="G31" sqref="G31"/>
    </sheetView>
  </sheetViews>
  <sheetFormatPr defaultRowHeight="12.75"/>
  <cols>
    <col min="1" max="1" width="3.42578125" customWidth="1"/>
    <col min="2" max="2" width="19.140625" customWidth="1"/>
    <col min="3" max="3" width="31.140625" customWidth="1"/>
    <col min="4" max="4" width="17" customWidth="1"/>
    <col min="5" max="5" width="17.85546875" customWidth="1"/>
    <col min="6" max="6" width="20.140625" customWidth="1"/>
    <col min="7" max="7" width="23" customWidth="1"/>
    <col min="8" max="8" width="3.42578125" customWidth="1"/>
    <col min="9" max="9" width="15.42578125" customWidth="1"/>
    <col min="10" max="10" width="16.140625" customWidth="1"/>
  </cols>
  <sheetData>
    <row r="2" spans="2:10" ht="18">
      <c r="B2" s="262" t="s">
        <v>499</v>
      </c>
      <c r="C2" s="43"/>
      <c r="E2" s="40"/>
    </row>
    <row r="3" spans="2:10">
      <c r="B3" s="41"/>
      <c r="C3" s="39"/>
      <c r="E3" s="40"/>
    </row>
    <row r="4" spans="2:10" ht="15.75" customHeight="1">
      <c r="E4" s="64" t="s">
        <v>303</v>
      </c>
      <c r="F4" s="42"/>
      <c r="G4" s="42"/>
    </row>
    <row r="5" spans="2:10" ht="15.75" customHeight="1">
      <c r="B5" s="71" t="s">
        <v>179</v>
      </c>
      <c r="C5" s="72" t="s">
        <v>304</v>
      </c>
      <c r="D5" s="71" t="s">
        <v>305</v>
      </c>
      <c r="E5" s="71" t="s">
        <v>306</v>
      </c>
      <c r="F5" s="73" t="s">
        <v>500</v>
      </c>
      <c r="G5" s="163" t="s">
        <v>501</v>
      </c>
    </row>
    <row r="6" spans="2:10" ht="39" thickBot="1">
      <c r="B6" s="74" t="s">
        <v>348</v>
      </c>
      <c r="C6" s="74" t="s">
        <v>349</v>
      </c>
      <c r="D6" s="74" t="s">
        <v>350</v>
      </c>
      <c r="E6" s="74" t="s">
        <v>351</v>
      </c>
      <c r="F6" s="74" t="s">
        <v>502</v>
      </c>
      <c r="G6" s="74" t="s">
        <v>502</v>
      </c>
      <c r="J6" s="161" t="s">
        <v>503</v>
      </c>
    </row>
    <row r="7" spans="2:10" ht="15.75" customHeight="1">
      <c r="B7" s="87" t="str">
        <f>AGR_Proc!D21</f>
        <v>AGR_DEM_AGR</v>
      </c>
      <c r="C7" s="87" t="str">
        <f>AGR_Proc!E21</f>
        <v>Agriculture Demand Process</v>
      </c>
      <c r="D7" s="87" t="str">
        <f>AGR_Comm!D7</f>
        <v>AGR_HC</v>
      </c>
      <c r="E7" s="87"/>
      <c r="F7" s="168">
        <f>IF(J7&lt;&gt;0,J7/100,"")</f>
        <v>0.31312030499999999</v>
      </c>
      <c r="G7" s="164">
        <v>0</v>
      </c>
      <c r="I7" t="s">
        <v>35</v>
      </c>
      <c r="J7" s="173">
        <v>31.312030499999999</v>
      </c>
    </row>
    <row r="8" spans="2:10" ht="15.75" customHeight="1">
      <c r="B8" s="79" t="str">
        <f>IF(J8&gt;0,"","\I:")</f>
        <v/>
      </c>
      <c r="C8" s="79"/>
      <c r="D8" s="79" t="str">
        <f>AGR_Comm!D8</f>
        <v>AGR_BC</v>
      </c>
      <c r="E8" s="79"/>
      <c r="F8" s="169">
        <f t="shared" ref="F8:F19" si="0">IF(J8&lt;&gt;0,J8/100,"")</f>
        <v>2.6657355599999997E-3</v>
      </c>
      <c r="G8" s="165">
        <v>0</v>
      </c>
      <c r="I8" t="s">
        <v>39</v>
      </c>
      <c r="J8" s="173">
        <v>0.26657355599999999</v>
      </c>
    </row>
    <row r="9" spans="2:10" ht="15.75" customHeight="1">
      <c r="B9" s="81" t="str">
        <f t="shared" ref="B9:B19" si="1">IF(J9&gt;0,"","\I:")</f>
        <v/>
      </c>
      <c r="C9" s="81"/>
      <c r="D9" s="81" t="str">
        <f>AGR_Comm!D9</f>
        <v>AGR_OIL_GSL</v>
      </c>
      <c r="E9" s="81"/>
      <c r="F9" s="170">
        <f t="shared" si="0"/>
        <v>4.5719856000000012E-4</v>
      </c>
      <c r="G9" s="166">
        <v>0</v>
      </c>
      <c r="I9" t="s">
        <v>41</v>
      </c>
      <c r="J9" s="173">
        <v>4.571985600000001E-2</v>
      </c>
    </row>
    <row r="10" spans="2:10" ht="15.75" customHeight="1">
      <c r="B10" s="79" t="str">
        <f t="shared" si="1"/>
        <v/>
      </c>
      <c r="C10" s="79"/>
      <c r="D10" s="79" t="str">
        <f>AGR_Comm!D10</f>
        <v>AGR_OIL_DSL</v>
      </c>
      <c r="E10" s="79"/>
      <c r="F10" s="169">
        <f t="shared" si="0"/>
        <v>0.97438014756000002</v>
      </c>
      <c r="G10" s="165">
        <v>0</v>
      </c>
      <c r="I10" t="s">
        <v>43</v>
      </c>
      <c r="J10" s="173">
        <v>97.438014756000001</v>
      </c>
    </row>
    <row r="11" spans="2:10" ht="15.75" customHeight="1">
      <c r="B11" s="81" t="str">
        <f t="shared" si="1"/>
        <v/>
      </c>
      <c r="C11" s="81"/>
      <c r="D11" s="81" t="str">
        <f>AGR_Comm!D11</f>
        <v>AGR_OIL_LPG</v>
      </c>
      <c r="E11" s="81"/>
      <c r="F11" s="170">
        <f t="shared" si="0"/>
        <v>2.8520062919999999E-2</v>
      </c>
      <c r="G11" s="166">
        <v>0</v>
      </c>
      <c r="I11" t="s">
        <v>45</v>
      </c>
      <c r="J11" s="173">
        <v>2.852006292</v>
      </c>
    </row>
    <row r="12" spans="2:10" ht="15.75" customHeight="1">
      <c r="B12" s="79" t="str">
        <f t="shared" si="1"/>
        <v/>
      </c>
      <c r="C12" s="79"/>
      <c r="D12" s="79" t="str">
        <f>AGR_Comm!D12</f>
        <v>AGR_OIL_FUE</v>
      </c>
      <c r="E12" s="79"/>
      <c r="F12" s="169">
        <f t="shared" si="0"/>
        <v>4.0888288800000009E-3</v>
      </c>
      <c r="G12" s="165">
        <v>0</v>
      </c>
      <c r="I12" t="s">
        <v>48</v>
      </c>
      <c r="J12" s="173">
        <v>0.40888288800000006</v>
      </c>
    </row>
    <row r="13" spans="2:10" ht="15.75" customHeight="1">
      <c r="B13" s="81" t="str">
        <f t="shared" si="1"/>
        <v/>
      </c>
      <c r="C13" s="81"/>
      <c r="D13" s="81" t="str">
        <f>AGR_Comm!D13</f>
        <v>AGR_NAT_GAS</v>
      </c>
      <c r="E13" s="81"/>
      <c r="F13" s="170">
        <f t="shared" si="0"/>
        <v>1.8057249719999998E-2</v>
      </c>
      <c r="G13" s="171">
        <f>IF(F17/SUM(F7:F13,F16:F17,F19)&gt;=0.5,SUM(F7:F13,F16,F19),SUM(F7:F13,F16:F17,F19)/2)</f>
        <v>0.70363612008000009</v>
      </c>
      <c r="I13" t="s">
        <v>50</v>
      </c>
      <c r="J13" s="173">
        <v>1.8057249719999999</v>
      </c>
    </row>
    <row r="14" spans="2:10" ht="15.75" customHeight="1">
      <c r="B14" s="79" t="str">
        <f t="shared" si="1"/>
        <v/>
      </c>
      <c r="C14" s="79"/>
      <c r="D14" s="79" t="str">
        <f>OLD_AGR_Comm!D14</f>
        <v>AGR_BIOG</v>
      </c>
      <c r="E14" s="79"/>
      <c r="F14" s="169">
        <f t="shared" si="0"/>
        <v>3.7036432800000001E-3</v>
      </c>
      <c r="G14" s="172">
        <f>F14</f>
        <v>3.7036432800000001E-3</v>
      </c>
      <c r="I14" t="s">
        <v>55</v>
      </c>
      <c r="J14" s="173">
        <v>0.37036432800000002</v>
      </c>
    </row>
    <row r="15" spans="2:10" ht="15.75" customHeight="1">
      <c r="B15" s="81" t="str">
        <f t="shared" si="1"/>
        <v/>
      </c>
      <c r="C15" s="81"/>
      <c r="D15" s="81" t="str">
        <f>AGR_Comm!D17</f>
        <v>AGR_BIOM</v>
      </c>
      <c r="E15" s="81"/>
      <c r="F15" s="170">
        <f t="shared" si="0"/>
        <v>0.20068044155999998</v>
      </c>
      <c r="G15" s="171">
        <f>F15</f>
        <v>0.20068044155999998</v>
      </c>
      <c r="I15" t="s">
        <v>56</v>
      </c>
      <c r="J15" s="173">
        <v>20.068044155999999</v>
      </c>
    </row>
    <row r="16" spans="2:10" ht="15.75" customHeight="1">
      <c r="B16" s="79" t="str">
        <f t="shared" si="1"/>
        <v>\I:</v>
      </c>
      <c r="C16" s="79"/>
      <c r="D16" s="79" t="str">
        <f>AGR_Comm!D18</f>
        <v>AGR_RDF</v>
      </c>
      <c r="E16" s="79"/>
      <c r="F16" s="169" t="str">
        <f t="shared" si="0"/>
        <v/>
      </c>
      <c r="G16" s="172"/>
      <c r="I16" t="s">
        <v>58</v>
      </c>
      <c r="J16" s="173">
        <v>0</v>
      </c>
    </row>
    <row r="17" spans="2:10" ht="15.75" customHeight="1">
      <c r="B17" s="81" t="str">
        <f t="shared" si="1"/>
        <v/>
      </c>
      <c r="C17" s="81"/>
      <c r="D17" s="81" t="str">
        <f>AGR_Comm!D19</f>
        <v>AGR_ELC</v>
      </c>
      <c r="E17" s="81"/>
      <c r="F17" s="170">
        <f t="shared" si="0"/>
        <v>6.5982711960000009E-2</v>
      </c>
      <c r="G17" s="171">
        <f>IF(F17/SUM(F7:F13,F16:F17,F19)&gt;=0.5,F17,SUM(F7:F13,F16:F17,F19)/2)</f>
        <v>0.70363612008000009</v>
      </c>
      <c r="I17" t="s">
        <v>60</v>
      </c>
      <c r="J17" s="173">
        <v>6.5982711960000007</v>
      </c>
    </row>
    <row r="18" spans="2:10" ht="15.75" customHeight="1">
      <c r="B18" s="79" t="str">
        <f t="shared" si="1"/>
        <v/>
      </c>
      <c r="C18" s="79"/>
      <c r="D18" s="79" t="str">
        <f>AGR_Comm!D20</f>
        <v>AGR_DH</v>
      </c>
      <c r="E18" s="79"/>
      <c r="F18" s="169">
        <f t="shared" si="0"/>
        <v>7.7501854800000004E-3</v>
      </c>
      <c r="G18" s="172">
        <f>F18</f>
        <v>7.7501854800000004E-3</v>
      </c>
      <c r="I18" t="s">
        <v>62</v>
      </c>
      <c r="J18" s="173">
        <v>0.77501854800000003</v>
      </c>
    </row>
    <row r="19" spans="2:10" ht="15.75" customHeight="1">
      <c r="B19" s="81" t="str">
        <f t="shared" si="1"/>
        <v>\I:</v>
      </c>
      <c r="C19" s="81"/>
      <c r="D19" s="81" t="str">
        <f>AGR_Comm!D21</f>
        <v>AGR_OTH_FUE</v>
      </c>
      <c r="E19" s="81"/>
      <c r="F19" s="81" t="str">
        <f t="shared" si="0"/>
        <v/>
      </c>
      <c r="G19" s="166"/>
      <c r="I19" s="162" t="s">
        <v>64</v>
      </c>
      <c r="J19" s="174">
        <v>0</v>
      </c>
    </row>
    <row r="20" spans="2:10" ht="15.75" customHeight="1" thickBot="1">
      <c r="B20" s="82"/>
      <c r="C20" s="82"/>
      <c r="D20" s="82"/>
      <c r="E20" s="82" t="str">
        <f>AGR_Comm!D22</f>
        <v>AGR_DEM</v>
      </c>
      <c r="F20" s="82"/>
      <c r="G20" s="82"/>
      <c r="J20" s="173">
        <f>SUM(J7:J19)</f>
        <v>161.94065104799998</v>
      </c>
    </row>
    <row r="22" spans="2:10">
      <c r="F22" s="167"/>
      <c r="G22" s="167"/>
    </row>
    <row r="24" spans="2:10">
      <c r="F24" s="173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2F3D8-8074-4410-B57F-D5D26A777027}">
  <dimension ref="B2:N14"/>
  <sheetViews>
    <sheetView workbookViewId="0">
      <selection activeCell="H5" sqref="H5"/>
    </sheetView>
  </sheetViews>
  <sheetFormatPr defaultRowHeight="12.75"/>
  <cols>
    <col min="1" max="1" width="3.42578125" customWidth="1"/>
    <col min="2" max="2" width="17.5703125" customWidth="1"/>
    <col min="3" max="3" width="16.42578125" customWidth="1"/>
    <col min="4" max="4" width="11" customWidth="1"/>
    <col min="5" max="5" width="8.42578125" bestFit="1" customWidth="1"/>
    <col min="6" max="6" width="13.5703125" bestFit="1" customWidth="1"/>
    <col min="7" max="7" width="13.42578125" bestFit="1" customWidth="1"/>
    <col min="8" max="8" width="13.5703125" bestFit="1" customWidth="1"/>
    <col min="9" max="9" width="13.42578125" bestFit="1" customWidth="1"/>
    <col min="10" max="10" width="14.42578125" bestFit="1" customWidth="1"/>
    <col min="11" max="11" width="12.42578125" bestFit="1" customWidth="1"/>
    <col min="12" max="12" width="10.42578125" bestFit="1" customWidth="1"/>
    <col min="13" max="13" width="9.42578125" bestFit="1" customWidth="1"/>
    <col min="14" max="14" width="14.42578125" bestFit="1" customWidth="1"/>
    <col min="15" max="15" width="3.42578125" customWidth="1"/>
  </cols>
  <sheetData>
    <row r="2" spans="2:14" ht="18">
      <c r="B2" s="259" t="s">
        <v>504</v>
      </c>
      <c r="C2" s="63"/>
      <c r="D2" s="63"/>
      <c r="E2" s="63"/>
      <c r="F2" s="63"/>
    </row>
    <row r="4" spans="2:14">
      <c r="C4" s="93" t="s">
        <v>505</v>
      </c>
    </row>
    <row r="5" spans="2:14" ht="15.75" customHeight="1">
      <c r="B5" s="181" t="s">
        <v>179</v>
      </c>
      <c r="C5" s="181" t="s">
        <v>18</v>
      </c>
      <c r="D5" s="181" t="s">
        <v>35</v>
      </c>
      <c r="E5" s="181" t="s">
        <v>39</v>
      </c>
      <c r="F5" s="181" t="s">
        <v>41</v>
      </c>
      <c r="G5" s="181" t="s">
        <v>43</v>
      </c>
      <c r="H5" s="181" t="s">
        <v>45</v>
      </c>
      <c r="I5" s="181" t="s">
        <v>48</v>
      </c>
      <c r="J5" s="181" t="s">
        <v>50</v>
      </c>
      <c r="K5" s="181" t="s">
        <v>55</v>
      </c>
      <c r="L5" s="181" t="s">
        <v>56</v>
      </c>
      <c r="M5" s="181" t="s">
        <v>58</v>
      </c>
      <c r="N5" s="181" t="s">
        <v>64</v>
      </c>
    </row>
    <row r="6" spans="2:14" ht="15.75" customHeight="1" thickBot="1">
      <c r="B6" s="201" t="s">
        <v>90</v>
      </c>
      <c r="C6" s="201"/>
      <c r="D6" s="1014" t="s">
        <v>506</v>
      </c>
      <c r="E6" s="1014"/>
      <c r="F6" s="1014"/>
      <c r="G6" s="1014"/>
      <c r="H6" s="1014"/>
      <c r="I6" s="1014"/>
      <c r="J6" s="1014"/>
      <c r="K6" s="1014"/>
      <c r="L6" s="1014"/>
      <c r="M6" s="1014"/>
      <c r="N6" s="1014"/>
    </row>
    <row r="7" spans="2:14" ht="15.75" customHeight="1">
      <c r="B7" s="87" t="str">
        <f>AGR_Proc!$D$21</f>
        <v>AGR_DEM_AGR</v>
      </c>
      <c r="C7" s="87" t="str">
        <f>AGR_Comm!D23</f>
        <v>AGR_CO2</v>
      </c>
      <c r="D7" s="87">
        <v>94.19</v>
      </c>
      <c r="E7" s="87">
        <v>109.08</v>
      </c>
      <c r="F7" s="87">
        <v>68.61</v>
      </c>
      <c r="G7" s="87">
        <v>73.33</v>
      </c>
      <c r="H7" s="87">
        <v>62.44</v>
      </c>
      <c r="I7" s="87">
        <v>76.59</v>
      </c>
      <c r="J7" s="87">
        <v>55.82</v>
      </c>
      <c r="K7" s="87">
        <v>0</v>
      </c>
      <c r="L7" s="87">
        <v>0</v>
      </c>
      <c r="M7" s="87">
        <f>D7*0.85</f>
        <v>80.061499999999995</v>
      </c>
      <c r="N7" s="87">
        <f>D7</f>
        <v>94.19</v>
      </c>
    </row>
    <row r="8" spans="2:14" ht="15.75" customHeight="1">
      <c r="B8" s="79" t="str">
        <f>AGR_Proc!$D$21</f>
        <v>AGR_DEM_AGR</v>
      </c>
      <c r="C8" s="79" t="str">
        <f>AGR_Comm!D24</f>
        <v>AGR_SO2</v>
      </c>
      <c r="D8" s="79">
        <v>0.53304759599999996</v>
      </c>
      <c r="E8" s="79">
        <v>0.53304759599999996</v>
      </c>
      <c r="F8" s="79">
        <v>7.4785100000000001E-4</v>
      </c>
      <c r="G8" s="79">
        <v>7.3059600000000002E-4</v>
      </c>
      <c r="H8" s="206">
        <v>4.7595900000000003E-5</v>
      </c>
      <c r="I8" s="79">
        <v>3.2759599999999999E-4</v>
      </c>
      <c r="J8" s="207">
        <v>4.7595900000000003E-5</v>
      </c>
      <c r="K8" s="206">
        <v>4.7595900000000003E-6</v>
      </c>
      <c r="L8" s="205">
        <v>2.5047595999999998E-2</v>
      </c>
      <c r="M8" s="79">
        <v>2.5047595999999998E-2</v>
      </c>
      <c r="N8" s="79">
        <v>2.5047595999999998E-2</v>
      </c>
    </row>
    <row r="9" spans="2:14" ht="15.75" customHeight="1">
      <c r="B9" s="81" t="str">
        <f>AGR_Proc!$D$21</f>
        <v>AGR_DEM_AGR</v>
      </c>
      <c r="C9" s="81" t="str">
        <f>AGR_Comm!D25</f>
        <v>AGR_NOX</v>
      </c>
      <c r="D9" s="81">
        <v>0.60670447699999996</v>
      </c>
      <c r="E9" s="81">
        <v>0.60670447699999996</v>
      </c>
      <c r="F9" s="81">
        <v>0.88470447699999999</v>
      </c>
      <c r="G9" s="81">
        <v>0.85470447699999996</v>
      </c>
      <c r="H9" s="81">
        <v>0.87470447699999998</v>
      </c>
      <c r="I9" s="81">
        <v>0.50670447699999999</v>
      </c>
      <c r="J9" s="81">
        <v>0.51470447699999999</v>
      </c>
      <c r="K9" s="81">
        <v>0.51470447699999999</v>
      </c>
      <c r="L9" s="81">
        <v>0.54470447700000002</v>
      </c>
      <c r="M9" s="81">
        <v>0.54470447700000002</v>
      </c>
      <c r="N9" s="81">
        <v>0.54470447700000002</v>
      </c>
    </row>
    <row r="10" spans="2:14" ht="15.75" customHeight="1">
      <c r="B10" s="79" t="str">
        <f>AGR_Proc!$D$21</f>
        <v>AGR_DEM_AGR</v>
      </c>
      <c r="C10" s="79" t="str">
        <f>AGR_Comm!D26</f>
        <v>AGR_TSP</v>
      </c>
      <c r="D10" s="79">
        <v>0.74417387599999996</v>
      </c>
      <c r="E10" s="79">
        <v>0.74417387599999996</v>
      </c>
      <c r="F10" s="79">
        <v>0.32875512600000001</v>
      </c>
      <c r="G10" s="79">
        <v>0.33490387599999999</v>
      </c>
      <c r="H10" s="79">
        <v>0.32828251800000002</v>
      </c>
      <c r="I10" s="79">
        <v>0.33037387600000001</v>
      </c>
      <c r="J10" s="79">
        <v>0.32917387599999998</v>
      </c>
      <c r="K10" s="79">
        <v>0.32917387599999998</v>
      </c>
      <c r="L10" s="79">
        <v>1.048973876</v>
      </c>
      <c r="M10" s="79">
        <v>1.0489738770000001</v>
      </c>
      <c r="N10" s="79">
        <v>1.048973878</v>
      </c>
    </row>
    <row r="11" spans="2:14" ht="15.75" customHeight="1">
      <c r="B11" s="81" t="str">
        <f>AGR_Proc!$D$21</f>
        <v>AGR_DEM_AGR</v>
      </c>
      <c r="C11" s="81" t="str">
        <f>AGR_Comm!D27</f>
        <v>AGR_PM10</v>
      </c>
      <c r="D11" s="81">
        <v>0.55754891900000003</v>
      </c>
      <c r="E11" s="81">
        <v>0.55754891900000003</v>
      </c>
      <c r="F11" s="81">
        <v>0.192330169</v>
      </c>
      <c r="G11" s="81">
        <v>0.198478919</v>
      </c>
      <c r="H11" s="81">
        <v>0.19185756100000001</v>
      </c>
      <c r="I11" s="81">
        <v>0.193948919</v>
      </c>
      <c r="J11" s="81">
        <v>0.20354891899999999</v>
      </c>
      <c r="K11" s="81">
        <v>0.20354891899999999</v>
      </c>
      <c r="L11" s="81">
        <v>0.87654891899999998</v>
      </c>
      <c r="M11" s="81">
        <v>0.87654891899999998</v>
      </c>
      <c r="N11" s="81">
        <v>0.87654891899999998</v>
      </c>
    </row>
    <row r="12" spans="2:14" ht="15.75" customHeight="1">
      <c r="B12" s="204" t="str">
        <f>AGR_Proc!$D$21</f>
        <v>AGR_DEM_AGR</v>
      </c>
      <c r="C12" s="204" t="str">
        <f>AGR_Comm!D28</f>
        <v>AGR_PM2.5</v>
      </c>
      <c r="D12" s="204">
        <v>0.35625308300000003</v>
      </c>
      <c r="E12" s="204">
        <v>0.35625308300000003</v>
      </c>
      <c r="F12" s="204">
        <v>2.2034333E-2</v>
      </c>
      <c r="G12" s="204">
        <v>2.8183083000000001E-2</v>
      </c>
      <c r="H12" s="204">
        <v>2.1561725E-2</v>
      </c>
      <c r="I12" s="204">
        <v>2.3653082999999998E-2</v>
      </c>
      <c r="J12" s="204">
        <v>2.2453082999999999E-2</v>
      </c>
      <c r="K12" s="204">
        <v>2.2453082999999999E-2</v>
      </c>
      <c r="L12" s="204">
        <v>0.65625308299999996</v>
      </c>
      <c r="M12" s="204">
        <v>0.65625308299999996</v>
      </c>
      <c r="N12" s="204">
        <v>0.65625308299999996</v>
      </c>
    </row>
    <row r="13" spans="2:14">
      <c r="B13" s="203" t="s">
        <v>90</v>
      </c>
      <c r="C13" s="203"/>
      <c r="D13" s="1015" t="s">
        <v>507</v>
      </c>
      <c r="E13" s="1015"/>
      <c r="F13" s="1015"/>
      <c r="G13" s="1015"/>
      <c r="H13" s="1015"/>
      <c r="I13" s="1015"/>
      <c r="J13" s="1015"/>
      <c r="K13" s="1015"/>
      <c r="L13" s="1015"/>
      <c r="M13" s="1015"/>
      <c r="N13" s="1015"/>
    </row>
    <row r="14" spans="2:14" ht="15.75" customHeight="1" thickBot="1">
      <c r="B14" s="199" t="str">
        <f>AGR_Proc!$D$21</f>
        <v>AGR_DEM_AGR</v>
      </c>
      <c r="C14" s="199" t="str">
        <f>AGR_Comm!D29</f>
        <v>AGR_HG</v>
      </c>
      <c r="D14" s="199" t="s">
        <v>508</v>
      </c>
      <c r="E14" s="199" t="s">
        <v>509</v>
      </c>
      <c r="F14" s="199" t="s">
        <v>510</v>
      </c>
      <c r="G14" s="199" t="s">
        <v>511</v>
      </c>
      <c r="H14" s="199"/>
      <c r="I14" s="199"/>
      <c r="J14" s="199"/>
      <c r="K14" s="199"/>
      <c r="L14" s="199"/>
      <c r="M14" s="199"/>
      <c r="N14" s="199"/>
    </row>
  </sheetData>
  <mergeCells count="2">
    <mergeCell ref="D6:N6"/>
    <mergeCell ref="D13:N13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E548A-DA68-45EB-83BB-F47C2347F9C0}">
  <dimension ref="A1:CF26"/>
  <sheetViews>
    <sheetView zoomScaleNormal="100" workbookViewId="0">
      <pane xSplit="8" ySplit="5" topLeftCell="I6" activePane="bottomRight" state="frozen"/>
      <selection pane="topRight" activeCell="I6" sqref="I6"/>
      <selection pane="bottomLeft" activeCell="I6" sqref="I6"/>
      <selection pane="bottomRight" activeCell="Q16" sqref="Q16"/>
    </sheetView>
  </sheetViews>
  <sheetFormatPr defaultColWidth="9.140625" defaultRowHeight="13.5"/>
  <cols>
    <col min="1" max="2" width="1.42578125" style="132" customWidth="1"/>
    <col min="3" max="3" width="5" style="132" customWidth="1"/>
    <col min="4" max="4" width="7.140625" style="132" customWidth="1"/>
    <col min="5" max="5" width="4.42578125" style="132" customWidth="1"/>
    <col min="6" max="6" width="7.140625" style="132" customWidth="1"/>
    <col min="7" max="7" width="5.5703125" style="37" customWidth="1"/>
    <col min="8" max="8" width="14.5703125" style="151" bestFit="1" customWidth="1"/>
    <col min="9" max="9" width="9.85546875" style="152" customWidth="1"/>
    <col min="10" max="21" width="10" style="153" customWidth="1"/>
    <col min="22" max="25" width="10" style="154" customWidth="1"/>
    <col min="26" max="28" width="10" style="153" customWidth="1"/>
    <col min="29" max="29" width="10" style="152" customWidth="1"/>
    <col min="30" max="52" width="10" style="154" customWidth="1"/>
    <col min="53" max="53" width="10" style="155" customWidth="1"/>
    <col min="54" max="54" width="10" style="153" customWidth="1"/>
    <col min="55" max="75" width="10" style="154" customWidth="1"/>
    <col min="76" max="78" width="10" style="155" customWidth="1"/>
    <col min="79" max="16384" width="9.140625" style="132"/>
  </cols>
  <sheetData>
    <row r="1" spans="1:84" s="94" customFormat="1" ht="11.25" customHeight="1">
      <c r="B1" s="95"/>
      <c r="C1" s="95"/>
      <c r="D1" s="95"/>
      <c r="E1" s="95"/>
      <c r="F1" s="95"/>
      <c r="G1" s="95"/>
      <c r="H1" s="96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</row>
    <row r="2" spans="1:84" s="94" customFormat="1" ht="20.25">
      <c r="A2" s="98" t="s">
        <v>512</v>
      </c>
      <c r="B2" s="95"/>
      <c r="C2" s="95"/>
      <c r="D2" s="95"/>
      <c r="E2" s="95"/>
      <c r="F2" s="95"/>
      <c r="G2" s="95"/>
      <c r="H2" s="96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</row>
    <row r="3" spans="1:84" s="94" customFormat="1" ht="11.25" customHeight="1">
      <c r="A3" s="99"/>
      <c r="B3" s="99"/>
      <c r="C3" s="99"/>
      <c r="D3" s="99"/>
      <c r="E3" s="99"/>
      <c r="F3" s="99"/>
      <c r="G3" s="99"/>
      <c r="H3" s="100"/>
      <c r="I3" s="101"/>
      <c r="J3" s="102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2"/>
      <c r="V3" s="101"/>
      <c r="W3" s="101"/>
      <c r="X3" s="101"/>
      <c r="Y3" s="101"/>
      <c r="Z3" s="102"/>
      <c r="AA3" s="101"/>
      <c r="AB3" s="101"/>
      <c r="AC3" s="102"/>
      <c r="AD3" s="102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2"/>
      <c r="BC3" s="101"/>
      <c r="BD3" s="101"/>
      <c r="BE3" s="101"/>
      <c r="BF3" s="101"/>
      <c r="BG3" s="101"/>
      <c r="BH3" s="101"/>
      <c r="BI3" s="101"/>
      <c r="BJ3" s="101"/>
      <c r="BK3" s="101"/>
      <c r="BL3" s="101"/>
      <c r="BM3" s="101"/>
      <c r="BN3" s="101"/>
      <c r="BO3" s="101"/>
      <c r="BP3" s="101"/>
      <c r="BQ3" s="101"/>
      <c r="BR3" s="101"/>
      <c r="BS3" s="101"/>
      <c r="BT3" s="101"/>
      <c r="BU3" s="102"/>
      <c r="BV3" s="101"/>
      <c r="BW3" s="101"/>
      <c r="BX3" s="102"/>
      <c r="BY3" s="102"/>
      <c r="BZ3" s="102"/>
    </row>
    <row r="4" spans="1:84" s="112" customFormat="1" ht="22.7" customHeight="1">
      <c r="A4" s="103"/>
      <c r="B4" s="103"/>
      <c r="C4" s="103"/>
      <c r="D4" s="103"/>
      <c r="E4" s="103"/>
      <c r="F4" s="103"/>
      <c r="G4" s="103"/>
      <c r="H4" s="103"/>
      <c r="I4" s="104" t="s">
        <v>513</v>
      </c>
      <c r="J4" s="105" t="s">
        <v>514</v>
      </c>
      <c r="K4" s="104" t="s">
        <v>515</v>
      </c>
      <c r="L4" s="104" t="s">
        <v>516</v>
      </c>
      <c r="M4" s="104" t="s">
        <v>517</v>
      </c>
      <c r="N4" s="104" t="s">
        <v>518</v>
      </c>
      <c r="O4" s="104" t="s">
        <v>519</v>
      </c>
      <c r="P4" s="104" t="s">
        <v>520</v>
      </c>
      <c r="Q4" s="104" t="s">
        <v>521</v>
      </c>
      <c r="R4" s="104" t="s">
        <v>522</v>
      </c>
      <c r="S4" s="104" t="s">
        <v>523</v>
      </c>
      <c r="T4" s="104" t="s">
        <v>524</v>
      </c>
      <c r="U4" s="106" t="s">
        <v>525</v>
      </c>
      <c r="V4" s="104" t="s">
        <v>526</v>
      </c>
      <c r="W4" s="104" t="s">
        <v>527</v>
      </c>
      <c r="X4" s="104" t="s">
        <v>528</v>
      </c>
      <c r="Y4" s="104" t="s">
        <v>529</v>
      </c>
      <c r="Z4" s="106" t="s">
        <v>530</v>
      </c>
      <c r="AA4" s="104" t="s">
        <v>531</v>
      </c>
      <c r="AB4" s="104" t="s">
        <v>532</v>
      </c>
      <c r="AC4" s="107" t="s">
        <v>533</v>
      </c>
      <c r="AD4" s="108" t="s">
        <v>534</v>
      </c>
      <c r="AE4" s="109" t="s">
        <v>535</v>
      </c>
      <c r="AF4" s="104" t="s">
        <v>536</v>
      </c>
      <c r="AG4" s="104" t="s">
        <v>537</v>
      </c>
      <c r="AH4" s="104" t="s">
        <v>538</v>
      </c>
      <c r="AI4" s="104" t="s">
        <v>539</v>
      </c>
      <c r="AJ4" s="104" t="s">
        <v>540</v>
      </c>
      <c r="AK4" s="104" t="s">
        <v>541</v>
      </c>
      <c r="AL4" s="104" t="s">
        <v>542</v>
      </c>
      <c r="AM4" s="104" t="s">
        <v>543</v>
      </c>
      <c r="AN4" s="104" t="s">
        <v>544</v>
      </c>
      <c r="AO4" s="104" t="s">
        <v>545</v>
      </c>
      <c r="AP4" s="104" t="s">
        <v>546</v>
      </c>
      <c r="AQ4" s="104" t="s">
        <v>547</v>
      </c>
      <c r="AR4" s="104" t="s">
        <v>548</v>
      </c>
      <c r="AS4" s="104" t="s">
        <v>549</v>
      </c>
      <c r="AT4" s="104" t="s">
        <v>550</v>
      </c>
      <c r="AU4" s="104" t="s">
        <v>551</v>
      </c>
      <c r="AV4" s="104" t="s">
        <v>552</v>
      </c>
      <c r="AW4" s="104" t="s">
        <v>553</v>
      </c>
      <c r="AX4" s="104" t="s">
        <v>554</v>
      </c>
      <c r="AY4" s="104" t="s">
        <v>555</v>
      </c>
      <c r="AZ4" s="104" t="s">
        <v>556</v>
      </c>
      <c r="BA4" s="104" t="s">
        <v>557</v>
      </c>
      <c r="BB4" s="106" t="s">
        <v>558</v>
      </c>
      <c r="BC4" s="104" t="s">
        <v>559</v>
      </c>
      <c r="BD4" s="104" t="s">
        <v>560</v>
      </c>
      <c r="BE4" s="104" t="s">
        <v>561</v>
      </c>
      <c r="BF4" s="104" t="s">
        <v>562</v>
      </c>
      <c r="BG4" s="104" t="s">
        <v>563</v>
      </c>
      <c r="BH4" s="104" t="s">
        <v>564</v>
      </c>
      <c r="BI4" s="110" t="s">
        <v>565</v>
      </c>
      <c r="BJ4" s="104" t="s">
        <v>566</v>
      </c>
      <c r="BK4" s="104" t="s">
        <v>567</v>
      </c>
      <c r="BL4" s="104" t="s">
        <v>568</v>
      </c>
      <c r="BM4" s="104" t="s">
        <v>569</v>
      </c>
      <c r="BN4" s="104" t="s">
        <v>570</v>
      </c>
      <c r="BO4" s="104" t="s">
        <v>571</v>
      </c>
      <c r="BP4" s="104" t="s">
        <v>572</v>
      </c>
      <c r="BQ4" s="104" t="s">
        <v>573</v>
      </c>
      <c r="BR4" s="104" t="s">
        <v>574</v>
      </c>
      <c r="BS4" s="104" t="s">
        <v>575</v>
      </c>
      <c r="BT4" s="104" t="s">
        <v>576</v>
      </c>
      <c r="BU4" s="106" t="s">
        <v>577</v>
      </c>
      <c r="BV4" s="104" t="s">
        <v>578</v>
      </c>
      <c r="BW4" s="104" t="s">
        <v>579</v>
      </c>
      <c r="BX4" s="107" t="s">
        <v>580</v>
      </c>
      <c r="BY4" s="108" t="s">
        <v>581</v>
      </c>
      <c r="BZ4" s="106" t="s">
        <v>582</v>
      </c>
      <c r="CA4" s="111" t="s">
        <v>583</v>
      </c>
      <c r="CB4" s="106" t="s">
        <v>584</v>
      </c>
    </row>
    <row r="5" spans="1:84" s="122" customFormat="1" ht="54">
      <c r="A5" s="113"/>
      <c r="B5" s="113"/>
      <c r="C5" s="113"/>
      <c r="D5" s="114" t="s">
        <v>585</v>
      </c>
      <c r="E5" s="114"/>
      <c r="F5" s="115">
        <v>2020</v>
      </c>
      <c r="G5" s="116"/>
      <c r="H5" s="117"/>
      <c r="I5" s="118" t="s">
        <v>586</v>
      </c>
      <c r="J5" s="118" t="s">
        <v>587</v>
      </c>
      <c r="K5" s="119" t="s">
        <v>588</v>
      </c>
      <c r="L5" s="119" t="s">
        <v>589</v>
      </c>
      <c r="M5" s="119" t="s">
        <v>590</v>
      </c>
      <c r="N5" s="119" t="s">
        <v>591</v>
      </c>
      <c r="O5" s="119" t="s">
        <v>592</v>
      </c>
      <c r="P5" s="119" t="s">
        <v>593</v>
      </c>
      <c r="Q5" s="119" t="s">
        <v>594</v>
      </c>
      <c r="R5" s="119" t="s">
        <v>595</v>
      </c>
      <c r="S5" s="119" t="s">
        <v>596</v>
      </c>
      <c r="T5" s="119" t="s">
        <v>597</v>
      </c>
      <c r="U5" s="118" t="s">
        <v>598</v>
      </c>
      <c r="V5" s="119" t="s">
        <v>599</v>
      </c>
      <c r="W5" s="119" t="s">
        <v>600</v>
      </c>
      <c r="X5" s="119" t="s">
        <v>601</v>
      </c>
      <c r="Y5" s="119" t="s">
        <v>602</v>
      </c>
      <c r="Z5" s="118" t="s">
        <v>603</v>
      </c>
      <c r="AA5" s="119" t="s">
        <v>604</v>
      </c>
      <c r="AB5" s="119" t="s">
        <v>605</v>
      </c>
      <c r="AC5" s="118" t="s">
        <v>606</v>
      </c>
      <c r="AD5" s="118" t="s">
        <v>607</v>
      </c>
      <c r="AE5" s="119" t="s">
        <v>608</v>
      </c>
      <c r="AF5" s="119" t="s">
        <v>609</v>
      </c>
      <c r="AG5" s="119" t="s">
        <v>610</v>
      </c>
      <c r="AH5" s="119" t="s">
        <v>611</v>
      </c>
      <c r="AI5" s="119" t="s">
        <v>612</v>
      </c>
      <c r="AJ5" s="119" t="s">
        <v>613</v>
      </c>
      <c r="AK5" s="119" t="s">
        <v>614</v>
      </c>
      <c r="AL5" s="119" t="s">
        <v>615</v>
      </c>
      <c r="AM5" s="120" t="s">
        <v>616</v>
      </c>
      <c r="AN5" s="119" t="s">
        <v>617</v>
      </c>
      <c r="AO5" s="119" t="s">
        <v>618</v>
      </c>
      <c r="AP5" s="120" t="s">
        <v>619</v>
      </c>
      <c r="AQ5" s="119" t="s">
        <v>620</v>
      </c>
      <c r="AR5" s="119" t="s">
        <v>621</v>
      </c>
      <c r="AS5" s="120" t="s">
        <v>622</v>
      </c>
      <c r="AT5" s="119" t="s">
        <v>623</v>
      </c>
      <c r="AU5" s="120" t="s">
        <v>624</v>
      </c>
      <c r="AV5" s="119" t="s">
        <v>625</v>
      </c>
      <c r="AW5" s="119" t="s">
        <v>626</v>
      </c>
      <c r="AX5" s="119" t="s">
        <v>627</v>
      </c>
      <c r="AY5" s="119" t="s">
        <v>628</v>
      </c>
      <c r="AZ5" s="119" t="s">
        <v>629</v>
      </c>
      <c r="BA5" s="118" t="s">
        <v>630</v>
      </c>
      <c r="BB5" s="118" t="s">
        <v>631</v>
      </c>
      <c r="BC5" s="119" t="s">
        <v>632</v>
      </c>
      <c r="BD5" s="119" t="s">
        <v>633</v>
      </c>
      <c r="BE5" s="119" t="s">
        <v>634</v>
      </c>
      <c r="BF5" s="119" t="s">
        <v>635</v>
      </c>
      <c r="BG5" s="119" t="s">
        <v>636</v>
      </c>
      <c r="BH5" s="119" t="s">
        <v>637</v>
      </c>
      <c r="BI5" s="119" t="s">
        <v>638</v>
      </c>
      <c r="BJ5" s="119" t="s">
        <v>639</v>
      </c>
      <c r="BK5" s="119" t="s">
        <v>640</v>
      </c>
      <c r="BL5" s="119" t="s">
        <v>641</v>
      </c>
      <c r="BM5" s="119" t="s">
        <v>642</v>
      </c>
      <c r="BN5" s="119" t="s">
        <v>643</v>
      </c>
      <c r="BO5" s="119" t="s">
        <v>644</v>
      </c>
      <c r="BP5" s="119" t="s">
        <v>645</v>
      </c>
      <c r="BQ5" s="119" t="s">
        <v>646</v>
      </c>
      <c r="BR5" s="119" t="s">
        <v>647</v>
      </c>
      <c r="BS5" s="119" t="s">
        <v>648</v>
      </c>
      <c r="BT5" s="119" t="s">
        <v>649</v>
      </c>
      <c r="BU5" s="118" t="s">
        <v>650</v>
      </c>
      <c r="BV5" s="119" t="s">
        <v>651</v>
      </c>
      <c r="BW5" s="119" t="s">
        <v>652</v>
      </c>
      <c r="BX5" s="118" t="s">
        <v>653</v>
      </c>
      <c r="BY5" s="118" t="s">
        <v>654</v>
      </c>
      <c r="BZ5" s="118" t="s">
        <v>61</v>
      </c>
      <c r="CA5" s="121" t="s">
        <v>655</v>
      </c>
      <c r="CB5" s="118" t="s">
        <v>656</v>
      </c>
      <c r="CE5" s="37"/>
      <c r="CF5" s="123"/>
    </row>
    <row r="6" spans="1:84" ht="11.25" customHeight="1">
      <c r="A6" s="124" t="s">
        <v>657</v>
      </c>
      <c r="B6" s="125" t="s">
        <v>658</v>
      </c>
      <c r="C6" s="125"/>
      <c r="D6" s="125"/>
      <c r="E6" s="125"/>
      <c r="F6" s="125"/>
      <c r="G6" s="126"/>
      <c r="H6" s="127" t="s">
        <v>659</v>
      </c>
      <c r="I6" s="128">
        <v>32550.846000000001</v>
      </c>
      <c r="J6" s="128">
        <v>6462.37</v>
      </c>
      <c r="K6" s="129">
        <v>0</v>
      </c>
      <c r="L6" s="129">
        <v>3.0000000000000001E-3</v>
      </c>
      <c r="M6" s="129">
        <v>6400.7169999999996</v>
      </c>
      <c r="N6" s="129">
        <v>0</v>
      </c>
      <c r="O6" s="129">
        <v>23.509</v>
      </c>
      <c r="P6" s="129">
        <v>4.3999999999999997E-2</v>
      </c>
      <c r="Q6" s="129">
        <v>36.677999999999997</v>
      </c>
      <c r="R6" s="129">
        <v>0</v>
      </c>
      <c r="S6" s="129">
        <v>0</v>
      </c>
      <c r="T6" s="129">
        <v>1.42</v>
      </c>
      <c r="U6" s="128">
        <v>13.923999999999999</v>
      </c>
      <c r="V6" s="129">
        <v>0</v>
      </c>
      <c r="W6" s="129">
        <v>13.923999999999999</v>
      </c>
      <c r="X6" s="129">
        <v>0</v>
      </c>
      <c r="Y6" s="129">
        <v>0</v>
      </c>
      <c r="Z6" s="128">
        <v>0</v>
      </c>
      <c r="AA6" s="129">
        <v>0</v>
      </c>
      <c r="AB6" s="129">
        <v>0</v>
      </c>
      <c r="AC6" s="130">
        <v>0</v>
      </c>
      <c r="AD6" s="128">
        <v>3409.873</v>
      </c>
      <c r="AE6" s="129">
        <v>0</v>
      </c>
      <c r="AF6" s="129">
        <v>0</v>
      </c>
      <c r="AG6" s="129" t="s">
        <v>660</v>
      </c>
      <c r="AH6" s="129" t="s">
        <v>660</v>
      </c>
      <c r="AI6" s="129" t="s">
        <v>660</v>
      </c>
      <c r="AJ6" s="129">
        <v>0</v>
      </c>
      <c r="AK6" s="129">
        <v>0</v>
      </c>
      <c r="AL6" s="129">
        <v>672.399</v>
      </c>
      <c r="AM6" s="129">
        <v>1.0920000000000001</v>
      </c>
      <c r="AN6" s="129">
        <v>0</v>
      </c>
      <c r="AO6" s="129">
        <v>0</v>
      </c>
      <c r="AP6" s="129">
        <v>0</v>
      </c>
      <c r="AQ6" s="129">
        <v>0.251</v>
      </c>
      <c r="AR6" s="129">
        <v>0</v>
      </c>
      <c r="AS6" s="129">
        <v>2726.3649999999998</v>
      </c>
      <c r="AT6" s="129">
        <v>9.766</v>
      </c>
      <c r="AU6" s="129">
        <v>0</v>
      </c>
      <c r="AV6" s="129">
        <v>0</v>
      </c>
      <c r="AW6" s="129">
        <v>0</v>
      </c>
      <c r="AX6" s="129">
        <v>0</v>
      </c>
      <c r="AY6" s="129">
        <v>0</v>
      </c>
      <c r="AZ6" s="129">
        <v>0</v>
      </c>
      <c r="BA6" s="130">
        <v>5028.6390000000001</v>
      </c>
      <c r="BB6" s="128">
        <v>5990.6880000000001</v>
      </c>
      <c r="BC6" s="129" t="s">
        <v>660</v>
      </c>
      <c r="BD6" s="129" t="s">
        <v>660</v>
      </c>
      <c r="BE6" s="129" t="s">
        <v>660</v>
      </c>
      <c r="BF6" s="129" t="s">
        <v>660</v>
      </c>
      <c r="BG6" s="129">
        <v>80.144000000000005</v>
      </c>
      <c r="BH6" s="129">
        <v>25.64</v>
      </c>
      <c r="BI6" s="129">
        <v>5511.3109999999997</v>
      </c>
      <c r="BJ6" s="129">
        <v>0</v>
      </c>
      <c r="BK6" s="129">
        <v>74.338999999999999</v>
      </c>
      <c r="BL6" s="129">
        <v>0.252</v>
      </c>
      <c r="BM6" s="129">
        <v>0</v>
      </c>
      <c r="BN6" s="129">
        <v>0</v>
      </c>
      <c r="BO6" s="129">
        <v>0</v>
      </c>
      <c r="BP6" s="129">
        <v>0</v>
      </c>
      <c r="BQ6" s="129">
        <v>0</v>
      </c>
      <c r="BR6" s="129">
        <v>0</v>
      </c>
      <c r="BS6" s="129">
        <v>1</v>
      </c>
      <c r="BT6" s="129">
        <v>298.00299999999999</v>
      </c>
      <c r="BU6" s="128">
        <v>33.231999999999999</v>
      </c>
      <c r="BV6" s="129">
        <v>4.0759999999999996</v>
      </c>
      <c r="BW6" s="129">
        <v>29.155000000000001</v>
      </c>
      <c r="BX6" s="130" t="s">
        <v>660</v>
      </c>
      <c r="BY6" s="130">
        <v>4747.0230000000001</v>
      </c>
      <c r="BZ6" s="130">
        <v>6865.0969999999998</v>
      </c>
      <c r="CA6" s="131">
        <v>24944.828000000001</v>
      </c>
      <c r="CB6" s="130">
        <v>6302.6710000000003</v>
      </c>
      <c r="CD6" s="132">
        <f>BZ6*41.868/1000</f>
        <v>287.42788119600004</v>
      </c>
    </row>
    <row r="7" spans="1:84" ht="11.25" customHeight="1">
      <c r="A7" s="133"/>
      <c r="B7" s="124" t="s">
        <v>657</v>
      </c>
      <c r="C7" s="125" t="s">
        <v>661</v>
      </c>
      <c r="D7" s="125"/>
      <c r="E7" s="125"/>
      <c r="F7" s="125"/>
      <c r="G7" s="126"/>
      <c r="H7" s="127" t="s">
        <v>662</v>
      </c>
      <c r="I7" s="128">
        <v>7580.2849999999999</v>
      </c>
      <c r="J7" s="128">
        <v>507.99700000000001</v>
      </c>
      <c r="K7" s="129">
        <v>0</v>
      </c>
      <c r="L7" s="129">
        <v>3.0000000000000001E-3</v>
      </c>
      <c r="M7" s="129">
        <v>496.81</v>
      </c>
      <c r="N7" s="129">
        <v>0</v>
      </c>
      <c r="O7" s="129">
        <v>1.345</v>
      </c>
      <c r="P7" s="129">
        <v>0</v>
      </c>
      <c r="Q7" s="129">
        <v>9.8390000000000004</v>
      </c>
      <c r="R7" s="129">
        <v>0</v>
      </c>
      <c r="S7" s="129">
        <v>0</v>
      </c>
      <c r="T7" s="129">
        <v>0</v>
      </c>
      <c r="U7" s="128">
        <v>13.923999999999999</v>
      </c>
      <c r="V7" s="129">
        <v>0</v>
      </c>
      <c r="W7" s="129">
        <v>13.923999999999999</v>
      </c>
      <c r="X7" s="129">
        <v>0</v>
      </c>
      <c r="Y7" s="129">
        <v>0</v>
      </c>
      <c r="Z7" s="128">
        <v>0</v>
      </c>
      <c r="AA7" s="129">
        <v>0</v>
      </c>
      <c r="AB7" s="129">
        <v>0</v>
      </c>
      <c r="AC7" s="130">
        <v>0</v>
      </c>
      <c r="AD7" s="128">
        <v>386.387</v>
      </c>
      <c r="AE7" s="129">
        <v>0</v>
      </c>
      <c r="AF7" s="129">
        <v>0</v>
      </c>
      <c r="AG7" s="129" t="s">
        <v>660</v>
      </c>
      <c r="AH7" s="129" t="s">
        <v>660</v>
      </c>
      <c r="AI7" s="129" t="s">
        <v>660</v>
      </c>
      <c r="AJ7" s="129">
        <v>0</v>
      </c>
      <c r="AK7" s="129">
        <v>0</v>
      </c>
      <c r="AL7" s="129">
        <v>54.935000000000002</v>
      </c>
      <c r="AM7" s="129">
        <v>0</v>
      </c>
      <c r="AN7" s="129">
        <v>0</v>
      </c>
      <c r="AO7" s="129">
        <v>0</v>
      </c>
      <c r="AP7" s="129">
        <v>0</v>
      </c>
      <c r="AQ7" s="129">
        <v>0.13900000000000001</v>
      </c>
      <c r="AR7" s="129">
        <v>0</v>
      </c>
      <c r="AS7" s="129">
        <v>331.31400000000002</v>
      </c>
      <c r="AT7" s="129">
        <v>0</v>
      </c>
      <c r="AU7" s="129">
        <v>0</v>
      </c>
      <c r="AV7" s="129">
        <v>0</v>
      </c>
      <c r="AW7" s="129">
        <v>0</v>
      </c>
      <c r="AX7" s="129">
        <v>0</v>
      </c>
      <c r="AY7" s="129">
        <v>0</v>
      </c>
      <c r="AZ7" s="129">
        <v>0</v>
      </c>
      <c r="BA7" s="130">
        <v>1144.0830000000001</v>
      </c>
      <c r="BB7" s="128">
        <v>276.82499999999999</v>
      </c>
      <c r="BC7" s="129" t="s">
        <v>660</v>
      </c>
      <c r="BD7" s="129" t="s">
        <v>660</v>
      </c>
      <c r="BE7" s="129" t="s">
        <v>660</v>
      </c>
      <c r="BF7" s="129" t="s">
        <v>660</v>
      </c>
      <c r="BG7" s="129">
        <v>5.609</v>
      </c>
      <c r="BH7" s="129">
        <v>6.41</v>
      </c>
      <c r="BI7" s="129">
        <v>177.96899999999999</v>
      </c>
      <c r="BJ7" s="129">
        <v>0</v>
      </c>
      <c r="BK7" s="129">
        <v>65.492999999999995</v>
      </c>
      <c r="BL7" s="129">
        <v>0.252</v>
      </c>
      <c r="BM7" s="129">
        <v>0</v>
      </c>
      <c r="BN7" s="129">
        <v>0</v>
      </c>
      <c r="BO7" s="129">
        <v>0</v>
      </c>
      <c r="BP7" s="129">
        <v>0</v>
      </c>
      <c r="BQ7" s="129">
        <v>0</v>
      </c>
      <c r="BR7" s="129">
        <v>0</v>
      </c>
      <c r="BS7" s="129">
        <v>1</v>
      </c>
      <c r="BT7" s="129">
        <v>20.093</v>
      </c>
      <c r="BU7" s="128">
        <v>33.231999999999999</v>
      </c>
      <c r="BV7" s="129">
        <v>4.0759999999999996</v>
      </c>
      <c r="BW7" s="129">
        <v>29.155000000000001</v>
      </c>
      <c r="BX7" s="130" t="s">
        <v>660</v>
      </c>
      <c r="BY7" s="130">
        <v>1091.606</v>
      </c>
      <c r="BZ7" s="130">
        <v>4126.2309999999998</v>
      </c>
      <c r="CA7" s="131">
        <v>6463.5349999999999</v>
      </c>
      <c r="CB7" s="130">
        <v>543.99</v>
      </c>
      <c r="CD7" s="132">
        <f t="shared" ref="CD7:CD11" si="0">BZ7*41.868/1000</f>
        <v>172.75703950799999</v>
      </c>
    </row>
    <row r="8" spans="1:84" ht="11.25" customHeight="1">
      <c r="A8" s="133"/>
      <c r="B8" s="124" t="s">
        <v>657</v>
      </c>
      <c r="C8" s="125" t="s">
        <v>663</v>
      </c>
      <c r="D8" s="125"/>
      <c r="E8" s="125"/>
      <c r="F8" s="125"/>
      <c r="G8" s="126"/>
      <c r="H8" s="127" t="s">
        <v>664</v>
      </c>
      <c r="I8" s="128">
        <v>21101.347000000002</v>
      </c>
      <c r="J8" s="128">
        <v>5200.1310000000003</v>
      </c>
      <c r="K8" s="129">
        <v>0</v>
      </c>
      <c r="L8" s="129">
        <v>0</v>
      </c>
      <c r="M8" s="129">
        <v>5159.9579999999996</v>
      </c>
      <c r="N8" s="129">
        <v>0</v>
      </c>
      <c r="O8" s="129">
        <v>17.216000000000001</v>
      </c>
      <c r="P8" s="129">
        <v>0</v>
      </c>
      <c r="Q8" s="129">
        <v>22.957000000000001</v>
      </c>
      <c r="R8" s="129">
        <v>0</v>
      </c>
      <c r="S8" s="129">
        <v>0</v>
      </c>
      <c r="T8" s="129">
        <v>0</v>
      </c>
      <c r="U8" s="128">
        <v>0</v>
      </c>
      <c r="V8" s="129">
        <v>0</v>
      </c>
      <c r="W8" s="129">
        <v>0</v>
      </c>
      <c r="X8" s="129">
        <v>0</v>
      </c>
      <c r="Y8" s="129">
        <v>0</v>
      </c>
      <c r="Z8" s="128">
        <v>0</v>
      </c>
      <c r="AA8" s="129">
        <v>0</v>
      </c>
      <c r="AB8" s="129">
        <v>0</v>
      </c>
      <c r="AC8" s="130">
        <v>0</v>
      </c>
      <c r="AD8" s="128">
        <v>617.13</v>
      </c>
      <c r="AE8" s="129">
        <v>0</v>
      </c>
      <c r="AF8" s="129">
        <v>0</v>
      </c>
      <c r="AG8" s="129" t="s">
        <v>660</v>
      </c>
      <c r="AH8" s="129" t="s">
        <v>660</v>
      </c>
      <c r="AI8" s="129" t="s">
        <v>660</v>
      </c>
      <c r="AJ8" s="129">
        <v>0</v>
      </c>
      <c r="AK8" s="129">
        <v>0</v>
      </c>
      <c r="AL8" s="129">
        <v>549.346</v>
      </c>
      <c r="AM8" s="129">
        <v>0</v>
      </c>
      <c r="AN8" s="129">
        <v>0</v>
      </c>
      <c r="AO8" s="129">
        <v>0</v>
      </c>
      <c r="AP8" s="129">
        <v>0</v>
      </c>
      <c r="AQ8" s="129">
        <v>0</v>
      </c>
      <c r="AR8" s="129">
        <v>0</v>
      </c>
      <c r="AS8" s="129">
        <v>67.784000000000006</v>
      </c>
      <c r="AT8" s="129">
        <v>0</v>
      </c>
      <c r="AU8" s="129">
        <v>0</v>
      </c>
      <c r="AV8" s="129">
        <v>0</v>
      </c>
      <c r="AW8" s="129">
        <v>0</v>
      </c>
      <c r="AX8" s="129">
        <v>0</v>
      </c>
      <c r="AY8" s="129">
        <v>0</v>
      </c>
      <c r="AZ8" s="129">
        <v>0</v>
      </c>
      <c r="BA8" s="130">
        <v>3841.4270000000001</v>
      </c>
      <c r="BB8" s="128">
        <v>5225.7</v>
      </c>
      <c r="BC8" s="129" t="s">
        <v>660</v>
      </c>
      <c r="BD8" s="129" t="s">
        <v>660</v>
      </c>
      <c r="BE8" s="129" t="s">
        <v>660</v>
      </c>
      <c r="BF8" s="129" t="s">
        <v>660</v>
      </c>
      <c r="BG8" s="129">
        <v>74.534999999999997</v>
      </c>
      <c r="BH8" s="129">
        <v>19.23</v>
      </c>
      <c r="BI8" s="129">
        <v>4854.0249999999996</v>
      </c>
      <c r="BJ8" s="129">
        <v>0</v>
      </c>
      <c r="BK8" s="129">
        <v>0</v>
      </c>
      <c r="BL8" s="129">
        <v>0</v>
      </c>
      <c r="BM8" s="129">
        <v>0</v>
      </c>
      <c r="BN8" s="129">
        <v>0</v>
      </c>
      <c r="BO8" s="129">
        <v>0</v>
      </c>
      <c r="BP8" s="129">
        <v>0</v>
      </c>
      <c r="BQ8" s="129">
        <v>0</v>
      </c>
      <c r="BR8" s="129">
        <v>0</v>
      </c>
      <c r="BS8" s="129">
        <v>0</v>
      </c>
      <c r="BT8" s="129">
        <v>277.91000000000003</v>
      </c>
      <c r="BU8" s="128">
        <v>0</v>
      </c>
      <c r="BV8" s="129">
        <v>0</v>
      </c>
      <c r="BW8" s="129">
        <v>0</v>
      </c>
      <c r="BX8" s="130" t="s">
        <v>660</v>
      </c>
      <c r="BY8" s="130">
        <v>3636.9059999999999</v>
      </c>
      <c r="BZ8" s="130">
        <v>2580.0529999999999</v>
      </c>
      <c r="CA8" s="131">
        <v>15130.823</v>
      </c>
      <c r="CB8" s="130">
        <v>5260.7460000000001</v>
      </c>
      <c r="CD8" s="132">
        <f t="shared" si="0"/>
        <v>108.021659004</v>
      </c>
    </row>
    <row r="9" spans="1:84" ht="11.25" customHeight="1">
      <c r="A9" s="133"/>
      <c r="B9" s="124" t="s">
        <v>657</v>
      </c>
      <c r="C9" s="125" t="s">
        <v>665</v>
      </c>
      <c r="D9" s="125"/>
      <c r="E9" s="125"/>
      <c r="F9" s="125"/>
      <c r="G9" s="126"/>
      <c r="H9" s="127" t="s">
        <v>666</v>
      </c>
      <c r="I9" s="128">
        <v>3867.8850000000002</v>
      </c>
      <c r="J9" s="128">
        <v>754.24199999999996</v>
      </c>
      <c r="K9" s="129">
        <v>0</v>
      </c>
      <c r="L9" s="129">
        <v>0</v>
      </c>
      <c r="M9" s="129">
        <v>743.94899999999996</v>
      </c>
      <c r="N9" s="129">
        <v>0</v>
      </c>
      <c r="O9" s="129">
        <v>4.9470000000000001</v>
      </c>
      <c r="P9" s="129">
        <v>4.3999999999999997E-2</v>
      </c>
      <c r="Q9" s="129">
        <v>3.8820000000000001</v>
      </c>
      <c r="R9" s="129">
        <v>0</v>
      </c>
      <c r="S9" s="129">
        <v>0</v>
      </c>
      <c r="T9" s="129">
        <v>1.42</v>
      </c>
      <c r="U9" s="128">
        <v>0</v>
      </c>
      <c r="V9" s="129">
        <v>0</v>
      </c>
      <c r="W9" s="129">
        <v>0</v>
      </c>
      <c r="X9" s="129">
        <v>0</v>
      </c>
      <c r="Y9" s="129">
        <v>0</v>
      </c>
      <c r="Z9" s="128">
        <v>0</v>
      </c>
      <c r="AA9" s="129">
        <v>0</v>
      </c>
      <c r="AB9" s="129">
        <v>0</v>
      </c>
      <c r="AC9" s="130">
        <v>0</v>
      </c>
      <c r="AD9" s="128">
        <v>2406.2429999999999</v>
      </c>
      <c r="AE9" s="129">
        <v>0</v>
      </c>
      <c r="AF9" s="129">
        <v>0</v>
      </c>
      <c r="AG9" s="129" t="s">
        <v>660</v>
      </c>
      <c r="AH9" s="129" t="s">
        <v>660</v>
      </c>
      <c r="AI9" s="129" t="s">
        <v>660</v>
      </c>
      <c r="AJ9" s="129">
        <v>0</v>
      </c>
      <c r="AK9" s="129">
        <v>0</v>
      </c>
      <c r="AL9" s="129">
        <v>68.119</v>
      </c>
      <c r="AM9" s="129">
        <v>1.0920000000000001</v>
      </c>
      <c r="AN9" s="129">
        <v>0</v>
      </c>
      <c r="AO9" s="129">
        <v>0</v>
      </c>
      <c r="AP9" s="129">
        <v>0</v>
      </c>
      <c r="AQ9" s="129">
        <v>0</v>
      </c>
      <c r="AR9" s="129">
        <v>0</v>
      </c>
      <c r="AS9" s="129">
        <v>2327.2669999999998</v>
      </c>
      <c r="AT9" s="129">
        <v>9.766</v>
      </c>
      <c r="AU9" s="129">
        <v>0</v>
      </c>
      <c r="AV9" s="129">
        <v>0</v>
      </c>
      <c r="AW9" s="129">
        <v>0</v>
      </c>
      <c r="AX9" s="129">
        <v>0</v>
      </c>
      <c r="AY9" s="129">
        <v>0</v>
      </c>
      <c r="AZ9" s="129">
        <v>0</v>
      </c>
      <c r="BA9" s="130">
        <v>43.128999999999998</v>
      </c>
      <c r="BB9" s="128">
        <v>488.16300000000001</v>
      </c>
      <c r="BC9" s="129" t="s">
        <v>660</v>
      </c>
      <c r="BD9" s="129" t="s">
        <v>660</v>
      </c>
      <c r="BE9" s="129" t="s">
        <v>660</v>
      </c>
      <c r="BF9" s="129" t="s">
        <v>660</v>
      </c>
      <c r="BG9" s="129">
        <v>0</v>
      </c>
      <c r="BH9" s="129">
        <v>0</v>
      </c>
      <c r="BI9" s="129">
        <v>479.31700000000001</v>
      </c>
      <c r="BJ9" s="129">
        <v>0</v>
      </c>
      <c r="BK9" s="129">
        <v>8.8460000000000001</v>
      </c>
      <c r="BL9" s="129">
        <v>0</v>
      </c>
      <c r="BM9" s="129">
        <v>0</v>
      </c>
      <c r="BN9" s="129">
        <v>0</v>
      </c>
      <c r="BO9" s="129">
        <v>0</v>
      </c>
      <c r="BP9" s="129">
        <v>0</v>
      </c>
      <c r="BQ9" s="129">
        <v>0</v>
      </c>
      <c r="BR9" s="129">
        <v>0</v>
      </c>
      <c r="BS9" s="129">
        <v>0</v>
      </c>
      <c r="BT9" s="134" t="s">
        <v>660</v>
      </c>
      <c r="BU9" s="128">
        <v>0</v>
      </c>
      <c r="BV9" s="129">
        <v>0</v>
      </c>
      <c r="BW9" s="129">
        <v>0</v>
      </c>
      <c r="BX9" s="130" t="s">
        <v>660</v>
      </c>
      <c r="BY9" s="130">
        <v>18.510999999999999</v>
      </c>
      <c r="BZ9" s="130">
        <v>157.59700000000001</v>
      </c>
      <c r="CA9" s="131">
        <v>3349.3649999999998</v>
      </c>
      <c r="CB9" s="130">
        <v>497.87099999999998</v>
      </c>
      <c r="CD9" s="132">
        <f t="shared" si="0"/>
        <v>6.5982711960000007</v>
      </c>
    </row>
    <row r="10" spans="1:84" ht="11.25" customHeight="1">
      <c r="A10" s="133"/>
      <c r="B10" s="124" t="s">
        <v>657</v>
      </c>
      <c r="C10" s="125" t="s">
        <v>667</v>
      </c>
      <c r="D10" s="125"/>
      <c r="E10" s="125"/>
      <c r="F10" s="125"/>
      <c r="G10" s="126"/>
      <c r="H10" s="127" t="s">
        <v>668</v>
      </c>
      <c r="I10" s="128">
        <v>1.2170000000000001</v>
      </c>
      <c r="J10" s="128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8">
        <v>0</v>
      </c>
      <c r="V10" s="129">
        <v>0</v>
      </c>
      <c r="W10" s="129">
        <v>0</v>
      </c>
      <c r="X10" s="129">
        <v>0</v>
      </c>
      <c r="Y10" s="129">
        <v>0</v>
      </c>
      <c r="Z10" s="128">
        <v>0</v>
      </c>
      <c r="AA10" s="129">
        <v>0</v>
      </c>
      <c r="AB10" s="129">
        <v>0</v>
      </c>
      <c r="AC10" s="130">
        <v>0</v>
      </c>
      <c r="AD10" s="128">
        <v>0</v>
      </c>
      <c r="AE10" s="129">
        <v>0</v>
      </c>
      <c r="AF10" s="129">
        <v>0</v>
      </c>
      <c r="AG10" s="129" t="s">
        <v>660</v>
      </c>
      <c r="AH10" s="129" t="s">
        <v>660</v>
      </c>
      <c r="AI10" s="129" t="s">
        <v>660</v>
      </c>
      <c r="AJ10" s="129">
        <v>0</v>
      </c>
      <c r="AK10" s="129">
        <v>0</v>
      </c>
      <c r="AL10" s="129">
        <v>0</v>
      </c>
      <c r="AM10" s="129">
        <v>0</v>
      </c>
      <c r="AN10" s="129">
        <v>0</v>
      </c>
      <c r="AO10" s="129">
        <v>0</v>
      </c>
      <c r="AP10" s="129">
        <v>0</v>
      </c>
      <c r="AQ10" s="129">
        <v>0</v>
      </c>
      <c r="AR10" s="129">
        <v>0</v>
      </c>
      <c r="AS10" s="129">
        <v>0</v>
      </c>
      <c r="AT10" s="129">
        <v>0</v>
      </c>
      <c r="AU10" s="129">
        <v>0</v>
      </c>
      <c r="AV10" s="129">
        <v>0</v>
      </c>
      <c r="AW10" s="129">
        <v>0</v>
      </c>
      <c r="AX10" s="129">
        <v>0</v>
      </c>
      <c r="AY10" s="129">
        <v>0</v>
      </c>
      <c r="AZ10" s="129">
        <v>0</v>
      </c>
      <c r="BA10" s="130">
        <v>0</v>
      </c>
      <c r="BB10" s="128">
        <v>0</v>
      </c>
      <c r="BC10" s="129" t="s">
        <v>660</v>
      </c>
      <c r="BD10" s="129" t="s">
        <v>660</v>
      </c>
      <c r="BE10" s="129" t="s">
        <v>660</v>
      </c>
      <c r="BF10" s="129" t="s">
        <v>660</v>
      </c>
      <c r="BG10" s="129">
        <v>0</v>
      </c>
      <c r="BH10" s="129">
        <v>0</v>
      </c>
      <c r="BI10" s="129">
        <v>0</v>
      </c>
      <c r="BJ10" s="129">
        <v>0</v>
      </c>
      <c r="BK10" s="129">
        <v>0</v>
      </c>
      <c r="BL10" s="129">
        <v>0</v>
      </c>
      <c r="BM10" s="129">
        <v>0</v>
      </c>
      <c r="BN10" s="129">
        <v>0</v>
      </c>
      <c r="BO10" s="129">
        <v>0</v>
      </c>
      <c r="BP10" s="129">
        <v>0</v>
      </c>
      <c r="BQ10" s="129">
        <v>0</v>
      </c>
      <c r="BR10" s="129">
        <v>0</v>
      </c>
      <c r="BS10" s="129">
        <v>0</v>
      </c>
      <c r="BT10" s="134" t="s">
        <v>660</v>
      </c>
      <c r="BU10" s="128">
        <v>0</v>
      </c>
      <c r="BV10" s="129">
        <v>0</v>
      </c>
      <c r="BW10" s="129">
        <v>0</v>
      </c>
      <c r="BX10" s="130" t="s">
        <v>660</v>
      </c>
      <c r="BY10" s="130">
        <v>0</v>
      </c>
      <c r="BZ10" s="130">
        <v>1.2170000000000001</v>
      </c>
      <c r="CA10" s="131">
        <v>0.99299999999999999</v>
      </c>
      <c r="CB10" s="130">
        <v>6.4000000000000001E-2</v>
      </c>
      <c r="CD10" s="132">
        <f t="shared" si="0"/>
        <v>5.0953356000000005E-2</v>
      </c>
    </row>
    <row r="11" spans="1:84" ht="11.25" customHeight="1">
      <c r="A11" s="135"/>
      <c r="B11" s="136" t="s">
        <v>657</v>
      </c>
      <c r="C11" s="125" t="s">
        <v>669</v>
      </c>
      <c r="D11" s="137"/>
      <c r="E11" s="137"/>
      <c r="F11" s="137"/>
      <c r="G11" s="138"/>
      <c r="H11" s="139" t="s">
        <v>670</v>
      </c>
      <c r="I11" s="140">
        <v>0.112</v>
      </c>
      <c r="J11" s="140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0">
        <v>0</v>
      </c>
      <c r="V11" s="141">
        <v>0</v>
      </c>
      <c r="W11" s="141">
        <v>0</v>
      </c>
      <c r="X11" s="141">
        <v>0</v>
      </c>
      <c r="Y11" s="141">
        <v>0</v>
      </c>
      <c r="Z11" s="140">
        <v>0</v>
      </c>
      <c r="AA11" s="141">
        <v>0</v>
      </c>
      <c r="AB11" s="141">
        <v>0</v>
      </c>
      <c r="AC11" s="142">
        <v>0</v>
      </c>
      <c r="AD11" s="140">
        <v>0.112</v>
      </c>
      <c r="AE11" s="141">
        <v>0</v>
      </c>
      <c r="AF11" s="141">
        <v>0</v>
      </c>
      <c r="AG11" s="141" t="s">
        <v>660</v>
      </c>
      <c r="AH11" s="141" t="s">
        <v>660</v>
      </c>
      <c r="AI11" s="141" t="s">
        <v>660</v>
      </c>
      <c r="AJ11" s="141">
        <v>0</v>
      </c>
      <c r="AK11" s="141">
        <v>0</v>
      </c>
      <c r="AL11" s="141">
        <v>0</v>
      </c>
      <c r="AM11" s="141">
        <v>0</v>
      </c>
      <c r="AN11" s="141">
        <v>0</v>
      </c>
      <c r="AO11" s="141">
        <v>0</v>
      </c>
      <c r="AP11" s="141">
        <v>0</v>
      </c>
      <c r="AQ11" s="141">
        <v>0.112</v>
      </c>
      <c r="AR11" s="141">
        <v>0</v>
      </c>
      <c r="AS11" s="141">
        <v>0</v>
      </c>
      <c r="AT11" s="141">
        <v>0</v>
      </c>
      <c r="AU11" s="141">
        <v>0</v>
      </c>
      <c r="AV11" s="141">
        <v>0</v>
      </c>
      <c r="AW11" s="141">
        <v>0</v>
      </c>
      <c r="AX11" s="141">
        <v>0</v>
      </c>
      <c r="AY11" s="141">
        <v>0</v>
      </c>
      <c r="AZ11" s="141">
        <v>0</v>
      </c>
      <c r="BA11" s="142">
        <v>0</v>
      </c>
      <c r="BB11" s="140">
        <v>0</v>
      </c>
      <c r="BC11" s="141" t="s">
        <v>660</v>
      </c>
      <c r="BD11" s="141" t="s">
        <v>660</v>
      </c>
      <c r="BE11" s="141" t="s">
        <v>660</v>
      </c>
      <c r="BF11" s="141" t="s">
        <v>660</v>
      </c>
      <c r="BG11" s="141">
        <v>0</v>
      </c>
      <c r="BH11" s="141">
        <v>0</v>
      </c>
      <c r="BI11" s="141">
        <v>0</v>
      </c>
      <c r="BJ11" s="141">
        <v>0</v>
      </c>
      <c r="BK11" s="141">
        <v>0</v>
      </c>
      <c r="BL11" s="141">
        <v>0</v>
      </c>
      <c r="BM11" s="141">
        <v>0</v>
      </c>
      <c r="BN11" s="141">
        <v>0</v>
      </c>
      <c r="BO11" s="141">
        <v>0</v>
      </c>
      <c r="BP11" s="141">
        <v>0</v>
      </c>
      <c r="BQ11" s="141">
        <v>0</v>
      </c>
      <c r="BR11" s="141">
        <v>0</v>
      </c>
      <c r="BS11" s="141">
        <v>0</v>
      </c>
      <c r="BT11" s="141">
        <v>0</v>
      </c>
      <c r="BU11" s="140">
        <v>0</v>
      </c>
      <c r="BV11" s="141">
        <v>0</v>
      </c>
      <c r="BW11" s="141">
        <v>0</v>
      </c>
      <c r="BX11" s="142" t="s">
        <v>660</v>
      </c>
      <c r="BY11" s="142">
        <v>0</v>
      </c>
      <c r="BZ11" s="142">
        <v>0</v>
      </c>
      <c r="CA11" s="143">
        <v>0.112</v>
      </c>
      <c r="CB11" s="142">
        <v>0</v>
      </c>
      <c r="CD11" s="132">
        <f t="shared" si="0"/>
        <v>0</v>
      </c>
    </row>
    <row r="12" spans="1:84" ht="11.25" customHeight="1">
      <c r="A12" s="144"/>
      <c r="B12" s="144"/>
      <c r="C12" s="144"/>
      <c r="D12" s="144"/>
      <c r="E12" s="144"/>
      <c r="F12" s="144"/>
      <c r="G12" s="145"/>
      <c r="H12" s="146"/>
      <c r="I12" s="147"/>
      <c r="J12" s="148"/>
      <c r="K12" s="149"/>
      <c r="L12" s="149"/>
      <c r="M12" s="149"/>
      <c r="N12" s="149"/>
      <c r="O12" s="149"/>
      <c r="P12" s="149"/>
      <c r="Q12" s="149"/>
      <c r="R12" s="149"/>
      <c r="S12" s="149"/>
      <c r="T12" s="149"/>
      <c r="U12" s="148"/>
      <c r="V12" s="149"/>
      <c r="W12" s="149"/>
      <c r="X12" s="149"/>
      <c r="Y12" s="149"/>
      <c r="Z12" s="148"/>
      <c r="AA12" s="149"/>
      <c r="AB12" s="149"/>
      <c r="AC12" s="149"/>
      <c r="AD12" s="148"/>
      <c r="AE12" s="149"/>
      <c r="AF12" s="149"/>
      <c r="AG12" s="149"/>
      <c r="AH12" s="149"/>
      <c r="AI12" s="149"/>
      <c r="AJ12" s="149"/>
      <c r="AK12" s="149"/>
      <c r="AL12" s="149"/>
      <c r="AM12" s="149"/>
      <c r="AN12" s="149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50"/>
      <c r="BB12" s="148"/>
      <c r="BC12" s="150"/>
      <c r="BD12" s="150"/>
      <c r="BE12" s="150"/>
      <c r="BF12" s="150"/>
      <c r="BG12" s="150"/>
      <c r="BH12" s="150"/>
      <c r="BI12" s="150"/>
      <c r="BJ12" s="150"/>
      <c r="BK12" s="150"/>
      <c r="BL12" s="150"/>
      <c r="BM12" s="150"/>
      <c r="BN12" s="150"/>
      <c r="BO12" s="150"/>
      <c r="BP12" s="150"/>
      <c r="BQ12" s="150"/>
      <c r="BR12" s="150"/>
      <c r="BS12" s="150"/>
      <c r="BT12" s="150"/>
      <c r="BU12" s="148"/>
      <c r="BV12" s="150"/>
      <c r="BW12" s="150"/>
      <c r="BX12" s="150"/>
      <c r="BY12" s="150"/>
      <c r="BZ12" s="150"/>
      <c r="CA12" s="150"/>
      <c r="CB12" s="150"/>
    </row>
    <row r="16" spans="1:84">
      <c r="I16" s="152" t="s">
        <v>35</v>
      </c>
      <c r="J16" s="152" t="s">
        <v>39</v>
      </c>
      <c r="K16" s="152" t="s">
        <v>41</v>
      </c>
      <c r="L16" s="152" t="s">
        <v>43</v>
      </c>
      <c r="M16" s="152" t="s">
        <v>45</v>
      </c>
      <c r="N16" s="152" t="s">
        <v>48</v>
      </c>
      <c r="O16" s="152" t="s">
        <v>50</v>
      </c>
      <c r="P16" s="152" t="s">
        <v>55</v>
      </c>
      <c r="Q16" s="152" t="s">
        <v>56</v>
      </c>
      <c r="R16" s="152" t="s">
        <v>58</v>
      </c>
      <c r="S16" s="152" t="s">
        <v>60</v>
      </c>
      <c r="T16" s="152" t="s">
        <v>62</v>
      </c>
      <c r="U16" s="153" t="s">
        <v>64</v>
      </c>
    </row>
    <row r="17" spans="6:24">
      <c r="F17" s="1016" t="s">
        <v>585</v>
      </c>
      <c r="H17" s="152" t="str">
        <f>B6</f>
        <v>Other sectors</v>
      </c>
      <c r="I17" s="156">
        <f>K6+L6+M6+N6+P6+Q6+R6+S6+U6+V6+W6+X6+Y6</f>
        <v>6465.2899999999991</v>
      </c>
      <c r="J17" s="153">
        <f>O6+T6</f>
        <v>24.929000000000002</v>
      </c>
      <c r="K17" s="153">
        <f>AM6</f>
        <v>1.0920000000000001</v>
      </c>
      <c r="L17" s="153">
        <f>AS6</f>
        <v>2726.3649999999998</v>
      </c>
      <c r="M17" s="153">
        <f>AL6</f>
        <v>672.399</v>
      </c>
      <c r="N17" s="153">
        <f>AT6</f>
        <v>9.766</v>
      </c>
      <c r="O17" s="153">
        <f>BA6</f>
        <v>5028.6390000000001</v>
      </c>
      <c r="P17" s="153">
        <f>BK6</f>
        <v>74.338999999999999</v>
      </c>
      <c r="Q17" s="153">
        <f>BI6</f>
        <v>5511.3109999999997</v>
      </c>
      <c r="R17" s="153">
        <f>BL6+BW6</f>
        <v>29.407</v>
      </c>
      <c r="S17" s="153">
        <f>BZ6</f>
        <v>6865.0969999999998</v>
      </c>
      <c r="T17" s="153">
        <f>BY6</f>
        <v>4747.0230000000001</v>
      </c>
      <c r="U17" s="153">
        <f>AQ6+BG6+BH6+BS6+BT6+BU6+BV6</f>
        <v>442.346</v>
      </c>
      <c r="W17" s="154">
        <f>SUM(I17:U17)</f>
        <v>32598.003000000001</v>
      </c>
      <c r="X17" s="154">
        <f>W17-I6</f>
        <v>47.156999999999243</v>
      </c>
    </row>
    <row r="18" spans="6:24">
      <c r="F18" s="1016"/>
      <c r="H18" s="152" t="str">
        <f>C7</f>
        <v>Commercial &amp; public services</v>
      </c>
      <c r="I18" s="156">
        <f t="shared" ref="I18:I21" si="1">K7+L7+M7+N7+P7+Q7+R7+S7+U7+V7+W7+X7+Y7</f>
        <v>534.5</v>
      </c>
      <c r="J18" s="153">
        <f t="shared" ref="J18:J21" si="2">O7+T7</f>
        <v>1.345</v>
      </c>
      <c r="K18" s="153">
        <f t="shared" ref="K18:K21" si="3">AM7</f>
        <v>0</v>
      </c>
      <c r="L18" s="153">
        <f t="shared" ref="L18:L21" si="4">AS7</f>
        <v>331.31400000000002</v>
      </c>
      <c r="M18" s="153">
        <f t="shared" ref="M18:M21" si="5">AL7</f>
        <v>54.935000000000002</v>
      </c>
      <c r="N18" s="153">
        <f t="shared" ref="N18:N21" si="6">AT7</f>
        <v>0</v>
      </c>
      <c r="O18" s="153">
        <f t="shared" ref="O18:O21" si="7">BA7</f>
        <v>1144.0830000000001</v>
      </c>
      <c r="P18" s="153">
        <f t="shared" ref="P18:P21" si="8">BK7</f>
        <v>65.492999999999995</v>
      </c>
      <c r="Q18" s="153">
        <f t="shared" ref="Q18:Q21" si="9">BI7</f>
        <v>177.96899999999999</v>
      </c>
      <c r="R18" s="153">
        <f t="shared" ref="R18:R21" si="10">BL7+BW7</f>
        <v>29.407</v>
      </c>
      <c r="S18" s="153">
        <f t="shared" ref="S18:S21" si="11">BZ7</f>
        <v>4126.2309999999998</v>
      </c>
      <c r="T18" s="153">
        <f t="shared" ref="T18:T21" si="12">BY7</f>
        <v>1091.606</v>
      </c>
      <c r="U18" s="153">
        <f t="shared" ref="U18:U19" si="13">AQ7+BG7+BH7+BS7+BT7+BU7+BV7</f>
        <v>70.558999999999997</v>
      </c>
      <c r="W18" s="154">
        <f t="shared" ref="W18:W21" si="14">SUM(I18:U18)</f>
        <v>7627.442</v>
      </c>
      <c r="X18" s="154">
        <f t="shared" ref="X18:X21" si="15">W18-I7</f>
        <v>47.157000000000153</v>
      </c>
    </row>
    <row r="19" spans="6:24">
      <c r="F19" s="1016"/>
      <c r="H19" s="152" t="str">
        <f t="shared" ref="H19:H21" si="16">C8</f>
        <v>Households</v>
      </c>
      <c r="I19" s="156">
        <f t="shared" si="1"/>
        <v>5182.915</v>
      </c>
      <c r="J19" s="153">
        <f t="shared" si="2"/>
        <v>17.216000000000001</v>
      </c>
      <c r="K19" s="153">
        <f t="shared" si="3"/>
        <v>0</v>
      </c>
      <c r="L19" s="153">
        <f t="shared" si="4"/>
        <v>67.784000000000006</v>
      </c>
      <c r="M19" s="153">
        <f t="shared" si="5"/>
        <v>549.346</v>
      </c>
      <c r="N19" s="153">
        <f t="shared" si="6"/>
        <v>0</v>
      </c>
      <c r="O19" s="153">
        <f t="shared" si="7"/>
        <v>3841.4270000000001</v>
      </c>
      <c r="P19" s="153">
        <f t="shared" si="8"/>
        <v>0</v>
      </c>
      <c r="Q19" s="153">
        <f t="shared" si="9"/>
        <v>4854.0249999999996</v>
      </c>
      <c r="R19" s="153">
        <f t="shared" si="10"/>
        <v>0</v>
      </c>
      <c r="S19" s="153">
        <f t="shared" si="11"/>
        <v>2580.0529999999999</v>
      </c>
      <c r="T19" s="153">
        <f t="shared" si="12"/>
        <v>3636.9059999999999</v>
      </c>
      <c r="U19" s="153">
        <f t="shared" si="13"/>
        <v>371.67500000000001</v>
      </c>
      <c r="W19" s="154">
        <f t="shared" si="14"/>
        <v>21101.346999999998</v>
      </c>
      <c r="X19" s="154">
        <f t="shared" si="15"/>
        <v>0</v>
      </c>
    </row>
    <row r="20" spans="6:24">
      <c r="F20" s="1016"/>
      <c r="H20" s="152" t="str">
        <f t="shared" si="16"/>
        <v>Agriculture &amp; forestry</v>
      </c>
      <c r="I20" s="156">
        <f t="shared" si="1"/>
        <v>747.87499999999989</v>
      </c>
      <c r="J20" s="153">
        <f t="shared" si="2"/>
        <v>6.367</v>
      </c>
      <c r="K20" s="153">
        <f t="shared" si="3"/>
        <v>1.0920000000000001</v>
      </c>
      <c r="L20" s="153">
        <f t="shared" si="4"/>
        <v>2327.2669999999998</v>
      </c>
      <c r="M20" s="153">
        <f t="shared" si="5"/>
        <v>68.119</v>
      </c>
      <c r="N20" s="153">
        <f t="shared" si="6"/>
        <v>9.766</v>
      </c>
      <c r="O20" s="153">
        <f t="shared" si="7"/>
        <v>43.128999999999998</v>
      </c>
      <c r="P20" s="153">
        <f t="shared" si="8"/>
        <v>8.8460000000000001</v>
      </c>
      <c r="Q20" s="153">
        <f t="shared" si="9"/>
        <v>479.31700000000001</v>
      </c>
      <c r="R20" s="153">
        <f t="shared" si="10"/>
        <v>0</v>
      </c>
      <c r="S20" s="153">
        <f t="shared" si="11"/>
        <v>157.59700000000001</v>
      </c>
      <c r="T20" s="153">
        <f t="shared" si="12"/>
        <v>18.510999999999999</v>
      </c>
      <c r="U20" s="153">
        <f>AQ9+BG9+BH9+BS9+BU9+BV9</f>
        <v>0</v>
      </c>
      <c r="W20" s="154">
        <f t="shared" si="14"/>
        <v>3867.886</v>
      </c>
      <c r="X20" s="154">
        <f t="shared" si="15"/>
        <v>9.9999999974897946E-4</v>
      </c>
    </row>
    <row r="21" spans="6:24">
      <c r="F21" s="1016"/>
      <c r="H21" s="152" t="str">
        <f t="shared" si="16"/>
        <v>Fishing</v>
      </c>
      <c r="I21" s="156">
        <f t="shared" si="1"/>
        <v>0</v>
      </c>
      <c r="J21" s="153">
        <f t="shared" si="2"/>
        <v>0</v>
      </c>
      <c r="K21" s="153">
        <f t="shared" si="3"/>
        <v>0</v>
      </c>
      <c r="L21" s="153">
        <f t="shared" si="4"/>
        <v>0</v>
      </c>
      <c r="M21" s="153">
        <f t="shared" si="5"/>
        <v>0</v>
      </c>
      <c r="N21" s="153">
        <f t="shared" si="6"/>
        <v>0</v>
      </c>
      <c r="O21" s="153">
        <f t="shared" si="7"/>
        <v>0</v>
      </c>
      <c r="P21" s="153">
        <f t="shared" si="8"/>
        <v>0</v>
      </c>
      <c r="Q21" s="153">
        <f t="shared" si="9"/>
        <v>0</v>
      </c>
      <c r="R21" s="153">
        <f t="shared" si="10"/>
        <v>0</v>
      </c>
      <c r="S21" s="153">
        <f t="shared" si="11"/>
        <v>1.2170000000000001</v>
      </c>
      <c r="T21" s="153">
        <f t="shared" si="12"/>
        <v>0</v>
      </c>
      <c r="U21" s="153">
        <f>AQ10+BG10+BH10+BS10+BU10+BV10</f>
        <v>0</v>
      </c>
      <c r="W21" s="154">
        <f t="shared" si="14"/>
        <v>1.2170000000000001</v>
      </c>
      <c r="X21" s="154">
        <f t="shared" si="15"/>
        <v>0</v>
      </c>
    </row>
    <row r="22" spans="6:24">
      <c r="H22" s="152" t="str">
        <f>C11</f>
        <v>Not elsewhere specified (other)</v>
      </c>
      <c r="I22" s="156">
        <f t="shared" ref="I22" si="17">K11+L11+M11+N11+P11+Q11+R11+S11+U11+V11+W11+X11+Y11</f>
        <v>0</v>
      </c>
      <c r="J22" s="153">
        <f t="shared" ref="J22" si="18">O11+T11</f>
        <v>0</v>
      </c>
      <c r="K22" s="153">
        <f t="shared" ref="K22" si="19">AM11</f>
        <v>0</v>
      </c>
      <c r="L22" s="153">
        <f t="shared" ref="L22" si="20">AS11</f>
        <v>0</v>
      </c>
      <c r="M22" s="153">
        <f t="shared" ref="M22" si="21">AL11</f>
        <v>0</v>
      </c>
      <c r="N22" s="153">
        <f t="shared" ref="N22" si="22">AT11</f>
        <v>0</v>
      </c>
      <c r="O22" s="153">
        <f t="shared" ref="O22" si="23">BA11</f>
        <v>0</v>
      </c>
      <c r="P22" s="153">
        <f t="shared" ref="P22" si="24">BK11</f>
        <v>0</v>
      </c>
      <c r="Q22" s="153">
        <f t="shared" ref="Q22" si="25">BI11</f>
        <v>0</v>
      </c>
      <c r="R22" s="153">
        <f t="shared" ref="R22" si="26">BL11+BW11</f>
        <v>0</v>
      </c>
      <c r="S22" s="153">
        <f t="shared" ref="S22" si="27">BZ11</f>
        <v>0</v>
      </c>
      <c r="T22" s="153">
        <f t="shared" ref="T22" si="28">BY11</f>
        <v>0</v>
      </c>
      <c r="U22" s="153">
        <f>AQ11+BG11+BH11+BS11+BU11+BV11</f>
        <v>0.112</v>
      </c>
    </row>
    <row r="24" spans="6:24">
      <c r="I24" s="152" t="str">
        <f>I16</f>
        <v>AGR_HC</v>
      </c>
      <c r="J24" s="152" t="str">
        <f t="shared" ref="J24:U24" si="29">J16</f>
        <v>AGR_BC</v>
      </c>
      <c r="K24" s="152" t="str">
        <f t="shared" si="29"/>
        <v>AGR_OIL_GSL</v>
      </c>
      <c r="L24" s="152" t="str">
        <f t="shared" si="29"/>
        <v>AGR_OIL_DSL</v>
      </c>
      <c r="M24" s="152" t="str">
        <f t="shared" si="29"/>
        <v>AGR_OIL_LPG</v>
      </c>
      <c r="N24" s="152" t="str">
        <f t="shared" si="29"/>
        <v>AGR_OIL_FUE</v>
      </c>
      <c r="O24" s="152" t="str">
        <f t="shared" si="29"/>
        <v>AGR_NAT_GAS</v>
      </c>
      <c r="P24" s="152" t="str">
        <f t="shared" si="29"/>
        <v>AGR_BIOG</v>
      </c>
      <c r="Q24" s="152" t="str">
        <f t="shared" si="29"/>
        <v>AGR_BIOM</v>
      </c>
      <c r="R24" s="152" t="str">
        <f t="shared" si="29"/>
        <v>AGR_RDF</v>
      </c>
      <c r="S24" s="152" t="str">
        <f t="shared" si="29"/>
        <v>AGR_ELC</v>
      </c>
      <c r="T24" s="152" t="str">
        <f t="shared" si="29"/>
        <v>AGR_DH</v>
      </c>
      <c r="U24" s="152" t="str">
        <f t="shared" si="29"/>
        <v>AGR_OTH_FUE</v>
      </c>
    </row>
    <row r="25" spans="6:24">
      <c r="F25" s="1016" t="s">
        <v>37</v>
      </c>
      <c r="H25" s="152" t="s">
        <v>671</v>
      </c>
      <c r="I25" s="152">
        <f>I18*41.868/1000</f>
        <v>22.378446</v>
      </c>
      <c r="J25" s="152">
        <f t="shared" ref="J25:U25" si="30">J18*41.868/1000</f>
        <v>5.6312460000000002E-2</v>
      </c>
      <c r="K25" s="152">
        <f t="shared" si="30"/>
        <v>0</v>
      </c>
      <c r="L25" s="152">
        <f t="shared" si="30"/>
        <v>13.871454552000001</v>
      </c>
      <c r="M25" s="152">
        <f t="shared" si="30"/>
        <v>2.3000185800000006</v>
      </c>
      <c r="N25" s="152">
        <f t="shared" si="30"/>
        <v>0</v>
      </c>
      <c r="O25" s="152">
        <f t="shared" si="30"/>
        <v>47.900467044000003</v>
      </c>
      <c r="P25" s="152">
        <f t="shared" si="30"/>
        <v>2.742060924</v>
      </c>
      <c r="Q25" s="152">
        <f t="shared" si="30"/>
        <v>7.4512060920000005</v>
      </c>
      <c r="R25" s="152">
        <f t="shared" si="30"/>
        <v>1.2312122759999999</v>
      </c>
      <c r="S25" s="152">
        <f t="shared" si="30"/>
        <v>172.75703950799999</v>
      </c>
      <c r="T25" s="152">
        <f t="shared" si="30"/>
        <v>45.703360008000004</v>
      </c>
      <c r="U25" s="152">
        <f t="shared" si="30"/>
        <v>2.9541642120000002</v>
      </c>
      <c r="W25" s="154">
        <f t="shared" ref="W25:W26" si="31">SUM(I25:U25)</f>
        <v>319.34574165600003</v>
      </c>
    </row>
    <row r="26" spans="6:24">
      <c r="F26" s="1016"/>
      <c r="H26" s="152" t="s">
        <v>672</v>
      </c>
      <c r="I26" s="152">
        <f>I20*41.868/1000</f>
        <v>31.312030499999999</v>
      </c>
      <c r="J26" s="152">
        <f t="shared" ref="J26:U26" si="32">J20*41.868/1000</f>
        <v>0.26657355599999999</v>
      </c>
      <c r="K26" s="152">
        <f t="shared" si="32"/>
        <v>4.571985600000001E-2</v>
      </c>
      <c r="L26" s="152">
        <f t="shared" si="32"/>
        <v>97.438014756000001</v>
      </c>
      <c r="M26" s="152">
        <f t="shared" si="32"/>
        <v>2.852006292</v>
      </c>
      <c r="N26" s="152">
        <f t="shared" si="32"/>
        <v>0.40888288800000006</v>
      </c>
      <c r="O26" s="152">
        <f t="shared" si="32"/>
        <v>1.8057249719999999</v>
      </c>
      <c r="P26" s="152">
        <f t="shared" si="32"/>
        <v>0.37036432800000002</v>
      </c>
      <c r="Q26" s="152">
        <f t="shared" si="32"/>
        <v>20.068044155999999</v>
      </c>
      <c r="R26" s="152">
        <f t="shared" si="32"/>
        <v>0</v>
      </c>
      <c r="S26" s="152">
        <f t="shared" si="32"/>
        <v>6.5982711960000007</v>
      </c>
      <c r="T26" s="152">
        <f t="shared" si="32"/>
        <v>0.77501854800000003</v>
      </c>
      <c r="U26" s="152">
        <f t="shared" si="32"/>
        <v>0</v>
      </c>
      <c r="W26" s="154">
        <f t="shared" si="31"/>
        <v>161.94065104799998</v>
      </c>
    </row>
  </sheetData>
  <mergeCells count="2">
    <mergeCell ref="F17:F21"/>
    <mergeCell ref="F25:F2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E30A-6C6B-43E6-8901-D0E11A04DD55}">
  <dimension ref="A1:F133"/>
  <sheetViews>
    <sheetView topLeftCell="A86" zoomScaleNormal="100" workbookViewId="0">
      <selection activeCell="C128" sqref="C128"/>
    </sheetView>
  </sheetViews>
  <sheetFormatPr defaultColWidth="62.140625" defaultRowHeight="23.25" customHeight="1"/>
  <cols>
    <col min="2" max="6" width="16.42578125" customWidth="1"/>
  </cols>
  <sheetData>
    <row r="1" spans="1:6" ht="23.25" customHeight="1">
      <c r="A1" s="54" t="s">
        <v>673</v>
      </c>
    </row>
    <row r="2" spans="1:6" ht="23.25" customHeight="1">
      <c r="A2" s="54" t="s">
        <v>674</v>
      </c>
    </row>
    <row r="3" spans="1:6" ht="23.25" customHeight="1">
      <c r="A3" s="55" t="s">
        <v>675</v>
      </c>
      <c r="B3" s="56" t="s">
        <v>676</v>
      </c>
      <c r="C3" s="56" t="s">
        <v>677</v>
      </c>
      <c r="D3" s="56" t="s">
        <v>676</v>
      </c>
      <c r="E3" s="56" t="s">
        <v>677</v>
      </c>
    </row>
    <row r="4" spans="1:6" ht="23.25" customHeight="1">
      <c r="A4" s="1017" t="s">
        <v>678</v>
      </c>
      <c r="B4" s="57" t="s">
        <v>654</v>
      </c>
      <c r="C4" s="57" t="s">
        <v>61</v>
      </c>
      <c r="D4" s="57" t="s">
        <v>654</v>
      </c>
      <c r="E4" s="57" t="s">
        <v>61</v>
      </c>
    </row>
    <row r="5" spans="1:6" ht="23.25" customHeight="1">
      <c r="A5" s="1018"/>
      <c r="B5" s="1019" t="s">
        <v>37</v>
      </c>
      <c r="C5" s="1020"/>
      <c r="D5" s="1019" t="s">
        <v>679</v>
      </c>
      <c r="E5" s="1020"/>
    </row>
    <row r="6" spans="1:6" ht="9" customHeight="1">
      <c r="A6" s="58" t="s">
        <v>680</v>
      </c>
      <c r="B6" s="59">
        <v>1.1304360000000002</v>
      </c>
      <c r="C6" s="59" t="s">
        <v>393</v>
      </c>
      <c r="D6" s="59">
        <f>IF(B6&lt;&gt;"",B6/3.6,"")</f>
        <v>0.31401000000000007</v>
      </c>
      <c r="E6" s="59" t="str">
        <f>IF(C6&lt;&gt;"",C6/3.6,"")</f>
        <v/>
      </c>
      <c r="F6" t="str">
        <f t="shared" ref="F6" si="0">IF(C6&lt;&gt;"",C6/3.6,"")</f>
        <v/>
      </c>
    </row>
    <row r="7" spans="1:6" ht="9" customHeight="1">
      <c r="A7" s="58" t="s">
        <v>681</v>
      </c>
      <c r="B7" s="59" t="s">
        <v>393</v>
      </c>
      <c r="C7" s="59" t="s">
        <v>393</v>
      </c>
      <c r="D7" s="59" t="str">
        <f t="shared" ref="D7:D70" si="1">IF(B7&lt;&gt;"",B7/3.6,"")</f>
        <v/>
      </c>
      <c r="E7" s="59" t="str">
        <f t="shared" ref="E7:E70" si="2">IF(C7&lt;&gt;"",C7/3.6,"")</f>
        <v/>
      </c>
    </row>
    <row r="8" spans="1:6" ht="9" customHeight="1">
      <c r="A8" s="58" t="s">
        <v>682</v>
      </c>
      <c r="B8" s="59" t="s">
        <v>393</v>
      </c>
      <c r="C8" s="59">
        <v>74.231964000000005</v>
      </c>
      <c r="D8" s="59" t="str">
        <f t="shared" si="1"/>
        <v/>
      </c>
      <c r="E8" s="59">
        <f t="shared" si="2"/>
        <v>20.619990000000001</v>
      </c>
    </row>
    <row r="9" spans="1:6" ht="9" customHeight="1">
      <c r="A9" s="58" t="s">
        <v>683</v>
      </c>
      <c r="B9" s="59" t="s">
        <v>393</v>
      </c>
      <c r="C9" s="59">
        <v>26.502444000000004</v>
      </c>
      <c r="D9" s="59" t="str">
        <f t="shared" si="1"/>
        <v/>
      </c>
      <c r="E9" s="59">
        <f t="shared" si="2"/>
        <v>7.3617900000000009</v>
      </c>
    </row>
    <row r="10" spans="1:6" ht="9" customHeight="1">
      <c r="A10" s="58" t="s">
        <v>684</v>
      </c>
      <c r="B10" s="59" t="s">
        <v>393</v>
      </c>
      <c r="C10" s="59" t="s">
        <v>393</v>
      </c>
      <c r="D10" s="59" t="str">
        <f t="shared" si="1"/>
        <v/>
      </c>
      <c r="E10" s="59" t="str">
        <f t="shared" si="2"/>
        <v/>
      </c>
    </row>
    <row r="11" spans="1:6" ht="9" customHeight="1">
      <c r="A11" s="58" t="s">
        <v>685</v>
      </c>
      <c r="B11" s="59">
        <v>1.1304360000000002</v>
      </c>
      <c r="C11" s="59">
        <v>47.771388000000002</v>
      </c>
      <c r="D11" s="59">
        <f t="shared" si="1"/>
        <v>0.31401000000000007</v>
      </c>
      <c r="E11" s="59">
        <f t="shared" si="2"/>
        <v>13.269830000000001</v>
      </c>
    </row>
    <row r="12" spans="1:6" ht="9" customHeight="1">
      <c r="A12" s="58" t="s">
        <v>686</v>
      </c>
      <c r="B12" s="59" t="s">
        <v>393</v>
      </c>
      <c r="C12" s="59" t="s">
        <v>393</v>
      </c>
      <c r="D12" s="59" t="str">
        <f t="shared" si="1"/>
        <v/>
      </c>
      <c r="E12" s="59" t="str">
        <f t="shared" si="2"/>
        <v/>
      </c>
    </row>
    <row r="13" spans="1:6" ht="9" customHeight="1">
      <c r="A13" s="58" t="s">
        <v>687</v>
      </c>
      <c r="B13" s="59">
        <v>1.1304360000000002</v>
      </c>
      <c r="C13" s="59">
        <v>47.771388000000002</v>
      </c>
      <c r="D13" s="59">
        <f t="shared" si="1"/>
        <v>0.31401000000000007</v>
      </c>
      <c r="E13" s="59">
        <f t="shared" si="2"/>
        <v>13.269830000000001</v>
      </c>
    </row>
    <row r="14" spans="1:6" ht="9" customHeight="1">
      <c r="A14" s="58" t="s">
        <v>688</v>
      </c>
      <c r="B14" s="59" t="s">
        <v>393</v>
      </c>
      <c r="C14" s="59" t="s">
        <v>393</v>
      </c>
      <c r="D14" s="59" t="str">
        <f t="shared" si="1"/>
        <v/>
      </c>
      <c r="E14" s="59" t="str">
        <f t="shared" si="2"/>
        <v/>
      </c>
    </row>
    <row r="15" spans="1:6" ht="9" customHeight="1">
      <c r="A15" s="58" t="s">
        <v>689</v>
      </c>
      <c r="B15" s="59">
        <v>1.1304360000000002</v>
      </c>
      <c r="C15" s="59">
        <v>47.771388000000002</v>
      </c>
      <c r="D15" s="59">
        <f t="shared" si="1"/>
        <v>0.31401000000000007</v>
      </c>
      <c r="E15" s="59">
        <f t="shared" si="2"/>
        <v>13.269830000000001</v>
      </c>
    </row>
    <row r="16" spans="1:6" ht="9" customHeight="1">
      <c r="A16" s="58" t="s">
        <v>690</v>
      </c>
      <c r="B16" s="59" t="s">
        <v>393</v>
      </c>
      <c r="C16" s="59" t="s">
        <v>393</v>
      </c>
      <c r="D16" s="59" t="str">
        <f t="shared" si="1"/>
        <v/>
      </c>
      <c r="E16" s="59" t="str">
        <f t="shared" si="2"/>
        <v/>
      </c>
    </row>
    <row r="17" spans="1:5" ht="9" customHeight="1">
      <c r="A17" s="58" t="s">
        <v>691</v>
      </c>
      <c r="B17" s="59" t="s">
        <v>393</v>
      </c>
      <c r="C17" s="59" t="s">
        <v>393</v>
      </c>
      <c r="D17" s="59" t="str">
        <f t="shared" si="1"/>
        <v/>
      </c>
      <c r="E17" s="59" t="str">
        <f t="shared" si="2"/>
        <v/>
      </c>
    </row>
    <row r="18" spans="1:5" ht="9" customHeight="1">
      <c r="A18" s="58" t="s">
        <v>692</v>
      </c>
      <c r="B18" s="59" t="s">
        <v>393</v>
      </c>
      <c r="C18" s="59" t="s">
        <v>393</v>
      </c>
      <c r="D18" s="59" t="str">
        <f t="shared" si="1"/>
        <v/>
      </c>
      <c r="E18" s="59" t="str">
        <f t="shared" si="2"/>
        <v/>
      </c>
    </row>
    <row r="19" spans="1:5" ht="9" customHeight="1">
      <c r="A19" s="58" t="s">
        <v>693</v>
      </c>
      <c r="B19" s="59">
        <v>1.7584560000000002</v>
      </c>
      <c r="C19" s="59">
        <v>4.2705359999999999</v>
      </c>
      <c r="D19" s="59">
        <f t="shared" si="1"/>
        <v>0.48846000000000006</v>
      </c>
      <c r="E19" s="59">
        <f t="shared" si="2"/>
        <v>1.1862599999999999</v>
      </c>
    </row>
    <row r="20" spans="1:5" ht="9" customHeight="1">
      <c r="A20" s="58" t="s">
        <v>694</v>
      </c>
      <c r="B20" s="59">
        <v>1.7584560000000002</v>
      </c>
      <c r="C20" s="59">
        <v>4.2705359999999999</v>
      </c>
      <c r="D20" s="59">
        <f t="shared" si="1"/>
        <v>0.48846000000000006</v>
      </c>
      <c r="E20" s="59">
        <f t="shared" si="2"/>
        <v>1.1862599999999999</v>
      </c>
    </row>
    <row r="21" spans="1:5" ht="9" customHeight="1">
      <c r="A21" s="58" t="s">
        <v>695</v>
      </c>
      <c r="B21" s="59" t="s">
        <v>393</v>
      </c>
      <c r="C21" s="59" t="s">
        <v>393</v>
      </c>
      <c r="D21" s="59" t="str">
        <f t="shared" si="1"/>
        <v/>
      </c>
      <c r="E21" s="59" t="str">
        <f t="shared" si="2"/>
        <v/>
      </c>
    </row>
    <row r="22" spans="1:5" ht="9" customHeight="1">
      <c r="A22" s="58" t="s">
        <v>696</v>
      </c>
      <c r="B22" s="59" t="s">
        <v>393</v>
      </c>
      <c r="C22" s="59" t="s">
        <v>393</v>
      </c>
      <c r="D22" s="59" t="str">
        <f t="shared" si="1"/>
        <v/>
      </c>
      <c r="E22" s="59" t="str">
        <f t="shared" si="2"/>
        <v/>
      </c>
    </row>
    <row r="23" spans="1:5" ht="9" customHeight="1">
      <c r="A23" s="58" t="s">
        <v>697</v>
      </c>
      <c r="B23" s="59" t="s">
        <v>393</v>
      </c>
      <c r="C23" s="59" t="s">
        <v>393</v>
      </c>
      <c r="D23" s="59" t="str">
        <f t="shared" si="1"/>
        <v/>
      </c>
      <c r="E23" s="59" t="str">
        <f t="shared" si="2"/>
        <v/>
      </c>
    </row>
    <row r="24" spans="1:5" ht="9" customHeight="1">
      <c r="A24" s="58" t="s">
        <v>698</v>
      </c>
      <c r="B24" s="59" t="s">
        <v>393</v>
      </c>
      <c r="C24" s="59" t="s">
        <v>393</v>
      </c>
      <c r="D24" s="59" t="str">
        <f t="shared" si="1"/>
        <v/>
      </c>
      <c r="E24" s="59" t="str">
        <f t="shared" si="2"/>
        <v/>
      </c>
    </row>
    <row r="25" spans="1:5" ht="9" customHeight="1">
      <c r="A25" s="58" t="s">
        <v>699</v>
      </c>
      <c r="B25" s="59">
        <v>1.1304360000000002</v>
      </c>
      <c r="C25" s="59" t="s">
        <v>393</v>
      </c>
      <c r="D25" s="59">
        <f t="shared" si="1"/>
        <v>0.31401000000000007</v>
      </c>
      <c r="E25" s="59" t="str">
        <f t="shared" si="2"/>
        <v/>
      </c>
    </row>
    <row r="26" spans="1:5" ht="9" customHeight="1">
      <c r="A26" s="58" t="s">
        <v>700</v>
      </c>
      <c r="B26" s="59" t="s">
        <v>393</v>
      </c>
      <c r="C26" s="59" t="s">
        <v>393</v>
      </c>
      <c r="D26" s="59" t="str">
        <f t="shared" si="1"/>
        <v/>
      </c>
      <c r="E26" s="59" t="str">
        <f t="shared" si="2"/>
        <v/>
      </c>
    </row>
    <row r="27" spans="1:5" ht="9" customHeight="1">
      <c r="A27" s="58" t="s">
        <v>701</v>
      </c>
      <c r="B27" s="59" t="s">
        <v>393</v>
      </c>
      <c r="C27" s="59">
        <v>0</v>
      </c>
      <c r="D27" s="59" t="str">
        <f t="shared" si="1"/>
        <v/>
      </c>
      <c r="E27" s="59">
        <f t="shared" si="2"/>
        <v>0</v>
      </c>
    </row>
    <row r="28" spans="1:5" ht="9" customHeight="1">
      <c r="A28" s="58" t="s">
        <v>702</v>
      </c>
      <c r="B28" s="59" t="s">
        <v>393</v>
      </c>
      <c r="C28" s="59" t="s">
        <v>393</v>
      </c>
      <c r="D28" s="59" t="str">
        <f t="shared" si="1"/>
        <v/>
      </c>
      <c r="E28" s="59" t="str">
        <f t="shared" si="2"/>
        <v/>
      </c>
    </row>
    <row r="29" spans="1:5" ht="9" customHeight="1">
      <c r="A29" s="58" t="s">
        <v>703</v>
      </c>
      <c r="B29" s="59" t="s">
        <v>393</v>
      </c>
      <c r="C29" s="59">
        <v>4.2705359999999999</v>
      </c>
      <c r="D29" s="59" t="str">
        <f t="shared" si="1"/>
        <v/>
      </c>
      <c r="E29" s="59">
        <f t="shared" si="2"/>
        <v>1.1862599999999999</v>
      </c>
    </row>
    <row r="30" spans="1:5" ht="9" customHeight="1">
      <c r="A30" s="58" t="s">
        <v>704</v>
      </c>
      <c r="B30" s="59">
        <v>0.62802000000000002</v>
      </c>
      <c r="C30" s="59" t="s">
        <v>393</v>
      </c>
      <c r="D30" s="59">
        <f t="shared" si="1"/>
        <v>0.17444999999999999</v>
      </c>
      <c r="E30" s="59" t="str">
        <f t="shared" si="2"/>
        <v/>
      </c>
    </row>
    <row r="31" spans="1:5" ht="9" customHeight="1">
      <c r="A31" s="58" t="s">
        <v>705</v>
      </c>
      <c r="B31" s="59" t="s">
        <v>393</v>
      </c>
      <c r="C31" s="59" t="s">
        <v>393</v>
      </c>
      <c r="D31" s="59" t="str">
        <f t="shared" si="1"/>
        <v/>
      </c>
      <c r="E31" s="59" t="str">
        <f t="shared" si="2"/>
        <v/>
      </c>
    </row>
    <row r="32" spans="1:5" ht="9" customHeight="1">
      <c r="A32" s="58" t="s">
        <v>706</v>
      </c>
      <c r="B32" s="59" t="s">
        <v>393</v>
      </c>
      <c r="C32" s="59" t="s">
        <v>393</v>
      </c>
      <c r="D32" s="59" t="str">
        <f t="shared" si="1"/>
        <v/>
      </c>
      <c r="E32" s="59" t="str">
        <f t="shared" si="2"/>
        <v/>
      </c>
    </row>
    <row r="33" spans="1:5" ht="9" customHeight="1">
      <c r="A33" s="58" t="s">
        <v>707</v>
      </c>
      <c r="B33" s="59" t="s">
        <v>393</v>
      </c>
      <c r="C33" s="59" t="s">
        <v>393</v>
      </c>
      <c r="D33" s="59" t="str">
        <f t="shared" si="1"/>
        <v/>
      </c>
      <c r="E33" s="59" t="str">
        <f t="shared" si="2"/>
        <v/>
      </c>
    </row>
    <row r="34" spans="1:5" ht="9" customHeight="1">
      <c r="A34" s="58" t="s">
        <v>708</v>
      </c>
      <c r="B34" s="59" t="s">
        <v>393</v>
      </c>
      <c r="C34" s="59" t="s">
        <v>393</v>
      </c>
      <c r="D34" s="59" t="str">
        <f t="shared" si="1"/>
        <v/>
      </c>
      <c r="E34" s="59" t="str">
        <f t="shared" si="2"/>
        <v/>
      </c>
    </row>
    <row r="35" spans="1:5" ht="9" customHeight="1">
      <c r="A35" s="60" t="s">
        <v>709</v>
      </c>
      <c r="B35" s="61" t="s">
        <v>393</v>
      </c>
      <c r="C35" s="61" t="s">
        <v>393</v>
      </c>
      <c r="D35" s="61" t="str">
        <f t="shared" si="1"/>
        <v/>
      </c>
      <c r="E35" s="61" t="str">
        <f t="shared" si="2"/>
        <v/>
      </c>
    </row>
    <row r="36" spans="1:5" ht="9" customHeight="1">
      <c r="A36" s="58" t="s">
        <v>710</v>
      </c>
      <c r="B36" s="59" t="s">
        <v>393</v>
      </c>
      <c r="C36" s="59" t="s">
        <v>393</v>
      </c>
      <c r="D36" s="59" t="str">
        <f t="shared" si="1"/>
        <v/>
      </c>
      <c r="E36" s="59" t="str">
        <f t="shared" si="2"/>
        <v/>
      </c>
    </row>
    <row r="37" spans="1:5" ht="9" customHeight="1">
      <c r="A37" s="58" t="s">
        <v>711</v>
      </c>
      <c r="B37" s="59" t="s">
        <v>393</v>
      </c>
      <c r="C37" s="59" t="s">
        <v>393</v>
      </c>
      <c r="D37" s="59" t="str">
        <f t="shared" si="1"/>
        <v/>
      </c>
      <c r="E37" s="59" t="str">
        <f t="shared" si="2"/>
        <v/>
      </c>
    </row>
    <row r="38" spans="1:5" ht="9" customHeight="1">
      <c r="A38" s="58" t="s">
        <v>712</v>
      </c>
      <c r="B38" s="59" t="s">
        <v>393</v>
      </c>
      <c r="C38" s="59" t="s">
        <v>393</v>
      </c>
      <c r="D38" s="59" t="str">
        <f t="shared" si="1"/>
        <v/>
      </c>
      <c r="E38" s="59" t="str">
        <f t="shared" si="2"/>
        <v/>
      </c>
    </row>
    <row r="39" spans="1:5" ht="9" customHeight="1">
      <c r="A39" s="58" t="s">
        <v>713</v>
      </c>
      <c r="B39" s="59" t="s">
        <v>393</v>
      </c>
      <c r="C39" s="59" t="s">
        <v>393</v>
      </c>
      <c r="D39" s="59" t="str">
        <f t="shared" si="1"/>
        <v/>
      </c>
      <c r="E39" s="59" t="str">
        <f t="shared" si="2"/>
        <v/>
      </c>
    </row>
    <row r="40" spans="1:5" ht="9" customHeight="1">
      <c r="A40" s="58" t="s">
        <v>714</v>
      </c>
      <c r="B40" s="59" t="s">
        <v>393</v>
      </c>
      <c r="C40" s="59" t="s">
        <v>393</v>
      </c>
      <c r="D40" s="59" t="str">
        <f t="shared" si="1"/>
        <v/>
      </c>
      <c r="E40" s="59" t="str">
        <f t="shared" si="2"/>
        <v/>
      </c>
    </row>
    <row r="41" spans="1:5" ht="9" customHeight="1">
      <c r="A41" s="58" t="s">
        <v>715</v>
      </c>
      <c r="B41" s="59" t="s">
        <v>393</v>
      </c>
      <c r="C41" s="59" t="s">
        <v>393</v>
      </c>
      <c r="D41" s="59" t="str">
        <f t="shared" si="1"/>
        <v/>
      </c>
      <c r="E41" s="59" t="str">
        <f t="shared" si="2"/>
        <v/>
      </c>
    </row>
    <row r="42" spans="1:5" ht="9" customHeight="1">
      <c r="A42" s="58" t="s">
        <v>716</v>
      </c>
      <c r="B42" s="59" t="s">
        <v>393</v>
      </c>
      <c r="C42" s="59" t="s">
        <v>393</v>
      </c>
      <c r="D42" s="59" t="str">
        <f t="shared" si="1"/>
        <v/>
      </c>
      <c r="E42" s="59" t="str">
        <f t="shared" si="2"/>
        <v/>
      </c>
    </row>
    <row r="43" spans="1:5" ht="9" customHeight="1">
      <c r="A43" s="58" t="s">
        <v>717</v>
      </c>
      <c r="B43" s="59" t="s">
        <v>393</v>
      </c>
      <c r="C43" s="59" t="s">
        <v>393</v>
      </c>
      <c r="D43" s="59" t="str">
        <f t="shared" si="1"/>
        <v/>
      </c>
      <c r="E43" s="59" t="str">
        <f t="shared" si="2"/>
        <v/>
      </c>
    </row>
    <row r="44" spans="1:5" ht="9" customHeight="1">
      <c r="A44" s="58" t="s">
        <v>718</v>
      </c>
      <c r="B44" s="59" t="s">
        <v>393</v>
      </c>
      <c r="C44" s="59" t="s">
        <v>393</v>
      </c>
      <c r="D44" s="59" t="str">
        <f t="shared" si="1"/>
        <v/>
      </c>
      <c r="E44" s="59" t="str">
        <f t="shared" si="2"/>
        <v/>
      </c>
    </row>
    <row r="45" spans="1:5" ht="9" customHeight="1">
      <c r="A45" s="58" t="s">
        <v>719</v>
      </c>
      <c r="B45" s="59" t="s">
        <v>393</v>
      </c>
      <c r="C45" s="59" t="s">
        <v>393</v>
      </c>
      <c r="D45" s="59" t="str">
        <f t="shared" si="1"/>
        <v/>
      </c>
      <c r="E45" s="59" t="str">
        <f t="shared" si="2"/>
        <v/>
      </c>
    </row>
    <row r="46" spans="1:5" ht="9" customHeight="1">
      <c r="A46" s="58" t="s">
        <v>720</v>
      </c>
      <c r="B46" s="59" t="s">
        <v>393</v>
      </c>
      <c r="C46" s="59" t="s">
        <v>393</v>
      </c>
      <c r="D46" s="59" t="str">
        <f t="shared" si="1"/>
        <v/>
      </c>
      <c r="E46" s="59" t="str">
        <f t="shared" si="2"/>
        <v/>
      </c>
    </row>
    <row r="47" spans="1:5" ht="9" customHeight="1">
      <c r="A47" s="58" t="s">
        <v>721</v>
      </c>
      <c r="B47" s="59" t="s">
        <v>393</v>
      </c>
      <c r="C47" s="59" t="s">
        <v>393</v>
      </c>
      <c r="D47" s="59" t="str">
        <f t="shared" si="1"/>
        <v/>
      </c>
      <c r="E47" s="59" t="str">
        <f t="shared" si="2"/>
        <v/>
      </c>
    </row>
    <row r="48" spans="1:5" ht="9" customHeight="1">
      <c r="A48" s="58" t="s">
        <v>722</v>
      </c>
      <c r="B48" s="59" t="s">
        <v>393</v>
      </c>
      <c r="C48" s="59" t="s">
        <v>393</v>
      </c>
      <c r="D48" s="59" t="str">
        <f t="shared" si="1"/>
        <v/>
      </c>
      <c r="E48" s="59" t="str">
        <f t="shared" si="2"/>
        <v/>
      </c>
    </row>
    <row r="49" spans="1:5" ht="9" customHeight="1">
      <c r="A49" s="58" t="s">
        <v>723</v>
      </c>
      <c r="B49" s="59">
        <v>285.87470400000001</v>
      </c>
      <c r="C49" s="59">
        <v>568.94425200000001</v>
      </c>
      <c r="D49" s="59">
        <f t="shared" si="1"/>
        <v>79.409639999999996</v>
      </c>
      <c r="E49" s="59">
        <f t="shared" si="2"/>
        <v>158.04006999999999</v>
      </c>
    </row>
    <row r="50" spans="1:5" ht="9" customHeight="1">
      <c r="A50" s="58" t="s">
        <v>694</v>
      </c>
      <c r="B50" s="59">
        <v>285.87470400000001</v>
      </c>
      <c r="C50" s="59">
        <v>568.94425200000001</v>
      </c>
      <c r="D50" s="59">
        <f t="shared" si="1"/>
        <v>79.409639999999996</v>
      </c>
      <c r="E50" s="59">
        <f t="shared" si="2"/>
        <v>158.04006999999999</v>
      </c>
    </row>
    <row r="51" spans="1:5" ht="9" customHeight="1">
      <c r="A51" s="58" t="s">
        <v>695</v>
      </c>
      <c r="B51" s="59" t="s">
        <v>393</v>
      </c>
      <c r="C51" s="59">
        <v>82.521828000000014</v>
      </c>
      <c r="D51" s="59" t="str">
        <f t="shared" si="1"/>
        <v/>
      </c>
      <c r="E51" s="59">
        <f t="shared" si="2"/>
        <v>22.922730000000005</v>
      </c>
    </row>
    <row r="52" spans="1:5" ht="9" customHeight="1">
      <c r="A52" s="58" t="s">
        <v>696</v>
      </c>
      <c r="B52" s="59">
        <v>169.816608</v>
      </c>
      <c r="C52" s="59">
        <v>415.79110800000001</v>
      </c>
      <c r="D52" s="59">
        <f t="shared" si="1"/>
        <v>47.171280000000003</v>
      </c>
      <c r="E52" s="59">
        <f t="shared" si="2"/>
        <v>115.49753</v>
      </c>
    </row>
    <row r="53" spans="1:5" ht="9" customHeight="1">
      <c r="A53" s="58" t="s">
        <v>697</v>
      </c>
      <c r="B53" s="59">
        <v>93.909924000000004</v>
      </c>
      <c r="C53" s="59" t="s">
        <v>393</v>
      </c>
      <c r="D53" s="59">
        <f t="shared" si="1"/>
        <v>26.086089999999999</v>
      </c>
      <c r="E53" s="59" t="str">
        <f t="shared" si="2"/>
        <v/>
      </c>
    </row>
    <row r="54" spans="1:5" ht="9" customHeight="1">
      <c r="A54" s="58" t="s">
        <v>698</v>
      </c>
      <c r="B54" s="59" t="s">
        <v>393</v>
      </c>
      <c r="C54" s="59">
        <v>7.0756920000000001</v>
      </c>
      <c r="D54" s="59" t="str">
        <f t="shared" si="1"/>
        <v/>
      </c>
      <c r="E54" s="59">
        <f t="shared" si="2"/>
        <v>1.9654700000000001</v>
      </c>
    </row>
    <row r="55" spans="1:5" ht="9" customHeight="1">
      <c r="A55" s="58" t="s">
        <v>699</v>
      </c>
      <c r="B55" s="59">
        <v>16.579727999999999</v>
      </c>
      <c r="C55" s="59">
        <v>60.248052000000001</v>
      </c>
      <c r="D55" s="59">
        <f t="shared" si="1"/>
        <v>4.60548</v>
      </c>
      <c r="E55" s="59">
        <f t="shared" si="2"/>
        <v>16.735569999999999</v>
      </c>
    </row>
    <row r="56" spans="1:5" ht="9" customHeight="1">
      <c r="A56" s="58" t="s">
        <v>700</v>
      </c>
      <c r="B56" s="59">
        <v>4.8985560000000001</v>
      </c>
      <c r="C56" s="59" t="s">
        <v>393</v>
      </c>
      <c r="D56" s="59">
        <f t="shared" si="1"/>
        <v>1.3607100000000001</v>
      </c>
      <c r="E56" s="59" t="str">
        <f t="shared" si="2"/>
        <v/>
      </c>
    </row>
    <row r="57" spans="1:5" ht="9" customHeight="1">
      <c r="A57" s="58" t="s">
        <v>701</v>
      </c>
      <c r="B57" s="59">
        <v>0</v>
      </c>
      <c r="C57" s="59" t="s">
        <v>393</v>
      </c>
      <c r="D57" s="59">
        <f t="shared" si="1"/>
        <v>0</v>
      </c>
      <c r="E57" s="59" t="str">
        <f t="shared" si="2"/>
        <v/>
      </c>
    </row>
    <row r="58" spans="1:5" ht="9" customHeight="1">
      <c r="A58" s="58" t="s">
        <v>702</v>
      </c>
      <c r="B58" s="59" t="s">
        <v>393</v>
      </c>
      <c r="C58" s="59" t="s">
        <v>393</v>
      </c>
      <c r="D58" s="59" t="str">
        <f t="shared" si="1"/>
        <v/>
      </c>
      <c r="E58" s="59" t="str">
        <f t="shared" si="2"/>
        <v/>
      </c>
    </row>
    <row r="59" spans="1:5" ht="9" customHeight="1">
      <c r="A59" s="58" t="s">
        <v>703</v>
      </c>
      <c r="B59" s="59" t="s">
        <v>393</v>
      </c>
      <c r="C59" s="59">
        <v>2.9307600000000003</v>
      </c>
      <c r="D59" s="59" t="str">
        <f t="shared" si="1"/>
        <v/>
      </c>
      <c r="E59" s="59">
        <f t="shared" si="2"/>
        <v>0.81410000000000005</v>
      </c>
    </row>
    <row r="60" spans="1:5" ht="9" customHeight="1">
      <c r="A60" s="58" t="s">
        <v>704</v>
      </c>
      <c r="B60" s="59">
        <v>0.62802000000000002</v>
      </c>
      <c r="C60" s="59">
        <v>0.33494400000000002</v>
      </c>
      <c r="D60" s="59">
        <f t="shared" si="1"/>
        <v>0.17444999999999999</v>
      </c>
      <c r="E60" s="59">
        <f t="shared" si="2"/>
        <v>9.3039999999999998E-2</v>
      </c>
    </row>
    <row r="61" spans="1:5" ht="9" customHeight="1">
      <c r="A61" s="58" t="s">
        <v>705</v>
      </c>
      <c r="B61" s="59" t="s">
        <v>393</v>
      </c>
      <c r="C61" s="59" t="s">
        <v>393</v>
      </c>
      <c r="D61" s="59" t="str">
        <f t="shared" si="1"/>
        <v/>
      </c>
      <c r="E61" s="59" t="str">
        <f t="shared" si="2"/>
        <v/>
      </c>
    </row>
    <row r="62" spans="1:5" ht="9" customHeight="1">
      <c r="A62" s="58" t="s">
        <v>706</v>
      </c>
      <c r="B62" s="59" t="s">
        <v>393</v>
      </c>
      <c r="C62" s="59" t="s">
        <v>393</v>
      </c>
      <c r="D62" s="59" t="str">
        <f t="shared" si="1"/>
        <v/>
      </c>
      <c r="E62" s="59" t="str">
        <f t="shared" si="2"/>
        <v/>
      </c>
    </row>
    <row r="63" spans="1:5" ht="9" customHeight="1">
      <c r="A63" s="58" t="s">
        <v>707</v>
      </c>
      <c r="B63" s="59" t="s">
        <v>393</v>
      </c>
      <c r="C63" s="59" t="s">
        <v>393</v>
      </c>
      <c r="D63" s="59" t="str">
        <f t="shared" si="1"/>
        <v/>
      </c>
      <c r="E63" s="59" t="str">
        <f t="shared" si="2"/>
        <v/>
      </c>
    </row>
    <row r="64" spans="1:5" ht="9" customHeight="1">
      <c r="A64" s="58" t="s">
        <v>708</v>
      </c>
      <c r="B64" s="59" t="s">
        <v>393</v>
      </c>
      <c r="C64" s="59" t="s">
        <v>393</v>
      </c>
      <c r="D64" s="59" t="str">
        <f t="shared" si="1"/>
        <v/>
      </c>
      <c r="E64" s="59" t="str">
        <f t="shared" si="2"/>
        <v/>
      </c>
    </row>
    <row r="65" spans="1:5" ht="9" customHeight="1">
      <c r="A65" s="60" t="s">
        <v>724</v>
      </c>
      <c r="B65" s="61" t="s">
        <v>393</v>
      </c>
      <c r="C65" s="61" t="s">
        <v>393</v>
      </c>
      <c r="D65" s="61" t="str">
        <f t="shared" si="1"/>
        <v/>
      </c>
      <c r="E65" s="61" t="str">
        <f t="shared" si="2"/>
        <v/>
      </c>
    </row>
    <row r="66" spans="1:5" ht="9" customHeight="1">
      <c r="A66" s="58" t="s">
        <v>725</v>
      </c>
      <c r="B66" s="59" t="s">
        <v>393</v>
      </c>
      <c r="C66" s="59" t="s">
        <v>393</v>
      </c>
      <c r="D66" s="59" t="str">
        <f t="shared" si="1"/>
        <v/>
      </c>
      <c r="E66" s="59" t="str">
        <f t="shared" si="2"/>
        <v/>
      </c>
    </row>
    <row r="67" spans="1:5" ht="9" customHeight="1">
      <c r="A67" s="58" t="s">
        <v>711</v>
      </c>
      <c r="B67" s="59" t="s">
        <v>393</v>
      </c>
      <c r="C67" s="59" t="s">
        <v>393</v>
      </c>
      <c r="D67" s="59" t="str">
        <f t="shared" si="1"/>
        <v/>
      </c>
      <c r="E67" s="59" t="str">
        <f t="shared" si="2"/>
        <v/>
      </c>
    </row>
    <row r="68" spans="1:5" ht="9" customHeight="1">
      <c r="A68" s="58" t="s">
        <v>712</v>
      </c>
      <c r="B68" s="59" t="s">
        <v>393</v>
      </c>
      <c r="C68" s="59" t="s">
        <v>393</v>
      </c>
      <c r="D68" s="59" t="str">
        <f t="shared" si="1"/>
        <v/>
      </c>
      <c r="E68" s="59" t="str">
        <f t="shared" si="2"/>
        <v/>
      </c>
    </row>
    <row r="69" spans="1:5" ht="9" customHeight="1">
      <c r="A69" s="58" t="s">
        <v>726</v>
      </c>
      <c r="B69" s="59" t="s">
        <v>393</v>
      </c>
      <c r="C69" s="59" t="s">
        <v>393</v>
      </c>
      <c r="D69" s="59" t="str">
        <f t="shared" si="1"/>
        <v/>
      </c>
      <c r="E69" s="59" t="str">
        <f t="shared" si="2"/>
        <v/>
      </c>
    </row>
    <row r="70" spans="1:5" ht="9" customHeight="1">
      <c r="A70" s="58" t="s">
        <v>727</v>
      </c>
      <c r="B70" s="59" t="s">
        <v>393</v>
      </c>
      <c r="C70" s="59" t="s">
        <v>393</v>
      </c>
      <c r="D70" s="59" t="str">
        <f t="shared" si="1"/>
        <v/>
      </c>
      <c r="E70" s="59" t="str">
        <f t="shared" si="2"/>
        <v/>
      </c>
    </row>
    <row r="71" spans="1:5" ht="9" customHeight="1">
      <c r="A71" s="58" t="s">
        <v>715</v>
      </c>
      <c r="B71" s="59" t="s">
        <v>393</v>
      </c>
      <c r="C71" s="59" t="s">
        <v>393</v>
      </c>
      <c r="D71" s="59" t="str">
        <f t="shared" ref="D71:D133" si="3">IF(B71&lt;&gt;"",B71/3.6,"")</f>
        <v/>
      </c>
      <c r="E71" s="59" t="str">
        <f t="shared" ref="E71:E133" si="4">IF(C71&lt;&gt;"",C71/3.6,"")</f>
        <v/>
      </c>
    </row>
    <row r="72" spans="1:5" ht="9" customHeight="1">
      <c r="A72" s="58" t="s">
        <v>716</v>
      </c>
      <c r="B72" s="59" t="s">
        <v>393</v>
      </c>
      <c r="C72" s="59" t="s">
        <v>393</v>
      </c>
      <c r="D72" s="59" t="str">
        <f t="shared" si="3"/>
        <v/>
      </c>
      <c r="E72" s="59" t="str">
        <f t="shared" si="4"/>
        <v/>
      </c>
    </row>
    <row r="73" spans="1:5" ht="9" customHeight="1">
      <c r="A73" s="58" t="s">
        <v>717</v>
      </c>
      <c r="B73" s="59" t="s">
        <v>393</v>
      </c>
      <c r="C73" s="59" t="s">
        <v>393</v>
      </c>
      <c r="D73" s="59" t="str">
        <f t="shared" si="3"/>
        <v/>
      </c>
      <c r="E73" s="59" t="str">
        <f t="shared" si="4"/>
        <v/>
      </c>
    </row>
    <row r="74" spans="1:5" ht="9" customHeight="1">
      <c r="A74" s="58" t="s">
        <v>718</v>
      </c>
      <c r="B74" s="59" t="s">
        <v>393</v>
      </c>
      <c r="C74" s="59" t="s">
        <v>393</v>
      </c>
      <c r="D74" s="59" t="str">
        <f t="shared" si="3"/>
        <v/>
      </c>
      <c r="E74" s="59" t="str">
        <f t="shared" si="4"/>
        <v/>
      </c>
    </row>
    <row r="75" spans="1:5" ht="9" customHeight="1">
      <c r="A75" s="58" t="s">
        <v>719</v>
      </c>
      <c r="B75" s="59" t="s">
        <v>393</v>
      </c>
      <c r="C75" s="59" t="s">
        <v>393</v>
      </c>
      <c r="D75" s="59" t="str">
        <f t="shared" si="3"/>
        <v/>
      </c>
      <c r="E75" s="59" t="str">
        <f t="shared" si="4"/>
        <v/>
      </c>
    </row>
    <row r="76" spans="1:5" ht="9" customHeight="1">
      <c r="A76" s="58" t="s">
        <v>720</v>
      </c>
      <c r="B76" s="59" t="s">
        <v>393</v>
      </c>
      <c r="C76" s="59" t="s">
        <v>393</v>
      </c>
      <c r="D76" s="59" t="str">
        <f t="shared" si="3"/>
        <v/>
      </c>
      <c r="E76" s="59" t="str">
        <f t="shared" si="4"/>
        <v/>
      </c>
    </row>
    <row r="77" spans="1:5" ht="9" customHeight="1">
      <c r="A77" s="58" t="s">
        <v>721</v>
      </c>
      <c r="B77" s="59" t="s">
        <v>393</v>
      </c>
      <c r="C77" s="59" t="s">
        <v>393</v>
      </c>
      <c r="D77" s="59" t="str">
        <f t="shared" si="3"/>
        <v/>
      </c>
      <c r="E77" s="59" t="str">
        <f t="shared" si="4"/>
        <v/>
      </c>
    </row>
    <row r="78" spans="1:5" ht="9" customHeight="1">
      <c r="A78" s="58" t="s">
        <v>722</v>
      </c>
      <c r="B78" s="59" t="s">
        <v>393</v>
      </c>
      <c r="C78" s="59" t="s">
        <v>393</v>
      </c>
      <c r="D78" s="59" t="str">
        <f t="shared" si="3"/>
        <v/>
      </c>
      <c r="E78" s="59" t="str">
        <f t="shared" si="4"/>
        <v/>
      </c>
    </row>
    <row r="79" spans="1:5" ht="9" customHeight="1">
      <c r="A79" s="58" t="s">
        <v>728</v>
      </c>
      <c r="B79" s="59">
        <v>25.288271999999999</v>
      </c>
      <c r="C79" s="59">
        <v>87.504120000000015</v>
      </c>
      <c r="D79" s="59">
        <f t="shared" si="3"/>
        <v>7.0245199999999999</v>
      </c>
      <c r="E79" s="59">
        <f t="shared" si="4"/>
        <v>24.306700000000003</v>
      </c>
    </row>
    <row r="80" spans="1:5" ht="9" customHeight="1">
      <c r="A80" s="58" t="s">
        <v>729</v>
      </c>
      <c r="B80" s="59">
        <v>5.7777840000000005</v>
      </c>
      <c r="C80" s="59">
        <v>42.830964000000002</v>
      </c>
      <c r="D80" s="59">
        <f t="shared" si="3"/>
        <v>1.60494</v>
      </c>
      <c r="E80" s="59">
        <f t="shared" si="4"/>
        <v>11.897489999999999</v>
      </c>
    </row>
    <row r="81" spans="1:5" ht="9" customHeight="1">
      <c r="A81" s="58" t="s">
        <v>730</v>
      </c>
      <c r="B81" s="59">
        <v>2.9726280000000003</v>
      </c>
      <c r="C81" s="59">
        <v>16.998407999999998</v>
      </c>
      <c r="D81" s="59">
        <f t="shared" si="3"/>
        <v>0.82573000000000008</v>
      </c>
      <c r="E81" s="59">
        <f t="shared" si="4"/>
        <v>4.721779999999999</v>
      </c>
    </row>
    <row r="82" spans="1:5" ht="9" customHeight="1">
      <c r="A82" s="58" t="s">
        <v>731</v>
      </c>
      <c r="B82" s="59">
        <v>4.1868000000000002E-2</v>
      </c>
      <c r="C82" s="59">
        <v>1.25604</v>
      </c>
      <c r="D82" s="59">
        <f t="shared" si="3"/>
        <v>1.163E-2</v>
      </c>
      <c r="E82" s="59">
        <f t="shared" si="4"/>
        <v>0.34889999999999999</v>
      </c>
    </row>
    <row r="83" spans="1:5" ht="9" customHeight="1">
      <c r="A83" s="58" t="s">
        <v>715</v>
      </c>
      <c r="B83" s="59" t="s">
        <v>393</v>
      </c>
      <c r="C83" s="59">
        <v>0</v>
      </c>
      <c r="D83" s="59" t="str">
        <f t="shared" si="3"/>
        <v/>
      </c>
      <c r="E83" s="59">
        <f t="shared" si="4"/>
        <v>0</v>
      </c>
    </row>
    <row r="84" spans="1:5" ht="9" customHeight="1">
      <c r="A84" s="58" t="s">
        <v>705</v>
      </c>
      <c r="B84" s="59">
        <v>0.79549200000000009</v>
      </c>
      <c r="C84" s="59">
        <v>2.386476</v>
      </c>
      <c r="D84" s="59">
        <f t="shared" si="3"/>
        <v>0.22097000000000003</v>
      </c>
      <c r="E84" s="59">
        <f t="shared" si="4"/>
        <v>0.66291</v>
      </c>
    </row>
    <row r="85" spans="1:5" ht="9" customHeight="1">
      <c r="A85" s="58" t="s">
        <v>716</v>
      </c>
      <c r="B85" s="59" t="s">
        <v>393</v>
      </c>
      <c r="C85" s="59" t="s">
        <v>393</v>
      </c>
      <c r="D85" s="59" t="str">
        <f t="shared" si="3"/>
        <v/>
      </c>
      <c r="E85" s="59" t="str">
        <f t="shared" si="4"/>
        <v/>
      </c>
    </row>
    <row r="86" spans="1:5" ht="9" customHeight="1">
      <c r="A86" s="58" t="s">
        <v>707</v>
      </c>
      <c r="B86" s="59">
        <v>0</v>
      </c>
      <c r="C86" s="59">
        <v>0.46054800000000001</v>
      </c>
      <c r="D86" s="59">
        <f t="shared" si="3"/>
        <v>0</v>
      </c>
      <c r="E86" s="59">
        <f t="shared" si="4"/>
        <v>0.12792999999999999</v>
      </c>
    </row>
    <row r="87" spans="1:5" ht="9" customHeight="1">
      <c r="A87" s="58" t="s">
        <v>706</v>
      </c>
      <c r="B87" s="59" t="s">
        <v>393</v>
      </c>
      <c r="C87" s="59" t="s">
        <v>393</v>
      </c>
      <c r="D87" s="59" t="str">
        <f t="shared" si="3"/>
        <v/>
      </c>
      <c r="E87" s="59" t="str">
        <f t="shared" si="4"/>
        <v/>
      </c>
    </row>
    <row r="88" spans="1:5" ht="9" customHeight="1">
      <c r="A88" s="60" t="s">
        <v>732</v>
      </c>
      <c r="B88" s="62">
        <v>0.33494400000000002</v>
      </c>
      <c r="C88" s="62">
        <v>6.1127279999999997</v>
      </c>
      <c r="D88" s="62">
        <f t="shared" si="3"/>
        <v>9.3039999999999998E-2</v>
      </c>
      <c r="E88" s="62">
        <f t="shared" si="4"/>
        <v>1.6979799999999998</v>
      </c>
    </row>
    <row r="89" spans="1:5" ht="9" customHeight="1">
      <c r="A89" s="58" t="s">
        <v>733</v>
      </c>
      <c r="B89" s="59" t="s">
        <v>393</v>
      </c>
      <c r="C89" s="59" t="s">
        <v>393</v>
      </c>
      <c r="D89" s="59" t="str">
        <f t="shared" si="3"/>
        <v/>
      </c>
      <c r="E89" s="59" t="str">
        <f t="shared" si="4"/>
        <v/>
      </c>
    </row>
    <row r="90" spans="1:5" ht="9" customHeight="1">
      <c r="A90" s="58" t="s">
        <v>717</v>
      </c>
      <c r="B90" s="59" t="s">
        <v>393</v>
      </c>
      <c r="C90" s="59" t="s">
        <v>393</v>
      </c>
      <c r="D90" s="59" t="str">
        <f t="shared" si="3"/>
        <v/>
      </c>
      <c r="E90" s="59" t="str">
        <f t="shared" si="4"/>
        <v/>
      </c>
    </row>
    <row r="91" spans="1:5" ht="9" customHeight="1">
      <c r="A91" s="58" t="s">
        <v>734</v>
      </c>
      <c r="B91" s="59" t="s">
        <v>393</v>
      </c>
      <c r="C91" s="59">
        <v>0.12560400000000002</v>
      </c>
      <c r="D91" s="59" t="str">
        <f t="shared" si="3"/>
        <v/>
      </c>
      <c r="E91" s="59">
        <f t="shared" si="4"/>
        <v>3.4890000000000004E-2</v>
      </c>
    </row>
    <row r="92" spans="1:5" ht="9" customHeight="1">
      <c r="A92" s="58" t="s">
        <v>735</v>
      </c>
      <c r="B92" s="59" t="s">
        <v>393</v>
      </c>
      <c r="C92" s="59" t="s">
        <v>393</v>
      </c>
      <c r="D92" s="59" t="str">
        <f t="shared" si="3"/>
        <v/>
      </c>
      <c r="E92" s="59" t="str">
        <f t="shared" si="4"/>
        <v/>
      </c>
    </row>
    <row r="93" spans="1:5" ht="9" customHeight="1">
      <c r="A93" s="58" t="s">
        <v>736</v>
      </c>
      <c r="B93" s="59" t="s">
        <v>393</v>
      </c>
      <c r="C93" s="59" t="s">
        <v>393</v>
      </c>
      <c r="D93" s="59" t="str">
        <f t="shared" si="3"/>
        <v/>
      </c>
      <c r="E93" s="59" t="str">
        <f t="shared" si="4"/>
        <v/>
      </c>
    </row>
    <row r="94" spans="1:5" ht="9" customHeight="1">
      <c r="A94" s="58" t="s">
        <v>720</v>
      </c>
      <c r="B94" s="59" t="s">
        <v>393</v>
      </c>
      <c r="C94" s="59" t="s">
        <v>393</v>
      </c>
      <c r="D94" s="59" t="str">
        <f t="shared" si="3"/>
        <v/>
      </c>
      <c r="E94" s="59" t="str">
        <f t="shared" si="4"/>
        <v/>
      </c>
    </row>
    <row r="95" spans="1:5" ht="9" customHeight="1">
      <c r="A95" s="58" t="s">
        <v>737</v>
      </c>
      <c r="B95" s="59">
        <v>15.365556</v>
      </c>
      <c r="C95" s="59">
        <v>17.291484000000001</v>
      </c>
      <c r="D95" s="59">
        <f t="shared" si="3"/>
        <v>4.2682099999999998</v>
      </c>
      <c r="E95" s="59">
        <f t="shared" si="4"/>
        <v>4.8031899999999998</v>
      </c>
    </row>
    <row r="96" spans="1:5" ht="9" customHeight="1">
      <c r="A96" s="58" t="s">
        <v>738</v>
      </c>
      <c r="B96" s="59">
        <v>25.372008000000001</v>
      </c>
      <c r="C96" s="59">
        <v>35.964612000000002</v>
      </c>
      <c r="D96" s="59">
        <f t="shared" si="3"/>
        <v>7.0477800000000004</v>
      </c>
      <c r="E96" s="59">
        <f t="shared" si="4"/>
        <v>9.9901700000000009</v>
      </c>
    </row>
    <row r="97" spans="1:5" ht="9" customHeight="1">
      <c r="A97" s="58" t="s">
        <v>739</v>
      </c>
      <c r="B97" s="59">
        <v>234.54453600000002</v>
      </c>
      <c r="C97" s="59">
        <v>488.97637200000003</v>
      </c>
      <c r="D97" s="59">
        <f t="shared" si="3"/>
        <v>65.151260000000008</v>
      </c>
      <c r="E97" s="59">
        <f t="shared" si="4"/>
        <v>135.82677000000001</v>
      </c>
    </row>
    <row r="98" spans="1:5" ht="9" customHeight="1">
      <c r="A98" s="58" t="s">
        <v>740</v>
      </c>
      <c r="B98" s="59" t="s">
        <v>393</v>
      </c>
      <c r="C98" s="59" t="s">
        <v>393</v>
      </c>
      <c r="D98" s="59" t="str">
        <f t="shared" si="3"/>
        <v/>
      </c>
      <c r="E98" s="59" t="str">
        <f t="shared" si="4"/>
        <v/>
      </c>
    </row>
    <row r="99" spans="1:5" ht="9" customHeight="1">
      <c r="A99" s="58" t="s">
        <v>741</v>
      </c>
      <c r="B99" s="59" t="s">
        <v>393</v>
      </c>
      <c r="C99" s="59" t="s">
        <v>393</v>
      </c>
      <c r="D99" s="59" t="str">
        <f t="shared" si="3"/>
        <v/>
      </c>
      <c r="E99" s="59" t="str">
        <f t="shared" si="4"/>
        <v/>
      </c>
    </row>
    <row r="100" spans="1:5" ht="9" customHeight="1">
      <c r="A100" s="58" t="s">
        <v>742</v>
      </c>
      <c r="B100" s="59" t="s">
        <v>393</v>
      </c>
      <c r="C100" s="59" t="s">
        <v>393</v>
      </c>
      <c r="D100" s="59" t="str">
        <f t="shared" si="3"/>
        <v/>
      </c>
      <c r="E100" s="59" t="str">
        <f t="shared" si="4"/>
        <v/>
      </c>
    </row>
    <row r="101" spans="1:5" ht="9" customHeight="1">
      <c r="A101" s="58" t="s">
        <v>743</v>
      </c>
      <c r="B101" s="59" t="s">
        <v>393</v>
      </c>
      <c r="C101" s="59" t="s">
        <v>393</v>
      </c>
      <c r="D101" s="59" t="str">
        <f t="shared" si="3"/>
        <v/>
      </c>
      <c r="E101" s="59" t="str">
        <f t="shared" si="4"/>
        <v/>
      </c>
    </row>
    <row r="102" spans="1:5" ht="9" customHeight="1">
      <c r="A102" s="58" t="s">
        <v>744</v>
      </c>
      <c r="B102" s="59" t="s">
        <v>393</v>
      </c>
      <c r="C102" s="59" t="s">
        <v>393</v>
      </c>
      <c r="D102" s="59" t="str">
        <f t="shared" si="3"/>
        <v/>
      </c>
      <c r="E102" s="59" t="str">
        <f t="shared" si="4"/>
        <v/>
      </c>
    </row>
    <row r="103" spans="1:5" ht="9" customHeight="1">
      <c r="A103" s="58" t="s">
        <v>745</v>
      </c>
      <c r="B103" s="59" t="s">
        <v>393</v>
      </c>
      <c r="C103" s="59" t="s">
        <v>393</v>
      </c>
      <c r="D103" s="59" t="str">
        <f t="shared" si="3"/>
        <v/>
      </c>
      <c r="E103" s="59" t="str">
        <f t="shared" si="4"/>
        <v/>
      </c>
    </row>
    <row r="104" spans="1:5" ht="9" customHeight="1">
      <c r="A104" s="58" t="s">
        <v>746</v>
      </c>
      <c r="B104" s="59" t="s">
        <v>393</v>
      </c>
      <c r="C104" s="59" t="s">
        <v>393</v>
      </c>
      <c r="D104" s="59" t="str">
        <f t="shared" si="3"/>
        <v/>
      </c>
      <c r="E104" s="59" t="str">
        <f t="shared" si="4"/>
        <v/>
      </c>
    </row>
    <row r="105" spans="1:5" s="53" customFormat="1" ht="23.25" customHeight="1">
      <c r="A105" s="60" t="s">
        <v>747</v>
      </c>
      <c r="B105" s="61">
        <v>234.54453600000002</v>
      </c>
      <c r="C105" s="61">
        <v>488.97637200000003</v>
      </c>
      <c r="D105" s="61">
        <f t="shared" si="3"/>
        <v>65.151260000000008</v>
      </c>
      <c r="E105" s="61">
        <f t="shared" si="4"/>
        <v>135.82677000000001</v>
      </c>
    </row>
    <row r="106" spans="1:5" ht="23.25" customHeight="1">
      <c r="A106" s="58" t="s">
        <v>748</v>
      </c>
      <c r="B106" s="59">
        <v>35.797139999999999</v>
      </c>
      <c r="C106" s="59">
        <v>195.52356</v>
      </c>
      <c r="D106" s="59">
        <f t="shared" si="3"/>
        <v>9.9436499999999999</v>
      </c>
      <c r="E106" s="59">
        <f t="shared" si="4"/>
        <v>54.312100000000001</v>
      </c>
    </row>
    <row r="107" spans="1:5" ht="23.25" customHeight="1">
      <c r="A107" s="58" t="s">
        <v>749</v>
      </c>
      <c r="B107" s="59">
        <v>2.9307600000000003</v>
      </c>
      <c r="C107" s="59">
        <v>20.054772</v>
      </c>
      <c r="D107" s="59">
        <f t="shared" si="3"/>
        <v>0.81410000000000005</v>
      </c>
      <c r="E107" s="59">
        <f t="shared" si="4"/>
        <v>5.5707699999999996</v>
      </c>
    </row>
    <row r="108" spans="1:5" ht="23.25" customHeight="1">
      <c r="A108" s="58" t="s">
        <v>750</v>
      </c>
      <c r="B108" s="59">
        <v>14.611932000000001</v>
      </c>
      <c r="C108" s="59">
        <v>33.033851999999996</v>
      </c>
      <c r="D108" s="59">
        <f t="shared" si="3"/>
        <v>4.0588700000000006</v>
      </c>
      <c r="E108" s="59">
        <f t="shared" si="4"/>
        <v>9.1760699999999993</v>
      </c>
    </row>
    <row r="109" spans="1:5" ht="23.25" customHeight="1">
      <c r="A109" s="58" t="s">
        <v>751</v>
      </c>
      <c r="B109" s="59">
        <v>0.92109600000000003</v>
      </c>
      <c r="C109" s="59">
        <v>8.2061280000000014</v>
      </c>
      <c r="D109" s="59">
        <f t="shared" si="3"/>
        <v>0.25585999999999998</v>
      </c>
      <c r="E109" s="59">
        <f t="shared" si="4"/>
        <v>2.2794800000000004</v>
      </c>
    </row>
    <row r="110" spans="1:5" ht="23.25" customHeight="1">
      <c r="A110" s="58" t="s">
        <v>752</v>
      </c>
      <c r="B110" s="59">
        <v>1.0467</v>
      </c>
      <c r="C110" s="59">
        <v>20.012904000000002</v>
      </c>
      <c r="D110" s="59">
        <f t="shared" si="3"/>
        <v>0.29075000000000001</v>
      </c>
      <c r="E110" s="59">
        <f t="shared" si="4"/>
        <v>5.5591400000000002</v>
      </c>
    </row>
    <row r="111" spans="1:5" ht="23.25" customHeight="1">
      <c r="A111" s="58" t="s">
        <v>753</v>
      </c>
      <c r="B111" s="59">
        <v>1.7165880000000002</v>
      </c>
      <c r="C111" s="59">
        <v>10.67634</v>
      </c>
      <c r="D111" s="59">
        <f t="shared" si="3"/>
        <v>0.47683000000000003</v>
      </c>
      <c r="E111" s="59">
        <f t="shared" si="4"/>
        <v>2.9656499999999997</v>
      </c>
    </row>
    <row r="112" spans="1:5" ht="23.25" customHeight="1">
      <c r="A112" s="58" t="s">
        <v>754</v>
      </c>
      <c r="B112" s="59">
        <v>2.0096640000000003</v>
      </c>
      <c r="C112" s="59">
        <v>16.998407999999998</v>
      </c>
      <c r="D112" s="59">
        <f t="shared" si="3"/>
        <v>0.55824000000000007</v>
      </c>
      <c r="E112" s="59">
        <f t="shared" si="4"/>
        <v>4.721779999999999</v>
      </c>
    </row>
    <row r="113" spans="1:5" ht="23.25" customHeight="1">
      <c r="A113" s="58" t="s">
        <v>755</v>
      </c>
      <c r="B113" s="59">
        <v>2.4702120000000001</v>
      </c>
      <c r="C113" s="59">
        <v>9.9645840000000003</v>
      </c>
      <c r="D113" s="59">
        <f t="shared" si="3"/>
        <v>0.68617000000000006</v>
      </c>
      <c r="E113" s="59">
        <f t="shared" si="4"/>
        <v>2.7679399999999998</v>
      </c>
    </row>
    <row r="114" spans="1:5" ht="23.25" customHeight="1">
      <c r="A114" s="58" t="s">
        <v>756</v>
      </c>
      <c r="B114" s="59">
        <v>2.386476</v>
      </c>
      <c r="C114" s="59">
        <v>26.753652000000002</v>
      </c>
      <c r="D114" s="59">
        <f t="shared" si="3"/>
        <v>0.66291</v>
      </c>
      <c r="E114" s="59">
        <f t="shared" si="4"/>
        <v>7.4315700000000007</v>
      </c>
    </row>
    <row r="115" spans="1:5" ht="23.25" customHeight="1">
      <c r="A115" s="58" t="s">
        <v>757</v>
      </c>
      <c r="B115" s="59">
        <v>3.0563639999999999</v>
      </c>
      <c r="C115" s="59">
        <v>17.710163999999999</v>
      </c>
      <c r="D115" s="59">
        <f t="shared" si="3"/>
        <v>0.84898999999999991</v>
      </c>
      <c r="E115" s="59">
        <f t="shared" si="4"/>
        <v>4.9194899999999997</v>
      </c>
    </row>
    <row r="116" spans="1:5" ht="23.25" customHeight="1">
      <c r="A116" s="58" t="s">
        <v>758</v>
      </c>
      <c r="B116" s="59">
        <v>3.0144960000000003</v>
      </c>
      <c r="C116" s="59">
        <v>8.7922799999999999</v>
      </c>
      <c r="D116" s="59">
        <f t="shared" si="3"/>
        <v>0.8373600000000001</v>
      </c>
      <c r="E116" s="59">
        <f t="shared" si="4"/>
        <v>2.4422999999999999</v>
      </c>
    </row>
    <row r="117" spans="1:5" ht="23.25" customHeight="1">
      <c r="A117" s="58" t="s">
        <v>759</v>
      </c>
      <c r="B117" s="59">
        <v>0.293076</v>
      </c>
      <c r="C117" s="59">
        <v>1.3816440000000001</v>
      </c>
      <c r="D117" s="59">
        <f t="shared" si="3"/>
        <v>8.1409999999999996E-2</v>
      </c>
      <c r="E117" s="59">
        <f t="shared" si="4"/>
        <v>0.38379000000000002</v>
      </c>
    </row>
    <row r="118" spans="1:5" ht="23.25" customHeight="1">
      <c r="A118" s="58" t="s">
        <v>760</v>
      </c>
      <c r="B118" s="59">
        <v>0.293076</v>
      </c>
      <c r="C118" s="59">
        <v>2.0933999999999999</v>
      </c>
      <c r="D118" s="59">
        <f t="shared" si="3"/>
        <v>8.1409999999999996E-2</v>
      </c>
      <c r="E118" s="59">
        <f t="shared" si="4"/>
        <v>0.58150000000000002</v>
      </c>
    </row>
    <row r="119" spans="1:5" ht="23.25" customHeight="1">
      <c r="A119" s="58" t="s">
        <v>761</v>
      </c>
      <c r="B119" s="59">
        <v>1.0048320000000002</v>
      </c>
      <c r="C119" s="59">
        <v>19.803564000000001</v>
      </c>
      <c r="D119" s="59">
        <f t="shared" si="3"/>
        <v>0.27912000000000003</v>
      </c>
      <c r="E119" s="59">
        <f t="shared" si="4"/>
        <v>5.5009900000000007</v>
      </c>
    </row>
    <row r="120" spans="1:5" ht="23.25" customHeight="1">
      <c r="A120" s="58" t="s">
        <v>762</v>
      </c>
      <c r="B120" s="59" t="s">
        <v>393</v>
      </c>
      <c r="C120" s="59">
        <v>11.429964</v>
      </c>
      <c r="D120" s="59" t="str">
        <f t="shared" si="3"/>
        <v/>
      </c>
      <c r="E120" s="59">
        <f t="shared" si="4"/>
        <v>3.1749899999999998</v>
      </c>
    </row>
    <row r="121" spans="1:5" ht="23.25" customHeight="1">
      <c r="A121" s="58" t="s">
        <v>763</v>
      </c>
      <c r="B121" s="59" t="s">
        <v>393</v>
      </c>
      <c r="C121" s="59">
        <v>10.425132000000001</v>
      </c>
      <c r="D121" s="59" t="str">
        <f t="shared" si="3"/>
        <v/>
      </c>
      <c r="E121" s="59">
        <f t="shared" si="4"/>
        <v>2.8958700000000004</v>
      </c>
    </row>
    <row r="122" spans="1:5" ht="23.25" customHeight="1">
      <c r="A122" s="58" t="s">
        <v>764</v>
      </c>
      <c r="B122" s="59" t="s">
        <v>393</v>
      </c>
      <c r="C122" s="59">
        <v>0.25120800000000004</v>
      </c>
      <c r="D122" s="59" t="str">
        <f t="shared" si="3"/>
        <v/>
      </c>
      <c r="E122" s="59">
        <f t="shared" si="4"/>
        <v>6.9780000000000009E-2</v>
      </c>
    </row>
    <row r="123" spans="1:5" ht="23.25" customHeight="1">
      <c r="A123" s="58" t="s">
        <v>765</v>
      </c>
      <c r="B123" s="59" t="s">
        <v>393</v>
      </c>
      <c r="C123" s="59" t="s">
        <v>393</v>
      </c>
      <c r="D123" s="59" t="str">
        <f t="shared" si="3"/>
        <v/>
      </c>
      <c r="E123" s="59" t="str">
        <f t="shared" si="4"/>
        <v/>
      </c>
    </row>
    <row r="124" spans="1:5" ht="23.25" customHeight="1">
      <c r="A124" s="58" t="s">
        <v>766</v>
      </c>
      <c r="B124" s="59" t="s">
        <v>393</v>
      </c>
      <c r="C124" s="59" t="s">
        <v>393</v>
      </c>
      <c r="D124" s="59" t="str">
        <f t="shared" si="3"/>
        <v/>
      </c>
      <c r="E124" s="59" t="str">
        <f t="shared" si="4"/>
        <v/>
      </c>
    </row>
    <row r="125" spans="1:5" ht="23.25" customHeight="1">
      <c r="A125" s="58" t="s">
        <v>767</v>
      </c>
      <c r="B125" s="59" t="s">
        <v>393</v>
      </c>
      <c r="C125" s="59">
        <v>0.75362400000000007</v>
      </c>
      <c r="D125" s="59" t="str">
        <f t="shared" si="3"/>
        <v/>
      </c>
      <c r="E125" s="59">
        <f t="shared" si="4"/>
        <v>0.20934000000000003</v>
      </c>
    </row>
    <row r="126" spans="1:5" ht="23.25" customHeight="1">
      <c r="A126" s="58" t="s">
        <v>768</v>
      </c>
      <c r="B126" s="59" t="s">
        <v>393</v>
      </c>
      <c r="C126" s="59" t="s">
        <v>393</v>
      </c>
      <c r="D126" s="59" t="str">
        <f t="shared" si="3"/>
        <v/>
      </c>
      <c r="E126" s="59" t="str">
        <f t="shared" si="4"/>
        <v/>
      </c>
    </row>
    <row r="127" spans="1:5" ht="23.25" customHeight="1">
      <c r="A127" s="58" t="s">
        <v>769</v>
      </c>
      <c r="B127" s="59">
        <v>198.74739600000001</v>
      </c>
      <c r="C127" s="59">
        <v>282.06471600000003</v>
      </c>
      <c r="D127" s="59">
        <f t="shared" si="3"/>
        <v>55.207610000000003</v>
      </c>
      <c r="E127" s="59">
        <f t="shared" si="4"/>
        <v>78.351310000000012</v>
      </c>
    </row>
    <row r="128" spans="1:5" ht="23.25" customHeight="1">
      <c r="A128" s="58" t="s">
        <v>770</v>
      </c>
      <c r="B128" s="59">
        <v>45.719856</v>
      </c>
      <c r="C128" s="59">
        <v>167.38826399999999</v>
      </c>
      <c r="D128" s="59">
        <f t="shared" si="3"/>
        <v>12.699959999999999</v>
      </c>
      <c r="E128" s="59">
        <f t="shared" si="4"/>
        <v>46.496739999999996</v>
      </c>
    </row>
    <row r="129" spans="1:5" ht="23.25" customHeight="1">
      <c r="A129" s="58" t="s">
        <v>771</v>
      </c>
      <c r="B129" s="59">
        <v>152.27391599999999</v>
      </c>
      <c r="C129" s="59">
        <v>108.01944</v>
      </c>
      <c r="D129" s="59">
        <f t="shared" si="3"/>
        <v>42.298309999999994</v>
      </c>
      <c r="E129" s="59">
        <f t="shared" si="4"/>
        <v>30.005400000000002</v>
      </c>
    </row>
    <row r="130" spans="1:5" ht="23.25" customHeight="1">
      <c r="A130" s="58" t="s">
        <v>772</v>
      </c>
      <c r="B130" s="59">
        <v>0.79549200000000009</v>
      </c>
      <c r="C130" s="59">
        <v>6.6151439999999999</v>
      </c>
      <c r="D130" s="59">
        <f t="shared" si="3"/>
        <v>0.22097000000000003</v>
      </c>
      <c r="E130" s="59">
        <f t="shared" si="4"/>
        <v>1.83754</v>
      </c>
    </row>
    <row r="131" spans="1:5" ht="23.25" customHeight="1">
      <c r="A131" s="58" t="s">
        <v>773</v>
      </c>
      <c r="B131" s="59" t="s">
        <v>393</v>
      </c>
      <c r="C131" s="59">
        <v>4.1868000000000002E-2</v>
      </c>
      <c r="D131" s="59" t="str">
        <f t="shared" si="3"/>
        <v/>
      </c>
      <c r="E131" s="59">
        <f t="shared" si="4"/>
        <v>1.163E-2</v>
      </c>
    </row>
    <row r="132" spans="1:5" ht="23.25" customHeight="1">
      <c r="A132" s="58" t="s">
        <v>774</v>
      </c>
      <c r="B132" s="59" t="s">
        <v>393</v>
      </c>
      <c r="C132" s="59" t="s">
        <v>393</v>
      </c>
      <c r="D132" s="59" t="str">
        <f t="shared" si="3"/>
        <v/>
      </c>
      <c r="E132" s="59" t="str">
        <f t="shared" si="4"/>
        <v/>
      </c>
    </row>
    <row r="133" spans="1:5" ht="23.25" customHeight="1">
      <c r="A133" s="58" t="s">
        <v>775</v>
      </c>
      <c r="B133" s="59">
        <v>0</v>
      </c>
      <c r="C133" s="59" t="s">
        <v>393</v>
      </c>
      <c r="D133" s="59">
        <f t="shared" si="3"/>
        <v>0</v>
      </c>
      <c r="E133" s="59" t="str">
        <f t="shared" si="4"/>
        <v/>
      </c>
    </row>
  </sheetData>
  <mergeCells count="3">
    <mergeCell ref="A4:A5"/>
    <mergeCell ref="D5:E5"/>
    <mergeCell ref="B5:C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B7DC-7100-4E98-928D-4F7279D63C9D}">
  <dimension ref="B2:J92"/>
  <sheetViews>
    <sheetView zoomScaleNormal="100" workbookViewId="0">
      <selection activeCell="C30" sqref="C30"/>
    </sheetView>
  </sheetViews>
  <sheetFormatPr defaultRowHeight="12.75"/>
  <cols>
    <col min="1" max="1" width="3.140625" customWidth="1"/>
    <col min="2" max="3" width="15" customWidth="1"/>
    <col min="4" max="4" width="40" customWidth="1"/>
    <col min="5" max="5" width="36" customWidth="1"/>
    <col min="6" max="6" width="10" customWidth="1"/>
    <col min="7" max="7" width="11.42578125" bestFit="1" customWidth="1"/>
    <col min="8" max="8" width="12" customWidth="1"/>
    <col min="9" max="9" width="14.42578125" customWidth="1"/>
    <col min="10" max="10" width="12.85546875" customWidth="1"/>
    <col min="11" max="11" width="3.140625" customWidth="1"/>
    <col min="12" max="13" width="10.5703125" bestFit="1" customWidth="1"/>
  </cols>
  <sheetData>
    <row r="2" spans="2:10" ht="18">
      <c r="B2" s="261" t="s">
        <v>14</v>
      </c>
      <c r="C2" s="261"/>
      <c r="D2" s="262"/>
      <c r="E2" s="261"/>
      <c r="F2" s="261"/>
      <c r="G2" s="262"/>
      <c r="H2" s="261"/>
      <c r="I2" s="261"/>
      <c r="J2" s="261"/>
    </row>
    <row r="3" spans="2:10" ht="12.75" customHeight="1">
      <c r="B3" s="45" t="s">
        <v>15</v>
      </c>
      <c r="C3" s="45"/>
      <c r="D3" s="44"/>
      <c r="E3" s="44"/>
      <c r="F3" s="44"/>
      <c r="G3" s="44"/>
      <c r="H3" s="44"/>
      <c r="I3" s="44"/>
      <c r="J3" s="44"/>
    </row>
    <row r="4" spans="2:10" ht="17.45" customHeight="1">
      <c r="C4" s="45"/>
      <c r="D4" s="44"/>
      <c r="E4" s="44"/>
      <c r="F4" s="44"/>
      <c r="G4" s="44"/>
      <c r="H4" s="44"/>
      <c r="I4" s="44"/>
      <c r="J4" s="44"/>
    </row>
    <row r="5" spans="2:10" ht="15.75" customHeight="1">
      <c r="B5" s="48" t="s">
        <v>16</v>
      </c>
      <c r="C5" s="51" t="s">
        <v>17</v>
      </c>
      <c r="D5" s="51" t="s">
        <v>18</v>
      </c>
      <c r="E5" s="51" t="s">
        <v>19</v>
      </c>
      <c r="F5" s="51" t="s">
        <v>20</v>
      </c>
      <c r="G5" s="51" t="s">
        <v>21</v>
      </c>
      <c r="H5" s="51" t="s">
        <v>22</v>
      </c>
      <c r="I5" s="51" t="s">
        <v>23</v>
      </c>
      <c r="J5" s="51" t="s">
        <v>24</v>
      </c>
    </row>
    <row r="6" spans="2:10" ht="39" thickBot="1">
      <c r="B6" s="47" t="s">
        <v>25</v>
      </c>
      <c r="C6" s="47" t="s">
        <v>17</v>
      </c>
      <c r="D6" s="50" t="s">
        <v>26</v>
      </c>
      <c r="E6" s="50" t="s">
        <v>27</v>
      </c>
      <c r="F6" s="50" t="s">
        <v>28</v>
      </c>
      <c r="G6" s="50" t="s">
        <v>29</v>
      </c>
      <c r="H6" s="50" t="s">
        <v>30</v>
      </c>
      <c r="I6" s="50" t="s">
        <v>31</v>
      </c>
      <c r="J6" s="50" t="s">
        <v>32</v>
      </c>
    </row>
    <row r="7" spans="2:10" ht="15.75" customHeight="1">
      <c r="B7" s="76" t="s">
        <v>33</v>
      </c>
      <c r="C7" s="76" t="s">
        <v>34</v>
      </c>
      <c r="D7" s="76" t="s">
        <v>35</v>
      </c>
      <c r="E7" s="77" t="s">
        <v>36</v>
      </c>
      <c r="F7" s="77" t="s">
        <v>37</v>
      </c>
      <c r="G7" s="76"/>
      <c r="H7" s="76" t="s">
        <v>38</v>
      </c>
      <c r="I7" s="76"/>
      <c r="J7" s="76"/>
    </row>
    <row r="8" spans="2:10" ht="15.75" customHeight="1">
      <c r="B8" s="78" t="s">
        <v>33</v>
      </c>
      <c r="C8" s="78" t="s">
        <v>34</v>
      </c>
      <c r="D8" s="78" t="s">
        <v>39</v>
      </c>
      <c r="E8" s="79" t="s">
        <v>40</v>
      </c>
      <c r="F8" s="79" t="s">
        <v>37</v>
      </c>
      <c r="G8" s="78"/>
      <c r="H8" s="78" t="s">
        <v>38</v>
      </c>
      <c r="I8" s="78"/>
      <c r="J8" s="78"/>
    </row>
    <row r="9" spans="2:10" ht="15.75" customHeight="1">
      <c r="B9" s="80" t="s">
        <v>33</v>
      </c>
      <c r="C9" s="80" t="s">
        <v>34</v>
      </c>
      <c r="D9" s="80" t="s">
        <v>41</v>
      </c>
      <c r="E9" s="81" t="s">
        <v>42</v>
      </c>
      <c r="F9" s="81" t="s">
        <v>37</v>
      </c>
      <c r="G9" s="80"/>
      <c r="H9" s="80" t="s">
        <v>38</v>
      </c>
      <c r="I9" s="80"/>
      <c r="J9" s="80"/>
    </row>
    <row r="10" spans="2:10" ht="15.75" customHeight="1">
      <c r="B10" s="78" t="s">
        <v>33</v>
      </c>
      <c r="C10" s="78" t="s">
        <v>34</v>
      </c>
      <c r="D10" s="79" t="s">
        <v>43</v>
      </c>
      <c r="E10" s="79" t="s">
        <v>44</v>
      </c>
      <c r="F10" s="79" t="s">
        <v>37</v>
      </c>
      <c r="G10" s="78"/>
      <c r="H10" s="78" t="s">
        <v>38</v>
      </c>
      <c r="I10" s="79"/>
      <c r="J10" s="79"/>
    </row>
    <row r="11" spans="2:10" ht="15.75" customHeight="1">
      <c r="B11" s="80" t="s">
        <v>33</v>
      </c>
      <c r="C11" s="80" t="s">
        <v>34</v>
      </c>
      <c r="D11" s="81" t="s">
        <v>45</v>
      </c>
      <c r="E11" s="81" t="s">
        <v>46</v>
      </c>
      <c r="F11" s="81" t="s">
        <v>37</v>
      </c>
      <c r="G11" s="80"/>
      <c r="H11" s="80" t="s">
        <v>38</v>
      </c>
      <c r="I11" s="81"/>
      <c r="J11" s="81"/>
    </row>
    <row r="12" spans="2:10" ht="15.75" customHeight="1">
      <c r="B12" s="78" t="s">
        <v>33</v>
      </c>
      <c r="C12" s="78" t="s">
        <v>34</v>
      </c>
      <c r="D12" s="79" t="s">
        <v>48</v>
      </c>
      <c r="E12" s="79" t="s">
        <v>49</v>
      </c>
      <c r="F12" s="79" t="s">
        <v>37</v>
      </c>
      <c r="G12" s="78"/>
      <c r="H12" s="78" t="s">
        <v>38</v>
      </c>
      <c r="I12" s="79"/>
      <c r="J12" s="79"/>
    </row>
    <row r="13" spans="2:10" ht="15.75" customHeight="1">
      <c r="B13" s="80" t="s">
        <v>33</v>
      </c>
      <c r="C13" s="80" t="s">
        <v>34</v>
      </c>
      <c r="D13" s="81" t="s">
        <v>50</v>
      </c>
      <c r="E13" s="81" t="s">
        <v>51</v>
      </c>
      <c r="F13" s="81" t="s">
        <v>37</v>
      </c>
      <c r="G13" s="80"/>
      <c r="H13" s="80" t="s">
        <v>38</v>
      </c>
      <c r="I13" s="81"/>
      <c r="J13" s="81"/>
    </row>
    <row r="14" spans="2:10" ht="15.75" customHeight="1">
      <c r="B14" s="78" t="s">
        <v>33</v>
      </c>
      <c r="C14" s="78" t="s">
        <v>34</v>
      </c>
      <c r="D14" s="79" t="s">
        <v>55</v>
      </c>
      <c r="E14" s="79" t="s">
        <v>52</v>
      </c>
      <c r="F14" s="79" t="s">
        <v>37</v>
      </c>
      <c r="G14" s="78"/>
      <c r="H14" s="78" t="s">
        <v>38</v>
      </c>
      <c r="I14" s="79"/>
      <c r="J14" s="79"/>
    </row>
    <row r="15" spans="2:10" ht="15.75" customHeight="1">
      <c r="B15" s="424" t="s">
        <v>95</v>
      </c>
      <c r="C15" s="424" t="s">
        <v>34</v>
      </c>
      <c r="D15" s="256" t="s">
        <v>96</v>
      </c>
      <c r="E15" s="256" t="s">
        <v>54</v>
      </c>
      <c r="F15" s="256" t="s">
        <v>37</v>
      </c>
      <c r="G15" s="424"/>
      <c r="H15" s="424" t="s">
        <v>38</v>
      </c>
      <c r="I15" s="256"/>
      <c r="J15" s="256"/>
    </row>
    <row r="16" spans="2:10" ht="15.75" customHeight="1">
      <c r="B16" s="80" t="s">
        <v>33</v>
      </c>
      <c r="C16" s="80" t="s">
        <v>34</v>
      </c>
      <c r="D16" s="81" t="s">
        <v>56</v>
      </c>
      <c r="E16" s="81" t="s">
        <v>57</v>
      </c>
      <c r="F16" s="81" t="s">
        <v>37</v>
      </c>
      <c r="G16" s="80"/>
      <c r="H16" s="80" t="s">
        <v>38</v>
      </c>
      <c r="I16" s="81"/>
      <c r="J16" s="81"/>
    </row>
    <row r="17" spans="2:10" ht="15.75" customHeight="1">
      <c r="B17" s="78" t="s">
        <v>33</v>
      </c>
      <c r="C17" s="78" t="s">
        <v>34</v>
      </c>
      <c r="D17" s="79" t="s">
        <v>58</v>
      </c>
      <c r="E17" s="79" t="s">
        <v>59</v>
      </c>
      <c r="F17" s="79" t="s">
        <v>37</v>
      </c>
      <c r="G17" s="78"/>
      <c r="H17" s="78" t="s">
        <v>38</v>
      </c>
      <c r="I17" s="79"/>
      <c r="J17" s="79"/>
    </row>
    <row r="18" spans="2:10" ht="15.75" customHeight="1">
      <c r="B18" s="80" t="s">
        <v>33</v>
      </c>
      <c r="C18" s="80" t="s">
        <v>34</v>
      </c>
      <c r="D18" s="81" t="s">
        <v>60</v>
      </c>
      <c r="E18" s="81" t="s">
        <v>61</v>
      </c>
      <c r="F18" s="81" t="s">
        <v>37</v>
      </c>
      <c r="G18" s="80"/>
      <c r="H18" s="80" t="s">
        <v>38</v>
      </c>
      <c r="I18" s="81"/>
      <c r="J18" s="81"/>
    </row>
    <row r="19" spans="2:10" ht="15.75" customHeight="1">
      <c r="B19" s="78" t="s">
        <v>33</v>
      </c>
      <c r="C19" s="78" t="s">
        <v>34</v>
      </c>
      <c r="D19" s="79" t="s">
        <v>62</v>
      </c>
      <c r="E19" s="79" t="s">
        <v>63</v>
      </c>
      <c r="F19" s="79" t="s">
        <v>37</v>
      </c>
      <c r="G19" s="78"/>
      <c r="H19" s="78" t="s">
        <v>38</v>
      </c>
      <c r="I19" s="79"/>
      <c r="J19" s="79"/>
    </row>
    <row r="20" spans="2:10" ht="15.75" customHeight="1">
      <c r="B20" s="80" t="s">
        <v>33</v>
      </c>
      <c r="C20" s="80" t="s">
        <v>34</v>
      </c>
      <c r="D20" s="81" t="s">
        <v>64</v>
      </c>
      <c r="E20" s="81" t="s">
        <v>65</v>
      </c>
      <c r="F20" s="81" t="s">
        <v>37</v>
      </c>
      <c r="G20" s="80"/>
      <c r="H20" s="80" t="s">
        <v>38</v>
      </c>
      <c r="I20" s="81"/>
      <c r="J20" s="81"/>
    </row>
    <row r="21" spans="2:10" ht="15.75" customHeight="1">
      <c r="B21" s="79" t="s">
        <v>66</v>
      </c>
      <c r="C21" s="79" t="s">
        <v>34</v>
      </c>
      <c r="D21" s="79" t="s">
        <v>67</v>
      </c>
      <c r="E21" s="79" t="s">
        <v>68</v>
      </c>
      <c r="F21" s="79" t="s">
        <v>69</v>
      </c>
      <c r="G21" s="79"/>
      <c r="H21" s="78" t="s">
        <v>38</v>
      </c>
      <c r="I21" s="79"/>
      <c r="J21" s="79"/>
    </row>
    <row r="22" spans="2:10" ht="15.75" customHeight="1">
      <c r="B22" s="80" t="s">
        <v>70</v>
      </c>
      <c r="C22" s="80" t="s">
        <v>34</v>
      </c>
      <c r="D22" s="80" t="s">
        <v>71</v>
      </c>
      <c r="E22" s="80" t="s">
        <v>72</v>
      </c>
      <c r="F22" s="81" t="s">
        <v>73</v>
      </c>
      <c r="G22" s="81"/>
      <c r="H22" s="81"/>
      <c r="I22" s="81"/>
      <c r="J22" s="81"/>
    </row>
    <row r="23" spans="2:10" ht="15.75" customHeight="1">
      <c r="B23" s="78" t="s">
        <v>70</v>
      </c>
      <c r="C23" s="78" t="s">
        <v>34</v>
      </c>
      <c r="D23" s="79" t="s">
        <v>74</v>
      </c>
      <c r="E23" s="79" t="s">
        <v>75</v>
      </c>
      <c r="F23" s="79" t="s">
        <v>73</v>
      </c>
      <c r="G23" s="79"/>
      <c r="H23" s="79"/>
      <c r="I23" s="79"/>
      <c r="J23" s="79"/>
    </row>
    <row r="24" spans="2:10" ht="15.75" customHeight="1">
      <c r="B24" s="80" t="s">
        <v>70</v>
      </c>
      <c r="C24" s="80" t="s">
        <v>34</v>
      </c>
      <c r="D24" s="81" t="s">
        <v>76</v>
      </c>
      <c r="E24" s="80" t="s">
        <v>77</v>
      </c>
      <c r="F24" s="81" t="s">
        <v>73</v>
      </c>
      <c r="G24" s="81"/>
      <c r="H24" s="81"/>
      <c r="I24" s="81"/>
      <c r="J24" s="81"/>
    </row>
    <row r="25" spans="2:10" ht="15.75" customHeight="1">
      <c r="B25" s="78" t="s">
        <v>70</v>
      </c>
      <c r="C25" s="78" t="s">
        <v>34</v>
      </c>
      <c r="D25" s="79" t="s">
        <v>78</v>
      </c>
      <c r="E25" s="78" t="s">
        <v>79</v>
      </c>
      <c r="F25" s="79"/>
      <c r="G25" s="79"/>
      <c r="H25" s="79"/>
      <c r="I25" s="79"/>
      <c r="J25" s="79"/>
    </row>
    <row r="26" spans="2:10" ht="15.75" customHeight="1">
      <c r="B26" s="80" t="s">
        <v>70</v>
      </c>
      <c r="C26" s="80" t="s">
        <v>34</v>
      </c>
      <c r="D26" s="81" t="s">
        <v>80</v>
      </c>
      <c r="E26" s="81" t="s">
        <v>81</v>
      </c>
      <c r="F26" s="81" t="s">
        <v>73</v>
      </c>
      <c r="G26" s="81"/>
      <c r="H26" s="81"/>
      <c r="I26" s="81"/>
      <c r="J26" s="81"/>
    </row>
    <row r="27" spans="2:10" ht="15.75" customHeight="1">
      <c r="B27" s="78" t="s">
        <v>70</v>
      </c>
      <c r="C27" s="78" t="s">
        <v>34</v>
      </c>
      <c r="D27" s="79" t="s">
        <v>82</v>
      </c>
      <c r="E27" s="78" t="s">
        <v>83</v>
      </c>
      <c r="F27" s="79" t="s">
        <v>73</v>
      </c>
      <c r="G27" s="79"/>
      <c r="H27" s="79"/>
      <c r="I27" s="79"/>
      <c r="J27" s="79"/>
    </row>
    <row r="28" spans="2:10" ht="15.75" customHeight="1" thickBot="1">
      <c r="B28" s="80" t="s">
        <v>70</v>
      </c>
      <c r="C28" s="80" t="s">
        <v>34</v>
      </c>
      <c r="D28" s="81" t="s">
        <v>84</v>
      </c>
      <c r="E28" s="81" t="s">
        <v>85</v>
      </c>
      <c r="F28" s="81" t="s">
        <v>73</v>
      </c>
      <c r="G28" s="81"/>
      <c r="H28" s="81"/>
      <c r="I28" s="81"/>
      <c r="J28" s="81"/>
    </row>
    <row r="29" spans="2:10" ht="15.75" customHeight="1">
      <c r="B29" s="79" t="s">
        <v>33</v>
      </c>
      <c r="C29" s="79" t="s">
        <v>34</v>
      </c>
      <c r="D29" s="258" t="s">
        <v>86</v>
      </c>
      <c r="E29" s="258" t="s">
        <v>87</v>
      </c>
      <c r="F29" s="258" t="s">
        <v>37</v>
      </c>
      <c r="G29" s="258"/>
      <c r="H29" s="258" t="s">
        <v>88</v>
      </c>
      <c r="I29" s="258"/>
      <c r="J29" s="258" t="s">
        <v>89</v>
      </c>
    </row>
    <row r="30" spans="2:10" ht="15.75" customHeight="1">
      <c r="B30" s="79" t="s">
        <v>90</v>
      </c>
      <c r="C30" s="256" t="s">
        <v>34</v>
      </c>
      <c r="D30" s="256" t="s">
        <v>91</v>
      </c>
      <c r="E30" s="256"/>
      <c r="F30" s="256" t="s">
        <v>37</v>
      </c>
      <c r="G30" s="256"/>
      <c r="H30" s="256" t="s">
        <v>88</v>
      </c>
      <c r="I30" s="256"/>
      <c r="J30" s="256" t="s">
        <v>89</v>
      </c>
    </row>
    <row r="31" spans="2:10" ht="15.75" customHeight="1">
      <c r="B31" s="81" t="s">
        <v>33</v>
      </c>
      <c r="C31" s="81" t="s">
        <v>34</v>
      </c>
      <c r="D31" s="81" t="s">
        <v>92</v>
      </c>
      <c r="E31" s="81"/>
      <c r="F31" s="81" t="s">
        <v>37</v>
      </c>
      <c r="G31" s="81"/>
      <c r="H31" s="81" t="s">
        <v>88</v>
      </c>
      <c r="I31" s="81"/>
      <c r="J31" s="81"/>
    </row>
    <row r="32" spans="2:10" ht="15.75" customHeight="1" thickBot="1">
      <c r="B32" s="202" t="s">
        <v>33</v>
      </c>
      <c r="C32" s="202" t="s">
        <v>34</v>
      </c>
      <c r="D32" s="202" t="s">
        <v>93</v>
      </c>
      <c r="E32" s="82"/>
      <c r="F32" s="82" t="s">
        <v>37</v>
      </c>
      <c r="G32" s="82"/>
      <c r="H32" s="82" t="s">
        <v>38</v>
      </c>
      <c r="I32" s="82"/>
      <c r="J32" s="82"/>
    </row>
    <row r="33" spans="2:10" ht="18" customHeight="1">
      <c r="B33" s="232" t="s">
        <v>94</v>
      </c>
      <c r="C33" s="233"/>
      <c r="D33" s="233"/>
      <c r="E33" s="233"/>
      <c r="F33" s="233"/>
      <c r="G33" s="233"/>
      <c r="H33" s="233"/>
      <c r="I33" s="233"/>
      <c r="J33" s="233"/>
    </row>
    <row r="34" spans="2:10" ht="15.95" customHeight="1">
      <c r="B34" s="81" t="s">
        <v>95</v>
      </c>
      <c r="C34" s="81" t="s">
        <v>34</v>
      </c>
      <c r="D34" s="81" t="s">
        <v>96</v>
      </c>
      <c r="E34" s="81" t="s">
        <v>97</v>
      </c>
      <c r="F34" s="81" t="s">
        <v>37</v>
      </c>
      <c r="G34" s="81"/>
      <c r="H34" s="81"/>
      <c r="I34" s="81"/>
      <c r="J34" s="81"/>
    </row>
    <row r="35" spans="2:10" ht="15.95" customHeight="1">
      <c r="B35" s="79" t="s">
        <v>70</v>
      </c>
      <c r="C35" s="79" t="s">
        <v>34</v>
      </c>
      <c r="D35" s="79" t="s">
        <v>98</v>
      </c>
      <c r="E35" s="79" t="s">
        <v>99</v>
      </c>
      <c r="F35" s="79" t="s">
        <v>73</v>
      </c>
      <c r="G35" s="79"/>
      <c r="H35" s="79"/>
      <c r="I35" s="79"/>
      <c r="J35" s="79"/>
    </row>
    <row r="36" spans="2:10" ht="15.95" customHeight="1">
      <c r="B36" s="81" t="s">
        <v>70</v>
      </c>
      <c r="C36" s="81" t="s">
        <v>34</v>
      </c>
      <c r="D36" s="81" t="s">
        <v>100</v>
      </c>
      <c r="E36" s="81" t="s">
        <v>101</v>
      </c>
      <c r="F36" s="81" t="s">
        <v>73</v>
      </c>
      <c r="G36" s="81"/>
      <c r="H36" s="81"/>
      <c r="I36" s="81"/>
      <c r="J36" s="81"/>
    </row>
    <row r="37" spans="2:10" ht="15.95" customHeight="1">
      <c r="B37" s="79" t="s">
        <v>70</v>
      </c>
      <c r="C37" s="79" t="s">
        <v>34</v>
      </c>
      <c r="D37" s="79" t="s">
        <v>102</v>
      </c>
      <c r="E37" s="79" t="s">
        <v>103</v>
      </c>
      <c r="F37" s="79" t="s">
        <v>73</v>
      </c>
      <c r="G37" s="79"/>
      <c r="H37" s="79"/>
      <c r="I37" s="79"/>
      <c r="J37" s="79"/>
    </row>
    <row r="38" spans="2:10" ht="15.95" customHeight="1">
      <c r="B38" s="81" t="s">
        <v>70</v>
      </c>
      <c r="C38" s="81" t="s">
        <v>34</v>
      </c>
      <c r="D38" s="81" t="s">
        <v>104</v>
      </c>
      <c r="E38" s="81" t="s">
        <v>105</v>
      </c>
      <c r="F38" s="81" t="s">
        <v>73</v>
      </c>
      <c r="G38" s="81"/>
      <c r="H38" s="81"/>
      <c r="I38" s="81"/>
      <c r="J38" s="81"/>
    </row>
    <row r="39" spans="2:10" ht="15.95" customHeight="1">
      <c r="B39" s="79" t="s">
        <v>33</v>
      </c>
      <c r="C39" s="79" t="s">
        <v>34</v>
      </c>
      <c r="D39" s="79" t="s">
        <v>106</v>
      </c>
      <c r="E39" s="79" t="s">
        <v>107</v>
      </c>
      <c r="F39" s="79" t="s">
        <v>73</v>
      </c>
      <c r="G39" s="79"/>
      <c r="H39" s="79"/>
      <c r="I39" s="79"/>
      <c r="J39" s="79"/>
    </row>
    <row r="40" spans="2:10" ht="15.95" customHeight="1">
      <c r="B40" s="81" t="s">
        <v>33</v>
      </c>
      <c r="C40" s="81" t="s">
        <v>34</v>
      </c>
      <c r="D40" s="81" t="s">
        <v>108</v>
      </c>
      <c r="E40" s="81" t="s">
        <v>109</v>
      </c>
      <c r="F40" s="81" t="s">
        <v>73</v>
      </c>
      <c r="G40" s="81"/>
      <c r="H40" s="81"/>
      <c r="I40" s="81"/>
      <c r="J40" s="81"/>
    </row>
    <row r="41" spans="2:10" ht="15.95" customHeight="1">
      <c r="B41" s="79" t="s">
        <v>33</v>
      </c>
      <c r="C41" s="79" t="s">
        <v>34</v>
      </c>
      <c r="D41" s="79" t="s">
        <v>110</v>
      </c>
      <c r="E41" s="79" t="s">
        <v>111</v>
      </c>
      <c r="F41" s="79" t="s">
        <v>73</v>
      </c>
      <c r="G41" s="79"/>
      <c r="H41" s="79"/>
      <c r="I41" s="79"/>
      <c r="J41" s="79"/>
    </row>
    <row r="42" spans="2:10" ht="15.95" customHeight="1">
      <c r="B42" s="81" t="s">
        <v>33</v>
      </c>
      <c r="C42" s="81" t="s">
        <v>34</v>
      </c>
      <c r="D42" s="81" t="s">
        <v>112</v>
      </c>
      <c r="E42" s="81" t="s">
        <v>113</v>
      </c>
      <c r="F42" s="81" t="s">
        <v>73</v>
      </c>
      <c r="G42" s="81"/>
      <c r="H42" s="81"/>
      <c r="I42" s="81"/>
      <c r="J42" s="81"/>
    </row>
    <row r="43" spans="2:10" ht="15.95" customHeight="1">
      <c r="B43" s="79" t="s">
        <v>33</v>
      </c>
      <c r="C43" s="79" t="s">
        <v>34</v>
      </c>
      <c r="D43" s="79" t="s">
        <v>114</v>
      </c>
      <c r="E43" s="79" t="s">
        <v>115</v>
      </c>
      <c r="F43" s="79" t="s">
        <v>73</v>
      </c>
      <c r="G43" s="79"/>
      <c r="H43" s="79"/>
      <c r="I43" s="79"/>
      <c r="J43" s="79"/>
    </row>
    <row r="44" spans="2:10" ht="15.95" customHeight="1">
      <c r="B44" s="81" t="s">
        <v>90</v>
      </c>
      <c r="C44" s="81" t="s">
        <v>34</v>
      </c>
      <c r="D44" s="81" t="s">
        <v>116</v>
      </c>
      <c r="E44" s="81" t="s">
        <v>117</v>
      </c>
      <c r="F44" s="81" t="s">
        <v>73</v>
      </c>
      <c r="G44" s="81"/>
      <c r="H44" s="81"/>
      <c r="I44" s="81"/>
      <c r="J44" s="81"/>
    </row>
    <row r="45" spans="2:10" ht="15.95" customHeight="1">
      <c r="B45" s="79" t="s">
        <v>33</v>
      </c>
      <c r="C45" s="79" t="s">
        <v>34</v>
      </c>
      <c r="D45" s="79" t="s">
        <v>118</v>
      </c>
      <c r="E45" s="79" t="s">
        <v>119</v>
      </c>
      <c r="F45" s="79" t="s">
        <v>73</v>
      </c>
      <c r="G45" s="79"/>
      <c r="H45" s="79"/>
      <c r="I45" s="79"/>
      <c r="J45" s="79"/>
    </row>
    <row r="46" spans="2:10" ht="15.95" customHeight="1">
      <c r="B46" s="81" t="s">
        <v>90</v>
      </c>
      <c r="C46" s="81" t="s">
        <v>34</v>
      </c>
      <c r="D46" s="81" t="s">
        <v>120</v>
      </c>
      <c r="E46" s="81" t="s">
        <v>121</v>
      </c>
      <c r="F46" s="81" t="s">
        <v>73</v>
      </c>
      <c r="G46" s="81"/>
      <c r="H46" s="81"/>
      <c r="I46" s="81"/>
      <c r="J46" s="81"/>
    </row>
    <row r="47" spans="2:10" ht="15.95" customHeight="1">
      <c r="B47" s="81" t="s">
        <v>90</v>
      </c>
      <c r="C47" s="79" t="s">
        <v>34</v>
      </c>
      <c r="D47" s="79" t="s">
        <v>122</v>
      </c>
      <c r="E47" s="79" t="s">
        <v>123</v>
      </c>
      <c r="F47" s="79" t="s">
        <v>73</v>
      </c>
      <c r="G47" s="79"/>
      <c r="H47" s="79"/>
      <c r="I47" s="79"/>
      <c r="J47" s="79"/>
    </row>
    <row r="48" spans="2:10" ht="15.95" customHeight="1">
      <c r="B48" s="81" t="s">
        <v>33</v>
      </c>
      <c r="C48" s="81" t="s">
        <v>34</v>
      </c>
      <c r="D48" s="81" t="s">
        <v>124</v>
      </c>
      <c r="E48" s="81" t="s">
        <v>125</v>
      </c>
      <c r="F48" s="81" t="s">
        <v>73</v>
      </c>
      <c r="G48" s="81"/>
      <c r="H48" s="81"/>
      <c r="I48" s="81"/>
      <c r="J48" s="81"/>
    </row>
    <row r="49" spans="2:10" ht="15.95" customHeight="1">
      <c r="B49" s="79" t="s">
        <v>33</v>
      </c>
      <c r="C49" s="79" t="s">
        <v>34</v>
      </c>
      <c r="D49" s="79" t="s">
        <v>126</v>
      </c>
      <c r="E49" s="79" t="s">
        <v>125</v>
      </c>
      <c r="F49" s="79" t="s">
        <v>73</v>
      </c>
      <c r="G49" s="79"/>
      <c r="H49" s="79"/>
      <c r="I49" s="79"/>
      <c r="J49" s="79"/>
    </row>
    <row r="50" spans="2:10" ht="15.95" customHeight="1">
      <c r="B50" s="81" t="s">
        <v>33</v>
      </c>
      <c r="C50" s="81" t="s">
        <v>34</v>
      </c>
      <c r="D50" s="81" t="s">
        <v>127</v>
      </c>
      <c r="E50" s="81" t="s">
        <v>125</v>
      </c>
      <c r="F50" s="81" t="s">
        <v>73</v>
      </c>
      <c r="G50" s="81"/>
      <c r="H50" s="81"/>
      <c r="I50" s="81"/>
      <c r="J50" s="81"/>
    </row>
    <row r="51" spans="2:10" ht="15.95" customHeight="1">
      <c r="B51" s="79" t="s">
        <v>33</v>
      </c>
      <c r="C51" s="79" t="s">
        <v>34</v>
      </c>
      <c r="D51" s="79" t="s">
        <v>128</v>
      </c>
      <c r="E51" s="79" t="s">
        <v>125</v>
      </c>
      <c r="F51" s="79" t="s">
        <v>73</v>
      </c>
      <c r="G51" s="79"/>
      <c r="H51" s="79"/>
      <c r="I51" s="79"/>
      <c r="J51" s="79"/>
    </row>
    <row r="52" spans="2:10" ht="15.95" customHeight="1">
      <c r="B52" s="81" t="s">
        <v>33</v>
      </c>
      <c r="C52" s="81" t="s">
        <v>34</v>
      </c>
      <c r="D52" s="81" t="s">
        <v>129</v>
      </c>
      <c r="E52" s="81" t="s">
        <v>125</v>
      </c>
      <c r="F52" s="81" t="s">
        <v>73</v>
      </c>
      <c r="G52" s="81"/>
      <c r="H52" s="81"/>
      <c r="I52" s="81"/>
      <c r="J52" s="81"/>
    </row>
    <row r="53" spans="2:10" ht="15.95" customHeight="1">
      <c r="B53" s="79" t="s">
        <v>33</v>
      </c>
      <c r="C53" s="79" t="s">
        <v>34</v>
      </c>
      <c r="D53" s="79" t="s">
        <v>130</v>
      </c>
      <c r="E53" s="79" t="s">
        <v>125</v>
      </c>
      <c r="F53" s="79" t="s">
        <v>73</v>
      </c>
      <c r="G53" s="79"/>
      <c r="H53" s="79"/>
      <c r="I53" s="79"/>
      <c r="J53" s="79"/>
    </row>
    <row r="54" spans="2:10" ht="15.95" customHeight="1">
      <c r="B54" s="81" t="s">
        <v>33</v>
      </c>
      <c r="C54" s="81" t="s">
        <v>34</v>
      </c>
      <c r="D54" s="81" t="s">
        <v>131</v>
      </c>
      <c r="E54" s="81" t="s">
        <v>125</v>
      </c>
      <c r="F54" s="81" t="s">
        <v>73</v>
      </c>
      <c r="G54" s="81"/>
      <c r="H54" s="81"/>
      <c r="I54" s="81"/>
      <c r="J54" s="81"/>
    </row>
    <row r="55" spans="2:10" ht="15.95" customHeight="1">
      <c r="B55" s="79" t="s">
        <v>33</v>
      </c>
      <c r="C55" s="79" t="s">
        <v>34</v>
      </c>
      <c r="D55" s="79" t="s">
        <v>132</v>
      </c>
      <c r="E55" s="79" t="s">
        <v>125</v>
      </c>
      <c r="F55" s="79" t="s">
        <v>73</v>
      </c>
      <c r="G55" s="79"/>
      <c r="H55" s="79"/>
      <c r="I55" s="79"/>
      <c r="J55" s="79"/>
    </row>
    <row r="56" spans="2:10" ht="15.95" customHeight="1">
      <c r="B56" s="81" t="s">
        <v>33</v>
      </c>
      <c r="C56" s="81" t="s">
        <v>34</v>
      </c>
      <c r="D56" s="81" t="s">
        <v>133</v>
      </c>
      <c r="E56" s="81" t="s">
        <v>125</v>
      </c>
      <c r="F56" s="81" t="s">
        <v>73</v>
      </c>
      <c r="G56" s="81"/>
      <c r="H56" s="81"/>
      <c r="I56" s="81"/>
      <c r="J56" s="81"/>
    </row>
    <row r="57" spans="2:10" ht="15.95" customHeight="1">
      <c r="B57" s="79" t="s">
        <v>33</v>
      </c>
      <c r="C57" s="79" t="s">
        <v>34</v>
      </c>
      <c r="D57" s="79" t="s">
        <v>134</v>
      </c>
      <c r="E57" s="79" t="s">
        <v>125</v>
      </c>
      <c r="F57" s="79" t="s">
        <v>73</v>
      </c>
      <c r="G57" s="79"/>
      <c r="H57" s="79"/>
      <c r="I57" s="79"/>
      <c r="J57" s="79"/>
    </row>
    <row r="58" spans="2:10" ht="15.95" customHeight="1">
      <c r="B58" s="81" t="s">
        <v>33</v>
      </c>
      <c r="C58" s="81" t="s">
        <v>34</v>
      </c>
      <c r="D58" s="81" t="s">
        <v>135</v>
      </c>
      <c r="E58" s="81" t="s">
        <v>125</v>
      </c>
      <c r="F58" s="81" t="s">
        <v>73</v>
      </c>
      <c r="G58" s="81"/>
      <c r="H58" s="81"/>
      <c r="I58" s="81"/>
      <c r="J58" s="81"/>
    </row>
    <row r="59" spans="2:10" ht="15.95" customHeight="1">
      <c r="B59" s="79" t="s">
        <v>90</v>
      </c>
      <c r="C59" s="79" t="s">
        <v>34</v>
      </c>
      <c r="D59" s="79" t="s">
        <v>136</v>
      </c>
      <c r="E59" s="79" t="s">
        <v>125</v>
      </c>
      <c r="F59" s="79" t="s">
        <v>73</v>
      </c>
      <c r="G59" s="79"/>
      <c r="H59" s="79"/>
      <c r="I59" s="79"/>
      <c r="J59" s="79"/>
    </row>
    <row r="60" spans="2:10" ht="15.95" customHeight="1">
      <c r="B60" s="81" t="s">
        <v>33</v>
      </c>
      <c r="C60" s="81" t="s">
        <v>34</v>
      </c>
      <c r="D60" s="81" t="s">
        <v>137</v>
      </c>
      <c r="E60" s="81" t="s">
        <v>125</v>
      </c>
      <c r="F60" s="81" t="s">
        <v>73</v>
      </c>
      <c r="G60" s="81"/>
      <c r="H60" s="81"/>
      <c r="I60" s="81"/>
      <c r="J60" s="81"/>
    </row>
    <row r="61" spans="2:10" ht="15.95" customHeight="1">
      <c r="B61" s="79" t="s">
        <v>33</v>
      </c>
      <c r="C61" s="79" t="s">
        <v>34</v>
      </c>
      <c r="D61" s="79" t="s">
        <v>138</v>
      </c>
      <c r="E61" s="79" t="s">
        <v>125</v>
      </c>
      <c r="F61" s="79" t="s">
        <v>73</v>
      </c>
      <c r="G61" s="79"/>
      <c r="H61" s="79"/>
      <c r="I61" s="79"/>
      <c r="J61" s="79"/>
    </row>
    <row r="62" spans="2:10" ht="15.95" customHeight="1">
      <c r="B62" s="81" t="s">
        <v>33</v>
      </c>
      <c r="C62" s="81" t="s">
        <v>34</v>
      </c>
      <c r="D62" s="81" t="s">
        <v>139</v>
      </c>
      <c r="E62" s="81" t="s">
        <v>125</v>
      </c>
      <c r="F62" s="81" t="s">
        <v>73</v>
      </c>
      <c r="G62" s="81"/>
      <c r="H62" s="81"/>
      <c r="I62" s="81"/>
      <c r="J62" s="81"/>
    </row>
    <row r="63" spans="2:10" ht="15.95" customHeight="1">
      <c r="B63" s="79" t="s">
        <v>140</v>
      </c>
      <c r="C63" s="79" t="s">
        <v>34</v>
      </c>
      <c r="D63" s="79" t="s">
        <v>141</v>
      </c>
      <c r="E63" s="79" t="s">
        <v>142</v>
      </c>
      <c r="F63" s="79" t="s">
        <v>143</v>
      </c>
      <c r="G63" s="79"/>
      <c r="H63" s="79" t="s">
        <v>38</v>
      </c>
      <c r="I63" s="81"/>
      <c r="J63" s="81"/>
    </row>
    <row r="64" spans="2:10" ht="15.95" customHeight="1">
      <c r="B64" s="81" t="s">
        <v>140</v>
      </c>
      <c r="C64" s="81" t="s">
        <v>34</v>
      </c>
      <c r="D64" s="81" t="s">
        <v>144</v>
      </c>
      <c r="E64" s="81" t="s">
        <v>142</v>
      </c>
      <c r="F64" s="81" t="s">
        <v>145</v>
      </c>
      <c r="G64" s="81"/>
      <c r="H64" s="81" t="s">
        <v>38</v>
      </c>
      <c r="I64" s="81"/>
      <c r="J64" s="81"/>
    </row>
    <row r="65" spans="2:10" ht="15.95" customHeight="1">
      <c r="B65" s="79" t="s">
        <v>90</v>
      </c>
      <c r="C65" s="79" t="s">
        <v>34</v>
      </c>
      <c r="D65" s="79" t="s">
        <v>146</v>
      </c>
      <c r="E65" s="79" t="s">
        <v>142</v>
      </c>
      <c r="F65" s="79" t="s">
        <v>143</v>
      </c>
      <c r="G65" s="79"/>
      <c r="H65" s="79" t="s">
        <v>38</v>
      </c>
      <c r="I65" s="79"/>
      <c r="J65" s="79"/>
    </row>
    <row r="66" spans="2:10" ht="15.95" customHeight="1">
      <c r="B66" s="81" t="s">
        <v>90</v>
      </c>
      <c r="C66" s="81" t="s">
        <v>34</v>
      </c>
      <c r="D66" s="81" t="s">
        <v>147</v>
      </c>
      <c r="E66" s="81" t="s">
        <v>142</v>
      </c>
      <c r="F66" s="81" t="s">
        <v>143</v>
      </c>
      <c r="G66" s="81"/>
      <c r="H66" s="81" t="s">
        <v>38</v>
      </c>
      <c r="I66" s="81"/>
      <c r="J66" s="81"/>
    </row>
    <row r="67" spans="2:10" ht="15.95" customHeight="1">
      <c r="B67" s="79" t="s">
        <v>33</v>
      </c>
      <c r="C67" s="79" t="s">
        <v>34</v>
      </c>
      <c r="D67" s="79" t="s">
        <v>148</v>
      </c>
      <c r="E67" s="79" t="s">
        <v>149</v>
      </c>
      <c r="F67" s="79" t="s">
        <v>143</v>
      </c>
      <c r="G67" s="79"/>
      <c r="H67" s="79" t="s">
        <v>38</v>
      </c>
      <c r="I67" s="79"/>
      <c r="J67" s="79"/>
    </row>
    <row r="68" spans="2:10" ht="15.95" customHeight="1">
      <c r="B68" s="81" t="s">
        <v>33</v>
      </c>
      <c r="C68" s="81" t="s">
        <v>34</v>
      </c>
      <c r="D68" s="81" t="s">
        <v>150</v>
      </c>
      <c r="E68" s="81" t="s">
        <v>151</v>
      </c>
      <c r="F68" s="81" t="s">
        <v>143</v>
      </c>
      <c r="G68" s="81"/>
      <c r="H68" s="81" t="s">
        <v>38</v>
      </c>
      <c r="I68" s="81"/>
      <c r="J68" s="81"/>
    </row>
    <row r="69" spans="2:10" ht="15.95" customHeight="1">
      <c r="B69" s="79" t="s">
        <v>66</v>
      </c>
      <c r="C69" s="79" t="s">
        <v>34</v>
      </c>
      <c r="D69" s="79" t="s">
        <v>152</v>
      </c>
      <c r="E69" s="79" t="s">
        <v>152</v>
      </c>
      <c r="F69" s="79" t="s">
        <v>69</v>
      </c>
      <c r="G69" s="79"/>
      <c r="H69" s="79" t="s">
        <v>38</v>
      </c>
      <c r="I69" s="79"/>
      <c r="J69" s="79"/>
    </row>
    <row r="70" spans="2:10" ht="15.95" customHeight="1">
      <c r="B70" s="81" t="s">
        <v>66</v>
      </c>
      <c r="C70" s="81" t="s">
        <v>34</v>
      </c>
      <c r="D70" s="81" t="s">
        <v>153</v>
      </c>
      <c r="E70" s="81" t="s">
        <v>153</v>
      </c>
      <c r="F70" s="81" t="s">
        <v>69</v>
      </c>
      <c r="G70" s="81"/>
      <c r="H70" s="81" t="s">
        <v>38</v>
      </c>
      <c r="I70" s="81"/>
      <c r="J70" s="81"/>
    </row>
    <row r="71" spans="2:10" ht="15.95" customHeight="1">
      <c r="B71" s="79" t="s">
        <v>66</v>
      </c>
      <c r="C71" s="79" t="s">
        <v>34</v>
      </c>
      <c r="D71" s="79" t="s">
        <v>154</v>
      </c>
      <c r="E71" s="79" t="s">
        <v>154</v>
      </c>
      <c r="F71" s="79" t="s">
        <v>69</v>
      </c>
      <c r="G71" s="79"/>
      <c r="H71" s="79" t="s">
        <v>38</v>
      </c>
      <c r="I71" s="79"/>
      <c r="J71" s="79"/>
    </row>
    <row r="72" spans="2:10" ht="15.95" customHeight="1">
      <c r="B72" s="81" t="s">
        <v>66</v>
      </c>
      <c r="C72" s="81" t="s">
        <v>34</v>
      </c>
      <c r="D72" s="81" t="s">
        <v>155</v>
      </c>
      <c r="E72" s="81" t="s">
        <v>155</v>
      </c>
      <c r="F72" s="81" t="s">
        <v>69</v>
      </c>
      <c r="G72" s="81"/>
      <c r="H72" s="81" t="s">
        <v>38</v>
      </c>
      <c r="I72" s="81"/>
      <c r="J72" s="81"/>
    </row>
    <row r="73" spans="2:10" ht="15.95" customHeight="1">
      <c r="B73" s="79" t="s">
        <v>66</v>
      </c>
      <c r="C73" s="79" t="s">
        <v>34</v>
      </c>
      <c r="D73" s="79" t="s">
        <v>156</v>
      </c>
      <c r="E73" s="79" t="s">
        <v>156</v>
      </c>
      <c r="F73" s="79" t="s">
        <v>69</v>
      </c>
      <c r="G73" s="79"/>
      <c r="H73" s="79" t="s">
        <v>38</v>
      </c>
      <c r="I73" s="79"/>
      <c r="J73" s="79"/>
    </row>
    <row r="74" spans="2:10" ht="15.95" customHeight="1">
      <c r="B74" s="81" t="s">
        <v>90</v>
      </c>
      <c r="C74" s="81" t="s">
        <v>34</v>
      </c>
      <c r="D74" s="81" t="s">
        <v>157</v>
      </c>
      <c r="E74" s="81" t="s">
        <v>157</v>
      </c>
      <c r="F74" s="81" t="s">
        <v>69</v>
      </c>
      <c r="G74" s="81"/>
      <c r="H74" s="81" t="s">
        <v>38</v>
      </c>
      <c r="I74" s="81"/>
      <c r="J74" s="81"/>
    </row>
    <row r="75" spans="2:10" ht="15.95" customHeight="1">
      <c r="B75" s="79" t="s">
        <v>66</v>
      </c>
      <c r="C75" s="79" t="s">
        <v>34</v>
      </c>
      <c r="D75" s="79" t="s">
        <v>158</v>
      </c>
      <c r="E75" s="79" t="s">
        <v>158</v>
      </c>
      <c r="F75" s="79" t="s">
        <v>69</v>
      </c>
      <c r="G75" s="79"/>
      <c r="H75" s="79" t="s">
        <v>38</v>
      </c>
      <c r="I75" s="79"/>
      <c r="J75" s="79"/>
    </row>
    <row r="76" spans="2:10" ht="15.95" customHeight="1">
      <c r="B76" s="81" t="s">
        <v>90</v>
      </c>
      <c r="C76" s="81" t="s">
        <v>34</v>
      </c>
      <c r="D76" s="81" t="s">
        <v>159</v>
      </c>
      <c r="E76" s="81" t="s">
        <v>159</v>
      </c>
      <c r="F76" s="81" t="s">
        <v>69</v>
      </c>
      <c r="G76" s="81"/>
      <c r="H76" s="81" t="s">
        <v>38</v>
      </c>
      <c r="I76" s="81"/>
      <c r="J76" s="81"/>
    </row>
    <row r="77" spans="2:10" ht="15.95" customHeight="1">
      <c r="B77" s="79" t="s">
        <v>90</v>
      </c>
      <c r="C77" s="79" t="s">
        <v>34</v>
      </c>
      <c r="D77" s="79" t="s">
        <v>160</v>
      </c>
      <c r="E77" s="79" t="s">
        <v>160</v>
      </c>
      <c r="F77" s="79" t="s">
        <v>69</v>
      </c>
      <c r="G77" s="79"/>
      <c r="H77" s="79" t="s">
        <v>38</v>
      </c>
      <c r="I77" s="79"/>
      <c r="J77" s="79"/>
    </row>
    <row r="78" spans="2:10" ht="15.95" customHeight="1" thickBot="1">
      <c r="B78" s="230" t="s">
        <v>90</v>
      </c>
      <c r="C78" s="230" t="s">
        <v>34</v>
      </c>
      <c r="D78" s="230" t="s">
        <v>161</v>
      </c>
      <c r="E78" s="230" t="s">
        <v>161</v>
      </c>
      <c r="F78" s="230" t="s">
        <v>69</v>
      </c>
      <c r="G78" s="230"/>
      <c r="H78" s="230" t="s">
        <v>38</v>
      </c>
      <c r="I78" s="230"/>
      <c r="J78" s="230"/>
    </row>
    <row r="79" spans="2:10">
      <c r="B79" t="s">
        <v>66</v>
      </c>
      <c r="C79" t="s">
        <v>34</v>
      </c>
      <c r="D79" t="s">
        <v>162</v>
      </c>
      <c r="E79" t="s">
        <v>125</v>
      </c>
      <c r="F79" t="s">
        <v>73</v>
      </c>
    </row>
    <row r="80" spans="2:10">
      <c r="B80" t="s">
        <v>66</v>
      </c>
      <c r="C80" t="s">
        <v>34</v>
      </c>
      <c r="D80" t="s">
        <v>163</v>
      </c>
      <c r="E80" t="s">
        <v>125</v>
      </c>
      <c r="F80" t="s">
        <v>73</v>
      </c>
    </row>
    <row r="81" spans="2:6">
      <c r="B81" t="s">
        <v>66</v>
      </c>
      <c r="C81" t="s">
        <v>34</v>
      </c>
      <c r="D81" t="s">
        <v>164</v>
      </c>
      <c r="E81" t="s">
        <v>125</v>
      </c>
      <c r="F81" t="s">
        <v>73</v>
      </c>
    </row>
    <row r="82" spans="2:6">
      <c r="B82" t="s">
        <v>66</v>
      </c>
      <c r="C82" t="s">
        <v>34</v>
      </c>
      <c r="D82" t="s">
        <v>165</v>
      </c>
      <c r="E82" t="s">
        <v>125</v>
      </c>
      <c r="F82" t="s">
        <v>73</v>
      </c>
    </row>
    <row r="83" spans="2:6">
      <c r="B83" t="s">
        <v>66</v>
      </c>
      <c r="C83" t="s">
        <v>34</v>
      </c>
      <c r="D83" t="s">
        <v>166</v>
      </c>
      <c r="E83" t="s">
        <v>125</v>
      </c>
      <c r="F83" t="s">
        <v>73</v>
      </c>
    </row>
    <row r="84" spans="2:6">
      <c r="B84" t="s">
        <v>66</v>
      </c>
      <c r="C84" t="s">
        <v>34</v>
      </c>
      <c r="D84" t="s">
        <v>167</v>
      </c>
      <c r="E84" t="s">
        <v>125</v>
      </c>
      <c r="F84" t="s">
        <v>73</v>
      </c>
    </row>
    <row r="85" spans="2:6">
      <c r="B85" t="s">
        <v>66</v>
      </c>
      <c r="C85" t="s">
        <v>34</v>
      </c>
      <c r="D85" t="s">
        <v>168</v>
      </c>
      <c r="E85" t="s">
        <v>125</v>
      </c>
      <c r="F85" t="s">
        <v>73</v>
      </c>
    </row>
    <row r="86" spans="2:6">
      <c r="B86" t="s">
        <v>66</v>
      </c>
      <c r="C86" t="s">
        <v>34</v>
      </c>
      <c r="D86" t="s">
        <v>169</v>
      </c>
      <c r="E86" t="s">
        <v>125</v>
      </c>
      <c r="F86" t="s">
        <v>73</v>
      </c>
    </row>
    <row r="87" spans="2:6">
      <c r="B87" t="s">
        <v>66</v>
      </c>
      <c r="C87" t="s">
        <v>34</v>
      </c>
      <c r="D87" t="s">
        <v>170</v>
      </c>
      <c r="E87" t="s">
        <v>125</v>
      </c>
      <c r="F87" t="s">
        <v>73</v>
      </c>
    </row>
    <row r="88" spans="2:6">
      <c r="B88" t="s">
        <v>66</v>
      </c>
      <c r="C88" t="s">
        <v>34</v>
      </c>
      <c r="D88" t="s">
        <v>171</v>
      </c>
      <c r="E88" t="s">
        <v>125</v>
      </c>
      <c r="F88" t="s">
        <v>73</v>
      </c>
    </row>
    <row r="89" spans="2:6">
      <c r="B89" t="s">
        <v>66</v>
      </c>
      <c r="C89" t="s">
        <v>34</v>
      </c>
      <c r="D89" t="s">
        <v>172</v>
      </c>
      <c r="E89" t="s">
        <v>125</v>
      </c>
      <c r="F89" t="s">
        <v>73</v>
      </c>
    </row>
    <row r="90" spans="2:6">
      <c r="B90" t="s">
        <v>66</v>
      </c>
      <c r="C90" t="s">
        <v>34</v>
      </c>
      <c r="D90" t="s">
        <v>173</v>
      </c>
      <c r="E90" t="s">
        <v>125</v>
      </c>
      <c r="F90" t="s">
        <v>73</v>
      </c>
    </row>
    <row r="91" spans="2:6">
      <c r="B91" t="s">
        <v>66</v>
      </c>
      <c r="C91" t="s">
        <v>34</v>
      </c>
      <c r="D91" t="s">
        <v>174</v>
      </c>
      <c r="E91" t="s">
        <v>125</v>
      </c>
      <c r="F91" t="s">
        <v>73</v>
      </c>
    </row>
    <row r="92" spans="2:6">
      <c r="B92" t="s">
        <v>66</v>
      </c>
      <c r="C92" t="s">
        <v>34</v>
      </c>
      <c r="D92" t="s">
        <v>175</v>
      </c>
      <c r="E92" t="s">
        <v>125</v>
      </c>
      <c r="F92" t="s">
        <v>73</v>
      </c>
    </row>
  </sheetData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B0C8-F125-4E4C-AF8A-59791FED3F75}">
  <dimension ref="B2:K69"/>
  <sheetViews>
    <sheetView workbookViewId="0">
      <selection activeCell="E5" sqref="E5"/>
    </sheetView>
  </sheetViews>
  <sheetFormatPr defaultRowHeight="12.75"/>
  <cols>
    <col min="1" max="1" width="3.42578125" customWidth="1"/>
    <col min="2" max="2" width="28.42578125" bestFit="1" customWidth="1"/>
    <col min="3" max="3" width="24.85546875" bestFit="1" customWidth="1"/>
    <col min="4" max="4" width="31.42578125" customWidth="1"/>
    <col min="5" max="5" width="48.5703125" bestFit="1" customWidth="1"/>
    <col min="6" max="6" width="40.140625" customWidth="1"/>
    <col min="7" max="7" width="11.140625" bestFit="1" customWidth="1"/>
    <col min="8" max="8" width="11.140625" customWidth="1"/>
    <col min="10" max="10" width="9.5703125" customWidth="1"/>
    <col min="11" max="11" width="8.42578125" bestFit="1" customWidth="1"/>
    <col min="12" max="12" width="3.42578125" customWidth="1"/>
  </cols>
  <sheetData>
    <row r="2" spans="2:11" ht="18">
      <c r="B2" s="259" t="s">
        <v>378</v>
      </c>
      <c r="C2" s="63"/>
      <c r="D2" s="63"/>
      <c r="E2" s="63"/>
    </row>
    <row r="4" spans="2:11">
      <c r="E4" s="243" t="s">
        <v>379</v>
      </c>
      <c r="F4" s="234"/>
      <c r="G4" s="234"/>
      <c r="H4" s="234"/>
      <c r="I4" s="42"/>
      <c r="J4" s="42"/>
      <c r="K4" s="42"/>
    </row>
    <row r="5" spans="2:11">
      <c r="B5" s="71" t="s">
        <v>179</v>
      </c>
      <c r="C5" s="72" t="s">
        <v>304</v>
      </c>
      <c r="D5" s="71" t="s">
        <v>305</v>
      </c>
      <c r="E5" s="71" t="s">
        <v>306</v>
      </c>
      <c r="F5" s="71" t="s">
        <v>338</v>
      </c>
      <c r="G5" s="71" t="s">
        <v>339</v>
      </c>
      <c r="H5" s="71" t="s">
        <v>340</v>
      </c>
      <c r="I5" s="73" t="s">
        <v>341</v>
      </c>
      <c r="J5" s="73" t="s">
        <v>342</v>
      </c>
      <c r="K5" s="73" t="s">
        <v>343</v>
      </c>
    </row>
    <row r="6" spans="2:11" ht="39" thickBot="1">
      <c r="B6" s="74" t="s">
        <v>348</v>
      </c>
      <c r="C6" s="74" t="s">
        <v>349</v>
      </c>
      <c r="D6" s="74" t="s">
        <v>350</v>
      </c>
      <c r="E6" s="74" t="s">
        <v>351</v>
      </c>
      <c r="F6" s="74"/>
      <c r="G6" s="74" t="s">
        <v>352</v>
      </c>
      <c r="H6" s="74" t="s">
        <v>352</v>
      </c>
      <c r="I6" s="74" t="s">
        <v>353</v>
      </c>
      <c r="J6" s="74" t="s">
        <v>354</v>
      </c>
      <c r="K6" s="74" t="s">
        <v>355</v>
      </c>
    </row>
    <row r="7" spans="2:11">
      <c r="B7" s="237" t="s">
        <v>253</v>
      </c>
      <c r="C7" s="237" t="s">
        <v>254</v>
      </c>
      <c r="D7" s="237" t="str">
        <f>AGR_Comm!$D$64</f>
        <v>AGR_DUMMY_NRG_CATTLE</v>
      </c>
      <c r="E7" s="237"/>
      <c r="F7" s="237"/>
      <c r="G7" s="237">
        <v>85.388000000000005</v>
      </c>
      <c r="H7" s="237">
        <v>85.388000000000005</v>
      </c>
      <c r="I7" s="237">
        <v>1</v>
      </c>
      <c r="J7" s="237"/>
      <c r="K7" s="237">
        <v>1</v>
      </c>
    </row>
    <row r="8" spans="2:11">
      <c r="B8" s="238"/>
      <c r="C8" s="238"/>
      <c r="D8" s="238"/>
      <c r="E8" s="238" t="s">
        <v>152</v>
      </c>
      <c r="F8" s="238"/>
      <c r="G8" s="238"/>
      <c r="H8" s="238"/>
      <c r="I8" s="238"/>
      <c r="J8" s="238"/>
      <c r="K8" s="238"/>
    </row>
    <row r="9" spans="2:11">
      <c r="B9" s="238"/>
      <c r="C9" s="238"/>
      <c r="D9" s="238"/>
      <c r="E9" s="238" t="s">
        <v>106</v>
      </c>
      <c r="F9" s="238"/>
      <c r="G9" s="238"/>
      <c r="H9" s="238"/>
      <c r="I9" s="238"/>
      <c r="J9" s="238">
        <v>1.752</v>
      </c>
      <c r="K9" s="238"/>
    </row>
    <row r="10" spans="2:11">
      <c r="B10" s="238"/>
      <c r="C10" s="238"/>
      <c r="D10" s="238"/>
      <c r="E10" s="238"/>
      <c r="F10" s="238" t="s">
        <v>100</v>
      </c>
      <c r="G10" s="238"/>
      <c r="H10" s="238"/>
      <c r="I10" s="238"/>
      <c r="J10" s="238">
        <v>0.12053185649596189</v>
      </c>
      <c r="K10" s="238"/>
    </row>
    <row r="11" spans="2:11">
      <c r="B11" s="238"/>
      <c r="C11" s="238"/>
      <c r="D11" s="238"/>
      <c r="E11" s="238"/>
      <c r="F11" s="238" t="s">
        <v>102</v>
      </c>
      <c r="G11" s="238"/>
      <c r="H11" s="238"/>
      <c r="I11" s="238"/>
      <c r="J11" s="238">
        <v>7.8432905396672095E-3</v>
      </c>
      <c r="K11" s="238"/>
    </row>
    <row r="12" spans="2:11">
      <c r="B12" s="238"/>
      <c r="C12" s="238"/>
      <c r="D12" s="238"/>
      <c r="E12" s="238"/>
      <c r="F12" s="238" t="s">
        <v>98</v>
      </c>
      <c r="G12" s="238"/>
      <c r="H12" s="238"/>
      <c r="I12" s="238"/>
      <c r="J12" s="238">
        <v>8.0732056231336464E-4</v>
      </c>
      <c r="K12" s="238"/>
    </row>
    <row r="13" spans="2:11">
      <c r="B13" s="239" t="s">
        <v>255</v>
      </c>
      <c r="C13" s="239" t="s">
        <v>256</v>
      </c>
      <c r="D13" s="239" t="str">
        <f>AGR_Comm!$D$64</f>
        <v>AGR_DUMMY_NRG_CATTLE</v>
      </c>
      <c r="E13" s="239"/>
      <c r="F13" s="239"/>
      <c r="G13" s="239">
        <v>93.212999999999994</v>
      </c>
      <c r="H13" s="239">
        <v>93.212999999999994</v>
      </c>
      <c r="I13" s="239">
        <v>1</v>
      </c>
      <c r="J13" s="239"/>
      <c r="K13" s="239">
        <v>1</v>
      </c>
    </row>
    <row r="14" spans="2:11">
      <c r="B14" s="239"/>
      <c r="C14" s="239"/>
      <c r="D14" s="239"/>
      <c r="E14" s="239" t="s">
        <v>153</v>
      </c>
      <c r="F14" s="239"/>
      <c r="G14" s="239"/>
      <c r="H14" s="239"/>
      <c r="I14" s="239"/>
      <c r="J14" s="239"/>
      <c r="K14" s="239"/>
    </row>
    <row r="15" spans="2:11">
      <c r="B15" s="239"/>
      <c r="C15" s="239"/>
      <c r="D15" s="239"/>
      <c r="E15" s="239" t="s">
        <v>108</v>
      </c>
      <c r="F15" s="239"/>
      <c r="G15" s="239"/>
      <c r="H15" s="239"/>
      <c r="I15" s="239"/>
      <c r="J15" s="239">
        <v>0.65700000000000003</v>
      </c>
      <c r="K15" s="239"/>
    </row>
    <row r="16" spans="2:11">
      <c r="B16" s="239"/>
      <c r="C16" s="239"/>
      <c r="D16" s="239"/>
      <c r="E16" s="239"/>
      <c r="F16" s="239" t="s">
        <v>100</v>
      </c>
      <c r="G16" s="239"/>
      <c r="H16" s="239"/>
      <c r="I16" s="239"/>
      <c r="J16" s="239">
        <v>4.9685741154640389E-2</v>
      </c>
      <c r="K16" s="239"/>
    </row>
    <row r="17" spans="2:11">
      <c r="B17" s="239"/>
      <c r="C17" s="239"/>
      <c r="D17" s="239"/>
      <c r="E17" s="239"/>
      <c r="F17" s="239" t="s">
        <v>102</v>
      </c>
      <c r="G17" s="239"/>
      <c r="H17" s="239"/>
      <c r="I17" s="239"/>
      <c r="J17" s="239">
        <v>1.7337189468587999E-3</v>
      </c>
      <c r="K17" s="239"/>
    </row>
    <row r="18" spans="2:11">
      <c r="B18" s="239"/>
      <c r="C18" s="239"/>
      <c r="D18" s="239"/>
      <c r="E18" s="239"/>
      <c r="F18" s="239" t="s">
        <v>98</v>
      </c>
      <c r="G18" s="239"/>
      <c r="H18" s="239"/>
      <c r="I18" s="239"/>
      <c r="J18" s="239">
        <v>3.5346248850639975E-4</v>
      </c>
      <c r="K18" s="239"/>
    </row>
    <row r="19" spans="2:11">
      <c r="B19" s="238" t="s">
        <v>257</v>
      </c>
      <c r="C19" s="238" t="s">
        <v>258</v>
      </c>
      <c r="D19" s="238" t="str">
        <f>AGR_Comm!$D$64</f>
        <v>AGR_DUMMY_NRG_CATTLE</v>
      </c>
      <c r="E19" s="238"/>
      <c r="F19" s="238"/>
      <c r="G19" s="238">
        <v>79.091999999999999</v>
      </c>
      <c r="H19" s="238">
        <v>79.091999999999999</v>
      </c>
      <c r="I19" s="238">
        <v>1</v>
      </c>
      <c r="J19" s="238"/>
      <c r="K19" s="238">
        <v>1</v>
      </c>
    </row>
    <row r="20" spans="2:11">
      <c r="B20" s="238"/>
      <c r="C20" s="238"/>
      <c r="D20" s="238"/>
      <c r="E20" s="238" t="s">
        <v>154</v>
      </c>
      <c r="F20" s="238"/>
      <c r="G20" s="238"/>
      <c r="H20" s="238"/>
      <c r="I20" s="238"/>
      <c r="J20" s="238"/>
      <c r="K20" s="238"/>
    </row>
    <row r="21" spans="2:11">
      <c r="B21" s="238"/>
      <c r="C21" s="238"/>
      <c r="D21" s="238"/>
      <c r="E21" s="238" t="s">
        <v>110</v>
      </c>
      <c r="F21" s="238"/>
      <c r="G21" s="238"/>
      <c r="H21" s="238"/>
      <c r="I21" s="238"/>
      <c r="J21" s="238">
        <v>3.066E-2</v>
      </c>
      <c r="K21" s="238"/>
    </row>
    <row r="22" spans="2:11">
      <c r="B22" s="238"/>
      <c r="C22" s="238"/>
      <c r="D22" s="238"/>
      <c r="E22" s="238"/>
      <c r="F22" s="238" t="s">
        <v>100</v>
      </c>
      <c r="G22" s="238"/>
      <c r="H22" s="238"/>
      <c r="I22" s="238"/>
      <c r="J22" s="238">
        <v>8.0000000000000002E-3</v>
      </c>
      <c r="K22" s="238"/>
    </row>
    <row r="23" spans="2:11">
      <c r="B23" s="238"/>
      <c r="C23" s="238"/>
      <c r="D23" s="238"/>
      <c r="E23" s="238"/>
      <c r="F23" s="238" t="s">
        <v>102</v>
      </c>
      <c r="G23" s="238"/>
      <c r="H23" s="238"/>
      <c r="I23" s="238"/>
      <c r="J23" s="238">
        <v>1.8999999999999998E-4</v>
      </c>
      <c r="K23" s="238"/>
    </row>
    <row r="24" spans="2:11">
      <c r="B24" s="238"/>
      <c r="C24" s="238"/>
      <c r="D24" s="238"/>
      <c r="E24" s="238"/>
      <c r="F24" s="238" t="s">
        <v>98</v>
      </c>
      <c r="G24" s="238"/>
      <c r="H24" s="238"/>
      <c r="I24" s="238"/>
      <c r="J24" s="238">
        <v>4.4422318016281294E-5</v>
      </c>
      <c r="K24" s="238"/>
    </row>
    <row r="25" spans="2:11">
      <c r="B25" s="239" t="s">
        <v>259</v>
      </c>
      <c r="C25" s="239" t="s">
        <v>260</v>
      </c>
      <c r="D25" s="239" t="str">
        <f>AGR_Comm!$D$64</f>
        <v>AGR_DUMMY_NRG_CATTLE</v>
      </c>
      <c r="E25" s="239"/>
      <c r="F25" s="239"/>
      <c r="G25" s="239">
        <v>141.44300000000001</v>
      </c>
      <c r="H25" s="239">
        <v>141.44300000000001</v>
      </c>
      <c r="I25" s="239">
        <v>1</v>
      </c>
      <c r="J25" s="239"/>
      <c r="K25" s="239">
        <v>1</v>
      </c>
    </row>
    <row r="26" spans="2:11">
      <c r="B26" s="239"/>
      <c r="C26" s="239"/>
      <c r="D26" s="239"/>
      <c r="E26" s="239" t="s">
        <v>155</v>
      </c>
      <c r="F26" s="239"/>
      <c r="G26" s="239"/>
      <c r="H26" s="239"/>
      <c r="I26" s="239"/>
      <c r="J26" s="239"/>
      <c r="K26" s="239"/>
    </row>
    <row r="27" spans="2:11">
      <c r="B27" s="239"/>
      <c r="C27" s="239"/>
      <c r="D27" s="239"/>
      <c r="E27" s="239" t="s">
        <v>112</v>
      </c>
      <c r="F27" s="239"/>
      <c r="G27" s="239"/>
      <c r="H27" s="239"/>
      <c r="I27" s="239"/>
      <c r="J27" s="239">
        <v>2.3186624999999999E-2</v>
      </c>
      <c r="K27" s="239"/>
    </row>
    <row r="28" spans="2:11">
      <c r="B28" s="239"/>
      <c r="C28" s="239"/>
      <c r="D28" s="239"/>
      <c r="E28" s="239"/>
      <c r="F28" s="239" t="s">
        <v>100</v>
      </c>
      <c r="G28" s="239"/>
      <c r="H28" s="239"/>
      <c r="I28" s="239"/>
      <c r="J28" s="239">
        <v>1.5E-3</v>
      </c>
      <c r="K28" s="239"/>
    </row>
    <row r="29" spans="2:11">
      <c r="B29" s="239"/>
      <c r="C29" s="239"/>
      <c r="D29" s="239"/>
      <c r="E29" s="239"/>
      <c r="F29" s="239" t="s">
        <v>102</v>
      </c>
      <c r="G29" s="239"/>
      <c r="H29" s="239"/>
      <c r="I29" s="239"/>
      <c r="J29" s="239">
        <v>1.3777228601968301E-3</v>
      </c>
      <c r="K29" s="239"/>
    </row>
    <row r="30" spans="2:11">
      <c r="B30" s="239"/>
      <c r="C30" s="239"/>
      <c r="D30" s="239"/>
      <c r="E30" s="239"/>
      <c r="F30" s="239" t="s">
        <v>98</v>
      </c>
      <c r="G30" s="239"/>
      <c r="H30" s="239"/>
      <c r="I30" s="239"/>
      <c r="J30" s="239">
        <v>8.574121747084128E-5</v>
      </c>
      <c r="K30" s="239"/>
    </row>
    <row r="31" spans="2:11">
      <c r="B31" s="238" t="s">
        <v>261</v>
      </c>
      <c r="C31" s="238" t="s">
        <v>262</v>
      </c>
      <c r="D31" s="238" t="str">
        <f>AGR_Comm!$D$64</f>
        <v>AGR_DUMMY_NRG_CATTLE</v>
      </c>
      <c r="E31" s="238"/>
      <c r="F31" s="238"/>
      <c r="G31" s="238">
        <v>4.9765253411344545</v>
      </c>
      <c r="H31" s="238">
        <v>4.9765253411344545</v>
      </c>
      <c r="I31" s="238">
        <v>1</v>
      </c>
      <c r="J31" s="238"/>
      <c r="K31" s="238">
        <v>1</v>
      </c>
    </row>
    <row r="32" spans="2:11">
      <c r="B32" s="238"/>
      <c r="C32" s="238"/>
      <c r="D32" s="238"/>
      <c r="E32" s="238" t="s">
        <v>156</v>
      </c>
      <c r="F32" s="238"/>
      <c r="G32" s="238"/>
      <c r="H32" s="238"/>
      <c r="I32" s="238"/>
      <c r="J32" s="238"/>
      <c r="K32" s="238"/>
    </row>
    <row r="33" spans="2:11">
      <c r="B33" s="238"/>
      <c r="C33" s="238"/>
      <c r="D33" s="238"/>
      <c r="E33" s="238" t="s">
        <v>114</v>
      </c>
      <c r="F33" s="238"/>
      <c r="G33" s="238"/>
      <c r="H33" s="238"/>
      <c r="I33" s="238"/>
      <c r="J33" s="238">
        <v>3.066E-2</v>
      </c>
      <c r="K33" s="238"/>
    </row>
    <row r="34" spans="2:11">
      <c r="B34" s="238"/>
      <c r="C34" s="238"/>
      <c r="D34" s="238"/>
      <c r="E34" s="238"/>
      <c r="F34" s="238" t="s">
        <v>100</v>
      </c>
      <c r="G34" s="238"/>
      <c r="H34" s="238"/>
      <c r="I34" s="238"/>
      <c r="J34" s="238">
        <v>5.00000000000004E-3</v>
      </c>
      <c r="K34" s="238"/>
    </row>
    <row r="35" spans="2:11">
      <c r="B35" s="238"/>
      <c r="C35" s="238"/>
      <c r="D35" s="238"/>
      <c r="E35" s="238"/>
      <c r="F35" s="238" t="s">
        <v>102</v>
      </c>
      <c r="G35" s="238"/>
      <c r="H35" s="238"/>
      <c r="I35" s="238"/>
      <c r="J35" s="238">
        <v>1.3000000000009E-4</v>
      </c>
      <c r="K35" s="238"/>
    </row>
    <row r="36" spans="2:11">
      <c r="B36" s="238"/>
      <c r="C36" s="238"/>
      <c r="D36" s="238"/>
      <c r="E36" s="238"/>
      <c r="F36" s="238" t="s">
        <v>98</v>
      </c>
      <c r="G36" s="238"/>
      <c r="H36" s="238"/>
      <c r="I36" s="238"/>
      <c r="J36" s="238">
        <v>3.4996311428315267E-5</v>
      </c>
      <c r="K36" s="238"/>
    </row>
    <row r="37" spans="2:11">
      <c r="B37" s="239" t="s">
        <v>263</v>
      </c>
      <c r="C37" s="239" t="s">
        <v>264</v>
      </c>
      <c r="D37" s="239" t="str">
        <f>AGR_Comm!$D$64</f>
        <v>AGR_DUMMY_NRG_CATTLE</v>
      </c>
      <c r="E37" s="239"/>
      <c r="F37" s="239"/>
      <c r="G37" s="239">
        <v>20.306000000000001</v>
      </c>
      <c r="H37" s="239">
        <v>20.306000000000001</v>
      </c>
      <c r="I37" s="239">
        <v>1</v>
      </c>
      <c r="J37" s="239"/>
      <c r="K37" s="239">
        <v>1</v>
      </c>
    </row>
    <row r="38" spans="2:11">
      <c r="B38" s="239"/>
      <c r="C38" s="239"/>
      <c r="D38" s="239"/>
      <c r="E38" s="239" t="s">
        <v>157</v>
      </c>
      <c r="F38" s="239"/>
      <c r="G38" s="239"/>
      <c r="H38" s="239"/>
      <c r="I38" s="239"/>
      <c r="J38" s="239"/>
      <c r="K38" s="239"/>
    </row>
    <row r="39" spans="2:11">
      <c r="B39" s="239"/>
      <c r="C39" s="239"/>
      <c r="D39" s="239"/>
      <c r="E39" s="239" t="s">
        <v>116</v>
      </c>
      <c r="F39" s="239"/>
      <c r="G39" s="239"/>
      <c r="H39" s="239"/>
      <c r="I39" s="239"/>
      <c r="J39" s="239">
        <v>1.752</v>
      </c>
      <c r="K39" s="239"/>
    </row>
    <row r="40" spans="2:11">
      <c r="B40" s="239"/>
      <c r="C40" s="239"/>
      <c r="D40" s="239"/>
      <c r="E40" s="239"/>
      <c r="F40" s="239" t="s">
        <v>100</v>
      </c>
      <c r="G40" s="239"/>
      <c r="H40" s="239"/>
      <c r="I40" s="239"/>
      <c r="J40" s="239">
        <v>1.8000000000000019E-2</v>
      </c>
      <c r="K40" s="239"/>
    </row>
    <row r="41" spans="2:11">
      <c r="B41" s="239"/>
      <c r="C41" s="239"/>
      <c r="D41" s="239"/>
      <c r="E41" s="239"/>
      <c r="F41" s="239" t="s">
        <v>102</v>
      </c>
      <c r="G41" s="239"/>
      <c r="H41" s="239"/>
      <c r="I41" s="239"/>
      <c r="J41" s="239">
        <v>1.5599999999999802E-3</v>
      </c>
      <c r="K41" s="239"/>
    </row>
    <row r="42" spans="2:11">
      <c r="B42" s="239"/>
      <c r="C42" s="239"/>
      <c r="D42" s="239"/>
      <c r="E42" s="239"/>
      <c r="F42" s="239" t="s">
        <v>98</v>
      </c>
      <c r="G42" s="239"/>
      <c r="H42" s="239"/>
      <c r="I42" s="239"/>
      <c r="J42" s="239">
        <v>3.3491071428571359E-4</v>
      </c>
      <c r="K42" s="239"/>
    </row>
    <row r="43" spans="2:11">
      <c r="B43" s="238" t="s">
        <v>265</v>
      </c>
      <c r="C43" s="238" t="s">
        <v>266</v>
      </c>
      <c r="D43" s="238" t="str">
        <f>AGR_Comm!$D$64</f>
        <v>AGR_DUMMY_NRG_CATTLE</v>
      </c>
      <c r="E43" s="238"/>
      <c r="F43" s="238"/>
      <c r="G43" s="238">
        <v>5170.067</v>
      </c>
      <c r="H43" s="238">
        <v>5170.067</v>
      </c>
      <c r="I43" s="238">
        <v>1</v>
      </c>
      <c r="J43" s="238"/>
      <c r="K43" s="238">
        <v>1</v>
      </c>
    </row>
    <row r="44" spans="2:11">
      <c r="B44" s="238"/>
      <c r="C44" s="238"/>
      <c r="D44" s="238"/>
      <c r="E44" s="238" t="s">
        <v>158</v>
      </c>
      <c r="F44" s="238"/>
      <c r="G44" s="238"/>
      <c r="H44" s="238"/>
      <c r="I44" s="238"/>
      <c r="J44" s="238"/>
      <c r="K44" s="238"/>
    </row>
    <row r="45" spans="2:11">
      <c r="B45" s="238"/>
      <c r="C45" s="238"/>
      <c r="D45" s="238"/>
      <c r="E45" s="238" t="s">
        <v>118</v>
      </c>
      <c r="F45" s="238"/>
      <c r="G45" s="238"/>
      <c r="H45" s="238"/>
      <c r="I45" s="238"/>
      <c r="J45" s="238">
        <v>5.6940000000000003E-3</v>
      </c>
      <c r="K45" s="238"/>
    </row>
    <row r="46" spans="2:11">
      <c r="B46" s="238"/>
      <c r="C46" s="238"/>
      <c r="D46" s="238"/>
      <c r="E46" s="238"/>
      <c r="F46" s="238" t="s">
        <v>102</v>
      </c>
      <c r="G46" s="238"/>
      <c r="H46" s="238"/>
      <c r="I46" s="238"/>
      <c r="J46" s="238">
        <v>2.7762587827240005E-5</v>
      </c>
      <c r="K46" s="238"/>
    </row>
    <row r="47" spans="2:11">
      <c r="B47" s="238"/>
      <c r="C47" s="238"/>
      <c r="D47" s="238"/>
      <c r="E47" s="238"/>
      <c r="F47" s="238" t="s">
        <v>98</v>
      </c>
      <c r="G47" s="238"/>
      <c r="H47" s="238"/>
      <c r="I47" s="238"/>
      <c r="J47" s="238">
        <v>1.1960521853592914E-6</v>
      </c>
      <c r="K47" s="238"/>
    </row>
    <row r="48" spans="2:11">
      <c r="B48" s="239" t="s">
        <v>267</v>
      </c>
      <c r="C48" s="239" t="s">
        <v>268</v>
      </c>
      <c r="D48" s="239" t="str">
        <f>AGR_Comm!$D$64</f>
        <v>AGR_DUMMY_NRG_CATTLE</v>
      </c>
      <c r="E48" s="239"/>
      <c r="F48" s="239"/>
      <c r="G48" s="239">
        <v>17.32</v>
      </c>
      <c r="H48" s="239">
        <v>17.32</v>
      </c>
      <c r="I48" s="239">
        <v>1</v>
      </c>
      <c r="J48" s="239"/>
      <c r="K48" s="239">
        <v>1</v>
      </c>
    </row>
    <row r="49" spans="2:11">
      <c r="B49" s="239"/>
      <c r="C49" s="239"/>
      <c r="D49" s="239"/>
      <c r="E49" s="239" t="s">
        <v>159</v>
      </c>
      <c r="F49" s="239"/>
      <c r="G49" s="239"/>
      <c r="H49" s="239"/>
      <c r="I49" s="239"/>
      <c r="J49" s="239"/>
      <c r="K49" s="239"/>
    </row>
    <row r="50" spans="2:11">
      <c r="B50" s="239"/>
      <c r="C50" s="239"/>
      <c r="D50" s="239"/>
      <c r="E50" s="239" t="s">
        <v>120</v>
      </c>
      <c r="F50" s="239"/>
      <c r="G50" s="239"/>
      <c r="H50" s="239"/>
      <c r="I50" s="239"/>
      <c r="J50" s="239">
        <v>5.6940000000000003E-3</v>
      </c>
      <c r="K50" s="239"/>
    </row>
    <row r="51" spans="2:11">
      <c r="B51" s="239"/>
      <c r="C51" s="239"/>
      <c r="D51" s="239"/>
      <c r="E51" s="239"/>
      <c r="F51" s="239" t="s">
        <v>102</v>
      </c>
      <c r="G51" s="239"/>
      <c r="H51" s="239"/>
      <c r="I51" s="239"/>
      <c r="J51" s="239">
        <v>7.9999999999999993E-5</v>
      </c>
      <c r="K51" s="239"/>
    </row>
    <row r="52" spans="2:11">
      <c r="B52" s="239"/>
      <c r="C52" s="239"/>
      <c r="D52" s="239"/>
      <c r="E52" s="239"/>
      <c r="F52" s="239" t="s">
        <v>98</v>
      </c>
      <c r="G52" s="239"/>
      <c r="H52" s="239"/>
      <c r="I52" s="239"/>
      <c r="J52" s="239">
        <v>2.5457142857134688E-5</v>
      </c>
      <c r="K52" s="239"/>
    </row>
    <row r="53" spans="2:11">
      <c r="B53" s="238" t="s">
        <v>269</v>
      </c>
      <c r="C53" s="238" t="s">
        <v>270</v>
      </c>
      <c r="D53" s="238" t="str">
        <f>AGR_Comm!$D$64</f>
        <v>AGR_DUMMY_NRG_CATTLE</v>
      </c>
      <c r="E53" s="238"/>
      <c r="F53" s="238"/>
      <c r="G53" s="238">
        <v>16.899000000000001</v>
      </c>
      <c r="H53" s="238">
        <v>16.899000000000001</v>
      </c>
      <c r="I53" s="238">
        <v>1</v>
      </c>
      <c r="J53" s="238"/>
      <c r="K53" s="238">
        <v>1</v>
      </c>
    </row>
    <row r="54" spans="2:11">
      <c r="B54" s="238"/>
      <c r="C54" s="238"/>
      <c r="D54" s="238"/>
      <c r="E54" s="238" t="s">
        <v>160</v>
      </c>
      <c r="F54" s="238"/>
      <c r="G54" s="238"/>
      <c r="H54" s="238"/>
      <c r="I54" s="238"/>
      <c r="J54" s="238"/>
      <c r="K54" s="238"/>
    </row>
    <row r="55" spans="2:11">
      <c r="B55" s="238"/>
      <c r="C55" s="238"/>
      <c r="D55" s="238"/>
      <c r="E55" s="238" t="s">
        <v>122</v>
      </c>
      <c r="F55" s="238"/>
      <c r="G55" s="238"/>
      <c r="H55" s="238"/>
      <c r="I55" s="238"/>
      <c r="J55" s="238">
        <v>5.6940000000000003E-3</v>
      </c>
      <c r="K55" s="238"/>
    </row>
    <row r="56" spans="2:11">
      <c r="B56" s="238"/>
      <c r="C56" s="238"/>
      <c r="D56" s="238"/>
      <c r="E56" s="238"/>
      <c r="F56" s="238" t="s">
        <v>102</v>
      </c>
      <c r="G56" s="238"/>
      <c r="H56" s="238"/>
      <c r="I56" s="238"/>
      <c r="J56" s="238">
        <v>6.8000000000000005E-4</v>
      </c>
      <c r="K56" s="238"/>
    </row>
    <row r="57" spans="2:11">
      <c r="B57" s="238"/>
      <c r="C57" s="238"/>
      <c r="D57" s="238"/>
      <c r="E57" s="238"/>
      <c r="F57" s="238" t="s">
        <v>98</v>
      </c>
      <c r="G57" s="238"/>
      <c r="H57" s="238"/>
      <c r="I57" s="238"/>
      <c r="J57" s="238">
        <v>2.0002178975221327E-5</v>
      </c>
      <c r="K57" s="238"/>
    </row>
    <row r="58" spans="2:11">
      <c r="B58" s="240" t="s">
        <v>271</v>
      </c>
      <c r="C58" s="240" t="s">
        <v>271</v>
      </c>
      <c r="D58" s="240" t="str">
        <f>AGR_Comm!$D$64</f>
        <v>AGR_DUMMY_NRG_CATTLE</v>
      </c>
      <c r="E58" s="240"/>
      <c r="F58" s="240"/>
      <c r="G58" s="240">
        <v>5628.7045253411343</v>
      </c>
      <c r="H58" s="240">
        <v>5628.7045253411343</v>
      </c>
      <c r="I58" s="240">
        <v>1</v>
      </c>
      <c r="J58" s="240"/>
      <c r="K58" s="240">
        <v>1</v>
      </c>
    </row>
    <row r="59" spans="2:11">
      <c r="B59" s="241"/>
      <c r="C59" s="241"/>
      <c r="D59" s="241"/>
      <c r="E59" s="241" t="s">
        <v>161</v>
      </c>
      <c r="F59" s="241"/>
      <c r="G59" s="241"/>
      <c r="H59" s="241"/>
      <c r="I59" s="241"/>
      <c r="J59" s="241"/>
      <c r="K59" s="241"/>
    </row>
    <row r="60" spans="2:11" ht="13.5" thickBot="1">
      <c r="B60" s="242"/>
      <c r="C60" s="242"/>
      <c r="D60" s="242"/>
      <c r="E60" s="242"/>
      <c r="F60" s="242" t="s">
        <v>98</v>
      </c>
      <c r="G60" s="242"/>
      <c r="H60" s="242"/>
      <c r="I60" s="242"/>
      <c r="J60" s="242">
        <v>2.5538809853867566E-5</v>
      </c>
      <c r="K60" s="242"/>
    </row>
    <row r="65" spans="2:5">
      <c r="B65" s="38"/>
      <c r="C65" s="38"/>
      <c r="D65" s="248" t="s">
        <v>380</v>
      </c>
      <c r="E65" s="42"/>
    </row>
    <row r="66" spans="2:5">
      <c r="B66" s="249" t="s">
        <v>179</v>
      </c>
      <c r="C66" s="250" t="s">
        <v>358</v>
      </c>
      <c r="D66" s="249" t="s">
        <v>306</v>
      </c>
      <c r="E66" s="251" t="s">
        <v>359</v>
      </c>
    </row>
    <row r="67" spans="2:5" ht="13.5" thickBot="1">
      <c r="B67" s="252" t="s">
        <v>348</v>
      </c>
      <c r="C67" s="252" t="s">
        <v>349</v>
      </c>
      <c r="D67" s="252" t="s">
        <v>351</v>
      </c>
      <c r="E67" s="252" t="s">
        <v>361</v>
      </c>
    </row>
    <row r="68" spans="2:5">
      <c r="B68" s="253" t="str">
        <f>AGR_Proc!D28</f>
        <v>AGR_IMP_DUMMY_NRG_LIV</v>
      </c>
      <c r="C68" s="253" t="str">
        <f>AGR_Proc!E28</f>
        <v>Dummy Energy Import</v>
      </c>
      <c r="D68" s="253" t="str">
        <f>AGR_Comm!$D$64</f>
        <v>AGR_DUMMY_NRG_CATTLE</v>
      </c>
      <c r="E68" s="253">
        <v>1E-3</v>
      </c>
    </row>
    <row r="69" spans="2:5" ht="13.5" thickBot="1">
      <c r="B69" s="254" t="str">
        <f>AGR_Proc!D29</f>
        <v>AGR_IMP_LAND_RESIDUE</v>
      </c>
      <c r="C69" s="254" t="str">
        <f>AGR_Proc!E29</f>
        <v>Dummy Import of Crop Residues for Biogas Production</v>
      </c>
      <c r="D69" s="254" t="str">
        <f>AGR_Comm!D67</f>
        <v>AGR_DUMMY_LAND_RESIDUES</v>
      </c>
      <c r="E69" s="254">
        <v>1E-3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A49F-4389-4FFD-BC42-7570A88BB824}">
  <dimension ref="B2:N65"/>
  <sheetViews>
    <sheetView workbookViewId="0">
      <selection activeCell="F4" sqref="F4"/>
    </sheetView>
  </sheetViews>
  <sheetFormatPr defaultRowHeight="12.75"/>
  <cols>
    <col min="1" max="1" width="3.42578125" customWidth="1"/>
    <col min="2" max="2" width="27.85546875" bestFit="1" customWidth="1"/>
    <col min="3" max="3" width="29.42578125" customWidth="1"/>
    <col min="4" max="4" width="26.85546875" customWidth="1"/>
    <col min="5" max="5" width="29.140625" customWidth="1"/>
    <col min="6" max="6" width="34" customWidth="1"/>
    <col min="7" max="7" width="6.42578125" customWidth="1"/>
    <col min="8" max="11" width="12.140625" bestFit="1" customWidth="1"/>
    <col min="12" max="12" width="8" bestFit="1" customWidth="1"/>
    <col min="13" max="13" width="7.5703125" bestFit="1" customWidth="1"/>
    <col min="14" max="14" width="5.140625" bestFit="1" customWidth="1"/>
  </cols>
  <sheetData>
    <row r="2" spans="2:12" ht="18">
      <c r="B2" s="259" t="s">
        <v>429</v>
      </c>
      <c r="C2" s="63"/>
      <c r="D2" s="63"/>
      <c r="E2" s="63"/>
    </row>
    <row r="4" spans="2:12">
      <c r="F4" s="243" t="s">
        <v>430</v>
      </c>
      <c r="G4" s="234"/>
    </row>
    <row r="5" spans="2:12" ht="38.25">
      <c r="B5" s="71" t="s">
        <v>179</v>
      </c>
      <c r="C5" s="72" t="s">
        <v>358</v>
      </c>
      <c r="D5" s="72" t="s">
        <v>305</v>
      </c>
      <c r="E5" s="71" t="s">
        <v>306</v>
      </c>
      <c r="F5" s="71" t="s">
        <v>338</v>
      </c>
      <c r="G5" s="73" t="s">
        <v>381</v>
      </c>
      <c r="H5" s="235" t="s">
        <v>382</v>
      </c>
      <c r="I5" s="235" t="s">
        <v>383</v>
      </c>
      <c r="J5" s="235" t="s">
        <v>343</v>
      </c>
      <c r="K5" s="235" t="s">
        <v>384</v>
      </c>
      <c r="L5" s="235" t="s">
        <v>341</v>
      </c>
    </row>
    <row r="6" spans="2:12" ht="13.5" thickBot="1">
      <c r="B6" s="74" t="s">
        <v>348</v>
      </c>
      <c r="C6" s="74" t="s">
        <v>349</v>
      </c>
      <c r="D6" s="74"/>
      <c r="E6" s="74" t="s">
        <v>351</v>
      </c>
      <c r="F6" s="74"/>
      <c r="G6" s="74" t="s">
        <v>385</v>
      </c>
      <c r="H6" s="236" t="s">
        <v>386</v>
      </c>
      <c r="I6" s="236"/>
      <c r="J6" s="236"/>
      <c r="K6" s="236"/>
      <c r="L6" s="236"/>
    </row>
    <row r="7" spans="2:12" ht="15.95" customHeight="1">
      <c r="B7" s="81" t="str">
        <f>AGR_Proc!D43</f>
        <v>AGR_FERT_N_INORG</v>
      </c>
      <c r="C7" s="81" t="str">
        <f>AGR_Proc!E43</f>
        <v>AGR_FERT_N_INORG</v>
      </c>
      <c r="D7" s="87" t="str">
        <f>AGR_Comm!$D$65</f>
        <v>AGR_DUMMY_NRG_LAND</v>
      </c>
      <c r="E7" s="87" t="str">
        <f>AGR_Comm!$D$66</f>
        <v>AGR_DUMMY_DMD_LAND</v>
      </c>
      <c r="F7" s="87" t="str">
        <f>AGR_Comm!$D$34</f>
        <v>AGR_N2O</v>
      </c>
      <c r="G7" s="87">
        <v>100</v>
      </c>
      <c r="H7" s="87">
        <v>3.3536446309540635E-3</v>
      </c>
      <c r="I7" s="87">
        <v>3.3536446309540635E-3</v>
      </c>
      <c r="J7" s="87">
        <v>1</v>
      </c>
      <c r="K7" s="87">
        <v>1</v>
      </c>
      <c r="L7" s="81">
        <v>1</v>
      </c>
    </row>
    <row r="8" spans="2:12" ht="15.95" customHeight="1">
      <c r="B8" s="79" t="str">
        <f>AGR_Proc!D44</f>
        <v>AGR_FERT_N_MANURE</v>
      </c>
      <c r="C8" s="79" t="str">
        <f>AGR_Proc!E44</f>
        <v>AGR_FERT_N_MANURE</v>
      </c>
      <c r="D8" s="79" t="str">
        <f>AGR_Comm!$D$65</f>
        <v>AGR_DUMMY_NRG_LAND</v>
      </c>
      <c r="E8" s="79" t="str">
        <f>AGR_Comm!$D$66</f>
        <v>AGR_DUMMY_DMD_LAND</v>
      </c>
      <c r="F8" s="79" t="str">
        <f>AGR_Comm!$D$34</f>
        <v>AGR_N2O</v>
      </c>
      <c r="G8" s="79">
        <v>100</v>
      </c>
      <c r="H8" s="79">
        <v>1.3636721995992276E-3</v>
      </c>
      <c r="I8" s="79">
        <v>1.3636721995992276E-3</v>
      </c>
      <c r="J8" s="79">
        <v>1</v>
      </c>
      <c r="K8" s="79">
        <v>1</v>
      </c>
      <c r="L8" s="79">
        <v>1</v>
      </c>
    </row>
    <row r="9" spans="2:12" ht="15.95" customHeight="1">
      <c r="B9" s="81" t="str">
        <f>AGR_Proc!D45</f>
        <v>AGR_FERT_N_SLUDGE</v>
      </c>
      <c r="C9" s="81" t="str">
        <f>AGR_Proc!E45</f>
        <v>AGR_FERT_N_SLUDGE</v>
      </c>
      <c r="D9" s="81" t="str">
        <f>AGR_Comm!$D$65</f>
        <v>AGR_DUMMY_NRG_LAND</v>
      </c>
      <c r="E9" s="81" t="str">
        <f>AGR_Comm!$D$66</f>
        <v>AGR_DUMMY_DMD_LAND</v>
      </c>
      <c r="F9" s="81" t="str">
        <f>AGR_Comm!$D$34</f>
        <v>AGR_N2O</v>
      </c>
      <c r="G9" s="81">
        <v>100</v>
      </c>
      <c r="H9" s="81">
        <v>1.6167876959150761E-5</v>
      </c>
      <c r="I9" s="81">
        <v>1.6167876959150761E-5</v>
      </c>
      <c r="J9" s="81">
        <v>1</v>
      </c>
      <c r="K9" s="81">
        <v>1</v>
      </c>
      <c r="L9" s="81">
        <v>1</v>
      </c>
    </row>
    <row r="10" spans="2:12" ht="15.95" customHeight="1">
      <c r="B10" s="79" t="str">
        <f>AGR_Proc!D46</f>
        <v>AGR_FERT_N_URINE</v>
      </c>
      <c r="C10" s="79" t="str">
        <f>AGR_Proc!E46</f>
        <v>AGR_FERT_N_URINE</v>
      </c>
      <c r="D10" s="79" t="str">
        <f>AGR_Comm!$D$65</f>
        <v>AGR_DUMMY_NRG_LAND</v>
      </c>
      <c r="E10" s="79" t="str">
        <f>AGR_Comm!$D$66</f>
        <v>AGR_DUMMY_DMD_LAND</v>
      </c>
      <c r="F10" s="79" t="str">
        <f>AGR_Comm!$D$34</f>
        <v>AGR_N2O</v>
      </c>
      <c r="G10" s="79">
        <v>100</v>
      </c>
      <c r="H10" s="79">
        <v>3.5521265615012299E-4</v>
      </c>
      <c r="I10" s="79">
        <v>3.5521265615012299E-4</v>
      </c>
      <c r="J10" s="79">
        <v>1</v>
      </c>
      <c r="K10" s="79">
        <v>1</v>
      </c>
      <c r="L10" s="79">
        <v>1</v>
      </c>
    </row>
    <row r="11" spans="2:12" ht="15.95" customHeight="1">
      <c r="B11" s="81" t="str">
        <f>AGR_Proc!D47</f>
        <v>AGR_FERT_N_CROP-RES</v>
      </c>
      <c r="C11" s="81" t="str">
        <f>AGR_Proc!E47</f>
        <v>AGR_FERT_N_CROP-RES</v>
      </c>
      <c r="D11" s="81" t="str">
        <f>AGR_Comm!$D$65</f>
        <v>AGR_DUMMY_NRG_LAND</v>
      </c>
      <c r="E11" s="81" t="str">
        <f>AGR_Comm!$D$66</f>
        <v>AGR_DUMMY_DMD_LAND</v>
      </c>
      <c r="F11" s="81" t="str">
        <f>AGR_Comm!$D$34</f>
        <v>AGR_N2O</v>
      </c>
      <c r="G11" s="81">
        <v>100</v>
      </c>
      <c r="H11" s="81">
        <v>1.3317292501199591E-3</v>
      </c>
      <c r="I11" s="81">
        <v>1.3317292501199591E-3</v>
      </c>
      <c r="J11" s="81">
        <v>1</v>
      </c>
      <c r="K11" s="81">
        <v>1</v>
      </c>
      <c r="L11" s="81">
        <v>1</v>
      </c>
    </row>
    <row r="12" spans="2:12" ht="15.95" customHeight="1">
      <c r="B12" s="79" t="str">
        <f>AGR_Proc!D48</f>
        <v>AGR_FERT_N_MIN</v>
      </c>
      <c r="C12" s="79" t="str">
        <f>AGR_Proc!E48</f>
        <v>AGR_FERT_N_MIN</v>
      </c>
      <c r="D12" s="79" t="str">
        <f>AGR_Comm!$D$65</f>
        <v>AGR_DUMMY_NRG_LAND</v>
      </c>
      <c r="E12" s="79" t="str">
        <f>AGR_Comm!$D$66</f>
        <v>AGR_DUMMY_DMD_LAND</v>
      </c>
      <c r="F12" s="79" t="str">
        <f>AGR_Comm!$D$34</f>
        <v>AGR_N2O</v>
      </c>
      <c r="G12" s="79">
        <v>100</v>
      </c>
      <c r="H12" s="79">
        <v>3.3444092997706812E-5</v>
      </c>
      <c r="I12" s="79">
        <v>3.3444092997706812E-5</v>
      </c>
      <c r="J12" s="79">
        <v>1</v>
      </c>
      <c r="K12" s="79">
        <v>1</v>
      </c>
      <c r="L12" s="79">
        <v>1</v>
      </c>
    </row>
    <row r="13" spans="2:12" ht="15.95" customHeight="1">
      <c r="B13" s="81" t="str">
        <f>AGR_Proc!D49</f>
        <v>AGR_FERT_N_CULT</v>
      </c>
      <c r="C13" s="81" t="str">
        <f>AGR_Proc!E49</f>
        <v>AGR_FERT_N_CULT</v>
      </c>
      <c r="D13" s="81" t="str">
        <f>AGR_Comm!$D$65</f>
        <v>AGR_DUMMY_NRG_LAND</v>
      </c>
      <c r="E13" s="81" t="str">
        <f>AGR_Comm!$D$66</f>
        <v>AGR_DUMMY_DMD_LAND</v>
      </c>
      <c r="F13" s="81" t="str">
        <f>AGR_Comm!$D$34</f>
        <v>AGR_N2O</v>
      </c>
      <c r="G13" s="81">
        <v>100</v>
      </c>
      <c r="H13" s="81">
        <v>2.3921301121307636E-3</v>
      </c>
      <c r="I13" s="81">
        <v>2.3921301121307636E-3</v>
      </c>
      <c r="J13" s="81">
        <v>1</v>
      </c>
      <c r="K13" s="81">
        <v>1</v>
      </c>
      <c r="L13" s="81">
        <v>1</v>
      </c>
    </row>
    <row r="14" spans="2:12" ht="15.95" customHeight="1">
      <c r="B14" s="79" t="str">
        <f>AGR_Proc!D50</f>
        <v>AGR_FERT_N_ATM-DEP</v>
      </c>
      <c r="C14" s="79" t="str">
        <f>AGR_Proc!E50</f>
        <v>AGR_FERT_N_ATM-DEP</v>
      </c>
      <c r="D14" s="79" t="str">
        <f>AGR_Comm!$D$65</f>
        <v>AGR_DUMMY_NRG_LAND</v>
      </c>
      <c r="E14" s="79" t="str">
        <f>AGR_Comm!$D$66</f>
        <v>AGR_DUMMY_DMD_LAND</v>
      </c>
      <c r="F14" s="79" t="str">
        <f>AGR_Comm!$D$34</f>
        <v>AGR_N2O</v>
      </c>
      <c r="G14" s="79">
        <v>100</v>
      </c>
      <c r="H14" s="79">
        <v>6.474598752018464E-4</v>
      </c>
      <c r="I14" s="79">
        <v>6.474598752018464E-4</v>
      </c>
      <c r="J14" s="79">
        <v>1</v>
      </c>
      <c r="K14" s="79">
        <v>1</v>
      </c>
      <c r="L14" s="79">
        <v>1</v>
      </c>
    </row>
    <row r="15" spans="2:12" ht="15.95" customHeight="1" thickBot="1">
      <c r="B15" s="230" t="str">
        <f>AGR_Proc!D51</f>
        <v>AGR_FERT_N_NITR-LEACH</v>
      </c>
      <c r="C15" s="230" t="str">
        <f>AGR_Proc!E51</f>
        <v>AGR_FERT_N_NITR-LEACH</v>
      </c>
      <c r="D15" s="230" t="str">
        <f>AGR_Comm!$D$65</f>
        <v>AGR_DUMMY_NRG_LAND</v>
      </c>
      <c r="E15" s="230" t="str">
        <f>AGR_Comm!$D$66</f>
        <v>AGR_DUMMY_DMD_LAND</v>
      </c>
      <c r="F15" s="230" t="str">
        <f>AGR_Comm!$D$34</f>
        <v>AGR_N2O</v>
      </c>
      <c r="G15" s="230">
        <v>100</v>
      </c>
      <c r="H15" s="230">
        <v>1.4128413827858835E-3</v>
      </c>
      <c r="I15" s="230">
        <v>1.4128413827858835E-3</v>
      </c>
      <c r="J15" s="230">
        <v>1</v>
      </c>
      <c r="K15" s="230">
        <v>1</v>
      </c>
      <c r="L15" s="230">
        <v>1</v>
      </c>
    </row>
    <row r="17" spans="2:14">
      <c r="F17" s="243" t="s">
        <v>430</v>
      </c>
      <c r="G17" s="234"/>
    </row>
    <row r="18" spans="2:14" ht="38.25">
      <c r="B18" s="71" t="s">
        <v>179</v>
      </c>
      <c r="C18" s="72" t="s">
        <v>358</v>
      </c>
      <c r="D18" s="72" t="s">
        <v>305</v>
      </c>
      <c r="E18" s="71" t="s">
        <v>306</v>
      </c>
      <c r="F18" s="71" t="s">
        <v>338</v>
      </c>
      <c r="G18" s="73" t="s">
        <v>381</v>
      </c>
      <c r="H18" s="235" t="s">
        <v>387</v>
      </c>
      <c r="I18" s="235" t="s">
        <v>388</v>
      </c>
      <c r="J18" s="235" t="s">
        <v>343</v>
      </c>
      <c r="K18" s="235" t="s">
        <v>384</v>
      </c>
      <c r="L18" s="235" t="s">
        <v>341</v>
      </c>
    </row>
    <row r="19" spans="2:14" ht="13.5" thickBot="1">
      <c r="B19" s="74" t="s">
        <v>348</v>
      </c>
      <c r="C19" s="74" t="s">
        <v>349</v>
      </c>
      <c r="D19" s="74"/>
      <c r="E19" s="74" t="s">
        <v>351</v>
      </c>
      <c r="F19" s="74"/>
      <c r="G19" s="74" t="s">
        <v>385</v>
      </c>
      <c r="H19" s="236" t="s">
        <v>386</v>
      </c>
      <c r="I19" s="236"/>
      <c r="J19" s="236"/>
      <c r="K19" s="236"/>
      <c r="L19" s="236"/>
    </row>
    <row r="20" spans="2:14">
      <c r="B20" s="87" t="str">
        <f>AGR_Proc!D52</f>
        <v>AGR_LAND_FERT_CO2_LIM</v>
      </c>
      <c r="C20" s="87" t="str">
        <f>AGR_Proc!E52</f>
        <v>AGR_LAND_FERT_CO2_LIM</v>
      </c>
      <c r="D20" s="87" t="str">
        <f>AGR_Comm!$D$65</f>
        <v>AGR_DUMMY_NRG_LAND</v>
      </c>
      <c r="E20" s="87" t="str">
        <f>AGR_Comm!$D$66</f>
        <v>AGR_DUMMY_DMD_LAND</v>
      </c>
      <c r="F20" s="87" t="str">
        <f>AGR_Comm!$D$23</f>
        <v>AGR_CO2</v>
      </c>
      <c r="G20" s="87">
        <v>100</v>
      </c>
      <c r="H20" s="87">
        <v>0.13152132080584736</v>
      </c>
      <c r="I20" s="87">
        <v>0.13152132080584736</v>
      </c>
      <c r="J20" s="87">
        <v>1</v>
      </c>
      <c r="K20" s="87">
        <v>1</v>
      </c>
      <c r="L20" s="81">
        <v>1</v>
      </c>
    </row>
    <row r="21" spans="2:14">
      <c r="B21" s="79" t="str">
        <f>AGR_Proc!D53</f>
        <v>AGR_LAND_FERT_CO2_DOL</v>
      </c>
      <c r="C21" s="79" t="str">
        <f>AGR_Proc!E53</f>
        <v>AGR_LAND_FERT_CO2_DOL</v>
      </c>
      <c r="D21" s="79" t="str">
        <f>AGR_Comm!$D$65</f>
        <v>AGR_DUMMY_NRG_LAND</v>
      </c>
      <c r="E21" s="79" t="str">
        <f>AGR_Comm!$D$66</f>
        <v>AGR_DUMMY_DMD_LAND</v>
      </c>
      <c r="F21" s="79" t="str">
        <f>AGR_Comm!$D$23</f>
        <v>AGR_CO2</v>
      </c>
      <c r="G21" s="79">
        <v>100</v>
      </c>
      <c r="H21" s="79">
        <v>4.8130324585142367E-2</v>
      </c>
      <c r="I21" s="79">
        <v>4.8130324585142367E-2</v>
      </c>
      <c r="J21" s="79">
        <v>1</v>
      </c>
      <c r="K21" s="79">
        <v>1</v>
      </c>
      <c r="L21" s="79">
        <v>1</v>
      </c>
    </row>
    <row r="22" spans="2:14">
      <c r="B22" s="81" t="str">
        <f>AGR_Proc!D54</f>
        <v>AGR_LAND_FERT_CO2_UREA</v>
      </c>
      <c r="C22" s="81" t="str">
        <f>AGR_Proc!E54</f>
        <v>AGR_LAND_FERT_CO2_UREA</v>
      </c>
      <c r="D22" s="81" t="str">
        <f>AGR_Comm!$D$65</f>
        <v>AGR_DUMMY_NRG_LAND</v>
      </c>
      <c r="E22" s="81" t="str">
        <f>AGR_Comm!$D$66</f>
        <v>AGR_DUMMY_DMD_LAND</v>
      </c>
      <c r="F22" s="81" t="str">
        <f>AGR_Comm!$D$23</f>
        <v>AGR_CO2</v>
      </c>
      <c r="G22" s="81">
        <v>100</v>
      </c>
      <c r="H22" s="81">
        <v>8.9067158554401421E-2</v>
      </c>
      <c r="I22" s="81">
        <v>8.9067158554401421E-2</v>
      </c>
      <c r="J22" s="81">
        <v>1</v>
      </c>
      <c r="K22" s="81">
        <v>1</v>
      </c>
      <c r="L22" s="81">
        <v>1</v>
      </c>
    </row>
    <row r="23" spans="2:14" ht="13.5" thickBot="1">
      <c r="B23" s="82" t="str">
        <f>AGR_Proc!D55</f>
        <v>AGR_LAND_FERT_CO2_OTH</v>
      </c>
      <c r="C23" s="82" t="str">
        <f>AGR_Proc!E55</f>
        <v>AGR_LAND_FERT_CO2_OTH</v>
      </c>
      <c r="D23" s="82" t="str">
        <f>AGR_Comm!$D$65</f>
        <v>AGR_DUMMY_NRG_LAND</v>
      </c>
      <c r="E23" s="82" t="str">
        <f>AGR_Comm!$D$66</f>
        <v>AGR_DUMMY_DMD_LAND</v>
      </c>
      <c r="F23" s="82" t="str">
        <f>AGR_Comm!$D$23</f>
        <v>AGR_CO2</v>
      </c>
      <c r="G23" s="82">
        <v>100</v>
      </c>
      <c r="H23" s="82">
        <v>5.3429612525204687E-2</v>
      </c>
      <c r="I23" s="82">
        <v>5.3429612525204687E-2</v>
      </c>
      <c r="J23" s="82">
        <v>1</v>
      </c>
      <c r="K23" s="82">
        <v>1</v>
      </c>
      <c r="L23" s="82">
        <v>1</v>
      </c>
    </row>
    <row r="26" spans="2:14">
      <c r="F26" s="243" t="s">
        <v>430</v>
      </c>
      <c r="G26" s="234"/>
    </row>
    <row r="27" spans="2:14" ht="38.25">
      <c r="B27" s="71" t="s">
        <v>179</v>
      </c>
      <c r="C27" s="72" t="s">
        <v>358</v>
      </c>
      <c r="D27" s="72" t="s">
        <v>305</v>
      </c>
      <c r="E27" s="71" t="s">
        <v>306</v>
      </c>
      <c r="F27" s="71" t="s">
        <v>338</v>
      </c>
      <c r="G27" s="73" t="s">
        <v>381</v>
      </c>
      <c r="H27" s="235" t="s">
        <v>431</v>
      </c>
      <c r="I27" s="235" t="s">
        <v>432</v>
      </c>
      <c r="J27" s="235" t="s">
        <v>382</v>
      </c>
      <c r="K27" s="235" t="s">
        <v>383</v>
      </c>
      <c r="L27" s="235" t="s">
        <v>343</v>
      </c>
      <c r="M27" s="235" t="s">
        <v>384</v>
      </c>
      <c r="N27" s="235" t="s">
        <v>341</v>
      </c>
    </row>
    <row r="28" spans="2:14" ht="13.5" thickBot="1">
      <c r="B28" s="74" t="s">
        <v>348</v>
      </c>
      <c r="C28" s="74" t="s">
        <v>349</v>
      </c>
      <c r="D28" s="74"/>
      <c r="E28" s="74" t="s">
        <v>351</v>
      </c>
      <c r="F28" s="74"/>
      <c r="G28" s="74" t="s">
        <v>385</v>
      </c>
      <c r="H28" s="236" t="s">
        <v>386</v>
      </c>
      <c r="I28" s="236"/>
      <c r="J28" s="236" t="s">
        <v>386</v>
      </c>
      <c r="K28" s="236"/>
      <c r="L28" s="236"/>
      <c r="M28" s="236"/>
      <c r="N28" s="236"/>
    </row>
    <row r="29" spans="2:14" ht="15.95" customHeight="1">
      <c r="B29" s="87" t="str">
        <f>AGR_Proc!D56</f>
        <v>AGR_LAND_CROP_WHEAT</v>
      </c>
      <c r="C29" s="87" t="str">
        <f>AGR_Proc!E56</f>
        <v>AGR_LAND_CROP_WHEAT</v>
      </c>
      <c r="D29" s="87" t="str">
        <f>AGR_Comm!$D$65</f>
        <v>AGR_DUMMY_NRG_LAND</v>
      </c>
      <c r="E29" s="87" t="str">
        <f>AGR_Comm!$D$66</f>
        <v>AGR_DUMMY_DMD_LAND</v>
      </c>
      <c r="F29" s="87" t="str">
        <f>AGR_Comm!$D$37&amp;", "&amp;AGR_Comm!$D$34</f>
        <v>AGR_CH4_LAND, AGR_N2O</v>
      </c>
      <c r="G29" s="87">
        <v>100</v>
      </c>
      <c r="H29" s="87">
        <v>5.2190654887486986E-5</v>
      </c>
      <c r="I29" s="87">
        <v>5.2190654887486986E-5</v>
      </c>
      <c r="J29" s="87">
        <v>1.2056041278991983E-6</v>
      </c>
      <c r="K29" s="87">
        <v>1.2056041278991983E-6</v>
      </c>
      <c r="L29" s="87">
        <v>1</v>
      </c>
      <c r="M29" s="87">
        <v>1</v>
      </c>
      <c r="N29" s="87">
        <v>1</v>
      </c>
    </row>
    <row r="30" spans="2:14" ht="15.95" customHeight="1">
      <c r="B30" s="79"/>
      <c r="C30" s="79"/>
      <c r="D30" s="79"/>
      <c r="E30" s="79" t="str">
        <f>AGR_Comm!D47</f>
        <v>AGR_RESID_CROP_WHEAT</v>
      </c>
      <c r="F30" s="79"/>
      <c r="G30" s="79"/>
      <c r="H30" s="79"/>
      <c r="I30" s="79"/>
      <c r="J30" s="79"/>
      <c r="K30" s="79"/>
      <c r="L30" s="79"/>
      <c r="M30" s="79"/>
      <c r="N30" s="79"/>
    </row>
    <row r="31" spans="2:14" ht="15.95" customHeight="1">
      <c r="B31" s="81" t="str">
        <f>AGR_Proc!D57</f>
        <v>AGR_LAND_CROP_BARLEY</v>
      </c>
      <c r="C31" s="81" t="str">
        <f>AGR_Proc!E57</f>
        <v>AGR_LAND_CROP_BARLEY</v>
      </c>
      <c r="D31" s="81" t="str">
        <f>AGR_Comm!$D$65</f>
        <v>AGR_DUMMY_NRG_LAND</v>
      </c>
      <c r="E31" s="81" t="str">
        <f>AGR_Comm!$D$66</f>
        <v>AGR_DUMMY_DMD_LAND</v>
      </c>
      <c r="F31" s="81" t="str">
        <f>AGR_Comm!$D$37&amp;", "&amp;AGR_Comm!$D$34</f>
        <v>AGR_CH4_LAND, AGR_N2O</v>
      </c>
      <c r="G31" s="81">
        <v>100</v>
      </c>
      <c r="H31" s="81">
        <v>1.0543212063627382E-5</v>
      </c>
      <c r="I31" s="81">
        <v>1.0543212063627382E-5</v>
      </c>
      <c r="J31" s="81">
        <v>2.6094449857457963E-7</v>
      </c>
      <c r="K31" s="81">
        <v>2.6094449857457963E-7</v>
      </c>
      <c r="L31" s="81">
        <v>1</v>
      </c>
      <c r="M31" s="81">
        <v>1</v>
      </c>
      <c r="N31" s="81">
        <v>1</v>
      </c>
    </row>
    <row r="32" spans="2:14" ht="15.95" customHeight="1">
      <c r="B32" s="79"/>
      <c r="C32" s="79"/>
      <c r="D32" s="79"/>
      <c r="E32" s="79" t="str">
        <f>AGR_Comm!D48</f>
        <v>AGR_RESID_CROP_BARLEY</v>
      </c>
      <c r="F32" s="79"/>
      <c r="G32" s="79"/>
      <c r="H32" s="79"/>
      <c r="I32" s="79"/>
      <c r="J32" s="79"/>
      <c r="K32" s="79"/>
      <c r="L32" s="79"/>
      <c r="M32" s="79"/>
      <c r="N32" s="79"/>
    </row>
    <row r="33" spans="2:14" ht="15.95" customHeight="1">
      <c r="B33" s="81" t="str">
        <f>AGR_Proc!D58</f>
        <v>AGR_LAND_CROP_MAIZE</v>
      </c>
      <c r="C33" s="81" t="str">
        <f>AGR_Proc!E58</f>
        <v>AGR_LAND_CROP_MAIZE</v>
      </c>
      <c r="D33" s="81" t="str">
        <f>AGR_Comm!$D$65</f>
        <v>AGR_DUMMY_NRG_LAND</v>
      </c>
      <c r="E33" s="81" t="str">
        <f>AGR_Comm!$D$66</f>
        <v>AGR_DUMMY_DMD_LAND</v>
      </c>
      <c r="F33" s="81" t="str">
        <f>AGR_Comm!$D$37&amp;", "&amp;AGR_Comm!$D$34</f>
        <v>AGR_CH4_LAND, AGR_N2O</v>
      </c>
      <c r="G33" s="81">
        <v>100</v>
      </c>
      <c r="H33" s="81">
        <v>9.7131779652304633E-6</v>
      </c>
      <c r="I33" s="81">
        <v>9.7131779652304633E-6</v>
      </c>
      <c r="J33" s="81">
        <v>3.2053487285256779E-7</v>
      </c>
      <c r="K33" s="81">
        <v>3.2053487285256779E-7</v>
      </c>
      <c r="L33" s="81">
        <v>1</v>
      </c>
      <c r="M33" s="81">
        <v>1</v>
      </c>
      <c r="N33" s="81">
        <v>1</v>
      </c>
    </row>
    <row r="34" spans="2:14" ht="15.95" customHeight="1">
      <c r="B34" s="79"/>
      <c r="C34" s="79"/>
      <c r="D34" s="79"/>
      <c r="E34" s="79" t="str">
        <f>AGR_Comm!D49</f>
        <v>AGR_RESID_CROP_MAIZE</v>
      </c>
      <c r="F34" s="79"/>
      <c r="G34" s="79"/>
      <c r="H34" s="79"/>
      <c r="I34" s="79"/>
      <c r="J34" s="79"/>
      <c r="K34" s="79"/>
      <c r="L34" s="79"/>
      <c r="M34" s="79"/>
      <c r="N34" s="79"/>
    </row>
    <row r="35" spans="2:14" ht="15.95" customHeight="1">
      <c r="B35" s="81" t="str">
        <f>AGR_Proc!D59</f>
        <v>AGR_LAND_CROP_CER-MIX</v>
      </c>
      <c r="C35" s="81" t="str">
        <f>AGR_Proc!E59</f>
        <v>AGR_LAND_CROP_CER-MIX</v>
      </c>
      <c r="D35" s="81" t="str">
        <f>AGR_Comm!$D$65</f>
        <v>AGR_DUMMY_NRG_LAND</v>
      </c>
      <c r="E35" s="81" t="str">
        <f>AGR_Comm!$D$66</f>
        <v>AGR_DUMMY_DMD_LAND</v>
      </c>
      <c r="F35" s="81" t="str">
        <f>AGR_Comm!$D$37&amp;", "&amp;AGR_Comm!$D$34</f>
        <v>AGR_CH4_LAND, AGR_N2O</v>
      </c>
      <c r="G35" s="81">
        <v>100</v>
      </c>
      <c r="H35" s="81">
        <v>6.8122244192668335E-6</v>
      </c>
      <c r="I35" s="81">
        <v>6.8122244192668335E-6</v>
      </c>
      <c r="J35" s="81">
        <v>1.686025543769868E-7</v>
      </c>
      <c r="K35" s="81">
        <v>1.686025543769868E-7</v>
      </c>
      <c r="L35" s="81">
        <v>1</v>
      </c>
      <c r="M35" s="81">
        <v>1</v>
      </c>
      <c r="N35" s="81">
        <v>1</v>
      </c>
    </row>
    <row r="36" spans="2:14" ht="15.95" customHeight="1">
      <c r="B36" s="79"/>
      <c r="C36" s="79"/>
      <c r="D36" s="79"/>
      <c r="E36" s="79" t="str">
        <f>AGR_Comm!D50</f>
        <v>AGR_RESID_CROP_CER-MIX</v>
      </c>
      <c r="F36" s="79"/>
      <c r="G36" s="79"/>
      <c r="H36" s="79"/>
      <c r="I36" s="79"/>
      <c r="J36" s="79"/>
      <c r="K36" s="79"/>
      <c r="L36" s="79"/>
      <c r="M36" s="79"/>
      <c r="N36" s="79"/>
    </row>
    <row r="37" spans="2:14" ht="15.95" customHeight="1">
      <c r="B37" s="81" t="str">
        <f>AGR_Proc!D60</f>
        <v>AGR_LAND_CROP_TRITICALE</v>
      </c>
      <c r="C37" s="81" t="str">
        <f>AGR_Proc!E60</f>
        <v>AGR_LAND_CROP_TRITICALE</v>
      </c>
      <c r="D37" s="81" t="str">
        <f>AGR_Comm!$D$65</f>
        <v>AGR_DUMMY_NRG_LAND</v>
      </c>
      <c r="E37" s="81" t="str">
        <f>AGR_Comm!$D$66</f>
        <v>AGR_DUMMY_DMD_LAND</v>
      </c>
      <c r="F37" s="81" t="str">
        <f>AGR_Comm!$D$37&amp;", "&amp;AGR_Comm!$D$34</f>
        <v>AGR_CH4_LAND, AGR_N2O</v>
      </c>
      <c r="G37" s="81">
        <v>100</v>
      </c>
      <c r="H37" s="81">
        <v>3.1805444108375412E-5</v>
      </c>
      <c r="I37" s="81">
        <v>3.1805444108375412E-5</v>
      </c>
      <c r="J37" s="81">
        <v>6.8222677612290495E-7</v>
      </c>
      <c r="K37" s="81">
        <v>6.8222677612290495E-7</v>
      </c>
      <c r="L37" s="81">
        <v>1</v>
      </c>
      <c r="M37" s="81">
        <v>1</v>
      </c>
      <c r="N37" s="81">
        <v>1</v>
      </c>
    </row>
    <row r="38" spans="2:14" ht="15.95" customHeight="1">
      <c r="B38" s="79"/>
      <c r="C38" s="79"/>
      <c r="D38" s="79"/>
      <c r="E38" s="79" t="str">
        <f>AGR_Comm!D51</f>
        <v>AGR_RESID_CROP_TRITICALE</v>
      </c>
      <c r="F38" s="79"/>
      <c r="G38" s="79"/>
      <c r="H38" s="79"/>
      <c r="I38" s="79"/>
      <c r="J38" s="79"/>
      <c r="K38" s="79"/>
      <c r="L38" s="79"/>
      <c r="M38" s="79"/>
      <c r="N38" s="79"/>
    </row>
    <row r="39" spans="2:14" ht="15.95" customHeight="1">
      <c r="B39" s="81" t="str">
        <f>AGR_Proc!D61</f>
        <v>AGR_LAND_CROP_OATS</v>
      </c>
      <c r="C39" s="81" t="str">
        <f>AGR_Proc!E61</f>
        <v>AGR_LAND_CROP_OATS</v>
      </c>
      <c r="D39" s="81" t="str">
        <f>AGR_Comm!$D$65</f>
        <v>AGR_DUMMY_NRG_LAND</v>
      </c>
      <c r="E39" s="81" t="str">
        <f>AGR_Comm!$D$66</f>
        <v>AGR_DUMMY_DMD_LAND</v>
      </c>
      <c r="F39" s="81" t="str">
        <f>AGR_Comm!$D$37&amp;", "&amp;AGR_Comm!$D$34</f>
        <v>AGR_CH4_LAND, AGR_N2O</v>
      </c>
      <c r="G39" s="81">
        <v>100</v>
      </c>
      <c r="H39" s="81">
        <v>6.5948072611621237E-6</v>
      </c>
      <c r="I39" s="81">
        <v>6.5948072611621237E-6</v>
      </c>
      <c r="J39" s="81">
        <v>1.7410291169391991E-7</v>
      </c>
      <c r="K39" s="81">
        <v>1.7410291169391991E-7</v>
      </c>
      <c r="L39" s="81">
        <v>1</v>
      </c>
      <c r="M39" s="81">
        <v>1</v>
      </c>
      <c r="N39" s="81">
        <v>1</v>
      </c>
    </row>
    <row r="40" spans="2:14" ht="15.95" customHeight="1">
      <c r="B40" s="79"/>
      <c r="C40" s="79"/>
      <c r="D40" s="79"/>
      <c r="E40" s="79" t="str">
        <f>AGR_Comm!D52</f>
        <v>AGR_RESID_CROP_OATS</v>
      </c>
      <c r="F40" s="79"/>
      <c r="G40" s="79"/>
      <c r="H40" s="79"/>
      <c r="I40" s="79"/>
      <c r="J40" s="79"/>
      <c r="K40" s="79"/>
      <c r="L40" s="79"/>
      <c r="M40" s="79"/>
      <c r="N40" s="79"/>
    </row>
    <row r="41" spans="2:14" ht="15.95" customHeight="1">
      <c r="B41" s="81" t="str">
        <f>AGR_Proc!D62</f>
        <v>AGR_LAND_CROP_RYE</v>
      </c>
      <c r="C41" s="81" t="str">
        <f>AGR_Proc!E62</f>
        <v>AGR_LAND_CROP_RYE</v>
      </c>
      <c r="D41" s="81" t="str">
        <f>AGR_Comm!$D$65</f>
        <v>AGR_DUMMY_NRG_LAND</v>
      </c>
      <c r="E41" s="81" t="str">
        <f>AGR_Comm!$D$66</f>
        <v>AGR_DUMMY_DMD_LAND</v>
      </c>
      <c r="F41" s="81" t="str">
        <f>AGR_Comm!$D$37&amp;", "&amp;AGR_Comm!$D$34</f>
        <v>AGR_CH4_LAND, AGR_N2O</v>
      </c>
      <c r="G41" s="81">
        <v>100</v>
      </c>
      <c r="H41" s="81">
        <v>1.9127808748977898E-5</v>
      </c>
      <c r="I41" s="81">
        <v>1.9127808748977898E-5</v>
      </c>
      <c r="J41" s="81">
        <v>3.4716972879502483E-7</v>
      </c>
      <c r="K41" s="81">
        <v>3.4716972879502483E-7</v>
      </c>
      <c r="L41" s="81">
        <v>1</v>
      </c>
      <c r="M41" s="81">
        <v>1</v>
      </c>
      <c r="N41" s="81">
        <v>1</v>
      </c>
    </row>
    <row r="42" spans="2:14" ht="15.95" customHeight="1">
      <c r="B42" s="79"/>
      <c r="C42" s="79"/>
      <c r="D42" s="79"/>
      <c r="E42" s="79" t="str">
        <f>AGR_Comm!D53</f>
        <v>AGR_RESID_CROP_RYE</v>
      </c>
      <c r="F42" s="79"/>
      <c r="G42" s="79"/>
      <c r="H42" s="79"/>
      <c r="I42" s="79"/>
      <c r="J42" s="79"/>
      <c r="K42" s="79"/>
      <c r="L42" s="79"/>
      <c r="M42" s="79"/>
      <c r="N42" s="79"/>
    </row>
    <row r="43" spans="2:14" ht="15.95" customHeight="1">
      <c r="B43" s="81" t="str">
        <f>AGR_Proc!D63</f>
        <v>AGR_LAND_CROP_MILL-BUCK</v>
      </c>
      <c r="C43" s="81" t="str">
        <f>AGR_Proc!E63</f>
        <v>AGR_LAND_CROP_MILL-BUCK</v>
      </c>
      <c r="D43" s="81" t="str">
        <f>AGR_Comm!$D$65</f>
        <v>AGR_DUMMY_NRG_LAND</v>
      </c>
      <c r="E43" s="81" t="str">
        <f>AGR_Comm!$D$66</f>
        <v>AGR_DUMMY_DMD_LAND</v>
      </c>
      <c r="F43" s="81" t="str">
        <f>AGR_Comm!$D$37&amp;", "&amp;AGR_Comm!$D$34</f>
        <v>AGR_CH4_LAND, AGR_N2O</v>
      </c>
      <c r="G43" s="81">
        <v>100</v>
      </c>
      <c r="H43" s="81">
        <v>3.4600164354807657E-7</v>
      </c>
      <c r="I43" s="81">
        <v>3.4600164354807657E-7</v>
      </c>
      <c r="J43" s="81">
        <v>1.1418054237637824E-8</v>
      </c>
      <c r="K43" s="81">
        <v>1.1418054237637824E-8</v>
      </c>
      <c r="L43" s="81">
        <v>1</v>
      </c>
      <c r="M43" s="81">
        <v>1</v>
      </c>
      <c r="N43" s="81">
        <v>1</v>
      </c>
    </row>
    <row r="44" spans="2:14" ht="15.95" customHeight="1">
      <c r="B44" s="79"/>
      <c r="C44" s="79"/>
      <c r="D44" s="79"/>
      <c r="E44" s="79" t="str">
        <f>AGR_Comm!D54</f>
        <v>AGR_RESID_CROP_MILL-BUCK</v>
      </c>
      <c r="F44" s="79"/>
      <c r="G44" s="79"/>
      <c r="H44" s="79"/>
      <c r="I44" s="79"/>
      <c r="J44" s="79"/>
      <c r="K44" s="79"/>
      <c r="L44" s="79"/>
      <c r="M44" s="79"/>
      <c r="N44" s="79"/>
    </row>
    <row r="45" spans="2:14" ht="15.95" customHeight="1">
      <c r="B45" s="81" t="str">
        <f>AGR_Proc!D64</f>
        <v>AGR_LAND_CROP_PULS-FEED</v>
      </c>
      <c r="C45" s="81" t="str">
        <f>AGR_Proc!E64</f>
        <v>AGR_LAND_CROP_PULS-FEED</v>
      </c>
      <c r="D45" s="81" t="str">
        <f>AGR_Comm!$D$65</f>
        <v>AGR_DUMMY_NRG_LAND</v>
      </c>
      <c r="E45" s="81" t="str">
        <f>AGR_Comm!$D$66</f>
        <v>AGR_DUMMY_DMD_LAND</v>
      </c>
      <c r="F45" s="81" t="str">
        <f>AGR_Comm!$D$37&amp;", "&amp;AGR_Comm!$D$34</f>
        <v>AGR_CH4_LAND, AGR_N2O</v>
      </c>
      <c r="G45" s="81">
        <v>100</v>
      </c>
      <c r="H45" s="81">
        <v>5.4344040380146997E-7</v>
      </c>
      <c r="I45" s="81">
        <v>5.4344040380146997E-7</v>
      </c>
      <c r="J45" s="81">
        <v>4.0350449981075072E-8</v>
      </c>
      <c r="K45" s="81">
        <v>4.0350449981075072E-8</v>
      </c>
      <c r="L45" s="81">
        <v>1</v>
      </c>
      <c r="M45" s="81">
        <v>1</v>
      </c>
      <c r="N45" s="81">
        <v>1</v>
      </c>
    </row>
    <row r="46" spans="2:14" ht="15.95" customHeight="1">
      <c r="B46" s="79"/>
      <c r="C46" s="79"/>
      <c r="D46" s="79"/>
      <c r="E46" s="79" t="str">
        <f>AGR_Comm!D55</f>
        <v>AGR_RESID_CROP_PULS-FEED</v>
      </c>
      <c r="F46" s="79"/>
      <c r="G46" s="79"/>
      <c r="H46" s="79"/>
      <c r="I46" s="79"/>
      <c r="J46" s="79"/>
      <c r="K46" s="79"/>
      <c r="L46" s="79"/>
      <c r="M46" s="79"/>
      <c r="N46" s="79"/>
    </row>
    <row r="47" spans="2:14" ht="15.95" customHeight="1">
      <c r="B47" s="81" t="str">
        <f>AGR_Proc!D65</f>
        <v>AGR_LAND_CROP_PULS-EDIB</v>
      </c>
      <c r="C47" s="81" t="str">
        <f>AGR_Proc!E65</f>
        <v>AGR_LAND_CROP_PULS-EDIB</v>
      </c>
      <c r="D47" s="81" t="str">
        <f>AGR_Comm!$D$65</f>
        <v>AGR_DUMMY_NRG_LAND</v>
      </c>
      <c r="E47" s="81" t="str">
        <f>AGR_Comm!$D$66</f>
        <v>AGR_DUMMY_DMD_LAND</v>
      </c>
      <c r="F47" s="81" t="str">
        <f>AGR_Comm!$D$37&amp;", "&amp;AGR_Comm!$D$34</f>
        <v>AGR_CH4_LAND, AGR_N2O</v>
      </c>
      <c r="G47" s="81">
        <v>100</v>
      </c>
      <c r="H47" s="81">
        <v>1.4840557391618781E-7</v>
      </c>
      <c r="I47" s="81">
        <v>1.4840557391618781E-7</v>
      </c>
      <c r="J47" s="81">
        <v>9.794767876932654E-9</v>
      </c>
      <c r="K47" s="81">
        <v>9.794767876932654E-9</v>
      </c>
      <c r="L47" s="81">
        <v>1</v>
      </c>
      <c r="M47" s="81">
        <v>1</v>
      </c>
      <c r="N47" s="81">
        <v>1</v>
      </c>
    </row>
    <row r="48" spans="2:14" ht="15.95" customHeight="1">
      <c r="B48" s="79"/>
      <c r="C48" s="79"/>
      <c r="D48" s="79"/>
      <c r="E48" s="79" t="str">
        <f>AGR_Comm!D56</f>
        <v>AGR_RESID_CROP_PULS-EDIB</v>
      </c>
      <c r="F48" s="79"/>
      <c r="G48" s="79"/>
      <c r="H48" s="79"/>
      <c r="I48" s="79"/>
      <c r="J48" s="79"/>
      <c r="K48" s="79"/>
      <c r="L48" s="79"/>
      <c r="M48" s="79"/>
      <c r="N48" s="79"/>
    </row>
    <row r="49" spans="2:14" ht="15.95" customHeight="1">
      <c r="B49" s="81" t="str">
        <f>AGR_Proc!D66</f>
        <v>AGR_LAND_CROP_POTATO</v>
      </c>
      <c r="C49" s="81" t="str">
        <f>AGR_Proc!E66</f>
        <v>AGR_LAND_CROP_POTATO</v>
      </c>
      <c r="D49" s="81" t="str">
        <f>AGR_Comm!$D$65</f>
        <v>AGR_DUMMY_NRG_LAND</v>
      </c>
      <c r="E49" s="81" t="str">
        <f>AGR_Comm!$D$66</f>
        <v>AGR_DUMMY_DMD_LAND</v>
      </c>
      <c r="F49" s="81" t="str">
        <f>AGR_Comm!$D$37&amp;", "&amp;AGR_Comm!$D$34</f>
        <v>AGR_CH4_LAND, AGR_N2O</v>
      </c>
      <c r="G49" s="81">
        <v>100</v>
      </c>
      <c r="H49" s="81">
        <v>1.7870689958769679E-5</v>
      </c>
      <c r="I49" s="81">
        <v>1.7870689958769679E-5</v>
      </c>
      <c r="J49" s="81">
        <v>1.4153586447355441E-6</v>
      </c>
      <c r="K49" s="81">
        <v>1.4153586447355441E-6</v>
      </c>
      <c r="L49" s="81">
        <v>1</v>
      </c>
      <c r="M49" s="81">
        <v>1</v>
      </c>
      <c r="N49" s="81">
        <v>1</v>
      </c>
    </row>
    <row r="50" spans="2:14" ht="15.95" customHeight="1">
      <c r="B50" s="79"/>
      <c r="C50" s="79"/>
      <c r="D50" s="79"/>
      <c r="E50" s="79" t="str">
        <f>AGR_Comm!D57</f>
        <v>AGR_RESID_CROP_POTATO</v>
      </c>
      <c r="F50" s="79"/>
      <c r="G50" s="79"/>
      <c r="H50" s="79"/>
      <c r="I50" s="79"/>
      <c r="J50" s="79"/>
      <c r="K50" s="79"/>
      <c r="L50" s="79"/>
      <c r="M50" s="79"/>
      <c r="N50" s="79"/>
    </row>
    <row r="51" spans="2:14" ht="15.95" customHeight="1">
      <c r="B51" s="81" t="str">
        <f>AGR_Proc!D67</f>
        <v>AGR_LAND_CROP_STR-HAY</v>
      </c>
      <c r="C51" s="81" t="str">
        <f>AGR_Proc!E67</f>
        <v>AGR_LAND_CROP_STR-HAY</v>
      </c>
      <c r="D51" s="81" t="str">
        <f>AGR_Comm!$D$65</f>
        <v>AGR_DUMMY_NRG_LAND</v>
      </c>
      <c r="E51" s="81" t="str">
        <f>AGR_Comm!$D$66</f>
        <v>AGR_DUMMY_DMD_LAND</v>
      </c>
      <c r="F51" s="81" t="str">
        <f>AGR_Comm!$D$37&amp;", "&amp;AGR_Comm!$D$34</f>
        <v>AGR_CH4_LAND, AGR_N2O</v>
      </c>
      <c r="G51" s="81">
        <v>100</v>
      </c>
      <c r="H51" s="81">
        <v>8.8885820535841816E-7</v>
      </c>
      <c r="I51" s="81">
        <v>8.8885820535841816E-7</v>
      </c>
      <c r="J51" s="81">
        <v>6.5586974318359916E-8</v>
      </c>
      <c r="K51" s="81">
        <v>6.5586974318359916E-8</v>
      </c>
      <c r="L51" s="81">
        <v>1</v>
      </c>
      <c r="M51" s="81">
        <v>1</v>
      </c>
      <c r="N51" s="81">
        <v>1</v>
      </c>
    </row>
    <row r="52" spans="2:14" ht="15.95" customHeight="1">
      <c r="B52" s="79"/>
      <c r="C52" s="79"/>
      <c r="D52" s="79"/>
      <c r="E52" s="79" t="str">
        <f>AGR_Comm!D58</f>
        <v>AGR_RESID_CROP_STR-HAY</v>
      </c>
      <c r="F52" s="79"/>
      <c r="G52" s="79"/>
      <c r="H52" s="79"/>
      <c r="I52" s="79"/>
      <c r="J52" s="79"/>
      <c r="K52" s="79"/>
      <c r="L52" s="79"/>
      <c r="M52" s="79"/>
      <c r="N52" s="79"/>
    </row>
    <row r="53" spans="2:14" ht="15.95" customHeight="1">
      <c r="B53" s="81" t="str">
        <f>AGR_Proc!D68</f>
        <v>AGR_LAND_CROP_OIL</v>
      </c>
      <c r="C53" s="81" t="str">
        <f>AGR_Proc!E68</f>
        <v>AGR_LAND_CROP_OIL</v>
      </c>
      <c r="D53" s="81" t="str">
        <f>AGR_Comm!$D$65</f>
        <v>AGR_DUMMY_NRG_LAND</v>
      </c>
      <c r="E53" s="81" t="str">
        <f>AGR_Comm!$D$66</f>
        <v>AGR_DUMMY_DMD_LAND</v>
      </c>
      <c r="F53" s="81" t="str">
        <f>AGR_Comm!$D$37&amp;", "&amp;AGR_Comm!$D$34</f>
        <v>AGR_CH4_LAND, AGR_N2O</v>
      </c>
      <c r="G53" s="81">
        <v>100</v>
      </c>
      <c r="H53" s="81">
        <v>1.0698252569293763E-4</v>
      </c>
      <c r="I53" s="81">
        <v>1.0698252569293763E-4</v>
      </c>
      <c r="J53" s="81">
        <v>2.6478175109012766E-6</v>
      </c>
      <c r="K53" s="81">
        <v>2.6478175109012766E-6</v>
      </c>
      <c r="L53" s="81">
        <v>1</v>
      </c>
      <c r="M53" s="81">
        <v>1</v>
      </c>
      <c r="N53" s="81">
        <v>1</v>
      </c>
    </row>
    <row r="54" spans="2:14" ht="15.95" customHeight="1">
      <c r="B54" s="79"/>
      <c r="C54" s="79"/>
      <c r="D54" s="79"/>
      <c r="E54" s="79" t="str">
        <f>AGR_Comm!D59</f>
        <v>AGR_RESID_CROP_OIL</v>
      </c>
      <c r="F54" s="79"/>
      <c r="G54" s="79"/>
      <c r="H54" s="79"/>
      <c r="I54" s="79"/>
      <c r="J54" s="79"/>
      <c r="K54" s="79"/>
      <c r="L54" s="79"/>
      <c r="M54" s="79"/>
      <c r="N54" s="79"/>
    </row>
    <row r="55" spans="2:14" ht="15.95" customHeight="1">
      <c r="B55" s="81" t="str">
        <f>AGR_Proc!D69</f>
        <v>AGR_LAND_CROP_FRUIT</v>
      </c>
      <c r="C55" s="81" t="str">
        <f>AGR_Proc!E69</f>
        <v>AGR_LAND_CROP_FRUIT</v>
      </c>
      <c r="D55" s="81" t="str">
        <f>AGR_Comm!$D$65</f>
        <v>AGR_DUMMY_NRG_LAND</v>
      </c>
      <c r="E55" s="81" t="str">
        <f>AGR_Comm!$D$66</f>
        <v>AGR_DUMMY_DMD_LAND</v>
      </c>
      <c r="F55" s="81" t="str">
        <f>AGR_Comm!$D$37&amp;", "&amp;AGR_Comm!$D$34</f>
        <v>AGR_CH4_LAND, AGR_N2O</v>
      </c>
      <c r="G55" s="81">
        <v>100</v>
      </c>
      <c r="H55" s="81">
        <v>1.458109870461051E-4</v>
      </c>
      <c r="I55" s="81">
        <v>1.458109870461051E-4</v>
      </c>
      <c r="J55" s="81">
        <v>7.9394082446589912E-6</v>
      </c>
      <c r="K55" s="81">
        <v>7.9394082446589912E-6</v>
      </c>
      <c r="L55" s="81">
        <v>1</v>
      </c>
      <c r="M55" s="81">
        <v>1</v>
      </c>
      <c r="N55" s="81">
        <v>1</v>
      </c>
    </row>
    <row r="56" spans="2:14" ht="15.95" customHeight="1">
      <c r="B56" s="79"/>
      <c r="C56" s="79"/>
      <c r="D56" s="79"/>
      <c r="E56" s="79" t="str">
        <f>AGR_Comm!D60</f>
        <v>AGR_RESID_CROP_FRUIT</v>
      </c>
      <c r="F56" s="79"/>
      <c r="G56" s="79"/>
      <c r="H56" s="79"/>
      <c r="I56" s="79"/>
      <c r="J56" s="79"/>
      <c r="K56" s="79"/>
      <c r="L56" s="79"/>
      <c r="M56" s="79"/>
      <c r="N56" s="79"/>
    </row>
    <row r="57" spans="2:14" ht="15.95" customHeight="1">
      <c r="B57" s="81" t="str">
        <f>AGR_Proc!D70</f>
        <v>AGR_LAND_CROP_VEG</v>
      </c>
      <c r="C57" s="81" t="str">
        <f>AGR_Proc!E70</f>
        <v>AGR_LAND_CROP_VEG</v>
      </c>
      <c r="D57" s="81" t="str">
        <f>AGR_Comm!$D$65</f>
        <v>AGR_DUMMY_NRG_LAND</v>
      </c>
      <c r="E57" s="81" t="str">
        <f>AGR_Comm!$D$66</f>
        <v>AGR_DUMMY_DMD_LAND</v>
      </c>
      <c r="F57" s="81" t="str">
        <f>AGR_Comm!$D$37&amp;", "&amp;AGR_Comm!$D$34</f>
        <v>AGR_CH4_LAND, AGR_N2O</v>
      </c>
      <c r="G57" s="81">
        <v>100</v>
      </c>
      <c r="H57" s="81">
        <v>3.2776806526922704E-6</v>
      </c>
      <c r="I57" s="81">
        <v>3.2776806526922704E-6</v>
      </c>
      <c r="J57" s="81">
        <v>3.0262276181009702E-7</v>
      </c>
      <c r="K57" s="81">
        <v>3.0262276181009702E-7</v>
      </c>
      <c r="L57" s="81">
        <v>1</v>
      </c>
      <c r="M57" s="81">
        <v>1</v>
      </c>
      <c r="N57" s="81">
        <v>1</v>
      </c>
    </row>
    <row r="58" spans="2:14" ht="15.95" customHeight="1" thickBot="1">
      <c r="B58" s="231"/>
      <c r="C58" s="231"/>
      <c r="D58" s="231"/>
      <c r="E58" s="231" t="str">
        <f>AGR_Comm!D61</f>
        <v>AGR_RESID_CROP_VEG</v>
      </c>
      <c r="F58" s="231"/>
      <c r="G58" s="231"/>
      <c r="H58" s="231"/>
      <c r="I58" s="231"/>
      <c r="J58" s="231"/>
      <c r="K58" s="231"/>
      <c r="L58" s="231"/>
      <c r="M58" s="231"/>
      <c r="N58" s="231"/>
    </row>
    <row r="61" spans="2:14">
      <c r="D61" s="243" t="s">
        <v>430</v>
      </c>
      <c r="E61" s="42"/>
    </row>
    <row r="62" spans="2:14">
      <c r="B62" s="71" t="s">
        <v>179</v>
      </c>
      <c r="C62" s="72" t="s">
        <v>358</v>
      </c>
      <c r="D62" s="71" t="s">
        <v>306</v>
      </c>
      <c r="E62" s="163" t="s">
        <v>359</v>
      </c>
    </row>
    <row r="63" spans="2:14" ht="13.5" thickBot="1">
      <c r="B63" s="74" t="s">
        <v>348</v>
      </c>
      <c r="C63" s="74" t="s">
        <v>349</v>
      </c>
      <c r="D63" s="74" t="s">
        <v>351</v>
      </c>
      <c r="E63" s="74" t="s">
        <v>361</v>
      </c>
    </row>
    <row r="64" spans="2:14">
      <c r="B64" s="87" t="str">
        <f>AGR_Proc!D30</f>
        <v>AGR_IMP_DUMMY_NRG_LAND</v>
      </c>
      <c r="C64" s="87" t="str">
        <f>AGR_Proc!E30</f>
        <v>Dummy Land Import</v>
      </c>
      <c r="D64" s="87" t="str">
        <f>AGR_Comm!$D$65</f>
        <v>AGR_DUMMY_NRG_LAND</v>
      </c>
      <c r="E64" s="87">
        <v>1E-3</v>
      </c>
    </row>
    <row r="65" spans="2:5" ht="13.5" thickBot="1">
      <c r="B65" s="82"/>
      <c r="C65" s="82"/>
      <c r="D65" s="82"/>
      <c r="E65" s="8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3007-BE58-43DC-BDC1-2D242E696328}">
  <dimension ref="A1:N50"/>
  <sheetViews>
    <sheetView topLeftCell="A18" zoomScale="145" zoomScaleNormal="145" workbookViewId="0">
      <selection activeCell="F56" sqref="F56"/>
    </sheetView>
  </sheetViews>
  <sheetFormatPr defaultRowHeight="12.75"/>
  <cols>
    <col min="1" max="1" width="3.28515625" customWidth="1"/>
    <col min="2" max="2" width="25.85546875" bestFit="1" customWidth="1"/>
  </cols>
  <sheetData>
    <row r="1" spans="2:14">
      <c r="B1" s="484" t="s">
        <v>868</v>
      </c>
      <c r="C1" s="484">
        <v>2024</v>
      </c>
      <c r="D1" s="484">
        <v>2025</v>
      </c>
      <c r="E1" s="484">
        <v>2030</v>
      </c>
      <c r="F1" s="484">
        <v>2035</v>
      </c>
      <c r="G1" s="484">
        <v>2040</v>
      </c>
      <c r="H1" s="484">
        <v>2045</v>
      </c>
      <c r="I1" s="484">
        <v>2050</v>
      </c>
    </row>
    <row r="2" spans="2:14">
      <c r="B2" s="484"/>
      <c r="C2" s="484"/>
      <c r="D2" s="484"/>
      <c r="E2" s="484"/>
      <c r="F2" s="484"/>
      <c r="G2" s="484"/>
      <c r="H2" s="484"/>
      <c r="I2" s="484"/>
    </row>
    <row r="3" spans="2:14">
      <c r="B3" s="484" t="s">
        <v>867</v>
      </c>
      <c r="C3" s="484">
        <v>13000</v>
      </c>
      <c r="D3" s="484">
        <v>12500</v>
      </c>
      <c r="E3" s="484">
        <v>10000</v>
      </c>
      <c r="F3" s="484">
        <v>7500</v>
      </c>
      <c r="G3" s="484">
        <v>5000</v>
      </c>
      <c r="H3" s="484">
        <v>2500</v>
      </c>
      <c r="I3" s="484">
        <v>0</v>
      </c>
    </row>
    <row r="4" spans="2:14">
      <c r="B4" s="484" t="s">
        <v>862</v>
      </c>
      <c r="C4" s="484">
        <v>160</v>
      </c>
      <c r="D4" s="484">
        <v>153.84615400000001</v>
      </c>
      <c r="E4" s="484">
        <v>123.07692299999999</v>
      </c>
      <c r="F4" s="484">
        <v>92.307692000000003</v>
      </c>
      <c r="G4" s="484">
        <v>61.538460999999998</v>
      </c>
      <c r="H4" s="484">
        <v>30.76923</v>
      </c>
      <c r="I4" s="484">
        <v>0</v>
      </c>
      <c r="M4" t="s">
        <v>35</v>
      </c>
      <c r="N4" t="s">
        <v>36</v>
      </c>
    </row>
    <row r="5" spans="2:14">
      <c r="B5" s="484" t="s">
        <v>859</v>
      </c>
      <c r="C5" s="484">
        <v>1847.8183999999999</v>
      </c>
      <c r="D5" s="484">
        <v>1815.21</v>
      </c>
      <c r="E5" s="484">
        <v>1652.1679999999999</v>
      </c>
      <c r="F5" s="484">
        <v>1489.126</v>
      </c>
      <c r="G5" s="484">
        <v>1326.0840000000001</v>
      </c>
      <c r="H5" s="484">
        <v>1163.0419999999999</v>
      </c>
      <c r="I5" s="484">
        <v>1000</v>
      </c>
      <c r="M5" t="s">
        <v>39</v>
      </c>
      <c r="N5" t="s">
        <v>40</v>
      </c>
    </row>
    <row r="6" spans="2:14">
      <c r="B6" s="484" t="s">
        <v>860</v>
      </c>
      <c r="C6" s="484">
        <v>16349.378145999999</v>
      </c>
      <c r="D6" s="484">
        <v>16105.171294</v>
      </c>
      <c r="E6" s="484">
        <v>14884.137035</v>
      </c>
      <c r="F6" s="484">
        <v>13663.102776</v>
      </c>
      <c r="G6" s="484">
        <v>12442.068517</v>
      </c>
      <c r="H6" s="484">
        <v>11221.034258</v>
      </c>
      <c r="I6" s="484">
        <v>10000</v>
      </c>
      <c r="M6" t="s">
        <v>41</v>
      </c>
      <c r="N6" t="s">
        <v>42</v>
      </c>
    </row>
    <row r="7" spans="2:14">
      <c r="B7" s="484" t="s">
        <v>951</v>
      </c>
      <c r="C7" s="484">
        <v>556.87785699999995</v>
      </c>
      <c r="D7" s="484">
        <v>823.92101600000001</v>
      </c>
      <c r="E7" s="484">
        <v>2159.1368130000001</v>
      </c>
      <c r="F7" s="484">
        <v>3494.3526099999999</v>
      </c>
      <c r="G7" s="484">
        <v>4829.5684069999998</v>
      </c>
      <c r="H7" s="484">
        <v>6164.7842039999996</v>
      </c>
      <c r="I7" s="484">
        <v>7500</v>
      </c>
      <c r="M7" t="s">
        <v>43</v>
      </c>
      <c r="N7" t="s">
        <v>44</v>
      </c>
    </row>
    <row r="8" spans="2:14">
      <c r="B8" s="484" t="s">
        <v>952</v>
      </c>
      <c r="C8" s="484">
        <v>41.778839999999995</v>
      </c>
      <c r="D8" s="484">
        <v>136.32580799999999</v>
      </c>
      <c r="E8" s="484">
        <v>609.06064600000002</v>
      </c>
      <c r="F8" s="484">
        <v>1081.795484</v>
      </c>
      <c r="G8" s="484">
        <v>1554.5303220000001</v>
      </c>
      <c r="H8" s="484">
        <v>2027.2651599999999</v>
      </c>
      <c r="I8" s="484">
        <v>2500</v>
      </c>
      <c r="M8" t="s">
        <v>45</v>
      </c>
      <c r="N8" t="s">
        <v>46</v>
      </c>
    </row>
    <row r="9" spans="2:14">
      <c r="B9" s="484" t="s">
        <v>863</v>
      </c>
      <c r="C9" s="484">
        <v>47.083199999999998</v>
      </c>
      <c r="D9" s="484">
        <v>45.272308000000002</v>
      </c>
      <c r="E9" s="484">
        <v>36.217846000000002</v>
      </c>
      <c r="F9" s="484">
        <v>27.163384000000001</v>
      </c>
      <c r="G9" s="484">
        <v>18.108922</v>
      </c>
      <c r="H9" s="484">
        <v>9.0544600000000006</v>
      </c>
      <c r="I9" s="484">
        <v>0</v>
      </c>
      <c r="M9" t="s">
        <v>48</v>
      </c>
      <c r="N9" t="s">
        <v>49</v>
      </c>
    </row>
    <row r="10" spans="2:14">
      <c r="B10" s="484" t="s">
        <v>864</v>
      </c>
      <c r="C10" s="484">
        <v>1840</v>
      </c>
      <c r="D10" s="484">
        <v>1788.461538</v>
      </c>
      <c r="E10" s="484">
        <v>1530.7692300000001</v>
      </c>
      <c r="F10" s="484">
        <v>1273.076922</v>
      </c>
      <c r="G10" s="484">
        <v>1015.3846140000001</v>
      </c>
      <c r="H10" s="484">
        <v>757.69230600000003</v>
      </c>
      <c r="I10" s="484">
        <v>500</v>
      </c>
      <c r="M10" t="s">
        <v>50</v>
      </c>
      <c r="N10" t="s">
        <v>51</v>
      </c>
    </row>
    <row r="11" spans="2:14">
      <c r="B11" s="484" t="s">
        <v>861</v>
      </c>
      <c r="C11" s="484">
        <v>103.137692</v>
      </c>
      <c r="D11" s="484">
        <v>103.01701199999999</v>
      </c>
      <c r="E11" s="484">
        <v>102.41361000000001</v>
      </c>
      <c r="F11" s="484">
        <v>101.810208</v>
      </c>
      <c r="G11" s="484">
        <v>101.206806</v>
      </c>
      <c r="H11" s="484">
        <v>100.603404</v>
      </c>
      <c r="I11" s="484">
        <v>100</v>
      </c>
      <c r="M11" t="s">
        <v>47</v>
      </c>
      <c r="N11" t="s">
        <v>52</v>
      </c>
    </row>
    <row r="12" spans="2:14">
      <c r="B12" s="484" t="s">
        <v>865</v>
      </c>
      <c r="C12" s="484">
        <v>85469.983900000007</v>
      </c>
      <c r="D12" s="484">
        <v>83759.599904000002</v>
      </c>
      <c r="E12" s="484">
        <v>75207.679923000003</v>
      </c>
      <c r="F12" s="484">
        <v>66655.759942000004</v>
      </c>
      <c r="G12" s="484">
        <v>58103.839960999998</v>
      </c>
      <c r="H12" s="484">
        <v>49551.919979999999</v>
      </c>
      <c r="I12" s="484">
        <v>41000</v>
      </c>
      <c r="M12" t="s">
        <v>53</v>
      </c>
      <c r="N12" t="s">
        <v>54</v>
      </c>
    </row>
    <row r="13" spans="2:14">
      <c r="B13" s="484" t="s">
        <v>866</v>
      </c>
      <c r="C13" s="484">
        <v>3094.61735</v>
      </c>
      <c r="D13" s="484">
        <v>2975.5936059999999</v>
      </c>
      <c r="E13" s="484">
        <v>2380.4748850000001</v>
      </c>
      <c r="F13" s="484">
        <v>1785.356164</v>
      </c>
      <c r="G13" s="484">
        <v>1190.237443</v>
      </c>
      <c r="H13" s="484">
        <v>595.11872200000005</v>
      </c>
      <c r="I13" s="484">
        <v>0</v>
      </c>
      <c r="M13" t="s">
        <v>55</v>
      </c>
      <c r="N13" t="s">
        <v>52</v>
      </c>
    </row>
    <row r="14" spans="2:14">
      <c r="B14" s="484" t="s">
        <v>677</v>
      </c>
      <c r="C14" s="484">
        <v>6300</v>
      </c>
      <c r="D14" s="484">
        <v>7057.6923079999997</v>
      </c>
      <c r="E14" s="484">
        <v>10846.153845999999</v>
      </c>
      <c r="F14" s="484">
        <v>14634.615384000001</v>
      </c>
      <c r="G14" s="484">
        <v>18423.076922</v>
      </c>
      <c r="H14" s="484">
        <v>22211.53846</v>
      </c>
      <c r="I14" s="484">
        <v>26000</v>
      </c>
      <c r="M14" t="s">
        <v>56</v>
      </c>
      <c r="N14" t="s">
        <v>57</v>
      </c>
    </row>
    <row r="15" spans="2:14">
      <c r="B15" s="484" t="s">
        <v>854</v>
      </c>
      <c r="C15" s="484">
        <v>620</v>
      </c>
      <c r="D15" s="484">
        <v>711.53846199999998</v>
      </c>
      <c r="E15" s="484">
        <v>1169.2307699999999</v>
      </c>
      <c r="F15" s="484">
        <v>1626.923078</v>
      </c>
      <c r="G15" s="484">
        <v>2084.6153859999999</v>
      </c>
      <c r="H15" s="484">
        <v>2542.3076940000001</v>
      </c>
      <c r="I15" s="484">
        <v>3000</v>
      </c>
      <c r="M15" t="s">
        <v>58</v>
      </c>
      <c r="N15" t="s">
        <v>59</v>
      </c>
    </row>
    <row r="16" spans="2:14">
      <c r="B16" s="484" t="s">
        <v>870</v>
      </c>
      <c r="C16" s="484">
        <v>129430.675385</v>
      </c>
      <c r="D16" s="484">
        <v>127975.64941</v>
      </c>
      <c r="E16" s="484">
        <v>120700.519527</v>
      </c>
      <c r="F16" s="484">
        <v>113425.38964400001</v>
      </c>
      <c r="G16" s="484">
        <v>106150.25976100001</v>
      </c>
      <c r="H16" s="484">
        <v>98875.129877999992</v>
      </c>
      <c r="I16" s="484">
        <v>91600</v>
      </c>
      <c r="M16" t="s">
        <v>60</v>
      </c>
      <c r="N16" t="s">
        <v>61</v>
      </c>
    </row>
    <row r="17" spans="2:14">
      <c r="M17" t="s">
        <v>62</v>
      </c>
      <c r="N17" t="s">
        <v>63</v>
      </c>
    </row>
    <row r="18" spans="2:14">
      <c r="B18" s="924"/>
      <c r="C18" s="924">
        <v>2024</v>
      </c>
      <c r="D18" s="924">
        <v>2025</v>
      </c>
      <c r="E18" s="924">
        <v>2030</v>
      </c>
      <c r="F18" s="924">
        <v>2035</v>
      </c>
      <c r="G18" s="924">
        <v>2040</v>
      </c>
      <c r="H18" s="924">
        <v>2045</v>
      </c>
      <c r="I18" s="924">
        <v>2050</v>
      </c>
      <c r="M18" t="s">
        <v>64</v>
      </c>
      <c r="N18" t="s">
        <v>65</v>
      </c>
    </row>
    <row r="19" spans="2:14">
      <c r="B19" s="484" t="s">
        <v>953</v>
      </c>
      <c r="C19" s="925">
        <f>C3</f>
        <v>13000</v>
      </c>
      <c r="D19" s="925">
        <f t="shared" ref="D19:I19" si="0">D3</f>
        <v>12500</v>
      </c>
      <c r="E19" s="925">
        <f t="shared" si="0"/>
        <v>10000</v>
      </c>
      <c r="F19" s="925">
        <f t="shared" si="0"/>
        <v>7500</v>
      </c>
      <c r="G19" s="925">
        <f t="shared" si="0"/>
        <v>5000</v>
      </c>
      <c r="H19" s="925">
        <f t="shared" si="0"/>
        <v>2500</v>
      </c>
      <c r="I19" s="925">
        <f t="shared" si="0"/>
        <v>0</v>
      </c>
      <c r="M19" t="s">
        <v>67</v>
      </c>
      <c r="N19" t="s">
        <v>68</v>
      </c>
    </row>
    <row r="20" spans="2:14">
      <c r="B20" s="484" t="s">
        <v>862</v>
      </c>
      <c r="C20" s="925">
        <f>C4</f>
        <v>160</v>
      </c>
      <c r="D20" s="925">
        <f t="shared" ref="D20:I20" si="1">D4</f>
        <v>153.84615400000001</v>
      </c>
      <c r="E20" s="925">
        <f t="shared" si="1"/>
        <v>123.07692299999999</v>
      </c>
      <c r="F20" s="925">
        <f t="shared" si="1"/>
        <v>92.307692000000003</v>
      </c>
      <c r="G20" s="925">
        <f t="shared" si="1"/>
        <v>61.538460999999998</v>
      </c>
      <c r="H20" s="925">
        <f t="shared" si="1"/>
        <v>30.76923</v>
      </c>
      <c r="I20" s="925">
        <f t="shared" si="1"/>
        <v>0</v>
      </c>
      <c r="M20" t="s">
        <v>71</v>
      </c>
      <c r="N20" t="s">
        <v>72</v>
      </c>
    </row>
    <row r="21" spans="2:14">
      <c r="B21" s="484" t="s">
        <v>954</v>
      </c>
      <c r="C21" s="925">
        <f>C5</f>
        <v>1847.8183999999999</v>
      </c>
      <c r="D21" s="925">
        <f t="shared" ref="D21:I21" si="2">D5</f>
        <v>1815.21</v>
      </c>
      <c r="E21" s="925">
        <f t="shared" si="2"/>
        <v>1652.1679999999999</v>
      </c>
      <c r="F21" s="925">
        <f t="shared" si="2"/>
        <v>1489.126</v>
      </c>
      <c r="G21" s="925">
        <f t="shared" si="2"/>
        <v>1326.0840000000001</v>
      </c>
      <c r="H21" s="925">
        <f t="shared" si="2"/>
        <v>1163.0419999999999</v>
      </c>
      <c r="I21" s="925">
        <f t="shared" si="2"/>
        <v>1000</v>
      </c>
      <c r="M21" t="s">
        <v>74</v>
      </c>
      <c r="N21" t="s">
        <v>75</v>
      </c>
    </row>
    <row r="22" spans="2:14">
      <c r="B22" s="484" t="s">
        <v>955</v>
      </c>
      <c r="C22" s="925">
        <f>C6+C9</f>
        <v>16396.461346</v>
      </c>
      <c r="D22" s="925">
        <f t="shared" ref="D22:I22" si="3">D6+D9</f>
        <v>16150.443601999999</v>
      </c>
      <c r="E22" s="925">
        <f t="shared" si="3"/>
        <v>14920.354880999999</v>
      </c>
      <c r="F22" s="925">
        <f t="shared" si="3"/>
        <v>13690.266159999999</v>
      </c>
      <c r="G22" s="925">
        <f t="shared" si="3"/>
        <v>12460.177438999999</v>
      </c>
      <c r="H22" s="925">
        <f t="shared" si="3"/>
        <v>11230.088717999999</v>
      </c>
      <c r="I22" s="925">
        <f t="shared" si="3"/>
        <v>10000</v>
      </c>
      <c r="M22" t="s">
        <v>76</v>
      </c>
      <c r="N22" t="s">
        <v>77</v>
      </c>
    </row>
    <row r="23" spans="2:14">
      <c r="B23" s="484" t="s">
        <v>951</v>
      </c>
      <c r="C23" s="925">
        <f>C7</f>
        <v>556.87785699999995</v>
      </c>
      <c r="D23" s="925">
        <f t="shared" ref="D23:I23" si="4">D7</f>
        <v>823.92101600000001</v>
      </c>
      <c r="E23" s="925">
        <f t="shared" si="4"/>
        <v>2159.1368130000001</v>
      </c>
      <c r="F23" s="925">
        <f t="shared" si="4"/>
        <v>3494.3526099999999</v>
      </c>
      <c r="G23" s="925">
        <f t="shared" si="4"/>
        <v>4829.5684069999998</v>
      </c>
      <c r="H23" s="925">
        <f t="shared" si="4"/>
        <v>6164.7842039999996</v>
      </c>
      <c r="I23" s="925">
        <f t="shared" si="4"/>
        <v>7500</v>
      </c>
      <c r="M23" t="s">
        <v>78</v>
      </c>
      <c r="N23" t="s">
        <v>79</v>
      </c>
    </row>
    <row r="24" spans="2:14">
      <c r="B24" s="484" t="s">
        <v>59</v>
      </c>
      <c r="C24" s="925">
        <f>C8</f>
        <v>41.778839999999995</v>
      </c>
      <c r="D24" s="925">
        <f t="shared" ref="D24:I24" si="5">D8</f>
        <v>136.32580799999999</v>
      </c>
      <c r="E24" s="925">
        <f t="shared" si="5"/>
        <v>609.06064600000002</v>
      </c>
      <c r="F24" s="925">
        <f t="shared" si="5"/>
        <v>1081.795484</v>
      </c>
      <c r="G24" s="925">
        <f t="shared" si="5"/>
        <v>1554.5303220000001</v>
      </c>
      <c r="H24" s="925">
        <f t="shared" si="5"/>
        <v>2027.2651599999999</v>
      </c>
      <c r="I24" s="925">
        <f t="shared" si="5"/>
        <v>2500</v>
      </c>
      <c r="M24" t="s">
        <v>80</v>
      </c>
      <c r="N24" t="s">
        <v>81</v>
      </c>
    </row>
    <row r="25" spans="2:14">
      <c r="B25" s="484" t="s">
        <v>46</v>
      </c>
      <c r="C25" s="925">
        <f t="shared" ref="C25:C30" si="6">C10</f>
        <v>1840</v>
      </c>
      <c r="D25" s="925">
        <f t="shared" ref="D25:I25" si="7">D10</f>
        <v>1788.461538</v>
      </c>
      <c r="E25" s="925">
        <f t="shared" si="7"/>
        <v>1530.7692300000001</v>
      </c>
      <c r="F25" s="925">
        <f t="shared" si="7"/>
        <v>1273.076922</v>
      </c>
      <c r="G25" s="925">
        <f t="shared" si="7"/>
        <v>1015.3846140000001</v>
      </c>
      <c r="H25" s="925">
        <f t="shared" si="7"/>
        <v>757.69230600000003</v>
      </c>
      <c r="I25" s="925">
        <f t="shared" si="7"/>
        <v>500</v>
      </c>
      <c r="M25" t="s">
        <v>82</v>
      </c>
      <c r="N25" t="s">
        <v>83</v>
      </c>
    </row>
    <row r="26" spans="2:14">
      <c r="B26" s="484" t="s">
        <v>956</v>
      </c>
      <c r="C26" s="925">
        <f t="shared" si="6"/>
        <v>103.137692</v>
      </c>
      <c r="D26" s="925">
        <f t="shared" ref="D26:I26" si="8">D11</f>
        <v>103.01701199999999</v>
      </c>
      <c r="E26" s="925">
        <f t="shared" si="8"/>
        <v>102.41361000000001</v>
      </c>
      <c r="F26" s="925">
        <f t="shared" si="8"/>
        <v>101.810208</v>
      </c>
      <c r="G26" s="925">
        <f t="shared" si="8"/>
        <v>101.206806</v>
      </c>
      <c r="H26" s="925">
        <f t="shared" si="8"/>
        <v>100.603404</v>
      </c>
      <c r="I26" s="925">
        <f t="shared" si="8"/>
        <v>100</v>
      </c>
      <c r="M26" t="s">
        <v>84</v>
      </c>
      <c r="N26" t="s">
        <v>85</v>
      </c>
    </row>
    <row r="27" spans="2:14">
      <c r="B27" s="484" t="s">
        <v>865</v>
      </c>
      <c r="C27" s="925">
        <f t="shared" si="6"/>
        <v>85469.983900000007</v>
      </c>
      <c r="D27" s="925">
        <f t="shared" ref="D27:I27" si="9">D12</f>
        <v>83759.599904000002</v>
      </c>
      <c r="E27" s="925">
        <f t="shared" si="9"/>
        <v>75207.679923000003</v>
      </c>
      <c r="F27" s="925">
        <f t="shared" si="9"/>
        <v>66655.759942000004</v>
      </c>
      <c r="G27" s="925">
        <f t="shared" si="9"/>
        <v>58103.839960999998</v>
      </c>
      <c r="H27" s="925">
        <f t="shared" si="9"/>
        <v>49551.919979999999</v>
      </c>
      <c r="I27" s="925">
        <f t="shared" si="9"/>
        <v>41000</v>
      </c>
    </row>
    <row r="28" spans="2:14">
      <c r="B28" s="484" t="s">
        <v>866</v>
      </c>
      <c r="C28" s="925">
        <f t="shared" si="6"/>
        <v>3094.61735</v>
      </c>
      <c r="D28" s="925">
        <f t="shared" ref="D28:I28" si="10">D13</f>
        <v>2975.5936059999999</v>
      </c>
      <c r="E28" s="925">
        <f t="shared" si="10"/>
        <v>2380.4748850000001</v>
      </c>
      <c r="F28" s="925">
        <f t="shared" si="10"/>
        <v>1785.356164</v>
      </c>
      <c r="G28" s="925">
        <f t="shared" si="10"/>
        <v>1190.237443</v>
      </c>
      <c r="H28" s="925">
        <f t="shared" si="10"/>
        <v>595.11872200000005</v>
      </c>
      <c r="I28" s="925">
        <f t="shared" si="10"/>
        <v>0</v>
      </c>
    </row>
    <row r="29" spans="2:14">
      <c r="B29" s="484" t="s">
        <v>677</v>
      </c>
      <c r="C29" s="925">
        <f t="shared" si="6"/>
        <v>6300</v>
      </c>
      <c r="D29" s="925">
        <f t="shared" ref="D29:I29" si="11">D14</f>
        <v>7057.6923079999997</v>
      </c>
      <c r="E29" s="925">
        <f t="shared" si="11"/>
        <v>10846.153845999999</v>
      </c>
      <c r="F29" s="925">
        <f t="shared" si="11"/>
        <v>14634.615384000001</v>
      </c>
      <c r="G29" s="925">
        <f t="shared" si="11"/>
        <v>18423.076922</v>
      </c>
      <c r="H29" s="925">
        <f t="shared" si="11"/>
        <v>22211.53846</v>
      </c>
      <c r="I29" s="925">
        <f t="shared" si="11"/>
        <v>26000</v>
      </c>
    </row>
    <row r="30" spans="2:14" ht="13.5" thickBot="1">
      <c r="B30" s="501" t="s">
        <v>958</v>
      </c>
      <c r="C30" s="928">
        <f t="shared" si="6"/>
        <v>620</v>
      </c>
      <c r="D30" s="928">
        <f t="shared" ref="D30:I30" si="12">D15</f>
        <v>711.53846199999998</v>
      </c>
      <c r="E30" s="928">
        <f t="shared" si="12"/>
        <v>1169.2307699999999</v>
      </c>
      <c r="F30" s="928">
        <f t="shared" si="12"/>
        <v>1626.923078</v>
      </c>
      <c r="G30" s="928">
        <f t="shared" si="12"/>
        <v>2084.6153859999999</v>
      </c>
      <c r="H30" s="928">
        <f t="shared" si="12"/>
        <v>2542.3076940000001</v>
      </c>
      <c r="I30" s="928">
        <f t="shared" si="12"/>
        <v>3000</v>
      </c>
    </row>
    <row r="31" spans="2:14" ht="13.5" thickTop="1">
      <c r="B31" s="926" t="s">
        <v>870</v>
      </c>
      <c r="C31" s="927">
        <f>SUM(C19:C30)</f>
        <v>129430.675385</v>
      </c>
      <c r="D31" s="927">
        <f t="shared" ref="D31:I31" si="13">SUM(D19:D30)</f>
        <v>127975.64941</v>
      </c>
      <c r="E31" s="927">
        <f t="shared" si="13"/>
        <v>120700.519527</v>
      </c>
      <c r="F31" s="927">
        <f t="shared" si="13"/>
        <v>113425.38964400001</v>
      </c>
      <c r="G31" s="927">
        <f t="shared" si="13"/>
        <v>106150.25976100001</v>
      </c>
      <c r="H31" s="927">
        <f t="shared" si="13"/>
        <v>98875.129877999992</v>
      </c>
      <c r="I31" s="927">
        <f t="shared" si="13"/>
        <v>91600</v>
      </c>
    </row>
    <row r="32" spans="2:14">
      <c r="B32" s="38"/>
      <c r="C32" s="929"/>
      <c r="D32" s="929"/>
      <c r="E32" s="929"/>
      <c r="F32" s="929"/>
      <c r="G32" s="929"/>
      <c r="H32" s="929"/>
      <c r="I32" s="929"/>
    </row>
    <row r="33" spans="1:10">
      <c r="A33" s="177"/>
      <c r="B33" s="177"/>
      <c r="C33" s="177"/>
      <c r="D33" s="177"/>
      <c r="E33" s="177"/>
      <c r="F33" s="177"/>
      <c r="G33" s="177"/>
      <c r="H33" s="177"/>
      <c r="I33" s="177"/>
      <c r="J33" s="177"/>
    </row>
    <row r="34" spans="1:10">
      <c r="A34" s="177"/>
      <c r="B34" s="937" t="s">
        <v>959</v>
      </c>
      <c r="C34" s="937"/>
      <c r="D34" s="937"/>
      <c r="E34" s="937"/>
      <c r="F34" s="937"/>
      <c r="G34" s="937"/>
      <c r="H34" s="937"/>
      <c r="I34" s="937"/>
      <c r="J34" s="177"/>
    </row>
    <row r="35" spans="1:10">
      <c r="A35" s="177"/>
      <c r="B35" s="930"/>
      <c r="C35" s="930">
        <v>2024</v>
      </c>
      <c r="D35" s="930">
        <v>2025</v>
      </c>
      <c r="E35" s="930">
        <v>2030</v>
      </c>
      <c r="F35" s="930">
        <v>2035</v>
      </c>
      <c r="G35" s="930">
        <v>2040</v>
      </c>
      <c r="H35" s="930">
        <v>2045</v>
      </c>
      <c r="I35" s="930">
        <v>2050</v>
      </c>
      <c r="J35" s="177"/>
    </row>
    <row r="36" spans="1:10">
      <c r="A36" s="177"/>
      <c r="B36" s="450" t="s">
        <v>953</v>
      </c>
      <c r="C36" s="931">
        <f>C19/1000</f>
        <v>13</v>
      </c>
      <c r="D36" s="931">
        <f t="shared" ref="D36:I36" si="14">D19/1000</f>
        <v>12.5</v>
      </c>
      <c r="E36" s="931">
        <f t="shared" si="14"/>
        <v>10</v>
      </c>
      <c r="F36" s="931">
        <f t="shared" si="14"/>
        <v>7.5</v>
      </c>
      <c r="G36" s="931">
        <f t="shared" si="14"/>
        <v>5</v>
      </c>
      <c r="H36" s="931">
        <f t="shared" si="14"/>
        <v>2.5</v>
      </c>
      <c r="I36" s="931">
        <f t="shared" si="14"/>
        <v>0</v>
      </c>
      <c r="J36" s="177"/>
    </row>
    <row r="37" spans="1:10">
      <c r="A37" s="177"/>
      <c r="B37" s="450" t="s">
        <v>862</v>
      </c>
      <c r="C37" s="931">
        <f t="shared" ref="C37:I37" si="15">C20/1000</f>
        <v>0.16</v>
      </c>
      <c r="D37" s="931">
        <f t="shared" si="15"/>
        <v>0.15384615400000001</v>
      </c>
      <c r="E37" s="931">
        <f t="shared" si="15"/>
        <v>0.12307692299999999</v>
      </c>
      <c r="F37" s="931">
        <f t="shared" si="15"/>
        <v>9.2307691999999997E-2</v>
      </c>
      <c r="G37" s="931">
        <f t="shared" si="15"/>
        <v>6.1538460999999996E-2</v>
      </c>
      <c r="H37" s="931">
        <f t="shared" si="15"/>
        <v>3.0769230000000002E-2</v>
      </c>
      <c r="I37" s="931">
        <f t="shared" si="15"/>
        <v>0</v>
      </c>
      <c r="J37" s="177"/>
    </row>
    <row r="38" spans="1:10">
      <c r="A38" s="177"/>
      <c r="B38" s="450" t="s">
        <v>954</v>
      </c>
      <c r="C38" s="931">
        <f t="shared" ref="C38:I38" si="16">C21/1000</f>
        <v>1.8478184</v>
      </c>
      <c r="D38" s="931">
        <f t="shared" si="16"/>
        <v>1.81521</v>
      </c>
      <c r="E38" s="931">
        <f t="shared" si="16"/>
        <v>1.6521679999999999</v>
      </c>
      <c r="F38" s="931">
        <f t="shared" si="16"/>
        <v>1.4891259999999999</v>
      </c>
      <c r="G38" s="931">
        <f t="shared" si="16"/>
        <v>1.326084</v>
      </c>
      <c r="H38" s="931">
        <f t="shared" si="16"/>
        <v>1.1630419999999999</v>
      </c>
      <c r="I38" s="931">
        <f t="shared" si="16"/>
        <v>1</v>
      </c>
      <c r="J38" s="177"/>
    </row>
    <row r="39" spans="1:10">
      <c r="A39" s="177"/>
      <c r="B39" s="450" t="s">
        <v>955</v>
      </c>
      <c r="C39" s="931">
        <f t="shared" ref="C39:I39" si="17">C22/1000</f>
        <v>16.396461345999999</v>
      </c>
      <c r="D39" s="931">
        <f t="shared" si="17"/>
        <v>16.150443601999999</v>
      </c>
      <c r="E39" s="931">
        <f t="shared" si="17"/>
        <v>14.920354881</v>
      </c>
      <c r="F39" s="931">
        <f t="shared" si="17"/>
        <v>13.690266159999998</v>
      </c>
      <c r="G39" s="931">
        <f t="shared" si="17"/>
        <v>12.460177438999999</v>
      </c>
      <c r="H39" s="931">
        <f t="shared" si="17"/>
        <v>11.230088717999999</v>
      </c>
      <c r="I39" s="931">
        <f t="shared" si="17"/>
        <v>10</v>
      </c>
      <c r="J39" s="177"/>
    </row>
    <row r="40" spans="1:10">
      <c r="A40" s="177"/>
      <c r="B40" s="450" t="s">
        <v>951</v>
      </c>
      <c r="C40" s="931">
        <f t="shared" ref="C40:I40" si="18">C23/1000</f>
        <v>0.55687785699999992</v>
      </c>
      <c r="D40" s="931">
        <f t="shared" si="18"/>
        <v>0.82392101600000001</v>
      </c>
      <c r="E40" s="931">
        <f t="shared" si="18"/>
        <v>2.1591368129999999</v>
      </c>
      <c r="F40" s="931">
        <f t="shared" si="18"/>
        <v>3.49435261</v>
      </c>
      <c r="G40" s="931">
        <f t="shared" si="18"/>
        <v>4.829568407</v>
      </c>
      <c r="H40" s="931">
        <f t="shared" si="18"/>
        <v>6.1647842039999992</v>
      </c>
      <c r="I40" s="931">
        <f t="shared" si="18"/>
        <v>7.5</v>
      </c>
      <c r="J40" s="177"/>
    </row>
    <row r="41" spans="1:10">
      <c r="A41" s="177"/>
      <c r="B41" s="450" t="s">
        <v>59</v>
      </c>
      <c r="C41" s="931">
        <f t="shared" ref="C41:I41" si="19">C24/1000</f>
        <v>4.1778839999999998E-2</v>
      </c>
      <c r="D41" s="931">
        <f t="shared" si="19"/>
        <v>0.13632580799999999</v>
      </c>
      <c r="E41" s="931">
        <f t="shared" si="19"/>
        <v>0.60906064599999998</v>
      </c>
      <c r="F41" s="931">
        <f t="shared" si="19"/>
        <v>1.0817954839999999</v>
      </c>
      <c r="G41" s="931">
        <f t="shared" si="19"/>
        <v>1.554530322</v>
      </c>
      <c r="H41" s="931">
        <f t="shared" si="19"/>
        <v>2.0272651599999998</v>
      </c>
      <c r="I41" s="931">
        <f t="shared" si="19"/>
        <v>2.5</v>
      </c>
      <c r="J41" s="177"/>
    </row>
    <row r="42" spans="1:10">
      <c r="A42" s="177"/>
      <c r="B42" s="450" t="s">
        <v>46</v>
      </c>
      <c r="C42" s="931">
        <f t="shared" ref="C42:I42" si="20">C25/1000</f>
        <v>1.84</v>
      </c>
      <c r="D42" s="931">
        <f t="shared" si="20"/>
        <v>1.788461538</v>
      </c>
      <c r="E42" s="931">
        <f t="shared" si="20"/>
        <v>1.5307692300000002</v>
      </c>
      <c r="F42" s="931">
        <f t="shared" si="20"/>
        <v>1.273076922</v>
      </c>
      <c r="G42" s="931">
        <f t="shared" si="20"/>
        <v>1.015384614</v>
      </c>
      <c r="H42" s="931">
        <f t="shared" si="20"/>
        <v>0.75769230600000004</v>
      </c>
      <c r="I42" s="931">
        <f t="shared" si="20"/>
        <v>0.5</v>
      </c>
      <c r="J42" s="177"/>
    </row>
    <row r="43" spans="1:10">
      <c r="A43" s="177"/>
      <c r="B43" s="450" t="s">
        <v>956</v>
      </c>
      <c r="C43" s="931">
        <f t="shared" ref="C43:I43" si="21">C26/1000</f>
        <v>0.103137692</v>
      </c>
      <c r="D43" s="931">
        <f t="shared" si="21"/>
        <v>0.10301701199999999</v>
      </c>
      <c r="E43" s="931">
        <f t="shared" si="21"/>
        <v>0.10241361</v>
      </c>
      <c r="F43" s="931">
        <f t="shared" si="21"/>
        <v>0.101810208</v>
      </c>
      <c r="G43" s="931">
        <f t="shared" si="21"/>
        <v>0.101206806</v>
      </c>
      <c r="H43" s="931">
        <f t="shared" si="21"/>
        <v>0.10060340399999999</v>
      </c>
      <c r="I43" s="931">
        <f t="shared" si="21"/>
        <v>0.1</v>
      </c>
      <c r="J43" s="177"/>
    </row>
    <row r="44" spans="1:10">
      <c r="A44" s="177"/>
      <c r="B44" s="936" t="s">
        <v>957</v>
      </c>
      <c r="C44" s="931">
        <f t="shared" ref="C44:I44" si="22">C27/1000</f>
        <v>85.469983900000003</v>
      </c>
      <c r="D44" s="931">
        <f t="shared" si="22"/>
        <v>83.759599903999998</v>
      </c>
      <c r="E44" s="931">
        <f t="shared" si="22"/>
        <v>75.207679923000001</v>
      </c>
      <c r="F44" s="931">
        <f t="shared" si="22"/>
        <v>66.655759942000003</v>
      </c>
      <c r="G44" s="931">
        <f t="shared" si="22"/>
        <v>58.103839960999998</v>
      </c>
      <c r="H44" s="931">
        <f t="shared" si="22"/>
        <v>49.551919980000001</v>
      </c>
      <c r="I44" s="931">
        <f t="shared" si="22"/>
        <v>41</v>
      </c>
      <c r="J44" s="177"/>
    </row>
    <row r="45" spans="1:10">
      <c r="A45" s="177"/>
      <c r="B45" s="450" t="s">
        <v>866</v>
      </c>
      <c r="C45" s="931">
        <f t="shared" ref="C45:I45" si="23">C28/1000</f>
        <v>3.09461735</v>
      </c>
      <c r="D45" s="931">
        <f t="shared" si="23"/>
        <v>2.9755936059999999</v>
      </c>
      <c r="E45" s="931">
        <f t="shared" si="23"/>
        <v>2.3804748849999999</v>
      </c>
      <c r="F45" s="931">
        <f t="shared" si="23"/>
        <v>1.785356164</v>
      </c>
      <c r="G45" s="931">
        <f t="shared" si="23"/>
        <v>1.190237443</v>
      </c>
      <c r="H45" s="931">
        <f t="shared" si="23"/>
        <v>0.59511872200000004</v>
      </c>
      <c r="I45" s="931">
        <f t="shared" si="23"/>
        <v>0</v>
      </c>
      <c r="J45" s="177"/>
    </row>
    <row r="46" spans="1:10">
      <c r="A46" s="177"/>
      <c r="B46" s="450" t="s">
        <v>677</v>
      </c>
      <c r="C46" s="931">
        <f t="shared" ref="C46:I46" si="24">C29/1000</f>
        <v>6.3</v>
      </c>
      <c r="D46" s="931">
        <f t="shared" si="24"/>
        <v>7.057692308</v>
      </c>
      <c r="E46" s="931">
        <f t="shared" si="24"/>
        <v>10.846153846</v>
      </c>
      <c r="F46" s="931">
        <f t="shared" si="24"/>
        <v>14.634615384</v>
      </c>
      <c r="G46" s="931">
        <f t="shared" si="24"/>
        <v>18.423076922</v>
      </c>
      <c r="H46" s="931">
        <f t="shared" si="24"/>
        <v>22.21153846</v>
      </c>
      <c r="I46" s="931">
        <f t="shared" si="24"/>
        <v>26</v>
      </c>
      <c r="J46" s="177"/>
    </row>
    <row r="47" spans="1:10" ht="13.5" thickBot="1">
      <c r="A47" s="177"/>
      <c r="B47" s="932" t="s">
        <v>958</v>
      </c>
      <c r="C47" s="933">
        <f t="shared" ref="C47:I47" si="25">C30/1000</f>
        <v>0.62</v>
      </c>
      <c r="D47" s="933">
        <f t="shared" si="25"/>
        <v>0.71153846199999993</v>
      </c>
      <c r="E47" s="933">
        <f t="shared" si="25"/>
        <v>1.16923077</v>
      </c>
      <c r="F47" s="933">
        <f t="shared" si="25"/>
        <v>1.6269230780000001</v>
      </c>
      <c r="G47" s="933">
        <f t="shared" si="25"/>
        <v>2.0846153859999998</v>
      </c>
      <c r="H47" s="933">
        <f t="shared" si="25"/>
        <v>2.5423076940000002</v>
      </c>
      <c r="I47" s="933">
        <f t="shared" si="25"/>
        <v>3</v>
      </c>
      <c r="J47" s="177"/>
    </row>
    <row r="48" spans="1:10" ht="13.5" thickTop="1">
      <c r="A48" s="177"/>
      <c r="B48" s="934" t="s">
        <v>870</v>
      </c>
      <c r="C48" s="935">
        <f t="shared" ref="C48:I48" si="26">C31/1000</f>
        <v>129.430675385</v>
      </c>
      <c r="D48" s="935">
        <f t="shared" si="26"/>
        <v>127.97564941</v>
      </c>
      <c r="E48" s="935">
        <f t="shared" si="26"/>
        <v>120.700519527</v>
      </c>
      <c r="F48" s="935">
        <f t="shared" si="26"/>
        <v>113.42538964400001</v>
      </c>
      <c r="G48" s="935">
        <f t="shared" si="26"/>
        <v>106.15025976100002</v>
      </c>
      <c r="H48" s="935">
        <f t="shared" si="26"/>
        <v>98.875129877999996</v>
      </c>
      <c r="I48" s="935">
        <f t="shared" si="26"/>
        <v>91.6</v>
      </c>
      <c r="J48" s="177"/>
    </row>
    <row r="49" spans="1:10">
      <c r="A49" s="177"/>
      <c r="B49" s="177"/>
      <c r="C49" s="177"/>
      <c r="D49" s="177"/>
      <c r="E49" s="177"/>
      <c r="F49" s="177"/>
      <c r="G49" s="177"/>
      <c r="H49" s="177"/>
      <c r="I49" s="177"/>
      <c r="J49" s="177"/>
    </row>
    <row r="50" spans="1:10">
      <c r="A50" s="177"/>
      <c r="B50" s="177"/>
      <c r="C50" s="177"/>
      <c r="D50" s="177"/>
      <c r="E50" s="177"/>
      <c r="F50" s="177"/>
      <c r="G50" s="177"/>
      <c r="H50" s="177"/>
      <c r="I50" s="177"/>
      <c r="J50" s="177"/>
    </row>
  </sheetData>
  <mergeCells count="1">
    <mergeCell ref="B34:I34"/>
  </mergeCells>
  <pageMargins left="0.7" right="0.7" top="0.75" bottom="0.75" header="0.3" footer="0.3"/>
  <ignoredErrors>
    <ignoredError sqref="C22:I22" formula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7D98A4600D5044F9F854C890D6CC50E" ma:contentTypeVersion="16" ma:contentTypeDescription="Utwórz nowy dokument." ma:contentTypeScope="" ma:versionID="d5167bf0dd55feede3e29f1a430471b5">
  <xsd:schema xmlns:xsd="http://www.w3.org/2001/XMLSchema" xmlns:xs="http://www.w3.org/2001/XMLSchema" xmlns:p="http://schemas.microsoft.com/office/2006/metadata/properties" xmlns:ns2="8acd6055-54fc-4ce7-b3df-0a09834a0329" xmlns:ns3="708d6b01-37ca-4db4-bc7f-9b68f32c58b8" targetNamespace="http://schemas.microsoft.com/office/2006/metadata/properties" ma:root="true" ma:fieldsID="24bde18039da748f015df48b5e1e3648" ns2:_="" ns3:_="">
    <xsd:import namespace="8acd6055-54fc-4ce7-b3df-0a09834a0329"/>
    <xsd:import namespace="708d6b01-37ca-4db4-bc7f-9b68f32c5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d6055-54fc-4ce7-b3df-0a09834a03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d6b01-37ca-4db4-bc7f-9b68f32c58b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537aeef-642e-4eb7-94fb-2196cf330a1a}" ma:internalName="TaxCatchAll" ma:showField="CatchAllData" ma:web="708d6b01-37ca-4db4-bc7f-9b68f32c5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cd6055-54fc-4ce7-b3df-0a09834a0329">
      <Terms xmlns="http://schemas.microsoft.com/office/infopath/2007/PartnerControls"/>
    </lcf76f155ced4ddcb4097134ff3c332f>
    <TaxCatchAll xmlns="708d6b01-37ca-4db4-bc7f-9b68f32c58b8" xsi:nil="true"/>
  </documentManagement>
</p:properties>
</file>

<file path=customXml/itemProps1.xml><?xml version="1.0" encoding="utf-8"?>
<ds:datastoreItem xmlns:ds="http://schemas.openxmlformats.org/officeDocument/2006/customXml" ds:itemID="{C13BA332-9402-4E41-9FF5-9AB1683B09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d6055-54fc-4ce7-b3df-0a09834a0329"/>
    <ds:schemaRef ds:uri="708d6b01-37ca-4db4-bc7f-9b68f32c58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861A5-7E6A-41A7-8E0B-DCD15A12B5CB}">
  <ds:schemaRefs>
    <ds:schemaRef ds:uri="http://purl.org/dc/elements/1.1/"/>
    <ds:schemaRef ds:uri="8acd6055-54fc-4ce7-b3df-0a09834a0329"/>
    <ds:schemaRef ds:uri="708d6b01-37ca-4db4-bc7f-9b68f32c58b8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19</vt:i4>
      </vt:variant>
    </vt:vector>
  </HeadingPairs>
  <TitlesOfParts>
    <vt:vector size="19" baseType="lpstr">
      <vt:lpstr>Cover</vt:lpstr>
      <vt:lpstr>Metadane</vt:lpstr>
      <vt:lpstr>AGR_Comm</vt:lpstr>
      <vt:lpstr>AGR_Proc</vt:lpstr>
      <vt:lpstr>SECTF</vt:lpstr>
      <vt:lpstr>AGR_LAND</vt:lpstr>
      <vt:lpstr>AGR_LIV</vt:lpstr>
      <vt:lpstr>AGR_SVC</vt:lpstr>
      <vt:lpstr>AGR_BIOG</vt:lpstr>
      <vt:lpstr>AGR_CHP</vt:lpstr>
      <vt:lpstr>DIV</vt:lpstr>
      <vt:lpstr>AGR_FEC</vt:lpstr>
      <vt:lpstr>EMI</vt:lpstr>
      <vt:lpstr>ESTAT_2020</vt:lpstr>
      <vt:lpstr>GUS_2020_HT_ELC</vt:lpstr>
      <vt:lpstr>OLD_AGR_Comm</vt:lpstr>
      <vt:lpstr>OLD_AGR_LIV</vt:lpstr>
      <vt:lpstr>OLD_AGR_LAND</vt:lpstr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Patrycja Rzeszut</cp:lastModifiedBy>
  <cp:revision/>
  <dcterms:created xsi:type="dcterms:W3CDTF">2000-12-13T15:53:11Z</dcterms:created>
  <dcterms:modified xsi:type="dcterms:W3CDTF">2026-10-16T10:49:42Z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0x010100A7D98A4600D5044F9F854C890D6CC50E</vt:lpwstr>
  </property>
  <property fmtid="{D5CDD505-2E9C-101B-9397-08002B2CF9AE}" pid="3" name="MediaServiceImageTags">
    <vt:lpwstr/>
  </property>
  <property fmtid="{D5CDD505-2E9C-101B-9397-08002B2CF9AE}" pid="4" name="SaveCode">
    <vt:r8>679771065711975</vt:r8>
  </property>
</Properties>
</file>