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Veda2\Veda_models\TIMES_PL_RSD\"/>
    </mc:Choice>
  </mc:AlternateContent>
  <xr:revisionPtr revIDLastSave="0" documentId="13_ncr:1_{CB71579E-1F3A-496F-B947-4082B2C9AE02}" xr6:coauthVersionLast="47" xr6:coauthVersionMax="47" xr10:uidLastSave="{00000000-0000-0000-0000-000000000000}"/>
  <bookViews>
    <workbookView xWindow="-120" yWindow="-120" windowWidth="29040" windowHeight="15840" tabRatio="847" firstSheet="4" activeTab="15" xr2:uid="{00000000-000D-0000-FFFF-FFFF00000000}"/>
  </bookViews>
  <sheets>
    <sheet name="Cover" sheetId="77" r:id="rId1"/>
    <sheet name="Metadane" sheetId="78" r:id="rId2"/>
    <sheet name="UI_Budynki_Istniejące" sheetId="79" r:id="rId3"/>
    <sheet name="UI_Termomodernizacja" sheetId="80" r:id="rId4"/>
    <sheet name="RSD_Comm" sheetId="61" r:id="rId5"/>
    <sheet name="RSD_Procesess" sheetId="29" r:id="rId6"/>
    <sheet name="SECTF" sheetId="63" r:id="rId7"/>
    <sheet name="KLiSE" sheetId="75" r:id="rId8"/>
    <sheet name="RSD_PP" sheetId="71" r:id="rId9"/>
    <sheet name="BUILD_STOCK" sheetId="11" r:id="rId10"/>
    <sheet name="U-VALUES" sheetId="76" r:id="rId11"/>
    <sheet name="HDD" sheetId="8" r:id="rId12"/>
    <sheet name="Detached" sheetId="18" r:id="rId13"/>
    <sheet name="Semidetached" sheetId="19" r:id="rId14"/>
    <sheet name="Flat" sheetId="20" r:id="rId15"/>
    <sheet name="RSD_SH_TECH" sheetId="68" r:id="rId16"/>
    <sheet name="RSD_WH_TECH" sheetId="70" r:id="rId17"/>
    <sheet name="RSD_COOK_TECH" sheetId="67" r:id="rId18"/>
    <sheet name="RSD_ELC_APPL" sheetId="66" r:id="rId19"/>
    <sheet name="EMISS" sheetId="72" r:id="rId20"/>
  </sheets>
  <externalReferences>
    <externalReference r:id="rId21"/>
    <externalReference r:id="rId22"/>
  </externalReferences>
  <definedNames>
    <definedName name="FID_1">[1]AGR_Fuels!$A$2</definedName>
    <definedName name="fy">#REF!</definedName>
    <definedName name="G">#REF!</definedName>
    <definedName name="mu">'[2]1'!$K$638</definedName>
    <definedName name="qa">#REF!</definedName>
  </definedNames>
  <calcPr calcId="191028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9" i="79" l="1"/>
  <c r="G39" i="79" s="1"/>
  <c r="H39" i="79" s="1"/>
  <c r="I39" i="79" s="1"/>
  <c r="B16" i="76"/>
  <c r="C16" i="76"/>
  <c r="D16" i="76"/>
  <c r="E16" i="76"/>
  <c r="B17" i="76"/>
  <c r="C17" i="76"/>
  <c r="D17" i="76"/>
  <c r="E17" i="76"/>
  <c r="B18" i="76"/>
  <c r="C18" i="76"/>
  <c r="D18" i="76"/>
  <c r="E18" i="76"/>
  <c r="B19" i="76"/>
  <c r="C19" i="76"/>
  <c r="D19" i="76"/>
  <c r="E19" i="76"/>
  <c r="B20" i="76"/>
  <c r="C20" i="76"/>
  <c r="D20" i="76"/>
  <c r="E20" i="76"/>
  <c r="C15" i="76"/>
  <c r="D15" i="76"/>
  <c r="E15" i="76"/>
  <c r="B15" i="76"/>
  <c r="X7" i="68"/>
  <c r="J41" i="68"/>
  <c r="J42" i="68"/>
  <c r="J43" i="68"/>
  <c r="J44" i="68"/>
  <c r="J45" i="68"/>
  <c r="J46" i="68"/>
  <c r="J47" i="68"/>
  <c r="J48" i="68"/>
  <c r="J49" i="68"/>
  <c r="J40" i="68"/>
  <c r="J26" i="68"/>
  <c r="J27" i="68"/>
  <c r="J28" i="68"/>
  <c r="J29" i="68"/>
  <c r="J30" i="68"/>
  <c r="J31" i="68"/>
  <c r="J32" i="68"/>
  <c r="J33" i="68"/>
  <c r="J24" i="68"/>
  <c r="J17" i="68"/>
  <c r="J9" i="68"/>
  <c r="F16" i="79" l="1"/>
  <c r="E16" i="79"/>
  <c r="D16" i="79"/>
  <c r="F15" i="79"/>
  <c r="E15" i="79"/>
  <c r="D15" i="79"/>
  <c r="F14" i="79"/>
  <c r="E14" i="79"/>
  <c r="D14" i="79"/>
  <c r="F13" i="79"/>
  <c r="E13" i="79"/>
  <c r="D13" i="79"/>
  <c r="F12" i="79"/>
  <c r="E12" i="79"/>
  <c r="D12" i="79"/>
  <c r="F11" i="79"/>
  <c r="E11" i="79"/>
  <c r="D11" i="79"/>
  <c r="J11" i="68" l="1"/>
  <c r="J10" i="68"/>
  <c r="J5" i="67" l="1"/>
  <c r="I5" i="67"/>
  <c r="I51" i="70"/>
  <c r="I34" i="70"/>
  <c r="I18" i="70"/>
  <c r="G51" i="70"/>
  <c r="H51" i="70"/>
  <c r="J51" i="70"/>
  <c r="G34" i="70"/>
  <c r="H34" i="70"/>
  <c r="J34" i="70"/>
  <c r="G18" i="70"/>
  <c r="H18" i="70"/>
  <c r="J18" i="70"/>
  <c r="AA8" i="70"/>
  <c r="AD15" i="70"/>
  <c r="AD16" i="70"/>
  <c r="AD17" i="70"/>
  <c r="AD19" i="70"/>
  <c r="AD20" i="70"/>
  <c r="AD21" i="70"/>
  <c r="AD9" i="70"/>
  <c r="AD10" i="70"/>
  <c r="AD11" i="70"/>
  <c r="AD12" i="70"/>
  <c r="AD7" i="70"/>
  <c r="AB26" i="70"/>
  <c r="AB25" i="70"/>
  <c r="D102" i="11"/>
  <c r="D105" i="11" s="1"/>
  <c r="D96" i="11"/>
  <c r="D97" i="11" s="1"/>
  <c r="D90" i="11"/>
  <c r="D95" i="11" s="1"/>
  <c r="D66" i="11"/>
  <c r="D71" i="11" s="1"/>
  <c r="D60" i="11"/>
  <c r="D63" i="11" s="1"/>
  <c r="D54" i="11"/>
  <c r="D55" i="11" s="1"/>
  <c r="D106" i="11" l="1"/>
  <c r="D56" i="11"/>
  <c r="D57" i="11"/>
  <c r="D68" i="11"/>
  <c r="D98" i="11"/>
  <c r="D64" i="11"/>
  <c r="D65" i="11"/>
  <c r="D103" i="11"/>
  <c r="D99" i="11"/>
  <c r="D69" i="11"/>
  <c r="D107" i="11"/>
  <c r="D91" i="11"/>
  <c r="D58" i="11"/>
  <c r="D92" i="11"/>
  <c r="D100" i="11"/>
  <c r="D59" i="11"/>
  <c r="D67" i="11"/>
  <c r="D93" i="11"/>
  <c r="D101" i="11"/>
  <c r="D94" i="11"/>
  <c r="D61" i="11"/>
  <c r="D104" i="11"/>
  <c r="D62" i="11"/>
  <c r="D70" i="11"/>
  <c r="AD8" i="70"/>
  <c r="U3" i="68" l="1"/>
  <c r="V3" i="68"/>
  <c r="W3" i="68"/>
  <c r="E19" i="11" l="1"/>
  <c r="E20" i="11"/>
  <c r="E21" i="11"/>
  <c r="E22" i="11"/>
  <c r="E23" i="11"/>
  <c r="E18" i="11"/>
  <c r="D19" i="11"/>
  <c r="D20" i="11"/>
  <c r="D21" i="11"/>
  <c r="D22" i="11"/>
  <c r="D23" i="11"/>
  <c r="D18" i="11"/>
  <c r="C19" i="11"/>
  <c r="C20" i="11"/>
  <c r="C21" i="11"/>
  <c r="C22" i="11"/>
  <c r="C23" i="11"/>
  <c r="C18" i="11"/>
  <c r="F26" i="75"/>
  <c r="F22" i="75"/>
  <c r="F20" i="75"/>
  <c r="F23" i="75" s="1"/>
  <c r="F25" i="75" l="1"/>
  <c r="N7" i="75"/>
  <c r="W7" i="75" s="1"/>
  <c r="D36" i="76" l="1"/>
  <c r="B34" i="76"/>
  <c r="B35" i="76"/>
  <c r="B38" i="76"/>
  <c r="D33" i="76"/>
  <c r="C35" i="76"/>
  <c r="C37" i="76"/>
  <c r="B37" i="76"/>
  <c r="C34" i="76"/>
  <c r="C36" i="76"/>
  <c r="B36" i="76"/>
  <c r="D37" i="76"/>
  <c r="C33" i="76"/>
  <c r="B33" i="76"/>
  <c r="BB66" i="76"/>
  <c r="BD61" i="76"/>
  <c r="D38" i="76"/>
  <c r="BB64" i="76"/>
  <c r="BD63" i="76"/>
  <c r="BD62" i="76"/>
  <c r="C38" i="76"/>
  <c r="D34" i="76"/>
  <c r="O7" i="75"/>
  <c r="P7" i="75" s="1"/>
  <c r="Q7" i="75" s="1"/>
  <c r="H50" i="79" l="1"/>
  <c r="D35" i="76"/>
  <c r="BD66" i="76"/>
  <c r="BC66" i="76"/>
  <c r="BD64" i="76"/>
  <c r="BB63" i="76"/>
  <c r="BB61" i="76"/>
  <c r="BC65" i="76"/>
  <c r="BC62" i="76"/>
  <c r="BB62" i="76"/>
  <c r="BC61" i="76"/>
  <c r="BC64" i="76"/>
  <c r="BC63" i="76"/>
  <c r="BB65" i="76"/>
  <c r="BD65" i="76"/>
  <c r="O19" i="63"/>
  <c r="P19" i="63" s="1"/>
  <c r="Q19" i="63" s="1"/>
  <c r="R19" i="63" s="1"/>
  <c r="S19" i="63" s="1"/>
  <c r="T19" i="63" s="1"/>
  <c r="H18" i="63"/>
  <c r="I18" i="63" s="1"/>
  <c r="J18" i="63" s="1"/>
  <c r="K18" i="63" s="1"/>
  <c r="L18" i="63" s="1"/>
  <c r="M18" i="63" s="1"/>
  <c r="O7" i="63"/>
  <c r="P7" i="63" s="1"/>
  <c r="Q7" i="63" s="1"/>
  <c r="R7" i="63" s="1"/>
  <c r="S7" i="63" s="1"/>
  <c r="T7" i="63" s="1"/>
  <c r="P11" i="63"/>
  <c r="Q11" i="63" s="1"/>
  <c r="R11" i="63" s="1"/>
  <c r="S11" i="63" s="1"/>
  <c r="T11" i="63" s="1"/>
  <c r="O11" i="63"/>
  <c r="I10" i="63"/>
  <c r="J10" i="63"/>
  <c r="K10" i="63"/>
  <c r="L10" i="63"/>
  <c r="M10" i="63"/>
  <c r="H10" i="63"/>
  <c r="P21" i="63"/>
  <c r="Q21" i="63" s="1"/>
  <c r="R21" i="63" s="1"/>
  <c r="S21" i="63" s="1"/>
  <c r="T21" i="63" s="1"/>
  <c r="O21" i="63"/>
  <c r="D20" i="20"/>
  <c r="D19" i="20"/>
  <c r="G23" i="72"/>
  <c r="D23" i="72"/>
  <c r="C17" i="72"/>
  <c r="C14" i="72"/>
  <c r="C8" i="72"/>
  <c r="C9" i="72"/>
  <c r="C18" i="72" s="1"/>
  <c r="C10" i="72"/>
  <c r="C19" i="72" s="1"/>
  <c r="C11" i="72"/>
  <c r="C20" i="72" s="1"/>
  <c r="C12" i="72"/>
  <c r="C23" i="72" s="1"/>
  <c r="C7" i="72"/>
  <c r="C16" i="72" s="1"/>
  <c r="H68" i="79" l="1"/>
  <c r="F50" i="79"/>
  <c r="E36" i="76"/>
  <c r="D26" i="20" s="1"/>
  <c r="D33" i="20" s="1"/>
  <c r="D41" i="20" s="1"/>
  <c r="E38" i="76"/>
  <c r="D28" i="20" s="1"/>
  <c r="D35" i="20" s="1"/>
  <c r="D43" i="20" s="1"/>
  <c r="E34" i="76"/>
  <c r="D24" i="20" s="1"/>
  <c r="D31" i="20" s="1"/>
  <c r="D39" i="20" s="1"/>
  <c r="BD67" i="76"/>
  <c r="BC67" i="76"/>
  <c r="BB67" i="76"/>
  <c r="C21" i="72"/>
  <c r="F13" i="71"/>
  <c r="F68" i="79" l="1"/>
  <c r="E37" i="76"/>
  <c r="D27" i="20" s="1"/>
  <c r="D34" i="20" s="1"/>
  <c r="D42" i="20" s="1"/>
  <c r="E35" i="76"/>
  <c r="D25" i="20" s="1"/>
  <c r="D32" i="20" s="1"/>
  <c r="D40" i="20" s="1"/>
  <c r="E33" i="76"/>
  <c r="D23" i="20" s="1"/>
  <c r="F17" i="71"/>
  <c r="E50" i="79" l="1"/>
  <c r="I68" i="79"/>
  <c r="I50" i="79"/>
  <c r="D31" i="79"/>
  <c r="D50" i="79"/>
  <c r="D68" i="79"/>
  <c r="H7" i="71"/>
  <c r="E8" i="71"/>
  <c r="D7" i="71"/>
  <c r="C7" i="71"/>
  <c r="B7" i="71"/>
  <c r="X19" i="68"/>
  <c r="J25" i="68"/>
  <c r="J18" i="68"/>
  <c r="J16" i="68"/>
  <c r="J15" i="68"/>
  <c r="J14" i="68"/>
  <c r="J13" i="68"/>
  <c r="J12" i="68"/>
  <c r="E9" i="68"/>
  <c r="C257" i="11"/>
  <c r="C258" i="11"/>
  <c r="C259" i="11"/>
  <c r="C260" i="11"/>
  <c r="C261" i="11"/>
  <c r="C262" i="11"/>
  <c r="C263" i="11"/>
  <c r="C264" i="11"/>
  <c r="C265" i="11"/>
  <c r="C266" i="11"/>
  <c r="C267" i="11"/>
  <c r="C268" i="11"/>
  <c r="C269" i="11"/>
  <c r="C270" i="11"/>
  <c r="C271" i="11"/>
  <c r="C272" i="11"/>
  <c r="C273" i="11"/>
  <c r="C274" i="11"/>
  <c r="C232" i="11"/>
  <c r="C233" i="11"/>
  <c r="C234" i="11"/>
  <c r="C235" i="11"/>
  <c r="C236" i="11"/>
  <c r="C237" i="11"/>
  <c r="C238" i="11"/>
  <c r="C239" i="11"/>
  <c r="C240" i="11"/>
  <c r="C241" i="11"/>
  <c r="C242" i="11"/>
  <c r="C243" i="11"/>
  <c r="C244" i="11"/>
  <c r="C245" i="11"/>
  <c r="C246" i="11"/>
  <c r="C247" i="11"/>
  <c r="C248" i="11"/>
  <c r="C249" i="11"/>
  <c r="C209" i="11"/>
  <c r="C210" i="11"/>
  <c r="C211" i="11"/>
  <c r="C212" i="11"/>
  <c r="C213" i="11"/>
  <c r="C214" i="11"/>
  <c r="C215" i="11"/>
  <c r="C216" i="11"/>
  <c r="C217" i="11"/>
  <c r="C218" i="11"/>
  <c r="C219" i="11"/>
  <c r="C220" i="11"/>
  <c r="C221" i="11"/>
  <c r="C222" i="11"/>
  <c r="C223" i="11"/>
  <c r="C224" i="11"/>
  <c r="C225" i="11"/>
  <c r="C226" i="11"/>
  <c r="C186" i="11"/>
  <c r="C187" i="11"/>
  <c r="C188" i="11"/>
  <c r="C189" i="11"/>
  <c r="C190" i="11"/>
  <c r="C191" i="11"/>
  <c r="C192" i="11"/>
  <c r="C193" i="11"/>
  <c r="C194" i="11"/>
  <c r="C195" i="11"/>
  <c r="C196" i="11"/>
  <c r="C197" i="11"/>
  <c r="C198" i="11"/>
  <c r="C199" i="11"/>
  <c r="C200" i="11"/>
  <c r="C201" i="11"/>
  <c r="C202" i="11"/>
  <c r="C203" i="11"/>
  <c r="C163" i="11"/>
  <c r="C164" i="11"/>
  <c r="C165" i="11"/>
  <c r="C166" i="11"/>
  <c r="C167" i="11"/>
  <c r="C168" i="11"/>
  <c r="C169" i="11"/>
  <c r="C170" i="11"/>
  <c r="C171" i="11"/>
  <c r="C172" i="11"/>
  <c r="C173" i="11"/>
  <c r="C174" i="11"/>
  <c r="C175" i="11"/>
  <c r="C176" i="11"/>
  <c r="C177" i="11"/>
  <c r="C178" i="11"/>
  <c r="C179" i="11"/>
  <c r="C180" i="11"/>
  <c r="C140" i="11"/>
  <c r="C141" i="11"/>
  <c r="C142" i="11"/>
  <c r="C143" i="11"/>
  <c r="C144" i="11"/>
  <c r="C145" i="11"/>
  <c r="C146" i="11"/>
  <c r="C147" i="11"/>
  <c r="C148" i="11"/>
  <c r="C149" i="11"/>
  <c r="C150" i="11"/>
  <c r="C151" i="11"/>
  <c r="C152" i="11"/>
  <c r="C153" i="11"/>
  <c r="C154" i="11"/>
  <c r="C155" i="11"/>
  <c r="C156" i="11"/>
  <c r="C157" i="11"/>
  <c r="C117" i="11"/>
  <c r="C118" i="11"/>
  <c r="C119" i="11"/>
  <c r="C120" i="11"/>
  <c r="C121" i="11"/>
  <c r="C122" i="11"/>
  <c r="C123" i="11"/>
  <c r="C124" i="11"/>
  <c r="C125" i="11"/>
  <c r="C126" i="11"/>
  <c r="C127" i="11"/>
  <c r="C128" i="11"/>
  <c r="C129" i="11"/>
  <c r="C130" i="11"/>
  <c r="C131" i="11"/>
  <c r="C132" i="11"/>
  <c r="C133" i="11"/>
  <c r="C134" i="11"/>
  <c r="C90" i="11"/>
  <c r="C91" i="11"/>
  <c r="C92" i="11"/>
  <c r="C93" i="11"/>
  <c r="C94" i="11"/>
  <c r="C95" i="11"/>
  <c r="C96" i="11"/>
  <c r="C97" i="11"/>
  <c r="C98" i="11"/>
  <c r="C99" i="11"/>
  <c r="C100" i="11"/>
  <c r="C101" i="11"/>
  <c r="C102" i="11"/>
  <c r="C103" i="11"/>
  <c r="C104" i="11"/>
  <c r="C105" i="11"/>
  <c r="C106" i="11"/>
  <c r="C107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D4" i="20"/>
  <c r="D5" i="20" s="1"/>
  <c r="D6" i="20"/>
  <c r="D13" i="70"/>
  <c r="B20" i="63"/>
  <c r="D12" i="20"/>
  <c r="E68" i="79" l="1"/>
  <c r="I7" i="71"/>
  <c r="J7" i="71" s="1"/>
  <c r="K7" i="71" s="1"/>
  <c r="M7" i="71" s="1"/>
  <c r="F11" i="71"/>
  <c r="F14" i="71" s="1"/>
  <c r="E24" i="68"/>
  <c r="C43" i="70"/>
  <c r="C44" i="70"/>
  <c r="C45" i="70"/>
  <c r="C46" i="70"/>
  <c r="C47" i="70"/>
  <c r="C48" i="70"/>
  <c r="C49" i="70"/>
  <c r="C50" i="70"/>
  <c r="C51" i="70"/>
  <c r="C52" i="70"/>
  <c r="C42" i="70"/>
  <c r="C26" i="70"/>
  <c r="C27" i="70"/>
  <c r="C28" i="70"/>
  <c r="C29" i="70"/>
  <c r="C30" i="70"/>
  <c r="C31" i="70"/>
  <c r="C32" i="70"/>
  <c r="C33" i="70"/>
  <c r="C34" i="70"/>
  <c r="C35" i="70"/>
  <c r="C25" i="70"/>
  <c r="C10" i="70"/>
  <c r="C11" i="70"/>
  <c r="C12" i="70"/>
  <c r="C13" i="70"/>
  <c r="C14" i="70"/>
  <c r="C15" i="70"/>
  <c r="C16" i="70"/>
  <c r="C17" i="70"/>
  <c r="C18" i="70"/>
  <c r="C19" i="70"/>
  <c r="C9" i="70"/>
  <c r="S51" i="70"/>
  <c r="S34" i="70"/>
  <c r="S18" i="70"/>
  <c r="H12" i="68"/>
  <c r="H27" i="68"/>
  <c r="H43" i="68"/>
  <c r="E42" i="70"/>
  <c r="E25" i="70"/>
  <c r="E9" i="70"/>
  <c r="E11" i="70" s="1"/>
  <c r="D9" i="70"/>
  <c r="D10" i="70" s="1"/>
  <c r="D12" i="70"/>
  <c r="D14" i="70"/>
  <c r="D15" i="70"/>
  <c r="G68" i="79" l="1"/>
  <c r="G50" i="79"/>
  <c r="L7" i="71"/>
  <c r="O7" i="71"/>
  <c r="F16" i="71"/>
  <c r="F8" i="71" s="1"/>
  <c r="F9" i="71"/>
  <c r="D11" i="70"/>
  <c r="E10" i="70"/>
  <c r="E12" i="70"/>
  <c r="E13" i="70" s="1"/>
  <c r="E14" i="70" s="1"/>
  <c r="E15" i="70" s="1"/>
  <c r="X7" i="71" l="1"/>
  <c r="P7" i="71"/>
  <c r="Q7" i="71" s="1"/>
  <c r="R7" i="71" s="1"/>
  <c r="D8" i="20"/>
  <c r="E43" i="70"/>
  <c r="E44" i="70" s="1"/>
  <c r="E45" i="70" s="1"/>
  <c r="E46" i="70" s="1"/>
  <c r="E47" i="70" s="1"/>
  <c r="E48" i="70" s="1"/>
  <c r="E49" i="70" s="1"/>
  <c r="E50" i="70" s="1"/>
  <c r="E51" i="70" s="1"/>
  <c r="E52" i="70" s="1"/>
  <c r="E28" i="70"/>
  <c r="E29" i="70" s="1"/>
  <c r="E30" i="70" s="1"/>
  <c r="E31" i="70" s="1"/>
  <c r="E32" i="70" s="1"/>
  <c r="E33" i="70" s="1"/>
  <c r="E34" i="70" s="1"/>
  <c r="E35" i="70" s="1"/>
  <c r="AE18" i="70"/>
  <c r="D18" i="70"/>
  <c r="D34" i="70" s="1"/>
  <c r="D51" i="70" s="1"/>
  <c r="D17" i="70"/>
  <c r="D33" i="70" s="1"/>
  <c r="D50" i="70" s="1"/>
  <c r="D16" i="70"/>
  <c r="D32" i="70" s="1"/>
  <c r="D49" i="70" s="1"/>
  <c r="D31" i="70"/>
  <c r="D48" i="70" s="1"/>
  <c r="D30" i="70"/>
  <c r="D47" i="70" s="1"/>
  <c r="D29" i="70"/>
  <c r="D46" i="70" s="1"/>
  <c r="D28" i="70"/>
  <c r="D45" i="70" s="1"/>
  <c r="AB2" i="70"/>
  <c r="Z11" i="70" s="1"/>
  <c r="D19" i="19"/>
  <c r="Z21" i="70" l="1"/>
  <c r="Z12" i="70"/>
  <c r="Z15" i="70"/>
  <c r="Z17" i="70"/>
  <c r="Z9" i="70"/>
  <c r="Z19" i="70"/>
  <c r="Z7" i="70"/>
  <c r="Z8" i="70"/>
  <c r="Z10" i="70"/>
  <c r="Z20" i="70"/>
  <c r="Z13" i="70"/>
  <c r="Z14" i="70"/>
  <c r="D25" i="70"/>
  <c r="D42" i="70" s="1"/>
  <c r="AA6" i="70"/>
  <c r="AB6" i="70"/>
  <c r="E16" i="70"/>
  <c r="E17" i="70" s="1"/>
  <c r="E18" i="70" s="1"/>
  <c r="E19" i="70" s="1"/>
  <c r="AC6" i="70"/>
  <c r="E26" i="70"/>
  <c r="E27" i="70"/>
  <c r="U2" i="68"/>
  <c r="C49" i="68"/>
  <c r="C48" i="68"/>
  <c r="C47" i="68"/>
  <c r="C46" i="68"/>
  <c r="C45" i="68"/>
  <c r="C44" i="68"/>
  <c r="C43" i="68"/>
  <c r="C42" i="68"/>
  <c r="C41" i="68"/>
  <c r="E40" i="68"/>
  <c r="C40" i="68"/>
  <c r="C33" i="68"/>
  <c r="C32" i="68"/>
  <c r="C31" i="68"/>
  <c r="C30" i="68"/>
  <c r="C29" i="68"/>
  <c r="C28" i="68"/>
  <c r="C27" i="68"/>
  <c r="C26" i="68"/>
  <c r="C25" i="68"/>
  <c r="E25" i="68"/>
  <c r="C24" i="68"/>
  <c r="X18" i="68"/>
  <c r="Y18" i="68" s="1"/>
  <c r="D18" i="68"/>
  <c r="C18" i="68"/>
  <c r="D17" i="68"/>
  <c r="C17" i="68"/>
  <c r="D16" i="68"/>
  <c r="C16" i="68"/>
  <c r="D15" i="68"/>
  <c r="C15" i="68"/>
  <c r="D14" i="68"/>
  <c r="C14" i="68"/>
  <c r="D13" i="68"/>
  <c r="C13" i="68"/>
  <c r="D12" i="68"/>
  <c r="C12" i="68"/>
  <c r="C11" i="68"/>
  <c r="C10" i="68"/>
  <c r="E11" i="68"/>
  <c r="D9" i="68"/>
  <c r="C9" i="68"/>
  <c r="G28" i="67"/>
  <c r="D45" i="67"/>
  <c r="C22" i="67"/>
  <c r="E44" i="67"/>
  <c r="D46" i="67"/>
  <c r="E46" i="67"/>
  <c r="D44" i="67"/>
  <c r="E43" i="67" s="1"/>
  <c r="D43" i="67"/>
  <c r="K31" i="67"/>
  <c r="G29" i="67"/>
  <c r="H29" i="67" s="1"/>
  <c r="G30" i="67"/>
  <c r="H30" i="67" s="1"/>
  <c r="G31" i="67"/>
  <c r="H31" i="67" s="1"/>
  <c r="G32" i="67"/>
  <c r="H32" i="67" s="1"/>
  <c r="G33" i="67"/>
  <c r="H33" i="67" s="1"/>
  <c r="C39" i="67" s="1"/>
  <c r="G34" i="67"/>
  <c r="H34" i="67" s="1"/>
  <c r="D258" i="11"/>
  <c r="D259" i="11"/>
  <c r="D260" i="11"/>
  <c r="D261" i="11"/>
  <c r="D262" i="11"/>
  <c r="D263" i="11"/>
  <c r="D264" i="11"/>
  <c r="D265" i="11"/>
  <c r="D266" i="11"/>
  <c r="D267" i="11"/>
  <c r="D268" i="11"/>
  <c r="D269" i="11"/>
  <c r="D270" i="11"/>
  <c r="D271" i="11"/>
  <c r="D272" i="11"/>
  <c r="D273" i="11"/>
  <c r="D274" i="11"/>
  <c r="D257" i="11"/>
  <c r="D6" i="67"/>
  <c r="D7" i="67"/>
  <c r="D8" i="67"/>
  <c r="D9" i="67"/>
  <c r="D5" i="67"/>
  <c r="C9" i="67"/>
  <c r="C8" i="67"/>
  <c r="C7" i="67"/>
  <c r="C6" i="67"/>
  <c r="C5" i="67"/>
  <c r="B6" i="67"/>
  <c r="B51" i="67" s="1"/>
  <c r="B7" i="67"/>
  <c r="B52" i="67" s="1"/>
  <c r="B8" i="67"/>
  <c r="B53" i="67" s="1"/>
  <c r="B9" i="67"/>
  <c r="B54" i="67" s="1"/>
  <c r="B5" i="67"/>
  <c r="B50" i="67" s="1"/>
  <c r="D186" i="11"/>
  <c r="D187" i="11"/>
  <c r="D188" i="11"/>
  <c r="D189" i="11"/>
  <c r="D190" i="11"/>
  <c r="D191" i="11"/>
  <c r="D192" i="11"/>
  <c r="D193" i="11"/>
  <c r="D194" i="11"/>
  <c r="D195" i="11"/>
  <c r="D196" i="11"/>
  <c r="D197" i="11"/>
  <c r="D198" i="11"/>
  <c r="D199" i="11"/>
  <c r="D200" i="11"/>
  <c r="D201" i="11"/>
  <c r="D202" i="11"/>
  <c r="D203" i="11"/>
  <c r="D28" i="68" l="1"/>
  <c r="D32" i="68"/>
  <c r="E41" i="68"/>
  <c r="D29" i="68"/>
  <c r="D33" i="68"/>
  <c r="D27" i="68"/>
  <c r="D11" i="68"/>
  <c r="D31" i="68"/>
  <c r="D30" i="68"/>
  <c r="C54" i="67"/>
  <c r="D54" i="67" s="1"/>
  <c r="C38" i="67"/>
  <c r="C52" i="67" s="1"/>
  <c r="D52" i="67" s="1"/>
  <c r="H28" i="67"/>
  <c r="C37" i="67" s="1"/>
  <c r="S20" i="68"/>
  <c r="S7" i="68"/>
  <c r="AE21" i="70"/>
  <c r="AE15" i="70"/>
  <c r="D27" i="70"/>
  <c r="D44" i="70" s="1"/>
  <c r="D26" i="70"/>
  <c r="D43" i="70" s="1"/>
  <c r="U6" i="68"/>
  <c r="S17" i="68"/>
  <c r="E27" i="68"/>
  <c r="S13" i="68"/>
  <c r="S12" i="68"/>
  <c r="D24" i="68"/>
  <c r="S11" i="68"/>
  <c r="S10" i="68"/>
  <c r="W6" i="68"/>
  <c r="S9" i="68"/>
  <c r="E26" i="68"/>
  <c r="S16" i="68"/>
  <c r="S8" i="68"/>
  <c r="E10" i="68"/>
  <c r="E12" i="68"/>
  <c r="S15" i="68"/>
  <c r="S19" i="68"/>
  <c r="S14" i="68"/>
  <c r="V6" i="68"/>
  <c r="D10" i="68"/>
  <c r="E45" i="67"/>
  <c r="C50" i="67" s="1"/>
  <c r="D46" i="68" l="1"/>
  <c r="D47" i="68"/>
  <c r="D45" i="68"/>
  <c r="D44" i="68"/>
  <c r="E13" i="68"/>
  <c r="D40" i="68"/>
  <c r="D43" i="68"/>
  <c r="D48" i="68"/>
  <c r="D49" i="68"/>
  <c r="E28" i="68"/>
  <c r="E42" i="68"/>
  <c r="F9" i="67"/>
  <c r="G9" i="67" s="1"/>
  <c r="H9" i="67" s="1"/>
  <c r="I9" i="67" s="1"/>
  <c r="J9" i="67" s="1"/>
  <c r="H35" i="67"/>
  <c r="C51" i="67"/>
  <c r="F7" i="67"/>
  <c r="C53" i="67"/>
  <c r="C40" i="67"/>
  <c r="AE12" i="70"/>
  <c r="AE11" i="70"/>
  <c r="AE19" i="70"/>
  <c r="AE20" i="70"/>
  <c r="AE9" i="70"/>
  <c r="AE7" i="70"/>
  <c r="AE16" i="70"/>
  <c r="AE13" i="70"/>
  <c r="AE17" i="70"/>
  <c r="X12" i="68"/>
  <c r="Y12" i="68" s="1"/>
  <c r="X15" i="68"/>
  <c r="Y15" i="68" s="1"/>
  <c r="D25" i="68"/>
  <c r="D26" i="68"/>
  <c r="F5" i="67"/>
  <c r="D50" i="67"/>
  <c r="D233" i="11"/>
  <c r="D234" i="11"/>
  <c r="D235" i="11"/>
  <c r="D236" i="11"/>
  <c r="D237" i="11"/>
  <c r="D238" i="11"/>
  <c r="D239" i="11"/>
  <c r="D240" i="11"/>
  <c r="D241" i="11"/>
  <c r="D242" i="11"/>
  <c r="D243" i="11"/>
  <c r="D244" i="11"/>
  <c r="D245" i="11"/>
  <c r="D246" i="11"/>
  <c r="D247" i="11"/>
  <c r="D248" i="11"/>
  <c r="D249" i="11"/>
  <c r="D232" i="11"/>
  <c r="D210" i="11"/>
  <c r="D211" i="11"/>
  <c r="D212" i="11"/>
  <c r="D213" i="11"/>
  <c r="D214" i="11"/>
  <c r="D215" i="11"/>
  <c r="D216" i="11"/>
  <c r="D217" i="11"/>
  <c r="D218" i="11"/>
  <c r="D219" i="11"/>
  <c r="D220" i="11"/>
  <c r="D221" i="11"/>
  <c r="D222" i="11"/>
  <c r="D223" i="11"/>
  <c r="D224" i="11"/>
  <c r="D225" i="11"/>
  <c r="D226" i="11"/>
  <c r="D209" i="11"/>
  <c r="D164" i="11"/>
  <c r="D165" i="11"/>
  <c r="D166" i="11"/>
  <c r="D167" i="11"/>
  <c r="D168" i="11"/>
  <c r="D169" i="11"/>
  <c r="D170" i="11"/>
  <c r="D171" i="11"/>
  <c r="D172" i="11"/>
  <c r="D173" i="11"/>
  <c r="D174" i="11"/>
  <c r="D175" i="11"/>
  <c r="D176" i="11"/>
  <c r="D177" i="11"/>
  <c r="D178" i="11"/>
  <c r="D179" i="11"/>
  <c r="D180" i="11"/>
  <c r="D163" i="11"/>
  <c r="D141" i="11"/>
  <c r="D142" i="11"/>
  <c r="D143" i="11"/>
  <c r="D144" i="11"/>
  <c r="D145" i="11"/>
  <c r="D146" i="11"/>
  <c r="D147" i="11"/>
  <c r="D148" i="11"/>
  <c r="D149" i="11"/>
  <c r="D150" i="11"/>
  <c r="D151" i="11"/>
  <c r="D152" i="11"/>
  <c r="D153" i="11"/>
  <c r="D154" i="11"/>
  <c r="D155" i="11"/>
  <c r="D156" i="11"/>
  <c r="D157" i="11"/>
  <c r="D140" i="11"/>
  <c r="D118" i="11"/>
  <c r="D119" i="11"/>
  <c r="D120" i="11"/>
  <c r="D121" i="11"/>
  <c r="D122" i="11"/>
  <c r="D123" i="11"/>
  <c r="D124" i="11"/>
  <c r="D125" i="11"/>
  <c r="D126" i="11"/>
  <c r="D127" i="11"/>
  <c r="D128" i="11"/>
  <c r="D129" i="11"/>
  <c r="D130" i="11"/>
  <c r="D131" i="11"/>
  <c r="D132" i="11"/>
  <c r="D133" i="11"/>
  <c r="D134" i="11"/>
  <c r="D117" i="11"/>
  <c r="E14" i="68" l="1"/>
  <c r="D42" i="68"/>
  <c r="E29" i="68"/>
  <c r="E43" i="68"/>
  <c r="D41" i="68"/>
  <c r="C55" i="67"/>
  <c r="D55" i="67" s="1"/>
  <c r="E9" i="67"/>
  <c r="O9" i="67" s="1"/>
  <c r="E7" i="67"/>
  <c r="O7" i="67" s="1"/>
  <c r="G7" i="67"/>
  <c r="H7" i="67" s="1"/>
  <c r="I7" i="67" s="1"/>
  <c r="E5" i="67"/>
  <c r="O5" i="67" s="1"/>
  <c r="G5" i="67"/>
  <c r="F6" i="67"/>
  <c r="D51" i="67"/>
  <c r="F8" i="67"/>
  <c r="D53" i="67"/>
  <c r="AE14" i="70"/>
  <c r="AE10" i="70"/>
  <c r="X17" i="68"/>
  <c r="Y17" i="68" s="1"/>
  <c r="Y7" i="68"/>
  <c r="Y19" i="68"/>
  <c r="X20" i="68"/>
  <c r="Y20" i="68" s="1"/>
  <c r="X16" i="68"/>
  <c r="Y16" i="68" s="1"/>
  <c r="E30" i="68" l="1"/>
  <c r="E44" i="68"/>
  <c r="E15" i="68"/>
  <c r="E8" i="67"/>
  <c r="O8" i="67" s="1"/>
  <c r="G8" i="67"/>
  <c r="H8" i="67" s="1"/>
  <c r="I8" i="67" s="1"/>
  <c r="J8" i="67" s="1"/>
  <c r="E6" i="67"/>
  <c r="O6" i="67" s="1"/>
  <c r="G6" i="67"/>
  <c r="H6" i="67" s="1"/>
  <c r="I6" i="67" s="1"/>
  <c r="AE8" i="70"/>
  <c r="X10" i="68"/>
  <c r="Y10" i="68" s="1"/>
  <c r="X14" i="68"/>
  <c r="Y14" i="68" s="1"/>
  <c r="X8" i="68"/>
  <c r="Y8" i="68" s="1"/>
  <c r="X9" i="68"/>
  <c r="Y9" i="68" s="1"/>
  <c r="X11" i="68"/>
  <c r="Y11" i="68" s="1"/>
  <c r="U21" i="68"/>
  <c r="U22" i="68" s="1"/>
  <c r="N6" i="66"/>
  <c r="F6" i="66" s="1"/>
  <c r="N7" i="66"/>
  <c r="F7" i="66" s="1"/>
  <c r="N8" i="66"/>
  <c r="F8" i="66" s="1"/>
  <c r="N9" i="66"/>
  <c r="F9" i="66" s="1"/>
  <c r="N10" i="66"/>
  <c r="F10" i="66" s="1"/>
  <c r="N5" i="66"/>
  <c r="D6" i="66"/>
  <c r="D7" i="66"/>
  <c r="D8" i="66"/>
  <c r="D9" i="66"/>
  <c r="D10" i="66"/>
  <c r="D5" i="66"/>
  <c r="C10" i="66"/>
  <c r="C9" i="66"/>
  <c r="C8" i="66"/>
  <c r="C7" i="66"/>
  <c r="C6" i="66"/>
  <c r="C5" i="66"/>
  <c r="B6" i="66"/>
  <c r="B7" i="66"/>
  <c r="B8" i="66"/>
  <c r="B9" i="66"/>
  <c r="B10" i="66"/>
  <c r="B5" i="66"/>
  <c r="E16" i="68" l="1"/>
  <c r="E45" i="68"/>
  <c r="E31" i="68"/>
  <c r="O10" i="67"/>
  <c r="O9" i="66"/>
  <c r="G9" i="66"/>
  <c r="O8" i="66"/>
  <c r="G8" i="66"/>
  <c r="O10" i="66"/>
  <c r="G10" i="66"/>
  <c r="O7" i="66"/>
  <c r="G7" i="66"/>
  <c r="O6" i="66"/>
  <c r="G6" i="66"/>
  <c r="F5" i="66"/>
  <c r="E32" i="68" l="1"/>
  <c r="E46" i="68"/>
  <c r="E17" i="68"/>
  <c r="O5" i="66"/>
  <c r="O11" i="66" s="1"/>
  <c r="G5" i="66"/>
  <c r="E18" i="68" l="1"/>
  <c r="E47" i="68"/>
  <c r="E33" i="68"/>
  <c r="E77" i="11"/>
  <c r="F102" i="11" s="1"/>
  <c r="D77" i="11"/>
  <c r="F96" i="11" s="1"/>
  <c r="C77" i="11"/>
  <c r="E48" i="68" l="1"/>
  <c r="F90" i="11"/>
  <c r="AB4" i="70" s="1"/>
  <c r="F103" i="11"/>
  <c r="F104" i="11" s="1"/>
  <c r="F105" i="11" s="1"/>
  <c r="F106" i="11" s="1"/>
  <c r="F107" i="11" s="1"/>
  <c r="AA4" i="70"/>
  <c r="F97" i="11"/>
  <c r="F98" i="11" s="1"/>
  <c r="F99" i="11" s="1"/>
  <c r="F100" i="11" s="1"/>
  <c r="F101" i="11" s="1"/>
  <c r="AC4" i="70"/>
  <c r="E49" i="68" l="1"/>
  <c r="R34" i="70"/>
  <c r="R28" i="70"/>
  <c r="F28" i="70" s="1"/>
  <c r="G28" i="70" s="1"/>
  <c r="H28" i="70" s="1"/>
  <c r="I28" i="70" s="1"/>
  <c r="R9" i="70"/>
  <c r="F9" i="70" s="1"/>
  <c r="T9" i="70" s="1"/>
  <c r="R16" i="70"/>
  <c r="F16" i="70" s="1"/>
  <c r="G16" i="70" s="1"/>
  <c r="R15" i="70"/>
  <c r="F15" i="70" s="1"/>
  <c r="R42" i="70"/>
  <c r="F42" i="70" s="1"/>
  <c r="R49" i="70"/>
  <c r="F49" i="70" s="1"/>
  <c r="G49" i="70" s="1"/>
  <c r="R46" i="70"/>
  <c r="F46" i="70" s="1"/>
  <c r="R48" i="70"/>
  <c r="R50" i="70"/>
  <c r="F50" i="70" s="1"/>
  <c r="R47" i="70"/>
  <c r="F47" i="70" s="1"/>
  <c r="R51" i="70"/>
  <c r="R52" i="70"/>
  <c r="F52" i="70" s="1"/>
  <c r="R44" i="70"/>
  <c r="F44" i="70" s="1"/>
  <c r="R45" i="70"/>
  <c r="R43" i="70"/>
  <c r="F43" i="70" s="1"/>
  <c r="R19" i="70"/>
  <c r="F19" i="70" s="1"/>
  <c r="R10" i="70"/>
  <c r="F10" i="70" s="1"/>
  <c r="R18" i="70"/>
  <c r="R12" i="70"/>
  <c r="R17" i="70"/>
  <c r="F17" i="70" s="1"/>
  <c r="G17" i="70" s="1"/>
  <c r="H17" i="70" s="1"/>
  <c r="I17" i="70" s="1"/>
  <c r="R11" i="70"/>
  <c r="F11" i="70" s="1"/>
  <c r="R14" i="70"/>
  <c r="F14" i="70" s="1"/>
  <c r="G14" i="70" s="1"/>
  <c r="H14" i="70" s="1"/>
  <c r="I14" i="70" s="1"/>
  <c r="R13" i="70"/>
  <c r="F13" i="70" s="1"/>
  <c r="F91" i="11"/>
  <c r="F92" i="11" s="1"/>
  <c r="F93" i="11" s="1"/>
  <c r="F94" i="11" s="1"/>
  <c r="F95" i="11" s="1"/>
  <c r="R32" i="70"/>
  <c r="F32" i="70" s="1"/>
  <c r="G32" i="70" s="1"/>
  <c r="R35" i="70"/>
  <c r="F35" i="70" s="1"/>
  <c r="R31" i="70"/>
  <c r="F31" i="70" s="1"/>
  <c r="R29" i="70"/>
  <c r="F29" i="70" s="1"/>
  <c r="R26" i="70"/>
  <c r="F26" i="70" s="1"/>
  <c r="R25" i="70"/>
  <c r="F25" i="70" s="1"/>
  <c r="R27" i="70"/>
  <c r="F27" i="70" s="1"/>
  <c r="R30" i="70"/>
  <c r="F30" i="70" s="1"/>
  <c r="G30" i="70" s="1"/>
  <c r="H30" i="70" s="1"/>
  <c r="I30" i="70" s="1"/>
  <c r="R33" i="70"/>
  <c r="F33" i="70" s="1"/>
  <c r="G33" i="70" s="1"/>
  <c r="H33" i="70" s="1"/>
  <c r="I33" i="70" s="1"/>
  <c r="D41" i="11"/>
  <c r="D42" i="11" s="1"/>
  <c r="D43" i="11" s="1"/>
  <c r="D44" i="11" s="1"/>
  <c r="D45" i="11" s="1"/>
  <c r="D46" i="11" s="1"/>
  <c r="D35" i="11"/>
  <c r="D36" i="11" s="1"/>
  <c r="D37" i="11" s="1"/>
  <c r="D38" i="11" s="1"/>
  <c r="D39" i="11" s="1"/>
  <c r="D40" i="11" s="1"/>
  <c r="D29" i="11"/>
  <c r="D30" i="11" s="1"/>
  <c r="D31" i="11" s="1"/>
  <c r="D32" i="11" s="1"/>
  <c r="D33" i="11" s="1"/>
  <c r="D34" i="11" s="1"/>
  <c r="C29" i="11"/>
  <c r="G46" i="70" l="1"/>
  <c r="I46" i="70" s="1"/>
  <c r="H46" i="70"/>
  <c r="J46" i="70"/>
  <c r="S26" i="70"/>
  <c r="G26" i="70"/>
  <c r="I26" i="70" s="1"/>
  <c r="H26" i="70"/>
  <c r="J26" i="70"/>
  <c r="G11" i="70"/>
  <c r="I11" i="70" s="1"/>
  <c r="H11" i="70"/>
  <c r="J11" i="70"/>
  <c r="G44" i="70"/>
  <c r="I44" i="70" s="1"/>
  <c r="H44" i="70"/>
  <c r="J44" i="70"/>
  <c r="G31" i="70"/>
  <c r="I31" i="70" s="1"/>
  <c r="H31" i="70"/>
  <c r="J31" i="70"/>
  <c r="G35" i="70"/>
  <c r="I35" i="70" s="1"/>
  <c r="H35" i="70"/>
  <c r="J35" i="70"/>
  <c r="J47" i="70"/>
  <c r="G47" i="70"/>
  <c r="I47" i="70" s="1"/>
  <c r="H47" i="70"/>
  <c r="J25" i="70"/>
  <c r="H25" i="70"/>
  <c r="G25" i="70"/>
  <c r="I25" i="70" s="1"/>
  <c r="G52" i="70"/>
  <c r="I52" i="70" s="1"/>
  <c r="H52" i="70"/>
  <c r="J52" i="70"/>
  <c r="G10" i="70"/>
  <c r="I10" i="70" s="1"/>
  <c r="H10" i="70"/>
  <c r="J10" i="70"/>
  <c r="J50" i="70"/>
  <c r="G50" i="70"/>
  <c r="I50" i="70" s="1"/>
  <c r="H50" i="70"/>
  <c r="J9" i="70"/>
  <c r="G9" i="70"/>
  <c r="I9" i="70" s="1"/>
  <c r="H9" i="70"/>
  <c r="G15" i="70"/>
  <c r="I15" i="70" s="1"/>
  <c r="H15" i="70"/>
  <c r="J15" i="70"/>
  <c r="G19" i="70"/>
  <c r="I19" i="70" s="1"/>
  <c r="H19" i="70"/>
  <c r="J19" i="70"/>
  <c r="G29" i="70"/>
  <c r="I29" i="70" s="1"/>
  <c r="H29" i="70"/>
  <c r="J29" i="70"/>
  <c r="J42" i="70"/>
  <c r="G42" i="70"/>
  <c r="I42" i="70" s="1"/>
  <c r="H42" i="70"/>
  <c r="S27" i="70"/>
  <c r="G27" i="70"/>
  <c r="I27" i="70" s="1"/>
  <c r="H27" i="70"/>
  <c r="J27" i="70"/>
  <c r="H13" i="70"/>
  <c r="G13" i="70"/>
  <c r="I13" i="70" s="1"/>
  <c r="J13" i="70"/>
  <c r="G43" i="70"/>
  <c r="I43" i="70" s="1"/>
  <c r="H43" i="70"/>
  <c r="J43" i="70"/>
  <c r="S9" i="70"/>
  <c r="S16" i="70"/>
  <c r="T16" i="70"/>
  <c r="S42" i="70"/>
  <c r="T42" i="70"/>
  <c r="S28" i="70"/>
  <c r="S29" i="70"/>
  <c r="S32" i="70"/>
  <c r="S30" i="70"/>
  <c r="S33" i="70"/>
  <c r="S31" i="70"/>
  <c r="S35" i="70"/>
  <c r="F45" i="70"/>
  <c r="G45" i="70" s="1"/>
  <c r="H45" i="70" s="1"/>
  <c r="I45" i="70" s="1"/>
  <c r="S15" i="70"/>
  <c r="T15" i="70"/>
  <c r="S49" i="70"/>
  <c r="T49" i="70"/>
  <c r="S11" i="70"/>
  <c r="T11" i="70"/>
  <c r="S44" i="70"/>
  <c r="T44" i="70"/>
  <c r="F12" i="70"/>
  <c r="G12" i="70" s="1"/>
  <c r="H12" i="70" s="1"/>
  <c r="I12" i="70" s="1"/>
  <c r="S10" i="70"/>
  <c r="T10" i="70"/>
  <c r="S47" i="70"/>
  <c r="T47" i="70"/>
  <c r="S52" i="70"/>
  <c r="T52" i="70"/>
  <c r="T13" i="70"/>
  <c r="S13" i="70"/>
  <c r="T19" i="70"/>
  <c r="S19" i="70"/>
  <c r="S50" i="70"/>
  <c r="T50" i="70"/>
  <c r="S17" i="70"/>
  <c r="T17" i="70"/>
  <c r="S14" i="70"/>
  <c r="T14" i="70"/>
  <c r="S43" i="70"/>
  <c r="T43" i="70"/>
  <c r="F48" i="70"/>
  <c r="R36" i="70"/>
  <c r="T35" i="70"/>
  <c r="T32" i="70"/>
  <c r="T30" i="70"/>
  <c r="T29" i="70"/>
  <c r="T26" i="70"/>
  <c r="T31" i="70"/>
  <c r="T33" i="70"/>
  <c r="T27" i="70"/>
  <c r="E23" i="63"/>
  <c r="H5" i="72" s="1"/>
  <c r="B22" i="63"/>
  <c r="E21" i="63"/>
  <c r="E19" i="63"/>
  <c r="E17" i="63"/>
  <c r="G5" i="72" s="1"/>
  <c r="E15" i="63"/>
  <c r="E13" i="63"/>
  <c r="E11" i="63"/>
  <c r="F5" i="72" s="1"/>
  <c r="E9" i="63"/>
  <c r="E5" i="72" s="1"/>
  <c r="E7" i="63"/>
  <c r="D5" i="72" s="1"/>
  <c r="B18" i="63"/>
  <c r="B16" i="63"/>
  <c r="B14" i="63"/>
  <c r="B12" i="63"/>
  <c r="B10" i="63"/>
  <c r="B8" i="63"/>
  <c r="B6" i="63"/>
  <c r="J48" i="70" l="1"/>
  <c r="G48" i="70"/>
  <c r="I48" i="70" s="1"/>
  <c r="H48" i="70"/>
  <c r="S48" i="70"/>
  <c r="T12" i="70"/>
  <c r="T45" i="70"/>
  <c r="T68" i="70"/>
  <c r="T63" i="70"/>
  <c r="S12" i="70"/>
  <c r="S20" i="70" s="1"/>
  <c r="T64" i="70"/>
  <c r="T48" i="70"/>
  <c r="T66" i="70" s="1"/>
  <c r="T62" i="70"/>
  <c r="T69" i="70"/>
  <c r="S45" i="70"/>
  <c r="D52" i="70"/>
  <c r="D35" i="70"/>
  <c r="D19" i="70"/>
  <c r="T28" i="70"/>
  <c r="T25" i="70"/>
  <c r="T59" i="70" s="1"/>
  <c r="S25" i="70"/>
  <c r="T65" i="70"/>
  <c r="F33" i="11"/>
  <c r="F29" i="11"/>
  <c r="D4" i="19"/>
  <c r="D4" i="18"/>
  <c r="D5" i="18" s="1"/>
  <c r="D8" i="18" s="1"/>
  <c r="G33" i="11" l="1"/>
  <c r="H33" i="11" s="1"/>
  <c r="I33" i="11" s="1"/>
  <c r="J33" i="11" s="1"/>
  <c r="K33" i="11" s="1"/>
  <c r="L33" i="11" s="1"/>
  <c r="G29" i="11"/>
  <c r="H29" i="11" s="1"/>
  <c r="I29" i="11" s="1"/>
  <c r="J29" i="11" s="1"/>
  <c r="K29" i="11" s="1"/>
  <c r="L29" i="11" s="1"/>
  <c r="T61" i="70"/>
  <c r="I261" i="11"/>
  <c r="I190" i="11"/>
  <c r="I213" i="11"/>
  <c r="I167" i="11"/>
  <c r="I236" i="11"/>
  <c r="I257" i="11"/>
  <c r="I163" i="11"/>
  <c r="I232" i="11"/>
  <c r="I209" i="11"/>
  <c r="I186" i="11"/>
  <c r="S36" i="70"/>
  <c r="I140" i="11"/>
  <c r="I117" i="11"/>
  <c r="I144" i="11"/>
  <c r="I121" i="11"/>
  <c r="I90" i="11"/>
  <c r="I94" i="11"/>
  <c r="F40" i="11"/>
  <c r="F34" i="11"/>
  <c r="F46" i="11"/>
  <c r="F39" i="11"/>
  <c r="F45" i="11"/>
  <c r="F38" i="11"/>
  <c r="F32" i="11"/>
  <c r="F44" i="11"/>
  <c r="F37" i="11"/>
  <c r="F31" i="11"/>
  <c r="F43" i="11"/>
  <c r="F36" i="11"/>
  <c r="F30" i="11"/>
  <c r="F42" i="11"/>
  <c r="F35" i="11"/>
  <c r="F41" i="11"/>
  <c r="G38" i="11" l="1"/>
  <c r="H38" i="11" s="1"/>
  <c r="I38" i="11" s="1"/>
  <c r="J38" i="11" s="1"/>
  <c r="K38" i="11" s="1"/>
  <c r="L38" i="11" s="1"/>
  <c r="G43" i="11"/>
  <c r="H43" i="11" s="1"/>
  <c r="I43" i="11" s="1"/>
  <c r="J43" i="11" s="1"/>
  <c r="K43" i="11" s="1"/>
  <c r="L43" i="11" s="1"/>
  <c r="G46" i="11"/>
  <c r="H46" i="11" s="1"/>
  <c r="I46" i="11" s="1"/>
  <c r="J46" i="11" s="1"/>
  <c r="K46" i="11" s="1"/>
  <c r="L46" i="11" s="1"/>
  <c r="G31" i="11"/>
  <c r="H31" i="11" s="1"/>
  <c r="I31" i="11" s="1"/>
  <c r="J31" i="11" s="1"/>
  <c r="K31" i="11" s="1"/>
  <c r="L31" i="11" s="1"/>
  <c r="G34" i="11"/>
  <c r="H34" i="11" s="1"/>
  <c r="I34" i="11" s="1"/>
  <c r="J34" i="11" s="1"/>
  <c r="K34" i="11" s="1"/>
  <c r="L34" i="11" s="1"/>
  <c r="G39" i="11"/>
  <c r="H39" i="11" s="1"/>
  <c r="I39" i="11" s="1"/>
  <c r="J39" i="11" s="1"/>
  <c r="K39" i="11" s="1"/>
  <c r="L39" i="11" s="1"/>
  <c r="G37" i="11"/>
  <c r="H37" i="11" s="1"/>
  <c r="I37" i="11" s="1"/>
  <c r="J37" i="11" s="1"/>
  <c r="K37" i="11" s="1"/>
  <c r="L37" i="11" s="1"/>
  <c r="G40" i="11"/>
  <c r="H40" i="11" s="1"/>
  <c r="I40" i="11" s="1"/>
  <c r="J40" i="11" s="1"/>
  <c r="K40" i="11" s="1"/>
  <c r="L40" i="11" s="1"/>
  <c r="G42" i="11"/>
  <c r="H42" i="11" s="1"/>
  <c r="I42" i="11" s="1"/>
  <c r="J42" i="11" s="1"/>
  <c r="K42" i="11" s="1"/>
  <c r="L42" i="11" s="1"/>
  <c r="G30" i="11"/>
  <c r="H30" i="11" s="1"/>
  <c r="I30" i="11" s="1"/>
  <c r="J30" i="11" s="1"/>
  <c r="K30" i="11" s="1"/>
  <c r="L30" i="11" s="1"/>
  <c r="G36" i="11"/>
  <c r="H36" i="11" s="1"/>
  <c r="I36" i="11" s="1"/>
  <c r="J36" i="11" s="1"/>
  <c r="K36" i="11" s="1"/>
  <c r="L36" i="11" s="1"/>
  <c r="G44" i="11"/>
  <c r="H44" i="11" s="1"/>
  <c r="I44" i="11" s="1"/>
  <c r="J44" i="11" s="1"/>
  <c r="K44" i="11" s="1"/>
  <c r="L44" i="11" s="1"/>
  <c r="G45" i="11"/>
  <c r="H45" i="11" s="1"/>
  <c r="I45" i="11" s="1"/>
  <c r="J45" i="11" s="1"/>
  <c r="K45" i="11" s="1"/>
  <c r="L45" i="11" s="1"/>
  <c r="G41" i="11"/>
  <c r="H41" i="11" s="1"/>
  <c r="I41" i="11" s="1"/>
  <c r="J41" i="11" s="1"/>
  <c r="K41" i="11" s="1"/>
  <c r="L41" i="11" s="1"/>
  <c r="G35" i="11"/>
  <c r="H35" i="11" s="1"/>
  <c r="I35" i="11" s="1"/>
  <c r="J35" i="11" s="1"/>
  <c r="K35" i="11" s="1"/>
  <c r="L35" i="11" s="1"/>
  <c r="G32" i="11"/>
  <c r="H32" i="11" s="1"/>
  <c r="I32" i="11" s="1"/>
  <c r="J32" i="11" s="1"/>
  <c r="K32" i="11" s="1"/>
  <c r="L32" i="11" s="1"/>
  <c r="I271" i="11"/>
  <c r="I246" i="11"/>
  <c r="I223" i="11"/>
  <c r="I200" i="11"/>
  <c r="I177" i="11"/>
  <c r="I269" i="11"/>
  <c r="I198" i="11"/>
  <c r="I175" i="11"/>
  <c r="I244" i="11"/>
  <c r="I221" i="11"/>
  <c r="I259" i="11"/>
  <c r="I165" i="11"/>
  <c r="I188" i="11"/>
  <c r="I234" i="11"/>
  <c r="I211" i="11"/>
  <c r="I268" i="11"/>
  <c r="I197" i="11"/>
  <c r="I220" i="11"/>
  <c r="I174" i="11"/>
  <c r="I243" i="11"/>
  <c r="I272" i="11"/>
  <c r="I247" i="11"/>
  <c r="I224" i="11"/>
  <c r="I178" i="11"/>
  <c r="I201" i="11"/>
  <c r="I260" i="11"/>
  <c r="I189" i="11"/>
  <c r="I166" i="11"/>
  <c r="I235" i="11"/>
  <c r="I212" i="11"/>
  <c r="I274" i="11"/>
  <c r="I180" i="11"/>
  <c r="I249" i="11"/>
  <c r="I203" i="11"/>
  <c r="I226" i="11"/>
  <c r="I266" i="11"/>
  <c r="I172" i="11"/>
  <c r="I195" i="11"/>
  <c r="I241" i="11"/>
  <c r="I218" i="11"/>
  <c r="I273" i="11"/>
  <c r="I225" i="11"/>
  <c r="I179" i="11"/>
  <c r="I248" i="11"/>
  <c r="I202" i="11"/>
  <c r="I262" i="11"/>
  <c r="I214" i="11"/>
  <c r="I191" i="11"/>
  <c r="I237" i="11"/>
  <c r="I168" i="11"/>
  <c r="I265" i="11"/>
  <c r="I240" i="11"/>
  <c r="I217" i="11"/>
  <c r="I171" i="11"/>
  <c r="I194" i="11"/>
  <c r="I263" i="11"/>
  <c r="I238" i="11"/>
  <c r="I215" i="11"/>
  <c r="I192" i="11"/>
  <c r="I169" i="11"/>
  <c r="I270" i="11"/>
  <c r="I222" i="11"/>
  <c r="I199" i="11"/>
  <c r="I245" i="11"/>
  <c r="I176" i="11"/>
  <c r="I258" i="11"/>
  <c r="I164" i="11"/>
  <c r="I233" i="11"/>
  <c r="I187" i="11"/>
  <c r="I210" i="11"/>
  <c r="I264" i="11"/>
  <c r="I239" i="11"/>
  <c r="I170" i="11"/>
  <c r="I216" i="11"/>
  <c r="I193" i="11"/>
  <c r="I267" i="11"/>
  <c r="I173" i="11"/>
  <c r="I196" i="11"/>
  <c r="I242" i="11"/>
  <c r="I219" i="11"/>
  <c r="I152" i="11"/>
  <c r="I129" i="11"/>
  <c r="I153" i="11"/>
  <c r="I130" i="11"/>
  <c r="I133" i="11"/>
  <c r="I156" i="11"/>
  <c r="I132" i="11"/>
  <c r="I155" i="11"/>
  <c r="I143" i="11"/>
  <c r="I120" i="11"/>
  <c r="I126" i="11"/>
  <c r="I149" i="11"/>
  <c r="I118" i="11"/>
  <c r="I141" i="11"/>
  <c r="I124" i="11"/>
  <c r="I147" i="11"/>
  <c r="I150" i="11"/>
  <c r="I127" i="11"/>
  <c r="I146" i="11"/>
  <c r="I123" i="11"/>
  <c r="I154" i="11"/>
  <c r="I131" i="11"/>
  <c r="I134" i="11"/>
  <c r="I157" i="11"/>
  <c r="I142" i="11"/>
  <c r="I119" i="11"/>
  <c r="I145" i="11"/>
  <c r="I122" i="11"/>
  <c r="I125" i="11"/>
  <c r="I148" i="11"/>
  <c r="I151" i="11"/>
  <c r="I128" i="11"/>
  <c r="I97" i="11"/>
  <c r="I100" i="11"/>
  <c r="I101" i="11"/>
  <c r="I92" i="11"/>
  <c r="I104" i="11"/>
  <c r="I95" i="11"/>
  <c r="I102" i="11"/>
  <c r="I93" i="11"/>
  <c r="I99" i="11"/>
  <c r="I107" i="11"/>
  <c r="I98" i="11"/>
  <c r="I105" i="11"/>
  <c r="I96" i="11"/>
  <c r="I103" i="11"/>
  <c r="I91" i="11"/>
  <c r="I106" i="11"/>
  <c r="D11" i="18"/>
  <c r="D11" i="20"/>
  <c r="D19" i="18"/>
  <c r="I204" i="11" l="1"/>
  <c r="I181" i="11"/>
  <c r="S7" i="70"/>
  <c r="Q9" i="70" s="1"/>
  <c r="AB59" i="70" s="1"/>
  <c r="I227" i="11"/>
  <c r="I250" i="11"/>
  <c r="I275" i="11"/>
  <c r="S40" i="70"/>
  <c r="S23" i="70"/>
  <c r="I158" i="11"/>
  <c r="I135" i="11"/>
  <c r="D7" i="18"/>
  <c r="D6" i="18" s="1"/>
  <c r="Q18" i="70" l="1"/>
  <c r="AB68" i="70" s="1"/>
  <c r="Q16" i="70"/>
  <c r="AB66" i="70" s="1"/>
  <c r="Q11" i="70"/>
  <c r="AB61" i="70" s="1"/>
  <c r="Q14" i="70"/>
  <c r="AB64" i="70" s="1"/>
  <c r="Q10" i="70"/>
  <c r="AB60" i="70" s="1"/>
  <c r="Q15" i="70"/>
  <c r="AB65" i="70" s="1"/>
  <c r="Q17" i="70"/>
  <c r="AB67" i="70" s="1"/>
  <c r="Q13" i="70"/>
  <c r="AB63" i="70" s="1"/>
  <c r="Q19" i="70"/>
  <c r="AB69" i="70" s="1"/>
  <c r="Q23" i="70"/>
  <c r="Q12" i="70"/>
  <c r="AB62" i="70" s="1"/>
  <c r="Q28" i="70"/>
  <c r="AC62" i="70" s="1"/>
  <c r="Q34" i="70"/>
  <c r="AC68" i="70" s="1"/>
  <c r="Q31" i="70"/>
  <c r="AC65" i="70" s="1"/>
  <c r="Q27" i="70"/>
  <c r="AC61" i="70" s="1"/>
  <c r="Q29" i="70"/>
  <c r="AC63" i="70" s="1"/>
  <c r="Q30" i="70"/>
  <c r="AC64" i="70" s="1"/>
  <c r="Q35" i="70"/>
  <c r="AC69" i="70" s="1"/>
  <c r="Q32" i="70"/>
  <c r="AC66" i="70" s="1"/>
  <c r="Q33" i="70"/>
  <c r="AC67" i="70" s="1"/>
  <c r="Q26" i="70"/>
  <c r="AC60" i="70" s="1"/>
  <c r="Q25" i="70"/>
  <c r="AC59" i="70" s="1"/>
  <c r="S70" i="70"/>
  <c r="Q51" i="70"/>
  <c r="AA68" i="70" s="1"/>
  <c r="Q42" i="70"/>
  <c r="AA59" i="70" s="1"/>
  <c r="Q50" i="70"/>
  <c r="AA67" i="70" s="1"/>
  <c r="Q48" i="70"/>
  <c r="AA65" i="70" s="1"/>
  <c r="Q43" i="70"/>
  <c r="AA60" i="70" s="1"/>
  <c r="Q47" i="70"/>
  <c r="AA64" i="70" s="1"/>
  <c r="Q49" i="70"/>
  <c r="AA66" i="70" s="1"/>
  <c r="Q52" i="70"/>
  <c r="AA69" i="70" s="1"/>
  <c r="Q44" i="70"/>
  <c r="AA61" i="70" s="1"/>
  <c r="Q45" i="70"/>
  <c r="AA62" i="70" s="1"/>
  <c r="D14" i="18"/>
  <c r="D12" i="18"/>
  <c r="AB70" i="70" l="1"/>
  <c r="AC70" i="70"/>
  <c r="D13" i="18"/>
  <c r="D15" i="18"/>
  <c r="D21" i="18" l="1"/>
  <c r="D28" i="18" s="1"/>
  <c r="D22" i="18"/>
  <c r="D29" i="18" s="1"/>
  <c r="D26" i="18"/>
  <c r="D33" i="18" s="1"/>
  <c r="D23" i="18"/>
  <c r="D30" i="18" s="1"/>
  <c r="D25" i="18"/>
  <c r="D32" i="18" s="1"/>
  <c r="D24" i="18"/>
  <c r="D31" i="18" s="1"/>
  <c r="D11" i="19" l="1"/>
  <c r="D18" i="19"/>
  <c r="G31" i="79" l="1"/>
  <c r="H31" i="79"/>
  <c r="I31" i="79"/>
  <c r="D16" i="18"/>
  <c r="D36" i="18" s="1"/>
  <c r="F31" i="79" l="1"/>
  <c r="E31" i="79"/>
  <c r="F54" i="11"/>
  <c r="D43" i="18"/>
  <c r="D40" i="18"/>
  <c r="F58" i="11" s="1"/>
  <c r="D37" i="18"/>
  <c r="D41" i="18"/>
  <c r="F59" i="11" s="1"/>
  <c r="D38" i="18"/>
  <c r="F56" i="11" s="1"/>
  <c r="D39" i="18"/>
  <c r="F57" i="11" s="1"/>
  <c r="F55" i="11" l="1"/>
  <c r="D44" i="18"/>
  <c r="D45" i="18"/>
  <c r="D46" i="18"/>
  <c r="D48" i="18"/>
  <c r="D47" i="18"/>
  <c r="U4" i="68" l="1"/>
  <c r="M15" i="68" s="1"/>
  <c r="C31" i="79" l="1"/>
  <c r="C38" i="79" s="1"/>
  <c r="D38" i="79" s="1"/>
  <c r="F15" i="68"/>
  <c r="M9" i="68"/>
  <c r="F9" i="68" s="1"/>
  <c r="M10" i="68"/>
  <c r="M14" i="68"/>
  <c r="M13" i="68"/>
  <c r="M16" i="68"/>
  <c r="M17" i="68"/>
  <c r="M18" i="68"/>
  <c r="M12" i="68"/>
  <c r="M11" i="68"/>
  <c r="D8" i="19"/>
  <c r="D5" i="19"/>
  <c r="D7" i="19"/>
  <c r="C39" i="79" l="1"/>
  <c r="D39" i="79" s="1"/>
  <c r="E38" i="79" s="1"/>
  <c r="F16" i="68"/>
  <c r="F17" i="68"/>
  <c r="C40" i="79"/>
  <c r="D40" i="79" s="1"/>
  <c r="E40" i="79" s="1"/>
  <c r="F40" i="79" s="1"/>
  <c r="G40" i="79" s="1"/>
  <c r="H40" i="79" s="1"/>
  <c r="I40" i="79" s="1"/>
  <c r="C32" i="79"/>
  <c r="D32" i="79" s="1"/>
  <c r="E32" i="79" s="1"/>
  <c r="F32" i="79" s="1"/>
  <c r="G32" i="79" s="1"/>
  <c r="H32" i="79" s="1"/>
  <c r="I32" i="79" s="1"/>
  <c r="F11" i="68"/>
  <c r="C34" i="79"/>
  <c r="D34" i="79" s="1"/>
  <c r="E34" i="79" s="1"/>
  <c r="F34" i="79" s="1"/>
  <c r="G34" i="79" s="1"/>
  <c r="H34" i="79" s="1"/>
  <c r="I34" i="79" s="1"/>
  <c r="F12" i="68"/>
  <c r="N12" i="68" s="1"/>
  <c r="C35" i="79"/>
  <c r="D35" i="79" s="1"/>
  <c r="E35" i="79" s="1"/>
  <c r="G35" i="79" s="1"/>
  <c r="H35" i="79" s="1"/>
  <c r="I35" i="79" s="1"/>
  <c r="F18" i="68"/>
  <c r="C41" i="79"/>
  <c r="D41" i="79" s="1"/>
  <c r="E41" i="79" s="1"/>
  <c r="F41" i="79" s="1"/>
  <c r="G41" i="79" s="1"/>
  <c r="H41" i="79" s="1"/>
  <c r="I41" i="79" s="1"/>
  <c r="F13" i="68"/>
  <c r="C36" i="79"/>
  <c r="D36" i="79" s="1"/>
  <c r="E36" i="79" s="1"/>
  <c r="F36" i="79" s="1"/>
  <c r="G36" i="79" s="1"/>
  <c r="H36" i="79" s="1"/>
  <c r="I36" i="79" s="1"/>
  <c r="F14" i="68"/>
  <c r="C37" i="79"/>
  <c r="D37" i="79" s="1"/>
  <c r="E37" i="79" s="1"/>
  <c r="F37" i="79" s="1"/>
  <c r="G37" i="79" s="1"/>
  <c r="H37" i="79" s="1"/>
  <c r="I37" i="79" s="1"/>
  <c r="F10" i="68"/>
  <c r="C33" i="79"/>
  <c r="D33" i="79" s="1"/>
  <c r="E33" i="79" s="1"/>
  <c r="F33" i="79" s="1"/>
  <c r="G33" i="79" s="1"/>
  <c r="H33" i="79" s="1"/>
  <c r="I33" i="79" s="1"/>
  <c r="M19" i="68"/>
  <c r="D14" i="19"/>
  <c r="D6" i="19"/>
  <c r="D16" i="19"/>
  <c r="D12" i="19"/>
  <c r="C42" i="79" l="1"/>
  <c r="N16" i="68"/>
  <c r="N13" i="68"/>
  <c r="N17" i="68"/>
  <c r="N11" i="68"/>
  <c r="N14" i="68"/>
  <c r="N18" i="68"/>
  <c r="N10" i="68"/>
  <c r="N15" i="68"/>
  <c r="D13" i="19"/>
  <c r="D14" i="20"/>
  <c r="D15" i="19"/>
  <c r="D24" i="19" l="1"/>
  <c r="D30" i="19" s="1"/>
  <c r="D23" i="19"/>
  <c r="D29" i="19" s="1"/>
  <c r="D21" i="19"/>
  <c r="D27" i="19" s="1"/>
  <c r="D26" i="19"/>
  <c r="D32" i="19" s="1"/>
  <c r="D25" i="19"/>
  <c r="D31" i="19" s="1"/>
  <c r="D22" i="19"/>
  <c r="D28" i="19" s="1"/>
  <c r="N9" i="68"/>
  <c r="D13" i="20"/>
  <c r="D16" i="20"/>
  <c r="D35" i="19" l="1"/>
  <c r="F60" i="11" s="1"/>
  <c r="D37" i="19"/>
  <c r="F62" i="11" s="1"/>
  <c r="D40" i="19"/>
  <c r="F65" i="11" s="1"/>
  <c r="D36" i="19"/>
  <c r="F61" i="11" s="1"/>
  <c r="D38" i="19"/>
  <c r="F63" i="11" s="1"/>
  <c r="D39" i="19"/>
  <c r="F64" i="11" s="1"/>
  <c r="D15" i="20"/>
  <c r="C50" i="79" l="1"/>
  <c r="D44" i="19"/>
  <c r="D45" i="19"/>
  <c r="D42" i="19"/>
  <c r="D43" i="19"/>
  <c r="D47" i="19"/>
  <c r="D46" i="19"/>
  <c r="D30" i="20"/>
  <c r="D38" i="20" s="1"/>
  <c r="F66" i="11" l="1"/>
  <c r="D45" i="20"/>
  <c r="F68" i="11"/>
  <c r="F67" i="11"/>
  <c r="V4" i="68"/>
  <c r="M27" i="68" l="1"/>
  <c r="M33" i="68"/>
  <c r="C60" i="79" s="1"/>
  <c r="D60" i="79" s="1"/>
  <c r="F71" i="11"/>
  <c r="D46" i="20"/>
  <c r="D47" i="20"/>
  <c r="F70" i="11"/>
  <c r="D48" i="20"/>
  <c r="F69" i="11"/>
  <c r="D50" i="20"/>
  <c r="M28" i="68"/>
  <c r="M24" i="68"/>
  <c r="C51" i="79" s="1"/>
  <c r="M25" i="68"/>
  <c r="M30" i="68"/>
  <c r="M29" i="68"/>
  <c r="M26" i="68"/>
  <c r="M32" i="68"/>
  <c r="D49" i="20"/>
  <c r="D51" i="79" l="1"/>
  <c r="E51" i="79" s="1"/>
  <c r="C68" i="79"/>
  <c r="E60" i="79"/>
  <c r="F30" i="68"/>
  <c r="N30" i="68" s="1"/>
  <c r="C57" i="79"/>
  <c r="D57" i="79" s="1"/>
  <c r="F32" i="68"/>
  <c r="N32" i="68" s="1"/>
  <c r="C59" i="79"/>
  <c r="D59" i="79" s="1"/>
  <c r="F25" i="68"/>
  <c r="N25" i="68" s="1"/>
  <c r="C52" i="79"/>
  <c r="D52" i="79" s="1"/>
  <c r="F26" i="68"/>
  <c r="N26" i="68" s="1"/>
  <c r="C53" i="79"/>
  <c r="D53" i="79" s="1"/>
  <c r="F27" i="68"/>
  <c r="C54" i="79"/>
  <c r="D54" i="79" s="1"/>
  <c r="F28" i="68"/>
  <c r="N28" i="68" s="1"/>
  <c r="C55" i="79"/>
  <c r="D55" i="79" s="1"/>
  <c r="F29" i="68"/>
  <c r="N29" i="68" s="1"/>
  <c r="C56" i="79"/>
  <c r="D56" i="79" s="1"/>
  <c r="F24" i="68"/>
  <c r="W4" i="68"/>
  <c r="W21" i="68"/>
  <c r="W22" i="68" s="1"/>
  <c r="E59" i="79" l="1"/>
  <c r="F51" i="79"/>
  <c r="F60" i="79"/>
  <c r="E53" i="79"/>
  <c r="E52" i="79"/>
  <c r="E54" i="79"/>
  <c r="E56" i="79"/>
  <c r="F56" i="79" s="1"/>
  <c r="E57" i="79"/>
  <c r="E55" i="79"/>
  <c r="N27" i="68"/>
  <c r="M43" i="68"/>
  <c r="M49" i="68"/>
  <c r="C78" i="79" s="1"/>
  <c r="D78" i="79" s="1"/>
  <c r="N24" i="68"/>
  <c r="F33" i="68"/>
  <c r="M48" i="68"/>
  <c r="M45" i="68"/>
  <c r="M47" i="68"/>
  <c r="M41" i="68"/>
  <c r="M46" i="68"/>
  <c r="M44" i="68"/>
  <c r="M42" i="68"/>
  <c r="M40" i="68"/>
  <c r="C69" i="79" s="1"/>
  <c r="X13" i="68"/>
  <c r="Y13" i="68" s="1"/>
  <c r="M31" i="68"/>
  <c r="C58" i="79" s="1"/>
  <c r="D58" i="79" s="1"/>
  <c r="V21" i="68"/>
  <c r="V22" i="68" s="1"/>
  <c r="D61" i="79" l="1"/>
  <c r="C61" i="79"/>
  <c r="G60" i="79"/>
  <c r="G51" i="79"/>
  <c r="F57" i="79"/>
  <c r="F52" i="79"/>
  <c r="F55" i="79"/>
  <c r="F54" i="79"/>
  <c r="F53" i="79"/>
  <c r="F59" i="79"/>
  <c r="E58" i="79"/>
  <c r="E61" i="79" s="1"/>
  <c r="E78" i="79"/>
  <c r="F44" i="68"/>
  <c r="N44" i="68" s="1"/>
  <c r="C73" i="79"/>
  <c r="D73" i="79" s="1"/>
  <c r="F43" i="68"/>
  <c r="N43" i="68" s="1"/>
  <c r="C72" i="79"/>
  <c r="D72" i="79" s="1"/>
  <c r="F46" i="68"/>
  <c r="C75" i="79"/>
  <c r="D75" i="79" s="1"/>
  <c r="F42" i="68"/>
  <c r="C71" i="79"/>
  <c r="D71" i="79" s="1"/>
  <c r="F41" i="68"/>
  <c r="C70" i="79"/>
  <c r="D70" i="79" s="1"/>
  <c r="F45" i="68"/>
  <c r="C74" i="79"/>
  <c r="D74" i="79" s="1"/>
  <c r="D69" i="79"/>
  <c r="F47" i="68"/>
  <c r="C76" i="79"/>
  <c r="D76" i="79" s="1"/>
  <c r="F48" i="68"/>
  <c r="N48" i="68" s="1"/>
  <c r="C77" i="79"/>
  <c r="D77" i="79" s="1"/>
  <c r="N33" i="68"/>
  <c r="F40" i="68"/>
  <c r="M50" i="68"/>
  <c r="F31" i="68"/>
  <c r="M34" i="68"/>
  <c r="T51" i="70"/>
  <c r="D79" i="79" l="1"/>
  <c r="C79" i="79"/>
  <c r="F78" i="79"/>
  <c r="N41" i="68"/>
  <c r="I67" i="68" s="1"/>
  <c r="N45" i="68"/>
  <c r="I63" i="68" s="1"/>
  <c r="N47" i="68"/>
  <c r="G56" i="79"/>
  <c r="F58" i="79"/>
  <c r="F61" i="79" s="1"/>
  <c r="G59" i="79"/>
  <c r="G57" i="79"/>
  <c r="G55" i="79"/>
  <c r="G52" i="79"/>
  <c r="G53" i="79"/>
  <c r="H51" i="79"/>
  <c r="G54" i="79"/>
  <c r="H60" i="79"/>
  <c r="E72" i="79"/>
  <c r="F72" i="79" s="1"/>
  <c r="E69" i="79"/>
  <c r="N42" i="68"/>
  <c r="I68" i="68" s="1"/>
  <c r="E73" i="79"/>
  <c r="F73" i="79" s="1"/>
  <c r="E75" i="79"/>
  <c r="F75" i="79" s="1"/>
  <c r="E74" i="79"/>
  <c r="F74" i="79" s="1"/>
  <c r="E77" i="79"/>
  <c r="N46" i="68"/>
  <c r="I65" i="68" s="1"/>
  <c r="E76" i="79"/>
  <c r="E70" i="79"/>
  <c r="F70" i="79" s="1"/>
  <c r="N31" i="68"/>
  <c r="E71" i="79"/>
  <c r="F71" i="79" s="1"/>
  <c r="I60" i="68"/>
  <c r="N40" i="68"/>
  <c r="I58" i="68" s="1"/>
  <c r="I62" i="68"/>
  <c r="I59" i="68"/>
  <c r="E79" i="79" l="1"/>
  <c r="F77" i="79"/>
  <c r="F69" i="79"/>
  <c r="G78" i="79"/>
  <c r="F76" i="79"/>
  <c r="H52" i="79"/>
  <c r="H54" i="79"/>
  <c r="I60" i="79"/>
  <c r="H59" i="79"/>
  <c r="H57" i="79"/>
  <c r="I51" i="79"/>
  <c r="G58" i="79"/>
  <c r="G61" i="79" s="1"/>
  <c r="H55" i="79"/>
  <c r="H53" i="79"/>
  <c r="H56" i="79"/>
  <c r="I61" i="68"/>
  <c r="F49" i="68"/>
  <c r="T34" i="70"/>
  <c r="T18" i="70"/>
  <c r="F79" i="79" l="1"/>
  <c r="G69" i="79"/>
  <c r="G73" i="79"/>
  <c r="G70" i="79"/>
  <c r="G76" i="79"/>
  <c r="G74" i="79"/>
  <c r="G77" i="79"/>
  <c r="G75" i="79"/>
  <c r="G72" i="79"/>
  <c r="G71" i="79"/>
  <c r="H78" i="79"/>
  <c r="I56" i="79"/>
  <c r="I59" i="79"/>
  <c r="I55" i="79"/>
  <c r="I54" i="79"/>
  <c r="I57" i="79"/>
  <c r="I53" i="79"/>
  <c r="H58" i="79"/>
  <c r="H61" i="79" s="1"/>
  <c r="I52" i="79"/>
  <c r="N49" i="68"/>
  <c r="T67" i="70"/>
  <c r="S46" i="70"/>
  <c r="R53" i="70"/>
  <c r="I69" i="68" l="1"/>
  <c r="I66" i="68"/>
  <c r="G79" i="79"/>
  <c r="H74" i="79"/>
  <c r="H70" i="79"/>
  <c r="H76" i="79"/>
  <c r="H73" i="79"/>
  <c r="I78" i="79"/>
  <c r="H75" i="79"/>
  <c r="H71" i="79"/>
  <c r="H72" i="79"/>
  <c r="H77" i="79"/>
  <c r="H69" i="79"/>
  <c r="I58" i="79"/>
  <c r="S53" i="70"/>
  <c r="Q46" i="70"/>
  <c r="AA63" i="70" s="1"/>
  <c r="AA70" i="70" s="1"/>
  <c r="T46" i="70"/>
  <c r="T60" i="70" s="1"/>
  <c r="T70" i="70" s="1"/>
  <c r="H79" i="79" l="1"/>
  <c r="I61" i="79"/>
  <c r="I76" i="79"/>
  <c r="I70" i="79"/>
  <c r="I71" i="79"/>
  <c r="I74" i="79"/>
  <c r="I72" i="79"/>
  <c r="I69" i="79"/>
  <c r="I73" i="79"/>
  <c r="I77" i="79"/>
  <c r="I75" i="79"/>
  <c r="I79" i="79" l="1"/>
  <c r="D42" i="79" l="1"/>
  <c r="F42" i="79" l="1"/>
  <c r="G38" i="79"/>
  <c r="E42" i="79"/>
  <c r="H38" i="79" l="1"/>
  <c r="G42" i="79"/>
  <c r="H42" i="79" l="1"/>
  <c r="I38" i="79"/>
  <c r="I42" i="79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B5" authorId="0" shapeId="0" xr:uid="{75BF96C0-AD8E-4CE7-A23C-9250911C8CB1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G5" authorId="1" shapeId="0" xr:uid="{D5C53071-9DA2-46CA-AA52-1B47781582B3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H5" authorId="2" shapeId="0" xr:uid="{4DD5D3FC-D4FA-4764-A199-3F873828F4F6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5" authorId="2" shapeId="0" xr:uid="{9F541EE7-3303-4A56-89B2-127C28D7D662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J5" authorId="2" shapeId="0" xr:uid="{E6BA1DCE-2549-402C-A408-31A95CE9E4A8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RDM</author>
  </authors>
  <commentList>
    <comment ref="A35" authorId="0" shapeId="0" xr:uid="{00000000-0006-0000-1B00-000001000000}">
      <text>
        <r>
          <rPr>
            <b/>
            <sz val="9"/>
            <color indexed="81"/>
            <rFont val="Tahoma"/>
            <family val="2"/>
          </rPr>
          <t>RDM:</t>
        </r>
        <r>
          <rPr>
            <sz val="9"/>
            <color indexed="81"/>
            <rFont val="Tahoma"/>
            <family val="2"/>
          </rPr>
          <t xml:space="preserve">
based on Hens's paper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RDM</author>
  </authors>
  <commentList>
    <comment ref="A38" authorId="0" shapeId="0" xr:uid="{00000000-0006-0000-1C00-000001000000}">
      <text>
        <r>
          <rPr>
            <b/>
            <sz val="9"/>
            <color indexed="81"/>
            <rFont val="Tahoma"/>
            <family val="2"/>
          </rPr>
          <t>RDM:</t>
        </r>
        <r>
          <rPr>
            <sz val="9"/>
            <color indexed="81"/>
            <rFont val="Tahoma"/>
            <family val="2"/>
          </rPr>
          <t xml:space="preserve">
based on Hens's paper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Alessandro Chiodi</author>
  </authors>
  <commentList>
    <comment ref="E4" authorId="0" shapeId="0" xr:uid="{3793FE21-75FE-4763-B420-D38303704D2C}">
      <text>
        <r>
          <rPr>
            <b/>
            <sz val="9"/>
            <color indexed="81"/>
            <rFont val="Tahoma"/>
            <family val="2"/>
          </rPr>
          <t>Alessandro Chiodi:</t>
        </r>
        <r>
          <rPr>
            <sz val="9"/>
            <color indexed="81"/>
            <rFont val="Tahoma"/>
            <family val="2"/>
          </rPr>
          <t xml:space="preserve">
Assumption</t>
        </r>
      </text>
    </comment>
  </commentList>
</comments>
</file>

<file path=xl/sharedStrings.xml><?xml version="1.0" encoding="utf-8"?>
<sst xmlns="http://schemas.openxmlformats.org/spreadsheetml/2006/main" count="2064" uniqueCount="702">
  <si>
    <t>* Define the commodities used in this workbook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</si>
  <si>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</si>
  <si>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</si>
  <si>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</si>
  <si>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</si>
  <si>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</si>
  <si>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</si>
  <si>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</si>
  <si>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</si>
  <si>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</si>
  <si>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*Commodity Set Membership</t>
  </si>
  <si>
    <t>Commodity Name</t>
  </si>
  <si>
    <t>Commodity Description</t>
  </si>
  <si>
    <t>Sense of the Balance EQN.</t>
  </si>
  <si>
    <t>Timeslice Level</t>
  </si>
  <si>
    <t>Peak Monitoring</t>
  </si>
  <si>
    <t>Electricity Indicator</t>
  </si>
  <si>
    <t>NRG</t>
  </si>
  <si>
    <t>RSD_ELC</t>
  </si>
  <si>
    <t>Residential Fuel - Electricity</t>
  </si>
  <si>
    <t>PJ</t>
  </si>
  <si>
    <t>RSD_GAS</t>
  </si>
  <si>
    <t>Residential Fuel - Gases</t>
  </si>
  <si>
    <t>RSD_DH</t>
  </si>
  <si>
    <t>Residential Fuel - Derived heat</t>
  </si>
  <si>
    <t>RSD_OIL</t>
  </si>
  <si>
    <t>Residential Fuel - GDO and other liquids (incl. liq. bio.)</t>
  </si>
  <si>
    <t>RSD_BIO</t>
  </si>
  <si>
    <t>Residential Fuel - Biomass and wastes</t>
  </si>
  <si>
    <t>RSD_HC</t>
  </si>
  <si>
    <t>Residential Fuel - Solids</t>
  </si>
  <si>
    <t>RSD_LPG</t>
  </si>
  <si>
    <t>Residential Fuel - LPG</t>
  </si>
  <si>
    <t>RSD_GEO</t>
  </si>
  <si>
    <t>Residential Fuel -GEO</t>
  </si>
  <si>
    <t>RSD_SOL</t>
  </si>
  <si>
    <t>Residential Fuel - Solar</t>
  </si>
  <si>
    <t>Space heating - Detached houses</t>
  </si>
  <si>
    <t>Space heating - Semi-detached houses</t>
  </si>
  <si>
    <t>Space heating  Flats</t>
  </si>
  <si>
    <t>DEM</t>
  </si>
  <si>
    <t>DMD_RSD_DTH</t>
  </si>
  <si>
    <t>Residential Dwelling - Detached houses</t>
  </si>
  <si>
    <t>000units</t>
  </si>
  <si>
    <t>DMD_RSD_SDTH</t>
  </si>
  <si>
    <t>Residential Dwelling - Semi-detached houses</t>
  </si>
  <si>
    <t>DMD_RSD_FLAT</t>
  </si>
  <si>
    <t>Residential Dwelling - Flats</t>
  </si>
  <si>
    <t>MAT</t>
  </si>
  <si>
    <t>RSD_LTG</t>
  </si>
  <si>
    <t>Residential Lightning Appliances</t>
  </si>
  <si>
    <t>RSD_REF</t>
  </si>
  <si>
    <t>Residential Refridgerators and Freezers</t>
  </si>
  <si>
    <t>RSD_WM</t>
  </si>
  <si>
    <t>Residential Washing Machine</t>
  </si>
  <si>
    <t>RSD_DRY</t>
  </si>
  <si>
    <t>Residential Clothes Dryers</t>
  </si>
  <si>
    <t>RSD_DSHWR</t>
  </si>
  <si>
    <t>Residential Dishwashers</t>
  </si>
  <si>
    <t>RSD_ELC_OTH</t>
  </si>
  <si>
    <t>Residential Electrical Appliances</t>
  </si>
  <si>
    <t>RSD_COOK</t>
  </si>
  <si>
    <t xml:space="preserve">Residential Cooking </t>
  </si>
  <si>
    <t>ENV</t>
  </si>
  <si>
    <t>RSD_CO2</t>
  </si>
  <si>
    <t>Carbon Dioxide - Combustion (RSD)</t>
  </si>
  <si>
    <t>kt</t>
  </si>
  <si>
    <t>RSD_SO2</t>
  </si>
  <si>
    <t>Sulphur Dioxide - Combustion (RSD)</t>
  </si>
  <si>
    <t>RSD_NOX</t>
  </si>
  <si>
    <t>Nitrogen Oxides - Combustion (RSD)</t>
  </si>
  <si>
    <t>RSD_TSP</t>
  </si>
  <si>
    <t>Total Suspended Particulate - Combustion (RSD)</t>
  </si>
  <si>
    <t>RSD_PM10</t>
  </si>
  <si>
    <t>Particulate Matter &lt;= 10 um - Combustion (RSD)</t>
  </si>
  <si>
    <t>RSD_PM2.5</t>
  </si>
  <si>
    <t>Particulate Matter &lt;= 2.5 um - Combustion (RSD)</t>
  </si>
  <si>
    <t>RSD_HG</t>
  </si>
  <si>
    <t>Mercury - Combustion (RSD)</t>
  </si>
  <si>
    <t>t</t>
  </si>
  <si>
    <t>~FI_Process</t>
  </si>
  <si>
    <t>Sets</t>
  </si>
  <si>
    <t>TechName</t>
  </si>
  <si>
    <t>TechDesc</t>
  </si>
  <si>
    <t>Tact</t>
  </si>
  <si>
    <t>Tcap</t>
  </si>
  <si>
    <t>Tslvl</t>
  </si>
  <si>
    <t>PrimaryCG</t>
  </si>
  <si>
    <t>Vintage</t>
  </si>
  <si>
    <t>\I:</t>
  </si>
  <si>
    <t>DMD</t>
  </si>
  <si>
    <t>RSD_DTH_1995</t>
  </si>
  <si>
    <t>Residential Dwelling - Semi-Detached houses</t>
  </si>
  <si>
    <t>RSD_SDTH_1995</t>
  </si>
  <si>
    <t>RSD_FLAT_1995</t>
  </si>
  <si>
    <t>PRE</t>
  </si>
  <si>
    <t>RSD_DTH_HT_ELC_R</t>
  </si>
  <si>
    <t>Residential boiler for sp heat - Detached house: Electricity Resistance</t>
  </si>
  <si>
    <t>GW</t>
  </si>
  <si>
    <t>RSD_DTH_HT_ELC_HPA</t>
  </si>
  <si>
    <t>Residential boiler for sp heat - Detached house: Electricity Heat Pump Air</t>
  </si>
  <si>
    <t>RSD_DTH_HT_ELC_HPG</t>
  </si>
  <si>
    <t>Residential boiler for sp heat - Detached house: Electricity Heat Pump Ground</t>
  </si>
  <si>
    <t>RSD_DTH_HT_GAS</t>
  </si>
  <si>
    <t>Residential boiler for sp heat - Detached house: Gases</t>
  </si>
  <si>
    <t>RSD_DTH_HT_DH</t>
  </si>
  <si>
    <t>Residential boiler for sp heat - Detached house: Derived heat</t>
  </si>
  <si>
    <t>RSD_DTH_HT_OIL</t>
  </si>
  <si>
    <t>Residential boiler for sp heat - Detached house: GDO and other liquids (incl. liq. bio.)</t>
  </si>
  <si>
    <t>RSD_DTH_HT_BIO</t>
  </si>
  <si>
    <t>Residential boiler for sp heat - Detached house: Biomass and wastes</t>
  </si>
  <si>
    <t>RSD_DTH_HT_HC</t>
  </si>
  <si>
    <t>Residential boiler for sp heat - Detached house: Solids</t>
  </si>
  <si>
    <t>RSD_DTH_HT_LPG</t>
  </si>
  <si>
    <t>Residential boiler for sp heat - Detached house: LPG</t>
  </si>
  <si>
    <t>RSD_DTH_HT_GEO</t>
  </si>
  <si>
    <t>Residential boiler for sp heat - Detached house: Geothermal Energy</t>
  </si>
  <si>
    <t>Residential boiler for sp heat - Semi-Detached house: Electricity Resistance</t>
  </si>
  <si>
    <t>Residential boiler for sp heat - Semi-Detached house: Electricity Heat Pump Air</t>
  </si>
  <si>
    <t>Residential boiler for sp heat - Semi-Detached house: Electricity Heat Pump Ground</t>
  </si>
  <si>
    <t>Residential boiler for sp heat - Semi-Detached house: Gases</t>
  </si>
  <si>
    <t>Residential boiler for sp heat - Semi-Detached house: Derived heat</t>
  </si>
  <si>
    <t>Residential boiler for sp heat - Semi-Detached house: GDO and other liquids (incl. liq. bio.)</t>
  </si>
  <si>
    <t>Residential boiler for sp heat - Semi-Detached house: Biomass and wastes</t>
  </si>
  <si>
    <t>Residential boiler for sp heat - Semi-Detached house: Solids</t>
  </si>
  <si>
    <t>Residential boiler for sp heat - Semi-Detached house: LPG</t>
  </si>
  <si>
    <t>Residential boiler for sp heat - Semi-Detached house: Geothermal Energy</t>
  </si>
  <si>
    <t>Residential boiler for sp heat - Flats: Electricity Resistance</t>
  </si>
  <si>
    <t>Residential boiler for sp heat - Flats: Electricity Heat Pump Air</t>
  </si>
  <si>
    <t>Residential boiler for sp heat - Flats: Electricity Heat Pump Ground</t>
  </si>
  <si>
    <t>Residential boiler for sp heat - Flats: Gases</t>
  </si>
  <si>
    <t>Residential boiler for sp heat - Flats: Derived heat</t>
  </si>
  <si>
    <t>Residential boiler for sp heat - Flats: GDO and other liquids (incl. liq. bio.)</t>
  </si>
  <si>
    <t>Residential boiler for sp heat - Flats: Biomass and wastes</t>
  </si>
  <si>
    <t>Residential boiler for sp heat - Flats: Solids</t>
  </si>
  <si>
    <t>Residential boiler for sp heat - Flats: LPG</t>
  </si>
  <si>
    <t>Residential boiler for sp heat - Flats: Geothermal Energy</t>
  </si>
  <si>
    <t>RSD_FLAT_HW_ELC_R</t>
  </si>
  <si>
    <t>Residential boiler for water heat - Flat : Electricity</t>
  </si>
  <si>
    <t>RSD_FLAT_HW_ELC_HPA</t>
  </si>
  <si>
    <t>RSD_FLAT_HW_ELC_HPG</t>
  </si>
  <si>
    <t>RSD_FLAT_HW_GAS</t>
  </si>
  <si>
    <t>Residential boiler for water heat - Flat : Gases</t>
  </si>
  <si>
    <t>RSD_FLAT_HW_DH</t>
  </si>
  <si>
    <t>Residential boiler for water heat - Flat : Derived heat</t>
  </si>
  <si>
    <t>RSD_FLAT_HW_OIL</t>
  </si>
  <si>
    <t>Residential boiler for water heat - Flat : GDO and other liquids (incl. liq. bio.)</t>
  </si>
  <si>
    <t>RSD_FLAT_HW_BIO</t>
  </si>
  <si>
    <t>Residential boiler for water heat - Flat : Biomass and wastes</t>
  </si>
  <si>
    <t>RSD_FLAT_HW_HC</t>
  </si>
  <si>
    <t>Residential boiler for water heat - Flat : Solids</t>
  </si>
  <si>
    <t>RSD_FLAT_HW_LPG</t>
  </si>
  <si>
    <t>Residential boiler for water heat - Flat : LPG</t>
  </si>
  <si>
    <t>RSD_FLAT_HW_GEO</t>
  </si>
  <si>
    <t>RSD_FLAT_HW_SOL</t>
  </si>
  <si>
    <t>Residential boiler for water heat - Flat : Solar</t>
  </si>
  <si>
    <t>Residential boiler for water heat - Detached house : Electricity</t>
  </si>
  <si>
    <t>Residential boiler for water heat - Detached house : Gases</t>
  </si>
  <si>
    <t>Residential boiler for water heat - Detached house : Derived heat</t>
  </si>
  <si>
    <t>Residential boiler for water heat - Detached house : GDO and other liquids (incl. liq. bio.)</t>
  </si>
  <si>
    <t>Residential boiler for water heat - Detached house : Biomass and wastes</t>
  </si>
  <si>
    <t>Residential boiler for water heat - Detached house : Solids</t>
  </si>
  <si>
    <t>Residential boiler for water heat - Detached house : LPG</t>
  </si>
  <si>
    <t>Residential boiler for water heat - Detached house : Solar</t>
  </si>
  <si>
    <t>Residential boiler for water heat - Semi-detached house : Electricity</t>
  </si>
  <si>
    <t>Residential boiler for water heat - Semi-detached house : Gases</t>
  </si>
  <si>
    <t>Residential boiler for water heat - Semi-detached house : Derived heat</t>
  </si>
  <si>
    <t>Residential boiler for water heat - Semi-detached house : GDO and other liquids (incl. liq. bio.)</t>
  </si>
  <si>
    <t>Residential boiler for water heat - Semi-detached house : Biomass and wastes</t>
  </si>
  <si>
    <t>Residential boiler for water heat - Semi-detached house : Solids</t>
  </si>
  <si>
    <t>Residential boiler for water heat - Semi-detached house : LPG</t>
  </si>
  <si>
    <t>Residential boiler for water heat - Semi-detached house : Solar</t>
  </si>
  <si>
    <t>SECTF_RSD_ELC</t>
  </si>
  <si>
    <t>Sector Fuel Labeling - Electricity</t>
  </si>
  <si>
    <t>PJa</t>
  </si>
  <si>
    <t>DAYNITE</t>
  </si>
  <si>
    <t>SECTF_RSD_DH</t>
  </si>
  <si>
    <t>Sector Fuel Labeling - District Heat</t>
  </si>
  <si>
    <t>SECTF_RSD_GAS_NAT</t>
  </si>
  <si>
    <t>Sector Fuel Labeling - Natural Gas</t>
  </si>
  <si>
    <t>SECTF_RSD_OIL</t>
  </si>
  <si>
    <t>Sector Fuel Labeling - Oil</t>
  </si>
  <si>
    <t>SECTF_RSD_BIO</t>
  </si>
  <si>
    <t>Sector Fuel Labeling - Biomass</t>
  </si>
  <si>
    <t>SECTF_RSD_HC</t>
  </si>
  <si>
    <t>Sector Fuel Labeling - Hard Coal</t>
  </si>
  <si>
    <t>SECTF_RSD_LPG</t>
  </si>
  <si>
    <t>Sector Fuel Labeling - LPG</t>
  </si>
  <si>
    <t>SECTF_RSD_GEO</t>
  </si>
  <si>
    <t>Sector Fuel Labeling - Geothermal</t>
  </si>
  <si>
    <t>SECTF_RSD_SOL</t>
  </si>
  <si>
    <t>Sector Fuel Labeling - Solar</t>
  </si>
  <si>
    <t>RSD_ELC_LTG</t>
  </si>
  <si>
    <t>000appl</t>
  </si>
  <si>
    <t>M-appl-y</t>
  </si>
  <si>
    <t>RSD_ELC_REF</t>
  </si>
  <si>
    <t>RSD_ELC_WM</t>
  </si>
  <si>
    <t>RSD_ELC_DRY</t>
  </si>
  <si>
    <t>RSD_ELC_DSHWR</t>
  </si>
  <si>
    <t>RSD_ELC_OTH_APP</t>
  </si>
  <si>
    <t>RSD_COOK_HC</t>
  </si>
  <si>
    <t>Residential Cooking - Solid Fuels without Bio Wood</t>
  </si>
  <si>
    <t>RSD_COOK_GAS</t>
  </si>
  <si>
    <t>Residential Cooking - Natural Gas</t>
  </si>
  <si>
    <t>RSD_COOK_LPG</t>
  </si>
  <si>
    <t>Residential Cooking - LPG</t>
  </si>
  <si>
    <t>RSD_COOK_ELC</t>
  </si>
  <si>
    <t>Residential Cooking - Electricity</t>
  </si>
  <si>
    <t>RSD_COOK_BIO</t>
  </si>
  <si>
    <t>Residential Cooking - Biomass</t>
  </si>
  <si>
    <t>ELE</t>
  </si>
  <si>
    <t>RSD_EX_PV</t>
  </si>
  <si>
    <t>Residential Photovoltaics -  Small-Scale Prosumer Installations</t>
  </si>
  <si>
    <t>Base-year infrastructure for electricity fuels</t>
  </si>
  <si>
    <t>Comm-IN</t>
  </si>
  <si>
    <t>Comm-OUT</t>
  </si>
  <si>
    <t>EFF</t>
  </si>
  <si>
    <t>\I: UNITS</t>
  </si>
  <si>
    <t>PRI_HC_RSD</t>
  </si>
  <si>
    <t/>
  </si>
  <si>
    <t>SEC_OIL_DSL</t>
  </si>
  <si>
    <t>PRI_SOL</t>
  </si>
  <si>
    <t>PRI_GEO</t>
  </si>
  <si>
    <t>PRI_BIO_WOOD</t>
  </si>
  <si>
    <t>ELC_LV-LV</t>
  </si>
  <si>
    <t>ALL Residential Building at Low Voltage</t>
  </si>
  <si>
    <t>HT_DH</t>
  </si>
  <si>
    <t>SEC_OIL_LPG</t>
  </si>
  <si>
    <t>Base-year solar residential prosumers</t>
  </si>
  <si>
    <t>*TechDesc</t>
  </si>
  <si>
    <t>Share-O</t>
  </si>
  <si>
    <t>Stock~2020</t>
  </si>
  <si>
    <t>Stock~2025</t>
  </si>
  <si>
    <t>Stock~2030</t>
  </si>
  <si>
    <t>Stock~2035</t>
  </si>
  <si>
    <t>Stock~2040</t>
  </si>
  <si>
    <t>Stock~2045</t>
  </si>
  <si>
    <t>Stock~2050</t>
  </si>
  <si>
    <t>BNDACT~2020~UP</t>
  </si>
  <si>
    <t>BNDACT~2025~UP</t>
  </si>
  <si>
    <t>BNDACT~2030~UP</t>
  </si>
  <si>
    <t>BNDACT~2035~LO</t>
  </si>
  <si>
    <t>BNDACT~2040~LO</t>
  </si>
  <si>
    <t>BNDACT~2045~LO</t>
  </si>
  <si>
    <t>BNDACT~2050~LO</t>
  </si>
  <si>
    <t>Cap2Act</t>
  </si>
  <si>
    <t>Peak</t>
  </si>
  <si>
    <t>AFA</t>
  </si>
  <si>
    <t>FIXOM</t>
  </si>
  <si>
    <t>VAROM</t>
  </si>
  <si>
    <t>%</t>
  </si>
  <si>
    <t>PJ/GW</t>
  </si>
  <si>
    <t>zl/kW</t>
  </si>
  <si>
    <t>zl/GJ</t>
  </si>
  <si>
    <t>ELC_LV</t>
  </si>
  <si>
    <t>Capacity</t>
  </si>
  <si>
    <t>Working time</t>
  </si>
  <si>
    <t>h</t>
  </si>
  <si>
    <t>-</t>
  </si>
  <si>
    <t>Generation</t>
  </si>
  <si>
    <t>GWh</t>
  </si>
  <si>
    <t>in which</t>
  </si>
  <si>
    <t>TABL.  3. 41. (61)  PODSTAWOWE  INFORMACJE  O  PROSUMENTACH  ENERGII  ELEKTRYCZNEJ 1)</t>
  </si>
  <si>
    <t xml:space="preserve">TABL.  3. 39. (59)  OSIĄGALNA  MOC  ELEKTRYCZNA  W  ODNAWIALNYCH  </t>
  </si>
  <si>
    <t xml:space="preserve">                               </t>
  </si>
  <si>
    <t xml:space="preserve">                                 ŹRÓDŁACH  ENERGII  ELEKTRYCZNEJ (NA KONIEC ROKU)</t>
  </si>
  <si>
    <t>Wyszczególnienie</t>
  </si>
  <si>
    <t>Jednostka 
miary</t>
  </si>
  <si>
    <t>Razem</t>
  </si>
  <si>
    <t xml:space="preserve">   z tego: elektrownie </t>
  </si>
  <si>
    <t>wodne</t>
  </si>
  <si>
    <t>wiatrowe</t>
  </si>
  <si>
    <t>fotowol-
taiczne (PV)</t>
  </si>
  <si>
    <t>hybrydowe
instalacje
OZE</t>
  </si>
  <si>
    <t>biogazowe</t>
  </si>
  <si>
    <t>na biomasę</t>
  </si>
  <si>
    <t xml:space="preserve">Razem </t>
  </si>
  <si>
    <t>z tego</t>
  </si>
  <si>
    <t>Liczba jednostek</t>
  </si>
  <si>
    <t>szt.</t>
  </si>
  <si>
    <t xml:space="preserve">elektrownie </t>
  </si>
  <si>
    <t>wodne 1)</t>
  </si>
  <si>
    <t>wiatrowe 2)</t>
  </si>
  <si>
    <t xml:space="preserve"> na biomasę 3)</t>
  </si>
  <si>
    <t>fotowol-
taiczne</t>
  </si>
  <si>
    <t>Moc zainstalowana na koniec roku</t>
  </si>
  <si>
    <t>MW</t>
  </si>
  <si>
    <t xml:space="preserve">OGÓŁEM  KRAJ </t>
  </si>
  <si>
    <t>Energia elektryczna 
wprowadzona 
do sieci OSD</t>
  </si>
  <si>
    <t>MWh</t>
  </si>
  <si>
    <t xml:space="preserve">   w tym elektrownie 
   niezależne odnawialne 4)</t>
  </si>
  <si>
    <t>1)  dane o energii elektrycznej wprowadzonej do sieci OSD na podstawie informacji uzyskanych w ramach badań statystycznych 
     od operatorów systemów dystrybucyjnych</t>
  </si>
  <si>
    <t>1)  w tym elektrownie wodne z członami pompowymi</t>
  </si>
  <si>
    <t>2)  łącznie z hybrydowymi instalacjami odnawialnych źródeł energii (fotowoltaiczno/wiatrowymi)</t>
  </si>
  <si>
    <t>3)  łącznie z turbozespołami na biomasę wyodrębnionymi w elektrociepłowniach zawodowych i przemysłowych</t>
  </si>
  <si>
    <t>Total Flats Ogólnie mieszkań</t>
  </si>
  <si>
    <t>thousands</t>
  </si>
  <si>
    <t>Stock of dwelling per type (Podział procentowy mieszkań w Polsce według rodzaju budynków)</t>
  </si>
  <si>
    <t>Flat Mieszkania</t>
  </si>
  <si>
    <t>Detached house Budynki jednorodzinne wolnostojące</t>
  </si>
  <si>
    <t>Semi-detached house Budynki w zabudowie jednorodzinne szeregowej</t>
  </si>
  <si>
    <t>Average size of dwelling by type [m2]</t>
  </si>
  <si>
    <t>Dwellings stock according to construction date and dwelling type</t>
  </si>
  <si>
    <t>Source: GUS</t>
  </si>
  <si>
    <t>Total</t>
  </si>
  <si>
    <t>Detached house</t>
  </si>
  <si>
    <t>Semi-detached house</t>
  </si>
  <si>
    <t>Flat</t>
  </si>
  <si>
    <t>&lt; 1945</t>
  </si>
  <si>
    <t>1945-1969</t>
  </si>
  <si>
    <t>1970-1979</t>
  </si>
  <si>
    <t>1980-1989</t>
  </si>
  <si>
    <t>1990-1999</t>
  </si>
  <si>
    <t>2000-2020</t>
  </si>
  <si>
    <t>BUILDING DATA</t>
  </si>
  <si>
    <t>\I: Year</t>
  </si>
  <si>
    <t>STOCK~2020</t>
  </si>
  <si>
    <t>STOCK~2050</t>
  </si>
  <si>
    <t>AF~FX</t>
  </si>
  <si>
    <t>AF~FX~0</t>
  </si>
  <si>
    <t>USEFUL ENERGY FOR SPACE HEATING</t>
  </si>
  <si>
    <t>INPUT~2020</t>
  </si>
  <si>
    <t>CHECK - total input PJ</t>
  </si>
  <si>
    <t>PJ/dwelling</t>
  </si>
  <si>
    <t>Parametr</t>
  </si>
  <si>
    <t>Jednostka</t>
  </si>
  <si>
    <t>Budynki jednorodzinne wolnostojące DetH</t>
  </si>
  <si>
    <t>Budynki w zabudowie jednorodzinne szeregowej SDetH</t>
  </si>
  <si>
    <t>Mieszkania Flat</t>
  </si>
  <si>
    <t xml:space="preserve">V </t>
  </si>
  <si>
    <t>[dm3/(m2*dzień)]</t>
  </si>
  <si>
    <t>A</t>
  </si>
  <si>
    <t>[m2]</t>
  </si>
  <si>
    <r>
      <t>c_w</t>
    </r>
    <r>
      <rPr>
        <sz val="10"/>
        <color rgb="FF000000"/>
        <rFont val="Arial"/>
        <family val="2"/>
        <charset val="238"/>
      </rPr>
      <t xml:space="preserve"> </t>
    </r>
  </si>
  <si>
    <t>[kJ/(kg*K)]</t>
  </si>
  <si>
    <t>ρ_w</t>
  </si>
  <si>
    <t>[kg/dm3]</t>
  </si>
  <si>
    <r>
      <t>θ_H</t>
    </r>
    <r>
      <rPr>
        <sz val="10"/>
        <color rgb="FF000000"/>
        <rFont val="Arial"/>
        <family val="2"/>
        <charset val="238"/>
      </rPr>
      <t xml:space="preserve"> </t>
    </r>
  </si>
  <si>
    <t>[oC]</t>
  </si>
  <si>
    <r>
      <t>θ_C</t>
    </r>
    <r>
      <rPr>
        <sz val="10"/>
        <color rgb="FF000000"/>
        <rFont val="Arial"/>
        <family val="2"/>
        <charset val="238"/>
      </rPr>
      <t xml:space="preserve"> </t>
    </r>
  </si>
  <si>
    <r>
      <t>k_R</t>
    </r>
    <r>
      <rPr>
        <sz val="10"/>
        <color rgb="FF000000"/>
        <rFont val="Arial"/>
        <family val="2"/>
        <charset val="238"/>
      </rPr>
      <t xml:space="preserve"> </t>
    </r>
  </si>
  <si>
    <t>[-]</t>
  </si>
  <si>
    <r>
      <t>t_R</t>
    </r>
    <r>
      <rPr>
        <sz val="10"/>
        <color rgb="FF000000"/>
        <rFont val="Arial"/>
        <family val="2"/>
        <charset val="238"/>
      </rPr>
      <t xml:space="preserve"> </t>
    </r>
  </si>
  <si>
    <t>[dzień]</t>
  </si>
  <si>
    <t>USEFUL ENERGY FOR HOT WATER PREPARATION</t>
  </si>
  <si>
    <t>Input</t>
  </si>
  <si>
    <t>ELECTRICAL APPLIANCES</t>
  </si>
  <si>
    <t>units/dwelling</t>
  </si>
  <si>
    <t>CHECK - number of units [thousands]</t>
  </si>
  <si>
    <t>COOKING</t>
  </si>
  <si>
    <t>Ceiling U-values by construction period</t>
  </si>
  <si>
    <t>Floor</t>
  </si>
  <si>
    <t>Ceiling</t>
  </si>
  <si>
    <t>Wall</t>
  </si>
  <si>
    <t>Windows</t>
  </si>
  <si>
    <t>AFTER THERMO-MODERNIZATION</t>
  </si>
  <si>
    <t>THERMO-MODERNIZATION RATE</t>
  </si>
  <si>
    <t>Mean heating degree-days over period 1980 - 2004</t>
  </si>
  <si>
    <t>Source: Eurostat</t>
  </si>
  <si>
    <t>Code</t>
  </si>
  <si>
    <t>Country</t>
  </si>
  <si>
    <t>Value</t>
  </si>
  <si>
    <t>PL</t>
  </si>
  <si>
    <t>Poland</t>
  </si>
  <si>
    <t xml:space="preserve">Building type: </t>
  </si>
  <si>
    <t>Detached</t>
  </si>
  <si>
    <t>Description</t>
  </si>
  <si>
    <t>n° of  dwellings</t>
  </si>
  <si>
    <t>n.</t>
  </si>
  <si>
    <t>Surface per dwelling</t>
  </si>
  <si>
    <t>m2</t>
  </si>
  <si>
    <t>Heated (useful) surface</t>
  </si>
  <si>
    <t>check</t>
  </si>
  <si>
    <t>Geometry</t>
  </si>
  <si>
    <t>Side A (lenght)</t>
  </si>
  <si>
    <t>m</t>
  </si>
  <si>
    <t>Side B (lenght)</t>
  </si>
  <si>
    <t>n° of  floors</t>
  </si>
  <si>
    <t>H (floor)</t>
  </si>
  <si>
    <t>H (tot)</t>
  </si>
  <si>
    <t>Lateral surface</t>
  </si>
  <si>
    <t>Net lateral surface</t>
  </si>
  <si>
    <t>Ground Floor</t>
  </si>
  <si>
    <t>Volume</t>
  </si>
  <si>
    <t>m3</t>
  </si>
  <si>
    <t>`</t>
  </si>
  <si>
    <t>n° of windows</t>
  </si>
  <si>
    <t>Building constant</t>
  </si>
  <si>
    <t>W/K</t>
  </si>
  <si>
    <t>Thermal requirement (design)</t>
  </si>
  <si>
    <t>kWh-a dwelling</t>
  </si>
  <si>
    <t>Thermal requirement (corrected)</t>
  </si>
  <si>
    <t>Specific requirement (corrected)</t>
  </si>
  <si>
    <t>kWh/m2-a</t>
  </si>
  <si>
    <t>Semidetached</t>
  </si>
  <si>
    <t>Tabl. 5.  Gospodarstwa domowe wykorzystujące poszczególne nośniki energii w celach grzewczych,</t>
  </si>
  <si>
    <t xml:space="preserve">   z wyszczególnieniem celów wykorzystania</t>
  </si>
  <si>
    <t>2019*</t>
  </si>
  <si>
    <t>Udział mieszkań</t>
  </si>
  <si>
    <t>Śr. Zuż na mieszkanie</t>
  </si>
  <si>
    <t>Nośniki energii</t>
  </si>
  <si>
    <t xml:space="preserve">do ogrzewania pomieszczeń              - nośnik podstawowy </t>
  </si>
  <si>
    <t>Liczba mieszkań</t>
  </si>
  <si>
    <t xml:space="preserve">Energia elektryczna </t>
  </si>
  <si>
    <t>STOCK</t>
  </si>
  <si>
    <t>CAP2ACT</t>
  </si>
  <si>
    <t>PRC_ACTFLO</t>
  </si>
  <si>
    <t>SHARE</t>
  </si>
  <si>
    <t>PJ_BUILD</t>
  </si>
  <si>
    <t>PJ_CORR</t>
  </si>
  <si>
    <t>FUEL_CONS</t>
  </si>
  <si>
    <t xml:space="preserve">Ciepło z sieci </t>
  </si>
  <si>
    <t>Gaz ziemny</t>
  </si>
  <si>
    <t xml:space="preserve">Gaz ciekły (propan-butan) </t>
  </si>
  <si>
    <t xml:space="preserve">Olej opałowy </t>
  </si>
  <si>
    <t xml:space="preserve">Węgiel kamienny </t>
  </si>
  <si>
    <t xml:space="preserve">Węgiel brunatny </t>
  </si>
  <si>
    <t xml:space="preserve">Koks </t>
  </si>
  <si>
    <t xml:space="preserve">Drewno opałowe </t>
  </si>
  <si>
    <t xml:space="preserve">Inne rodzaje biomasy </t>
  </si>
  <si>
    <t>*Energia słoneczna + geotermia</t>
  </si>
  <si>
    <t>Pompa ciepła</t>
  </si>
  <si>
    <t>-powietrzna</t>
  </si>
  <si>
    <t>-gruntowa</t>
  </si>
  <si>
    <t>+geotermia (brak w Tabl 5)</t>
  </si>
  <si>
    <t>Tabl. 4.1.  Zużycie energii w gospodarstwach domowych w Polsce według nośników  i kierunków użytkowania</t>
  </si>
  <si>
    <t>Nośnik energii</t>
  </si>
  <si>
    <t>J.m.</t>
  </si>
  <si>
    <t>Ogrzewanie pomieszczeń</t>
  </si>
  <si>
    <t>Energia elektryczna</t>
  </si>
  <si>
    <t>TJ</t>
  </si>
  <si>
    <t>Ciepło</t>
  </si>
  <si>
    <t>TJ (GCV)</t>
  </si>
  <si>
    <t>Paliwa stałe</t>
  </si>
  <si>
    <t xml:space="preserve"> LPG</t>
  </si>
  <si>
    <t>olej opałowy</t>
  </si>
  <si>
    <t>tys.t</t>
  </si>
  <si>
    <t>energia słoneczna</t>
  </si>
  <si>
    <t>biopaliwa stałe bez węgla drzewnego</t>
  </si>
  <si>
    <t>energia geotermalna i ciepło otoczenia</t>
  </si>
  <si>
    <t xml:space="preserve">Ogółem nośniki </t>
  </si>
  <si>
    <t>do ogrzewania wody</t>
  </si>
  <si>
    <t>do ogrzewania wody (korekta)</t>
  </si>
  <si>
    <t xml:space="preserve">Energia słoneczna </t>
  </si>
  <si>
    <t>Geotermia</t>
  </si>
  <si>
    <t>Ogrzewanie wody</t>
  </si>
  <si>
    <t>RSD_DTH_HT_SOL</t>
  </si>
  <si>
    <t>Stock</t>
  </si>
  <si>
    <t>ACTFLO</t>
  </si>
  <si>
    <t>Life</t>
  </si>
  <si>
    <t>PJ/M-appl</t>
  </si>
  <si>
    <t>M-appl/M-appl-y</t>
  </si>
  <si>
    <t>000appl/M-appl</t>
  </si>
  <si>
    <t>Technical lifetime</t>
  </si>
  <si>
    <t>Szacunkowe dane o zużyciu energii w gospodarstwach domowych</t>
  </si>
  <si>
    <t>Tabl. 4.1.  Zużycie energii w gospodarstwach domowych w Polsce według nośników …</t>
  </si>
  <si>
    <t>gotowanie posiłków</t>
  </si>
  <si>
    <t>[TJ]</t>
  </si>
  <si>
    <t xml:space="preserve"> Tabl. 9.  Wyposażenie gospodarstw domowych w urządzenia do gotowania posiłków</t>
  </si>
  <si>
    <t>Urządzenia</t>
  </si>
  <si>
    <t>Gospodarstwa domowe użytkujące dane urządzenie</t>
  </si>
  <si>
    <t>Średnia liczba sztuk danego urządzenia  w gospodarstwie domowym użytkującym dane urządzenie</t>
  </si>
  <si>
    <t xml:space="preserve">Średni wiek urządzenia </t>
  </si>
  <si>
    <t>w %</t>
  </si>
  <si>
    <t>w latach</t>
  </si>
  <si>
    <t xml:space="preserve">Kuchenka elektryczna z piekarnikiem                                    (bez części gazowej) </t>
  </si>
  <si>
    <t>Kuchenka elektryczna bez piekarnika</t>
  </si>
  <si>
    <t>Samodzielny piekarnik elektryczny</t>
  </si>
  <si>
    <t>GAZ/LPG</t>
  </si>
  <si>
    <t xml:space="preserve">Kuchenka gazowo-elektryczna </t>
  </si>
  <si>
    <t xml:space="preserve">Kuchenka gazowa (bez części elektrycznej) </t>
  </si>
  <si>
    <t xml:space="preserve">Kuchnia na paliwa stałe </t>
  </si>
  <si>
    <t xml:space="preserve">Kuchenka mikrofalowa </t>
  </si>
  <si>
    <t>X</t>
  </si>
  <si>
    <t>Po rozbiciu kuchenek gazowo elektrycznych</t>
  </si>
  <si>
    <t>HC/BIO</t>
  </si>
  <si>
    <t>Rozbicie w agregatach paliwowych na podstawie zużycia energii</t>
  </si>
  <si>
    <t>GAZ</t>
  </si>
  <si>
    <t>LPG</t>
  </si>
  <si>
    <t>HC</t>
  </si>
  <si>
    <t>BIO</t>
  </si>
  <si>
    <t>Po rozbiciach</t>
  </si>
  <si>
    <t>Średnio urządzeń na wszystkie mieszkania</t>
  </si>
  <si>
    <t>Średnia liczba urządzeń na 1 z 15 mln mieszkań [GUS]</t>
  </si>
  <si>
    <t>Liczba mieszkań GUS [mln]</t>
  </si>
  <si>
    <t>Zużycie en el [PJ]</t>
  </si>
  <si>
    <t>Static coefficients for combustion emissions in transport</t>
  </si>
  <si>
    <t>kt/PJ</t>
  </si>
  <si>
    <t>RSD_*_HT_*</t>
  </si>
  <si>
    <t>t/PJ</t>
  </si>
  <si>
    <t>RSD_*_HW_*</t>
  </si>
  <si>
    <t>Mzl/PJ</t>
  </si>
  <si>
    <t>FLO_COST~2025</t>
  </si>
  <si>
    <t>FLO_COST~2020</t>
  </si>
  <si>
    <t>FLO_COST~2030</t>
  </si>
  <si>
    <t>FLO_COST~2035</t>
  </si>
  <si>
    <t>FLO_COST~2040</t>
  </si>
  <si>
    <t>FLO_COST~2045</t>
  </si>
  <si>
    <t>FLO_COST~2050</t>
  </si>
  <si>
    <t>PRI_GAS_NAT_LP</t>
  </si>
  <si>
    <t>FLO_DELIV</t>
  </si>
  <si>
    <t>FLO_TAX</t>
  </si>
  <si>
    <t>W przypadku energii elektrycznej</t>
  </si>
  <si>
    <t>FLO_COST</t>
  </si>
  <si>
    <t>opłaty przesyłowe</t>
  </si>
  <si>
    <t>opłaty dystrybucyjne</t>
  </si>
  <si>
    <t>akcyza</t>
  </si>
  <si>
    <t>wszystkie uwzględniają VAT</t>
  </si>
  <si>
    <t>FLO_DELIV~2020</t>
  </si>
  <si>
    <t>FLO_DELIV~2025</t>
  </si>
  <si>
    <t>FLO_DELIV~2030</t>
  </si>
  <si>
    <t>FLO_DELIV~2035</t>
  </si>
  <si>
    <t>FLO_DELIV~2040</t>
  </si>
  <si>
    <t>FLO_DELIV~2045</t>
  </si>
  <si>
    <t>FLO_DELIV~2050</t>
  </si>
  <si>
    <t>Region</t>
  </si>
  <si>
    <t>~FI_T:PL</t>
  </si>
  <si>
    <t>~PRCCOMEMI:PL</t>
  </si>
  <si>
    <t>awyrwa@agh.edu.pl</t>
  </si>
  <si>
    <t>Artur Wyrwa</t>
  </si>
  <si>
    <t>Osoba kontaktowa</t>
  </si>
  <si>
    <t>Maciej Raczyński</t>
  </si>
  <si>
    <t>Autor(zy)</t>
  </si>
  <si>
    <t>Ostatnia aktualizacja</t>
  </si>
  <si>
    <t>Data powstania</t>
  </si>
  <si>
    <t>Cel powstania</t>
  </si>
  <si>
    <t>Plik z danymi roku bazowego</t>
  </si>
  <si>
    <t>Typ dokumentu</t>
  </si>
  <si>
    <t>Metadane</t>
  </si>
  <si>
    <t>RSD_KLTR_PV</t>
  </si>
  <si>
    <t>Klastry energii</t>
  </si>
  <si>
    <t>RSD_SE_PV</t>
  </si>
  <si>
    <t>Spółdzielnie energetyczne</t>
  </si>
  <si>
    <t>RSD_PROS_PV</t>
  </si>
  <si>
    <t>Prosumenci</t>
  </si>
  <si>
    <t>Przed rokiem 1946</t>
  </si>
  <si>
    <t>W latach             1946-1960</t>
  </si>
  <si>
    <t>W latach                     1961-1980</t>
  </si>
  <si>
    <t>W latach                                 1981-1995</t>
  </si>
  <si>
    <t>W latach                      1996-2011</t>
  </si>
  <si>
    <t>Po roku 2011</t>
  </si>
  <si>
    <t>RSD_DTH_1945</t>
  </si>
  <si>
    <t>RSD_DTH_1960</t>
  </si>
  <si>
    <t>RSD_DTH_1980</t>
  </si>
  <si>
    <t>RSD_DTH_2011</t>
  </si>
  <si>
    <t>RSD_DTH_2020</t>
  </si>
  <si>
    <t>&lt; 1946</t>
  </si>
  <si>
    <t>1946-1960</t>
  </si>
  <si>
    <t>1961-1980</t>
  </si>
  <si>
    <t>1981-1995</t>
  </si>
  <si>
    <t>1996-2011</t>
  </si>
  <si>
    <t>2011-2020</t>
  </si>
  <si>
    <t>RSD_SDTH_1945</t>
  </si>
  <si>
    <t>RSD_SDTH_1960</t>
  </si>
  <si>
    <t>RSD_SDTH_1980</t>
  </si>
  <si>
    <t>RSD_SDTH_2011</t>
  </si>
  <si>
    <t>RSD_SDTH_2020</t>
  </si>
  <si>
    <t>RSD_FLAT_1945</t>
  </si>
  <si>
    <t>RSD_FLAT_1960</t>
  </si>
  <si>
    <t>RSD_FLAT_1980</t>
  </si>
  <si>
    <t>RSD_FLAT_2011</t>
  </si>
  <si>
    <t>RSD_FLAT_2020</t>
  </si>
  <si>
    <t>FLAT</t>
  </si>
  <si>
    <t>RAZEM</t>
  </si>
  <si>
    <t>Ściany[m2]</t>
  </si>
  <si>
    <t>Dach[m2]</t>
  </si>
  <si>
    <t>Okna</t>
  </si>
  <si>
    <t>CENA JEDNOSTKOWA</t>
  </si>
  <si>
    <t>[PLN/okno]</t>
  </si>
  <si>
    <t>[PLN/m2]</t>
  </si>
  <si>
    <t>Razem koszty [PLN]</t>
  </si>
  <si>
    <t>STOCK~2030</t>
  </si>
  <si>
    <t>STOCK~2040</t>
  </si>
  <si>
    <t>RSD_DTH_SH_ELC_R</t>
  </si>
  <si>
    <t>RSD_DTH_SH_ELC_HPA</t>
  </si>
  <si>
    <t>RSD_DTH_SH_ELC_HPG</t>
  </si>
  <si>
    <t>RSD_DTH_SH_GAS</t>
  </si>
  <si>
    <t>RSD_DTH_SH_DH</t>
  </si>
  <si>
    <t>RSD_DTH_SH_OIL</t>
  </si>
  <si>
    <t>RSD_DTH_SH_BIO</t>
  </si>
  <si>
    <t>RSD_DTH_SH_HC</t>
  </si>
  <si>
    <t>RSD_DTH_SH_LPG</t>
  </si>
  <si>
    <t>RSD_DTH_SH_GEO</t>
  </si>
  <si>
    <t>RSD_SDTH_SH_ELC_R</t>
  </si>
  <si>
    <t>RSD_SDTH_SH_ELC_HPA</t>
  </si>
  <si>
    <t>RSD_SDTH_SH_ELC_HPG</t>
  </si>
  <si>
    <t>RSD_SDTH_SH_GAS</t>
  </si>
  <si>
    <t>RSD_SDTH_SH_DH</t>
  </si>
  <si>
    <t>RSD_SDTH_SH_OIL</t>
  </si>
  <si>
    <t>RSD_SDTH_SH_BIO</t>
  </si>
  <si>
    <t>RSD_SDTH_SH_HC</t>
  </si>
  <si>
    <t>RSD_SDTH_SH_LPG</t>
  </si>
  <si>
    <t>RSD_SDTH_SH_GEO</t>
  </si>
  <si>
    <t>RSD_FLAT_SH_ELC_R</t>
  </si>
  <si>
    <t>RSD_FLAT_SH_ELC_HPA</t>
  </si>
  <si>
    <t>RSD_FLAT_SH_ELC_HPG</t>
  </si>
  <si>
    <t>RSD_FLAT_SH_GAS</t>
  </si>
  <si>
    <t>RSD_FLAT_SH_DH</t>
  </si>
  <si>
    <t>RSD_FLAT_SH_OIL</t>
  </si>
  <si>
    <t>RSD_FLAT_SH_BIO</t>
  </si>
  <si>
    <t>RSD_FLAT_SH_HC</t>
  </si>
  <si>
    <t>RSD_FLAT_SH_LPG</t>
  </si>
  <si>
    <t>RSD_FLAT_SH_GEO</t>
  </si>
  <si>
    <t>RSD_FLAT_WH_ELC_R</t>
  </si>
  <si>
    <t>RSD_FLAT_WH_ELC_HPA</t>
  </si>
  <si>
    <t>RSD_FLAT_WH_ELC_HPG</t>
  </si>
  <si>
    <t>RSD_FLAT_WH_GAS</t>
  </si>
  <si>
    <t>RSD_FLAT_WH_DH</t>
  </si>
  <si>
    <t>RSD_FLAT_WH_OIL</t>
  </si>
  <si>
    <t>RSD_FLAT_WH_BIO</t>
  </si>
  <si>
    <t>RSD_FLAT_WH_HC</t>
  </si>
  <si>
    <t>RSD_FLAT_WH_LPG</t>
  </si>
  <si>
    <t>RSD_FLAT_WH_GEO</t>
  </si>
  <si>
    <t>RSD_FLAT_WH_SOL</t>
  </si>
  <si>
    <t>RSD_DTH_WH_ELC</t>
  </si>
  <si>
    <t>RSD_DTH_WH_ELC_HPA</t>
  </si>
  <si>
    <t>RSD_DTH_WH_ELC_HPG</t>
  </si>
  <si>
    <t>RSD_DTH_WH_GAS</t>
  </si>
  <si>
    <t>RSD_DTH_WH_DH</t>
  </si>
  <si>
    <t>RSD_DTH_WH_OIL</t>
  </si>
  <si>
    <t>RSD_DTH_WH_BIO</t>
  </si>
  <si>
    <t>RSD_DTH_WH_HC</t>
  </si>
  <si>
    <t>RSD_DTH_WH_LPG</t>
  </si>
  <si>
    <t>RSD_DTH_WH_GEO</t>
  </si>
  <si>
    <t>RSD_DTH_WH_SOL</t>
  </si>
  <si>
    <t>RSD_SDTH_WH_ELC</t>
  </si>
  <si>
    <t>RSD_SDTH_WH_ELC_HPA</t>
  </si>
  <si>
    <t>RSD_SDTH_WH_ELC_HPG</t>
  </si>
  <si>
    <t>RSD_SDTH_WH_GAS</t>
  </si>
  <si>
    <t>RSD_SDTH_WH_DH</t>
  </si>
  <si>
    <t>RSD_SDTH_WH_OIL</t>
  </si>
  <si>
    <t>RSD_SDTH_WH_BIO</t>
  </si>
  <si>
    <t>RSD_SDTH_WH_HC</t>
  </si>
  <si>
    <t>RSD_SDTH_WH_LPG</t>
  </si>
  <si>
    <t>RSD_SDTH_WH_GEO</t>
  </si>
  <si>
    <t>RSD_SDTH_WH_SOL</t>
  </si>
  <si>
    <t>RSD_DTH_SH</t>
  </si>
  <si>
    <t>RSD_SDTH_SH</t>
  </si>
  <si>
    <t>RSD_FLAT_SH</t>
  </si>
  <si>
    <t>RSD_DTH_WH</t>
  </si>
  <si>
    <t>RSD_SDTH_WH</t>
  </si>
  <si>
    <t>RSD_FLAT_WH</t>
  </si>
  <si>
    <t>AFA~FX</t>
  </si>
  <si>
    <t>STOCK~2045</t>
  </si>
  <si>
    <t>* TechDesc</t>
  </si>
  <si>
    <t>Wersja modelu na potrzeby scenariuszy INTG_3</t>
  </si>
  <si>
    <t>Wprowadzenie topologii i danych dla sektora gospodarstw domowych</t>
  </si>
  <si>
    <t>STOCK~2025</t>
  </si>
  <si>
    <t>STOCK~2035</t>
  </si>
  <si>
    <t>Liczba mieszkań ogółem w roku bazowym 2020 [tys]</t>
  </si>
  <si>
    <r>
      <t xml:space="preserve">Podział procentowy mieszkań w Polsce według rodzaju budynków [%]
</t>
    </r>
    <r>
      <rPr>
        <sz val="12"/>
        <rFont val="Arial"/>
        <family val="2"/>
        <charset val="238"/>
      </rPr>
      <t>Stock of dwelling per type [%]</t>
    </r>
  </si>
  <si>
    <r>
      <t xml:space="preserve">Średnia powierzchnia mieszkania [m2]
</t>
    </r>
    <r>
      <rPr>
        <sz val="12"/>
        <rFont val="Arial"/>
        <family val="2"/>
        <charset val="238"/>
      </rPr>
      <t>Average size of dwelling by type [m2]</t>
    </r>
  </si>
  <si>
    <r>
      <t xml:space="preserve">Udział powierzchni ogrzewanej w całkowitej  [%]*
</t>
    </r>
    <r>
      <rPr>
        <sz val="12"/>
        <rFont val="Arial"/>
        <family val="2"/>
        <charset val="238"/>
      </rPr>
      <t>Share of heated area in total area [%]</t>
    </r>
  </si>
  <si>
    <r>
      <t xml:space="preserve">Budynki jednorodzinne wolnostojące 
</t>
    </r>
    <r>
      <rPr>
        <i/>
        <sz val="12"/>
        <rFont val="Arial"/>
        <family val="2"/>
        <charset val="238"/>
      </rPr>
      <t>Detached house</t>
    </r>
  </si>
  <si>
    <r>
      <t xml:space="preserve">Mieszkania w budynku wielorodzinnym 
</t>
    </r>
    <r>
      <rPr>
        <i/>
        <sz val="12"/>
        <rFont val="Arial"/>
        <family val="2"/>
        <charset val="238"/>
      </rPr>
      <t>Flats in multifamilty house</t>
    </r>
  </si>
  <si>
    <r>
      <t xml:space="preserve">Mieszkania w budynku jednorodzinnym w zabudowie szeregowej
</t>
    </r>
    <r>
      <rPr>
        <i/>
        <sz val="12"/>
        <rFont val="Arial"/>
        <family val="2"/>
        <charset val="238"/>
      </rPr>
      <t>Semi-detached house</t>
    </r>
  </si>
  <si>
    <t xml:space="preserve">Okres wybudowania budynku </t>
  </si>
  <si>
    <t>B.  Mieszkania według okresów wybudowania budynku [%]</t>
  </si>
  <si>
    <t>Budynki jednorodzinne wolnostojące 
Detached house</t>
  </si>
  <si>
    <t>Mieszkania w budynku wielorodzinnym 
Flats in multifamilty house</t>
  </si>
  <si>
    <t>Mieszkania w budynku jednorodzinnym w zabudowie szeregowej
Semi-detached house</t>
  </si>
  <si>
    <t>Na podstawie: GUS Szacunki danych o zużyciu energii w gospodarstwach domowych w 2020 r.</t>
  </si>
  <si>
    <t>* model dodatkowo uwzględnia tzw. "efekt zwrotny/odbicia"</t>
  </si>
  <si>
    <t>Technologie produkcji C.O. oraz C.W.U.</t>
  </si>
  <si>
    <t>Nazwa technologi</t>
  </si>
  <si>
    <t>Liczba mieszkań w rozbiciu na typ oraz okres budowy [tys]</t>
  </si>
  <si>
    <t>Łączne zapotrzebownie na ciepło użytkowe do ogrzewania</t>
  </si>
  <si>
    <t>Rok odniesienia:</t>
  </si>
  <si>
    <t>Współczynniki przenikania ciepła przez przegrody budowlane po termomodernizacji [W/m2×K]</t>
  </si>
  <si>
    <t xml:space="preserve">Okres budowy budynku </t>
  </si>
  <si>
    <t>Podłógi na gruncie (Floor)</t>
  </si>
  <si>
    <t>Dachy i stropodachy (Ceiling)</t>
  </si>
  <si>
    <t>Ściany zewnętrzne (Wall)</t>
  </si>
  <si>
    <t>Okna (Windows)</t>
  </si>
  <si>
    <t>Współczynniki przenikania ciepła przez przegrody budowlane po termomodernizacji dokonanej w przyszłości [W/m2×K]*</t>
  </si>
  <si>
    <t>Wartość  współczynników U w odniesieniu do 2020 r.</t>
  </si>
  <si>
    <t>2020-2025</t>
  </si>
  <si>
    <t>2025-2030</t>
  </si>
  <si>
    <t>2030-2035</t>
  </si>
  <si>
    <t>2035-2040</t>
  </si>
  <si>
    <t>2040-2045</t>
  </si>
  <si>
    <t>2045-2050</t>
  </si>
  <si>
    <t>*testowe wartości liczbowe do zmiany</t>
  </si>
  <si>
    <t xml:space="preserve"> </t>
  </si>
  <si>
    <t xml:space="preserve">Koszt termomodernizacji </t>
  </si>
  <si>
    <t>Koszt termomodernizacji elementów budynków. Jednostka w przypadku okien [zł/szt], dla pozostałych [zł/m2]</t>
  </si>
  <si>
    <t>Stolarka okienna</t>
  </si>
  <si>
    <t>Ściany zewnętrzne</t>
  </si>
  <si>
    <t>Dach lub stropodach</t>
  </si>
  <si>
    <t>podłogi na gruncie</t>
  </si>
  <si>
    <t>Udział technologi w pokryciu zapotrzebowania na ciepło użytkowe  [%]</t>
  </si>
  <si>
    <t>Wartości wpisywane przez użytkownika</t>
  </si>
  <si>
    <t>Tempo termomodernizacji istniejących budynków*</t>
  </si>
  <si>
    <t>INITIAL VALUES 2020</t>
  </si>
  <si>
    <t>Average</t>
  </si>
  <si>
    <t>Typy budynkó</t>
  </si>
  <si>
    <t>Śr. Zuż na mieszkanie [PJ/miesz.]</t>
  </si>
  <si>
    <t>*STOCK~2030</t>
  </si>
  <si>
    <t>*STOCK~2040</t>
  </si>
  <si>
    <t>*STOCK~2045</t>
  </si>
  <si>
    <t>*STOCK~2050</t>
  </si>
  <si>
    <t>LIFE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</si>
</sst>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2">
    <numFmt numFmtId="41" formatCode="_-* #,##0_-;\-* #,##0_-;_-* &quot;-&quot;_-;_-@_-"/>
    <numFmt numFmtId="43" formatCode="_-* #,##0.00_-;\-* #,##0.00_-;_-* &quot;-&quot;??_-;_-@_-"/>
    <numFmt numFmtId="164" formatCode="0.0"/>
    <numFmt numFmtId="165" formatCode="#,##0.0_i"/>
    <numFmt numFmtId="166" formatCode="\Te\x\t"/>
    <numFmt numFmtId="167" formatCode="0.000"/>
    <numFmt numFmtId="168" formatCode="0.0000"/>
    <numFmt numFmtId="169" formatCode="#,##0.0000"/>
    <numFmt numFmtId="170" formatCode="0.000%"/>
    <numFmt numFmtId="171" formatCode="0.000000"/>
    <numFmt numFmtId="172" formatCode="0.00000"/>
    <numFmt numFmtId="173" formatCode="0.0000000000"/>
    <numFmt numFmtId="174" formatCode="_-* #,##0_-;\-* #,##0_-;_-* &quot;-&quot;??_-;_-@_-"/>
    <numFmt numFmtId="175" formatCode="#,##0.00__"/>
    <numFmt numFmtId="176" formatCode="#,##0___)"/>
    <numFmt numFmtId="177" formatCode="#,##0_)"/>
    <numFmt numFmtId="178" formatCode="#,##0.00___)"/>
    <numFmt numFmtId="179" formatCode="#,##0.00_)"/>
    <numFmt numFmtId="180" formatCode="#,##0.00____"/>
    <numFmt numFmtId="181" formatCode="_-* #,##0\ _z_ł_-;\-* #,##0\ _z_ł_-;_-* &quot;-&quot;\ _z_ł_-;_-@_-"/>
    <numFmt numFmtId="182" formatCode="_-* #,##0.00\ _z_ł_-;\-* #,##0.00\ _z_ł_-;_-* &quot;-&quot;??\ _z_ł_-;_-@_-"/>
    <numFmt numFmtId="183" formatCode="&quot;$&quot;#,##0.00_);[Red]\(&quot;$&quot;#,##0.00\)"/>
    <numFmt numFmtId="184" formatCode="_(&quot;$&quot;* #,##0.00_);_(&quot;$&quot;* \(#,##0.00\);_(&quot;$&quot;* &quot;-&quot;??_);_(@_)"/>
    <numFmt numFmtId="185" formatCode="_-* #,##0.00\ _D_M_-;\-* #,##0.00\ _D_M_-;_-* &quot;-&quot;??\ _D_M_-;_-@_-"/>
    <numFmt numFmtId="186" formatCode="_-* #,##0.00\ [$€]_-;\-* #,##0.00\ [$€]_-;_-* &quot;-&quot;??\ [$€]_-;_-@_-"/>
    <numFmt numFmtId="187" formatCode="_([$€-2]* #,##0.00_);_([$€-2]* \(#,##0.00\);_([$€-2]* &quot;-&quot;??_)"/>
    <numFmt numFmtId="188" formatCode="_([$€]* #,##0.00_);_([$€]* \(#,##0.00\);_([$€]* &quot;-&quot;??_);_(@_)"/>
    <numFmt numFmtId="189" formatCode="#,##0.00\ &quot;DM&quot;;[Red]\-#,##0.00\ &quot;DM&quot;"/>
    <numFmt numFmtId="190" formatCode="_-* #,##0.00\ _€_-;\-* #,##0.00\ _€_-;_-* &quot;-&quot;??\ _€_-;_-@_-"/>
    <numFmt numFmtId="191" formatCode="#,##0.00\ &quot;Pts&quot;;[Red]\-#,##0.00\ &quot;Pts&quot;"/>
    <numFmt numFmtId="192" formatCode="#,##0."/>
    <numFmt numFmtId="193" formatCode="&quot;$&quot;#."/>
    <numFmt numFmtId="194" formatCode="m/d/yy\ h:mm"/>
    <numFmt numFmtId="195" formatCode="#.00"/>
    <numFmt numFmtId="196" formatCode="mmm\ dd\,\ yyyy"/>
    <numFmt numFmtId="197" formatCode="mmm\-yyyy"/>
    <numFmt numFmtId="198" formatCode="yyyy"/>
    <numFmt numFmtId="199" formatCode="_-* ###0.00_-;\(###0.00\);_-* &quot;–&quot;_-;_-@_-"/>
    <numFmt numFmtId="200" formatCode="_ * #,##0.00_ ;_ * \-#,##0.00_ ;_ * &quot;-&quot;??_ ;_ @_ "/>
    <numFmt numFmtId="201" formatCode="_ * #,##0_ ;_ * \-#,##0_ ;_ * &quot;-&quot;_ ;_ @_ "/>
    <numFmt numFmtId="202" formatCode="_ &quot;kr&quot;\ * #,##0_ ;_ &quot;kr&quot;\ * \-#,##0_ ;_ &quot;kr&quot;\ * &quot;-&quot;_ ;_ @_ "/>
    <numFmt numFmtId="203" formatCode="_ &quot;kr&quot;\ * #,##0.00_ ;_ &quot;kr&quot;\ * \-#,##0.00_ ;_ &quot;kr&quot;\ * &quot;-&quot;??_ ;_ @_ "/>
  </numFmts>
  <fonts count="182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4"/>
      <color theme="1"/>
      <name val="Czcionka tekstu podstaw."/>
      <family val="2"/>
      <charset val="238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1"/>
      <name val="Arial"/>
      <family val="2"/>
    </font>
    <font>
      <sz val="9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name val="Calibri"/>
      <family val="2"/>
      <scheme val="minor"/>
    </font>
    <font>
      <b/>
      <sz val="10"/>
      <color indexed="12"/>
      <name val="Arial"/>
      <family val="2"/>
    </font>
    <font>
      <b/>
      <sz val="1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2"/>
      <name val="Times New Roman"/>
      <family val="1"/>
    </font>
    <font>
      <sz val="9"/>
      <name val="Times New Roman"/>
      <family val="1"/>
    </font>
    <font>
      <sz val="8"/>
      <name val="Arial"/>
      <family val="2"/>
    </font>
    <font>
      <sz val="10"/>
      <name val="Times New Roman"/>
      <family val="1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  <charset val="238"/>
      <scheme val="minor"/>
    </font>
    <font>
      <sz val="10"/>
      <name val="Arial"/>
      <family val="2"/>
      <charset val="238"/>
    </font>
    <font>
      <b/>
      <sz val="10"/>
      <name val="Arial"/>
      <family val="2"/>
      <charset val="238"/>
    </font>
    <font>
      <b/>
      <sz val="8"/>
      <color indexed="81"/>
      <name val="Tahoma"/>
      <family val="2"/>
      <charset val="238"/>
    </font>
    <font>
      <sz val="8"/>
      <color indexed="81"/>
      <name val="Tahoma"/>
      <family val="2"/>
      <charset val="238"/>
    </font>
    <font>
      <sz val="14"/>
      <color indexed="9"/>
      <name val="Arial"/>
      <family val="2"/>
    </font>
    <font>
      <b/>
      <sz val="10"/>
      <color indexed="12"/>
      <name val="Arial"/>
      <family val="2"/>
      <charset val="238"/>
    </font>
    <font>
      <b/>
      <sz val="11"/>
      <color theme="1"/>
      <name val="Calibri"/>
      <family val="2"/>
      <charset val="238"/>
      <scheme val="minor"/>
    </font>
    <font>
      <sz val="10"/>
      <color rgb="FF000000"/>
      <name val="Arial"/>
      <family val="2"/>
      <charset val="238"/>
    </font>
    <font>
      <sz val="11"/>
      <color theme="1"/>
      <name val="Verdana"/>
      <family val="2"/>
      <charset val="238"/>
    </font>
    <font>
      <b/>
      <sz val="17"/>
      <color rgb="FF231F20"/>
      <name val="Arial"/>
      <family val="2"/>
      <charset val="238"/>
    </font>
    <font>
      <sz val="11"/>
      <name val="Arial"/>
      <family val="2"/>
      <charset val="238"/>
    </font>
    <font>
      <sz val="10"/>
      <color theme="1"/>
      <name val="Arial"/>
      <family val="2"/>
      <charset val="238"/>
    </font>
    <font>
      <sz val="11"/>
      <color indexed="8"/>
      <name val="Czcionka tekstu podstawowego"/>
      <family val="2"/>
    </font>
    <font>
      <sz val="11"/>
      <name val="Times New Roman"/>
      <family val="1"/>
    </font>
    <font>
      <sz val="11"/>
      <name val="Calibri"/>
      <family val="2"/>
      <charset val="238"/>
      <scheme val="minor"/>
    </font>
    <font>
      <b/>
      <sz val="11"/>
      <name val="Calibri"/>
      <family val="2"/>
      <charset val="238"/>
    </font>
    <font>
      <sz val="10"/>
      <name val="Arial CE"/>
      <charset val="238"/>
    </font>
    <font>
      <sz val="10"/>
      <name val="Times New Roman"/>
      <family val="1"/>
      <charset val="238"/>
    </font>
    <font>
      <b/>
      <sz val="11"/>
      <color indexed="12"/>
      <name val="Calibri"/>
      <family val="2"/>
      <charset val="238"/>
    </font>
    <font>
      <sz val="11"/>
      <name val="Times New Roman"/>
      <family val="1"/>
      <charset val="238"/>
    </font>
    <font>
      <u/>
      <sz val="10"/>
      <color theme="10"/>
      <name val="Arial"/>
      <family val="2"/>
      <charset val="238"/>
    </font>
    <font>
      <sz val="9"/>
      <color theme="1"/>
      <name val="Arial"/>
      <family val="2"/>
    </font>
    <font>
      <sz val="11"/>
      <color indexed="8"/>
      <name val="Times New Roman"/>
      <family val="1"/>
      <charset val="238"/>
    </font>
    <font>
      <b/>
      <sz val="12"/>
      <name val="Times New Roman"/>
      <family val="1"/>
      <charset val="238"/>
    </font>
    <font>
      <sz val="10"/>
      <color indexed="8"/>
      <name val="Times New Roman"/>
      <family val="1"/>
      <charset val="238"/>
    </font>
    <font>
      <b/>
      <sz val="11"/>
      <color indexed="8"/>
      <name val="Times New Roman"/>
      <family val="1"/>
      <charset val="238"/>
    </font>
    <font>
      <b/>
      <sz val="10"/>
      <color indexed="8"/>
      <name val="Times New Roman"/>
      <family val="1"/>
      <charset val="238"/>
    </font>
    <font>
      <sz val="12"/>
      <color rgb="FF141414"/>
      <name val="Arial"/>
      <family val="2"/>
      <charset val="238"/>
    </font>
    <font>
      <b/>
      <sz val="10"/>
      <name val="Times New Roman"/>
      <family val="1"/>
    </font>
    <font>
      <sz val="14"/>
      <name val="Times New Roman"/>
      <family val="1"/>
      <charset val="238"/>
    </font>
    <font>
      <b/>
      <sz val="11"/>
      <name val="Times New Roman"/>
      <family val="1"/>
    </font>
    <font>
      <b/>
      <sz val="10.5"/>
      <name val="Times New Roman"/>
      <family val="1"/>
    </font>
    <font>
      <sz val="12"/>
      <name val="Times New Roman"/>
      <family val="1"/>
    </font>
    <font>
      <sz val="8.5"/>
      <name val="Times New Roman"/>
      <family val="1"/>
    </font>
    <font>
      <sz val="10"/>
      <color indexed="9"/>
      <name val="Arial"/>
      <family val="2"/>
    </font>
    <font>
      <b/>
      <sz val="10"/>
      <color theme="1"/>
      <name val="Arial"/>
      <family val="2"/>
      <charset val="238"/>
    </font>
    <font>
      <sz val="14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sz val="10"/>
      <color rgb="FF010000"/>
      <name val="Arial"/>
      <family val="2"/>
      <charset val="238"/>
    </font>
    <font>
      <b/>
      <sz val="10"/>
      <color rgb="FF010000"/>
      <name val="Arial"/>
      <family val="2"/>
      <charset val="238"/>
    </font>
    <font>
      <u/>
      <sz val="14"/>
      <color theme="10"/>
      <name val="Calibri"/>
      <family val="2"/>
      <charset val="238"/>
      <scheme val="minor"/>
    </font>
    <font>
      <b/>
      <sz val="12"/>
      <color rgb="FF0000FF"/>
      <name val="Arial"/>
      <family val="2"/>
      <charset val="238"/>
    </font>
    <font>
      <b/>
      <sz val="12"/>
      <name val="Arial"/>
      <family val="2"/>
      <charset val="238"/>
    </font>
    <font>
      <sz val="12"/>
      <color theme="1"/>
      <name val="Calibri"/>
      <family val="2"/>
      <scheme val="minor"/>
    </font>
    <font>
      <sz val="12"/>
      <name val="Times New Roman"/>
      <family val="1"/>
      <charset val="238"/>
    </font>
    <font>
      <sz val="12"/>
      <name val="Arial"/>
      <family val="2"/>
      <charset val="238"/>
    </font>
    <font>
      <i/>
      <sz val="12"/>
      <name val="Arial"/>
      <family val="2"/>
      <charset val="238"/>
    </font>
    <font>
      <sz val="12"/>
      <color theme="1"/>
      <name val="Arial"/>
      <family val="2"/>
      <charset val="238"/>
    </font>
    <font>
      <sz val="12"/>
      <color theme="1"/>
      <name val="Times New Roman"/>
      <family val="1"/>
      <charset val="238"/>
    </font>
    <font>
      <sz val="11"/>
      <color theme="1"/>
      <name val="Times New Roman"/>
      <family val="1"/>
      <charset val="238"/>
    </font>
    <font>
      <b/>
      <sz val="12"/>
      <color indexed="8"/>
      <name val="Arial"/>
      <family val="2"/>
      <charset val="238"/>
    </font>
    <font>
      <b/>
      <sz val="12"/>
      <color theme="1"/>
      <name val="Arial"/>
      <family val="2"/>
      <charset val="238"/>
    </font>
    <font>
      <b/>
      <sz val="11"/>
      <name val="Times New Roman"/>
      <family val="1"/>
      <charset val="238"/>
    </font>
    <font>
      <b/>
      <sz val="11"/>
      <color theme="1"/>
      <name val="Times New Roman"/>
      <family val="1"/>
      <charset val="238"/>
    </font>
    <font>
      <b/>
      <sz val="18"/>
      <name val="Arial"/>
      <family val="2"/>
      <charset val="238"/>
    </font>
    <font>
      <b/>
      <sz val="16"/>
      <color indexed="8"/>
      <name val="Calibri"/>
      <family val="2"/>
      <charset val="238"/>
    </font>
    <font>
      <b/>
      <sz val="11"/>
      <color rgb="FFFF0000"/>
      <name val="Calibri"/>
      <family val="2"/>
      <charset val="238"/>
      <scheme val="minor"/>
    </font>
    <font>
      <b/>
      <sz val="13"/>
      <name val="Calibri"/>
      <family val="2"/>
      <scheme val="minor"/>
    </font>
    <font>
      <sz val="13"/>
      <color indexed="8"/>
      <name val="Calibri"/>
      <family val="2"/>
    </font>
    <font>
      <b/>
      <sz val="13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indexed="8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17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1"/>
      <color indexed="62"/>
      <name val="Calibri"/>
      <family val="2"/>
    </font>
    <font>
      <b/>
      <sz val="11"/>
      <color indexed="63"/>
      <name val="Calibri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sz val="11"/>
      <color indexed="9"/>
      <name val="Calibri"/>
      <family val="2"/>
    </font>
    <font>
      <sz val="11"/>
      <color indexed="8"/>
      <name val="Calibri"/>
      <family val="2"/>
      <charset val="238"/>
    </font>
    <font>
      <sz val="11"/>
      <color indexed="9"/>
      <name val="Calibri"/>
      <family val="2"/>
      <charset val="238"/>
    </font>
    <font>
      <sz val="11"/>
      <color indexed="9"/>
      <name val="Czcionka tekstu podstawowego"/>
      <family val="2"/>
    </font>
    <font>
      <b/>
      <sz val="10"/>
      <name val="Arial CE"/>
      <charset val="238"/>
    </font>
    <font>
      <sz val="11"/>
      <color indexed="62"/>
      <name val="Calibri"/>
      <family val="2"/>
      <charset val="238"/>
    </font>
    <font>
      <sz val="11"/>
      <color indexed="62"/>
      <name val="Czcionka tekstu podstawowego"/>
      <family val="2"/>
    </font>
    <font>
      <b/>
      <sz val="11"/>
      <color indexed="63"/>
      <name val="Calibri"/>
      <family val="2"/>
      <charset val="238"/>
    </font>
    <font>
      <b/>
      <sz val="11"/>
      <color indexed="63"/>
      <name val="Czcionka tekstu podstawowego"/>
      <family val="2"/>
    </font>
    <font>
      <sz val="11"/>
      <color indexed="17"/>
      <name val="Calibri"/>
      <family val="2"/>
      <charset val="238"/>
    </font>
    <font>
      <sz val="11"/>
      <color indexed="17"/>
      <name val="Czcionka tekstu podstawowego"/>
      <family val="2"/>
    </font>
    <font>
      <u/>
      <sz val="8"/>
      <color indexed="12"/>
      <name val="Arial"/>
      <family val="2"/>
    </font>
    <font>
      <u/>
      <sz val="10"/>
      <color indexed="12"/>
      <name val="Arial"/>
      <family val="2"/>
    </font>
    <font>
      <u/>
      <sz val="11"/>
      <color indexed="12"/>
      <name val="Calibri"/>
      <family val="2"/>
    </font>
    <font>
      <sz val="10"/>
      <name val="MS Sans Serif"/>
      <family val="2"/>
    </font>
    <font>
      <sz val="11"/>
      <color indexed="52"/>
      <name val="Calibri"/>
      <family val="2"/>
      <charset val="238"/>
    </font>
    <font>
      <sz val="11"/>
      <color indexed="52"/>
      <name val="Czcionka tekstu podstawowego"/>
      <family val="2"/>
    </font>
    <font>
      <b/>
      <sz val="11"/>
      <color indexed="9"/>
      <name val="Calibri"/>
      <family val="2"/>
      <charset val="238"/>
    </font>
    <font>
      <b/>
      <sz val="11"/>
      <color indexed="9"/>
      <name val="Czcionka tekstu podstawowego"/>
      <family val="2"/>
    </font>
    <font>
      <b/>
      <sz val="15"/>
      <color indexed="56"/>
      <name val="Calibri"/>
      <family val="2"/>
      <charset val="238"/>
    </font>
    <font>
      <b/>
      <sz val="15"/>
      <color indexed="56"/>
      <name val="Czcionka tekstu podstawowego"/>
      <family val="2"/>
    </font>
    <font>
      <b/>
      <sz val="13"/>
      <color indexed="56"/>
      <name val="Calibri"/>
      <family val="2"/>
      <charset val="238"/>
    </font>
    <font>
      <b/>
      <sz val="13"/>
      <color indexed="56"/>
      <name val="Czcionka tekstu podstawowego"/>
      <family val="2"/>
    </font>
    <font>
      <b/>
      <sz val="11"/>
      <color indexed="56"/>
      <name val="Calibri"/>
      <family val="2"/>
      <charset val="238"/>
    </font>
    <font>
      <b/>
      <sz val="11"/>
      <color indexed="56"/>
      <name val="Czcionka tekstu podstawowego"/>
      <family val="2"/>
    </font>
    <font>
      <sz val="11"/>
      <color indexed="60"/>
      <name val="Calibri"/>
      <family val="2"/>
      <charset val="238"/>
    </font>
    <font>
      <sz val="11"/>
      <color indexed="60"/>
      <name val="Czcionka tekstu podstawowego"/>
      <family val="2"/>
    </font>
    <font>
      <b/>
      <sz val="9"/>
      <name val="Times New Roman"/>
      <family val="1"/>
    </font>
    <font>
      <sz val="10"/>
      <name val="Courier"/>
      <family val="3"/>
    </font>
    <font>
      <b/>
      <sz val="11"/>
      <color indexed="52"/>
      <name val="Calibri"/>
      <family val="2"/>
      <charset val="238"/>
    </font>
    <font>
      <b/>
      <sz val="11"/>
      <color indexed="52"/>
      <name val="Czcionka tekstu podstawowego"/>
      <family val="2"/>
    </font>
    <font>
      <sz val="10"/>
      <color indexed="8"/>
      <name val="MS Sans Serif"/>
      <family val="2"/>
      <charset val="238"/>
    </font>
    <font>
      <b/>
      <sz val="11"/>
      <color indexed="8"/>
      <name val="Calibri"/>
      <family val="2"/>
      <charset val="238"/>
    </font>
    <font>
      <b/>
      <sz val="11"/>
      <color indexed="8"/>
      <name val="Czcionka tekstu podstawowego"/>
      <family val="2"/>
    </font>
    <font>
      <i/>
      <sz val="11"/>
      <color indexed="23"/>
      <name val="Calibri"/>
      <family val="2"/>
      <charset val="238"/>
    </font>
    <font>
      <i/>
      <sz val="11"/>
      <color indexed="23"/>
      <name val="Czcionka tekstu podstawowego"/>
      <family val="2"/>
    </font>
    <font>
      <sz val="11"/>
      <color indexed="10"/>
      <name val="Calibri"/>
      <family val="2"/>
      <charset val="238"/>
    </font>
    <font>
      <sz val="11"/>
      <color indexed="10"/>
      <name val="Czcionka tekstu podstawowego"/>
      <family val="2"/>
    </font>
    <font>
      <b/>
      <sz val="18"/>
      <color indexed="56"/>
      <name val="Cambria"/>
      <family val="2"/>
      <charset val="238"/>
    </font>
    <font>
      <sz val="8"/>
      <name val="Arial"/>
      <family val="2"/>
      <charset val="238"/>
    </font>
    <font>
      <sz val="11"/>
      <color indexed="20"/>
      <name val="Calibri"/>
      <family val="2"/>
      <charset val="238"/>
    </font>
    <font>
      <sz val="11"/>
      <color indexed="20"/>
      <name val="Czcionka tekstu podstawowego"/>
      <family val="2"/>
    </font>
    <font>
      <u/>
      <sz val="12"/>
      <color indexed="20"/>
      <name val="宋体"/>
      <charset val="134"/>
    </font>
    <font>
      <sz val="1"/>
      <color indexed="8"/>
      <name val="Courier"/>
      <family val="3"/>
    </font>
    <font>
      <sz val="12"/>
      <name val="Helv"/>
    </font>
    <font>
      <sz val="8"/>
      <name val="BERNHARD"/>
    </font>
    <font>
      <sz val="10"/>
      <name val="Helv"/>
    </font>
    <font>
      <b/>
      <u/>
      <sz val="11"/>
      <color indexed="37"/>
      <name val="Arial"/>
      <family val="2"/>
    </font>
    <font>
      <b/>
      <sz val="1"/>
      <color indexed="8"/>
      <name val="Courier"/>
      <family val="3"/>
    </font>
    <font>
      <sz val="10"/>
      <color indexed="12"/>
      <name val="Arial"/>
      <family val="2"/>
    </font>
    <font>
      <sz val="7"/>
      <name val="Small Fonts"/>
      <family val="2"/>
    </font>
    <font>
      <sz val="6"/>
      <name val="Arial"/>
      <family val="2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sz val="10"/>
      <color indexed="10"/>
      <name val="Arial"/>
      <family val="2"/>
    </font>
    <font>
      <b/>
      <sz val="12"/>
      <name val="Arial"/>
      <family val="2"/>
    </font>
    <font>
      <sz val="8"/>
      <color indexed="12"/>
      <name val="Arial"/>
      <family val="2"/>
    </font>
    <font>
      <sz val="7"/>
      <name val="Arial"/>
      <family val="2"/>
    </font>
    <font>
      <sz val="10"/>
      <name val="Helvetica"/>
    </font>
    <font>
      <sz val="8"/>
      <color indexed="9"/>
      <name val="Arial"/>
      <family val="2"/>
    </font>
    <font>
      <sz val="11"/>
      <name val="Calibri"/>
      <family val="2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8"/>
      <color theme="10"/>
      <name val="Arial"/>
      <family val="2"/>
    </font>
    <font>
      <u/>
      <sz val="11"/>
      <color theme="10"/>
      <name val="Calibri"/>
      <family val="2"/>
    </font>
    <font>
      <sz val="11"/>
      <color rgb="FF9C6500"/>
      <name val="Calibri"/>
      <family val="2"/>
      <charset val="238"/>
      <scheme val="minor"/>
    </font>
    <font>
      <sz val="11"/>
      <color rgb="FF000000"/>
      <name val="Calibri"/>
      <family val="2"/>
      <charset val="238"/>
    </font>
    <font>
      <sz val="9"/>
      <color rgb="FF595959"/>
      <name val="Calibri"/>
      <family val="2"/>
      <charset val="238"/>
      <scheme val="minor"/>
    </font>
  </fonts>
  <fills count="7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8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26"/>
      </patternFill>
    </fill>
    <fill>
      <patternFill patternType="solid">
        <fgColor rgb="FFF2F2F2"/>
        <bgColor indexed="64"/>
      </patternFill>
    </fill>
    <fill>
      <patternFill patternType="solid">
        <fgColor rgb="FFF2F2F2"/>
        <bgColor indexed="26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6969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59EE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4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  <bgColor indexed="64"/>
      </patternFill>
    </fill>
    <fill>
      <patternFill patternType="solid">
        <fgColor indexed="40"/>
      </patternFill>
    </fill>
    <fill>
      <patternFill patternType="solid">
        <fgColor indexed="41"/>
        <bgColor indexed="64"/>
      </patternFill>
    </fill>
    <fill>
      <patternFill patternType="solid">
        <fgColor indexed="15"/>
      </patternFill>
    </fill>
    <fill>
      <patternFill patternType="solid">
        <fgColor indexed="31"/>
        <bgColor indexed="8"/>
      </patternFill>
    </fill>
    <fill>
      <patternFill patternType="solid">
        <fgColor indexed="63"/>
        <bgColor indexed="64"/>
      </patternFill>
    </fill>
    <fill>
      <patternFill patternType="solid">
        <fgColor indexed="43"/>
        <bgColor indexed="8"/>
      </patternFill>
    </fill>
    <fill>
      <patternFill patternType="solid">
        <fgColor indexed="62"/>
        <bgColor indexed="64"/>
      </patternFill>
    </fill>
  </fills>
  <borders count="7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/>
      <top style="medium">
        <color indexed="8"/>
      </top>
      <bottom/>
      <diagonal/>
    </border>
    <border>
      <left/>
      <right/>
      <top/>
      <bottom style="medium">
        <color indexed="8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/>
      <top style="thin">
        <color indexed="8"/>
      </top>
      <bottom/>
      <diagonal/>
    </border>
    <border>
      <left/>
      <right style="thin">
        <color indexed="64"/>
      </right>
      <top/>
      <bottom style="medium">
        <color indexed="8"/>
      </bottom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/>
      <top style="thin">
        <color indexed="8"/>
      </top>
      <bottom style="medium">
        <color indexed="8"/>
      </bottom>
      <diagonal/>
    </border>
    <border>
      <left/>
      <right style="thin">
        <color indexed="64"/>
      </right>
      <top style="thin">
        <color indexed="8"/>
      </top>
      <bottom style="medium">
        <color indexed="8"/>
      </bottom>
      <diagonal/>
    </border>
    <border>
      <left style="thin">
        <color indexed="64"/>
      </left>
      <right/>
      <top style="medium">
        <color indexed="8"/>
      </top>
      <bottom/>
      <diagonal/>
    </border>
    <border>
      <left/>
      <right style="thin">
        <color indexed="64"/>
      </right>
      <top style="medium">
        <color indexed="8"/>
      </top>
      <bottom/>
      <diagonal/>
    </border>
    <border>
      <left style="thin">
        <color indexed="64"/>
      </left>
      <right/>
      <top/>
      <bottom style="medium">
        <color indexed="8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thin">
        <color indexed="8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medium">
        <color indexed="39"/>
      </top>
      <bottom/>
      <diagonal/>
    </border>
    <border>
      <left style="medium">
        <color indexed="39"/>
      </left>
      <right/>
      <top style="medium">
        <color indexed="39"/>
      </top>
      <bottom/>
      <diagonal/>
    </border>
  </borders>
  <cellStyleXfs count="2167">
    <xf numFmtId="0" fontId="0" fillId="0" borderId="0"/>
    <xf numFmtId="0" fontId="10" fillId="0" borderId="0" applyFill="0" applyProtection="0"/>
    <xf numFmtId="0" fontId="12" fillId="0" borderId="0"/>
    <xf numFmtId="165" fontId="13" fillId="0" borderId="0" applyFill="0" applyBorder="0" applyProtection="0">
      <alignment horizontal="right"/>
    </xf>
    <xf numFmtId="9" fontId="6" fillId="0" borderId="0" applyFont="0" applyFill="0" applyBorder="0" applyAlignment="0" applyProtection="0"/>
    <xf numFmtId="0" fontId="32" fillId="0" borderId="0"/>
    <xf numFmtId="0" fontId="32" fillId="0" borderId="0"/>
    <xf numFmtId="0" fontId="11" fillId="0" borderId="0"/>
    <xf numFmtId="0" fontId="32" fillId="0" borderId="0"/>
    <xf numFmtId="0" fontId="32" fillId="0" borderId="0"/>
    <xf numFmtId="0" fontId="32" fillId="0" borderId="0"/>
    <xf numFmtId="0" fontId="44" fillId="0" borderId="0"/>
    <xf numFmtId="0" fontId="13" fillId="0" borderId="0"/>
    <xf numFmtId="0" fontId="32" fillId="0" borderId="0"/>
    <xf numFmtId="165" fontId="53" fillId="0" borderId="0" applyFill="0" applyBorder="0" applyProtection="0">
      <alignment horizontal="right"/>
    </xf>
    <xf numFmtId="0" fontId="5" fillId="0" borderId="0"/>
    <xf numFmtId="0" fontId="4" fillId="0" borderId="0"/>
    <xf numFmtId="0" fontId="3" fillId="0" borderId="0"/>
    <xf numFmtId="0" fontId="29" fillId="0" borderId="0" applyNumberFormat="0" applyFill="0" applyBorder="0" applyAlignment="0" applyProtection="0"/>
    <xf numFmtId="43" fontId="6" fillId="0" borderId="0" applyFont="0" applyFill="0" applyBorder="0" applyAlignment="0" applyProtection="0"/>
    <xf numFmtId="0" fontId="48" fillId="0" borderId="0"/>
    <xf numFmtId="0" fontId="61" fillId="0" borderId="0"/>
    <xf numFmtId="0" fontId="32" fillId="0" borderId="0"/>
    <xf numFmtId="0" fontId="2" fillId="0" borderId="0"/>
    <xf numFmtId="0" fontId="68" fillId="0" borderId="0"/>
    <xf numFmtId="0" fontId="52" fillId="0" borderId="0" applyNumberFormat="0" applyFill="0" applyBorder="0" applyAlignment="0" applyProtection="0"/>
    <xf numFmtId="0" fontId="32" fillId="0" borderId="0"/>
    <xf numFmtId="0" fontId="10" fillId="34" borderId="0" applyNumberFormat="0" applyBorder="0" applyAlignment="0" applyProtection="0"/>
    <xf numFmtId="0" fontId="10" fillId="35" borderId="0" applyNumberFormat="0" applyBorder="0" applyAlignment="0" applyProtection="0"/>
    <xf numFmtId="0" fontId="10" fillId="36" borderId="0" applyNumberFormat="0" applyBorder="0" applyAlignment="0" applyProtection="0"/>
    <xf numFmtId="0" fontId="10" fillId="37" borderId="0" applyNumberFormat="0" applyBorder="0" applyAlignment="0" applyProtection="0"/>
    <xf numFmtId="0" fontId="10" fillId="38" borderId="0" applyNumberFormat="0" applyBorder="0" applyAlignment="0" applyProtection="0"/>
    <xf numFmtId="0" fontId="10" fillId="39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9" borderId="0" applyNumberFormat="0" applyBorder="0" applyAlignment="0" applyProtection="0"/>
    <xf numFmtId="0" fontId="10" fillId="39" borderId="0" applyNumberFormat="0" applyBorder="0" applyAlignment="0" applyProtection="0"/>
    <xf numFmtId="0" fontId="111" fillId="34" borderId="0" applyNumberFormat="0" applyBorder="0" applyAlignment="0" applyProtection="0"/>
    <xf numFmtId="0" fontId="111" fillId="34" borderId="0" applyNumberFormat="0" applyBorder="0" applyAlignment="0" applyProtection="0"/>
    <xf numFmtId="0" fontId="10" fillId="34" borderId="0" applyNumberFormat="0" applyBorder="0" applyAlignment="0" applyProtection="0"/>
    <xf numFmtId="0" fontId="111" fillId="34" borderId="0" applyNumberFormat="0" applyBorder="0" applyAlignment="0" applyProtection="0"/>
    <xf numFmtId="0" fontId="10" fillId="34" borderId="0" applyNumberFormat="0" applyBorder="0" applyAlignment="0" applyProtection="0"/>
    <xf numFmtId="0" fontId="111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11" fillId="34" borderId="0" applyNumberFormat="0" applyBorder="0" applyAlignment="0" applyProtection="0"/>
    <xf numFmtId="0" fontId="44" fillId="34" borderId="0" applyNumberFormat="0" applyBorder="0" applyAlignment="0" applyProtection="0"/>
    <xf numFmtId="0" fontId="44" fillId="34" borderId="0" applyNumberFormat="0" applyBorder="0" applyAlignment="0" applyProtection="0"/>
    <xf numFmtId="0" fontId="44" fillId="34" borderId="0" applyNumberFormat="0" applyBorder="0" applyAlignment="0" applyProtection="0"/>
    <xf numFmtId="0" fontId="44" fillId="34" borderId="0" applyNumberFormat="0" applyBorder="0" applyAlignment="0" applyProtection="0"/>
    <xf numFmtId="0" fontId="44" fillId="34" borderId="0" applyNumberFormat="0" applyBorder="0" applyAlignment="0" applyProtection="0"/>
    <xf numFmtId="0" fontId="44" fillId="34" borderId="0" applyNumberFormat="0" applyBorder="0" applyAlignment="0" applyProtection="0"/>
    <xf numFmtId="0" fontId="44" fillId="34" borderId="0" applyNumberFormat="0" applyBorder="0" applyAlignment="0" applyProtection="0"/>
    <xf numFmtId="0" fontId="111" fillId="34" borderId="0" applyNumberFormat="0" applyBorder="0" applyAlignment="0" applyProtection="0"/>
    <xf numFmtId="0" fontId="10" fillId="34" borderId="0" applyNumberFormat="0" applyBorder="0" applyAlignment="0" applyProtection="0"/>
    <xf numFmtId="0" fontId="111" fillId="34" borderId="0" applyNumberFormat="0" applyBorder="0" applyAlignment="0" applyProtection="0"/>
    <xf numFmtId="0" fontId="10" fillId="34" borderId="0" applyNumberFormat="0" applyBorder="0" applyAlignment="0" applyProtection="0"/>
    <xf numFmtId="0" fontId="111" fillId="34" borderId="0" applyNumberFormat="0" applyBorder="0" applyAlignment="0" applyProtection="0"/>
    <xf numFmtId="0" fontId="111" fillId="35" borderId="0" applyNumberFormat="0" applyBorder="0" applyAlignment="0" applyProtection="0"/>
    <xf numFmtId="0" fontId="111" fillId="35" borderId="0" applyNumberFormat="0" applyBorder="0" applyAlignment="0" applyProtection="0"/>
    <xf numFmtId="0" fontId="10" fillId="35" borderId="0" applyNumberFormat="0" applyBorder="0" applyAlignment="0" applyProtection="0"/>
    <xf numFmtId="0" fontId="111" fillId="35" borderId="0" applyNumberFormat="0" applyBorder="0" applyAlignment="0" applyProtection="0"/>
    <xf numFmtId="0" fontId="10" fillId="35" borderId="0" applyNumberFormat="0" applyBorder="0" applyAlignment="0" applyProtection="0"/>
    <xf numFmtId="0" fontId="111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11" fillId="35" borderId="0" applyNumberFormat="0" applyBorder="0" applyAlignment="0" applyProtection="0"/>
    <xf numFmtId="0" fontId="44" fillId="35" borderId="0" applyNumberFormat="0" applyBorder="0" applyAlignment="0" applyProtection="0"/>
    <xf numFmtId="0" fontId="44" fillId="35" borderId="0" applyNumberFormat="0" applyBorder="0" applyAlignment="0" applyProtection="0"/>
    <xf numFmtId="0" fontId="44" fillId="35" borderId="0" applyNumberFormat="0" applyBorder="0" applyAlignment="0" applyProtection="0"/>
    <xf numFmtId="0" fontId="44" fillId="35" borderId="0" applyNumberFormat="0" applyBorder="0" applyAlignment="0" applyProtection="0"/>
    <xf numFmtId="0" fontId="44" fillId="35" borderId="0" applyNumberFormat="0" applyBorder="0" applyAlignment="0" applyProtection="0"/>
    <xf numFmtId="0" fontId="44" fillId="35" borderId="0" applyNumberFormat="0" applyBorder="0" applyAlignment="0" applyProtection="0"/>
    <xf numFmtId="0" fontId="44" fillId="35" borderId="0" applyNumberFormat="0" applyBorder="0" applyAlignment="0" applyProtection="0"/>
    <xf numFmtId="0" fontId="111" fillId="35" borderId="0" applyNumberFormat="0" applyBorder="0" applyAlignment="0" applyProtection="0"/>
    <xf numFmtId="0" fontId="10" fillId="35" borderId="0" applyNumberFormat="0" applyBorder="0" applyAlignment="0" applyProtection="0"/>
    <xf numFmtId="0" fontId="111" fillId="35" borderId="0" applyNumberFormat="0" applyBorder="0" applyAlignment="0" applyProtection="0"/>
    <xf numFmtId="0" fontId="10" fillId="35" borderId="0" applyNumberFormat="0" applyBorder="0" applyAlignment="0" applyProtection="0"/>
    <xf numFmtId="0" fontId="111" fillId="35" borderId="0" applyNumberFormat="0" applyBorder="0" applyAlignment="0" applyProtection="0"/>
    <xf numFmtId="0" fontId="111" fillId="36" borderId="0" applyNumberFormat="0" applyBorder="0" applyAlignment="0" applyProtection="0"/>
    <xf numFmtId="0" fontId="111" fillId="36" borderId="0" applyNumberFormat="0" applyBorder="0" applyAlignment="0" applyProtection="0"/>
    <xf numFmtId="0" fontId="10" fillId="36" borderId="0" applyNumberFormat="0" applyBorder="0" applyAlignment="0" applyProtection="0"/>
    <xf numFmtId="0" fontId="111" fillId="36" borderId="0" applyNumberFormat="0" applyBorder="0" applyAlignment="0" applyProtection="0"/>
    <xf numFmtId="0" fontId="10" fillId="36" borderId="0" applyNumberFormat="0" applyBorder="0" applyAlignment="0" applyProtection="0"/>
    <xf numFmtId="0" fontId="111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11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111" fillId="36" borderId="0" applyNumberFormat="0" applyBorder="0" applyAlignment="0" applyProtection="0"/>
    <xf numFmtId="0" fontId="10" fillId="36" borderId="0" applyNumberFormat="0" applyBorder="0" applyAlignment="0" applyProtection="0"/>
    <xf numFmtId="0" fontId="111" fillId="36" borderId="0" applyNumberFormat="0" applyBorder="0" applyAlignment="0" applyProtection="0"/>
    <xf numFmtId="0" fontId="10" fillId="36" borderId="0" applyNumberFormat="0" applyBorder="0" applyAlignment="0" applyProtection="0"/>
    <xf numFmtId="0" fontId="111" fillId="36" borderId="0" applyNumberFormat="0" applyBorder="0" applyAlignment="0" applyProtection="0"/>
    <xf numFmtId="0" fontId="111" fillId="37" borderId="0" applyNumberFormat="0" applyBorder="0" applyAlignment="0" applyProtection="0"/>
    <xf numFmtId="0" fontId="111" fillId="37" borderId="0" applyNumberFormat="0" applyBorder="0" applyAlignment="0" applyProtection="0"/>
    <xf numFmtId="0" fontId="10" fillId="37" borderId="0" applyNumberFormat="0" applyBorder="0" applyAlignment="0" applyProtection="0"/>
    <xf numFmtId="0" fontId="111" fillId="37" borderId="0" applyNumberFormat="0" applyBorder="0" applyAlignment="0" applyProtection="0"/>
    <xf numFmtId="0" fontId="10" fillId="37" borderId="0" applyNumberFormat="0" applyBorder="0" applyAlignment="0" applyProtection="0"/>
    <xf numFmtId="0" fontId="111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11" fillId="37" borderId="0" applyNumberFormat="0" applyBorder="0" applyAlignment="0" applyProtection="0"/>
    <xf numFmtId="0" fontId="44" fillId="37" borderId="0" applyNumberFormat="0" applyBorder="0" applyAlignment="0" applyProtection="0"/>
    <xf numFmtId="0" fontId="44" fillId="37" borderId="0" applyNumberFormat="0" applyBorder="0" applyAlignment="0" applyProtection="0"/>
    <xf numFmtId="0" fontId="44" fillId="37" borderId="0" applyNumberFormat="0" applyBorder="0" applyAlignment="0" applyProtection="0"/>
    <xf numFmtId="0" fontId="44" fillId="37" borderId="0" applyNumberFormat="0" applyBorder="0" applyAlignment="0" applyProtection="0"/>
    <xf numFmtId="0" fontId="44" fillId="37" borderId="0" applyNumberFormat="0" applyBorder="0" applyAlignment="0" applyProtection="0"/>
    <xf numFmtId="0" fontId="44" fillId="37" borderId="0" applyNumberFormat="0" applyBorder="0" applyAlignment="0" applyProtection="0"/>
    <xf numFmtId="0" fontId="44" fillId="37" borderId="0" applyNumberFormat="0" applyBorder="0" applyAlignment="0" applyProtection="0"/>
    <xf numFmtId="0" fontId="111" fillId="37" borderId="0" applyNumberFormat="0" applyBorder="0" applyAlignment="0" applyProtection="0"/>
    <xf numFmtId="0" fontId="10" fillId="37" borderId="0" applyNumberFormat="0" applyBorder="0" applyAlignment="0" applyProtection="0"/>
    <xf numFmtId="0" fontId="111" fillId="37" borderId="0" applyNumberFormat="0" applyBorder="0" applyAlignment="0" applyProtection="0"/>
    <xf numFmtId="0" fontId="10" fillId="37" borderId="0" applyNumberFormat="0" applyBorder="0" applyAlignment="0" applyProtection="0"/>
    <xf numFmtId="0" fontId="111" fillId="37" borderId="0" applyNumberFormat="0" applyBorder="0" applyAlignment="0" applyProtection="0"/>
    <xf numFmtId="0" fontId="111" fillId="38" borderId="0" applyNumberFormat="0" applyBorder="0" applyAlignment="0" applyProtection="0"/>
    <xf numFmtId="0" fontId="111" fillId="38" borderId="0" applyNumberFormat="0" applyBorder="0" applyAlignment="0" applyProtection="0"/>
    <xf numFmtId="0" fontId="10" fillId="38" borderId="0" applyNumberFormat="0" applyBorder="0" applyAlignment="0" applyProtection="0"/>
    <xf numFmtId="0" fontId="111" fillId="38" borderId="0" applyNumberFormat="0" applyBorder="0" applyAlignment="0" applyProtection="0"/>
    <xf numFmtId="0" fontId="10" fillId="38" borderId="0" applyNumberFormat="0" applyBorder="0" applyAlignment="0" applyProtection="0"/>
    <xf numFmtId="0" fontId="111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11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111" fillId="38" borderId="0" applyNumberFormat="0" applyBorder="0" applyAlignment="0" applyProtection="0"/>
    <xf numFmtId="0" fontId="10" fillId="38" borderId="0" applyNumberFormat="0" applyBorder="0" applyAlignment="0" applyProtection="0"/>
    <xf numFmtId="0" fontId="111" fillId="38" borderId="0" applyNumberFormat="0" applyBorder="0" applyAlignment="0" applyProtection="0"/>
    <xf numFmtId="0" fontId="10" fillId="38" borderId="0" applyNumberFormat="0" applyBorder="0" applyAlignment="0" applyProtection="0"/>
    <xf numFmtId="0" fontId="111" fillId="38" borderId="0" applyNumberFormat="0" applyBorder="0" applyAlignment="0" applyProtection="0"/>
    <xf numFmtId="0" fontId="111" fillId="39" borderId="0" applyNumberFormat="0" applyBorder="0" applyAlignment="0" applyProtection="0"/>
    <xf numFmtId="0" fontId="111" fillId="39" borderId="0" applyNumberFormat="0" applyBorder="0" applyAlignment="0" applyProtection="0"/>
    <xf numFmtId="0" fontId="10" fillId="39" borderId="0" applyNumberFormat="0" applyBorder="0" applyAlignment="0" applyProtection="0"/>
    <xf numFmtId="0" fontId="111" fillId="39" borderId="0" applyNumberFormat="0" applyBorder="0" applyAlignment="0" applyProtection="0"/>
    <xf numFmtId="0" fontId="10" fillId="39" borderId="0" applyNumberFormat="0" applyBorder="0" applyAlignment="0" applyProtection="0"/>
    <xf numFmtId="0" fontId="111" fillId="39" borderId="0" applyNumberFormat="0" applyBorder="0" applyAlignment="0" applyProtection="0"/>
    <xf numFmtId="0" fontId="10" fillId="39" borderId="0" applyNumberFormat="0" applyBorder="0" applyAlignment="0" applyProtection="0"/>
    <xf numFmtId="0" fontId="10" fillId="39" borderId="0" applyNumberFormat="0" applyBorder="0" applyAlignment="0" applyProtection="0"/>
    <xf numFmtId="0" fontId="10" fillId="39" borderId="0" applyNumberFormat="0" applyBorder="0" applyAlignment="0" applyProtection="0"/>
    <xf numFmtId="0" fontId="10" fillId="39" borderId="0" applyNumberFormat="0" applyBorder="0" applyAlignment="0" applyProtection="0"/>
    <xf numFmtId="0" fontId="111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111" fillId="39" borderId="0" applyNumberFormat="0" applyBorder="0" applyAlignment="0" applyProtection="0"/>
    <xf numFmtId="0" fontId="10" fillId="39" borderId="0" applyNumberFormat="0" applyBorder="0" applyAlignment="0" applyProtection="0"/>
    <xf numFmtId="0" fontId="111" fillId="39" borderId="0" applyNumberFormat="0" applyBorder="0" applyAlignment="0" applyProtection="0"/>
    <xf numFmtId="0" fontId="10" fillId="39" borderId="0" applyNumberFormat="0" applyBorder="0" applyAlignment="0" applyProtection="0"/>
    <xf numFmtId="0" fontId="111" fillId="39" borderId="0" applyNumberFormat="0" applyBorder="0" applyAlignment="0" applyProtection="0"/>
    <xf numFmtId="0" fontId="11" fillId="0" borderId="0" applyNumberFormat="0" applyFont="0" applyFill="0" applyBorder="0" applyProtection="0">
      <alignment horizontal="left" vertical="center" indent="2"/>
    </xf>
    <xf numFmtId="0" fontId="11" fillId="0" borderId="0" applyNumberFormat="0" applyFont="0" applyFill="0" applyBorder="0" applyProtection="0">
      <alignment horizontal="left" vertical="center" indent="2"/>
    </xf>
    <xf numFmtId="0" fontId="10" fillId="40" borderId="0" applyNumberFormat="0" applyBorder="0" applyAlignment="0" applyProtection="0"/>
    <xf numFmtId="0" fontId="10" fillId="41" borderId="0" applyNumberFormat="0" applyBorder="0" applyAlignment="0" applyProtection="0"/>
    <xf numFmtId="0" fontId="10" fillId="42" borderId="0" applyNumberFormat="0" applyBorder="0" applyAlignment="0" applyProtection="0"/>
    <xf numFmtId="0" fontId="10" fillId="37" borderId="0" applyNumberFormat="0" applyBorder="0" applyAlignment="0" applyProtection="0"/>
    <xf numFmtId="0" fontId="10" fillId="40" borderId="0" applyNumberFormat="0" applyBorder="0" applyAlignment="0" applyProtection="0"/>
    <xf numFmtId="0" fontId="10" fillId="43" borderId="0" applyNumberFormat="0" applyBorder="0" applyAlignment="0" applyProtection="0"/>
    <xf numFmtId="0" fontId="10" fillId="40" borderId="0" applyNumberFormat="0" applyBorder="0" applyAlignment="0" applyProtection="0"/>
    <xf numFmtId="0" fontId="10" fillId="40" borderId="0" applyNumberFormat="0" applyBorder="0" applyAlignment="0" applyProtection="0"/>
    <xf numFmtId="0" fontId="10" fillId="41" borderId="0" applyNumberFormat="0" applyBorder="0" applyAlignment="0" applyProtection="0"/>
    <xf numFmtId="0" fontId="10" fillId="41" borderId="0" applyNumberFormat="0" applyBorder="0" applyAlignment="0" applyProtection="0"/>
    <xf numFmtId="0" fontId="10" fillId="42" borderId="0" applyNumberFormat="0" applyBorder="0" applyAlignment="0" applyProtection="0"/>
    <xf numFmtId="0" fontId="10" fillId="42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40" borderId="0" applyNumberFormat="0" applyBorder="0" applyAlignment="0" applyProtection="0"/>
    <xf numFmtId="0" fontId="10" fillId="40" borderId="0" applyNumberFormat="0" applyBorder="0" applyAlignment="0" applyProtection="0"/>
    <xf numFmtId="0" fontId="10" fillId="43" borderId="0" applyNumberFormat="0" applyBorder="0" applyAlignment="0" applyProtection="0"/>
    <xf numFmtId="0" fontId="10" fillId="43" borderId="0" applyNumberFormat="0" applyBorder="0" applyAlignment="0" applyProtection="0"/>
    <xf numFmtId="0" fontId="111" fillId="40" borderId="0" applyNumberFormat="0" applyBorder="0" applyAlignment="0" applyProtection="0"/>
    <xf numFmtId="0" fontId="111" fillId="40" borderId="0" applyNumberFormat="0" applyBorder="0" applyAlignment="0" applyProtection="0"/>
    <xf numFmtId="0" fontId="10" fillId="40" borderId="0" applyNumberFormat="0" applyBorder="0" applyAlignment="0" applyProtection="0"/>
    <xf numFmtId="0" fontId="111" fillId="40" borderId="0" applyNumberFormat="0" applyBorder="0" applyAlignment="0" applyProtection="0"/>
    <xf numFmtId="0" fontId="10" fillId="40" borderId="0" applyNumberFormat="0" applyBorder="0" applyAlignment="0" applyProtection="0"/>
    <xf numFmtId="0" fontId="111" fillId="40" borderId="0" applyNumberFormat="0" applyBorder="0" applyAlignment="0" applyProtection="0"/>
    <xf numFmtId="0" fontId="10" fillId="40" borderId="0" applyNumberFormat="0" applyBorder="0" applyAlignment="0" applyProtection="0"/>
    <xf numFmtId="0" fontId="10" fillId="40" borderId="0" applyNumberFormat="0" applyBorder="0" applyAlignment="0" applyProtection="0"/>
    <xf numFmtId="0" fontId="10" fillId="40" borderId="0" applyNumberFormat="0" applyBorder="0" applyAlignment="0" applyProtection="0"/>
    <xf numFmtId="0" fontId="10" fillId="40" borderId="0" applyNumberFormat="0" applyBorder="0" applyAlignment="0" applyProtection="0"/>
    <xf numFmtId="0" fontId="111" fillId="40" borderId="0" applyNumberFormat="0" applyBorder="0" applyAlignment="0" applyProtection="0"/>
    <xf numFmtId="0" fontId="44" fillId="40" borderId="0" applyNumberFormat="0" applyBorder="0" applyAlignment="0" applyProtection="0"/>
    <xf numFmtId="0" fontId="44" fillId="40" borderId="0" applyNumberFormat="0" applyBorder="0" applyAlignment="0" applyProtection="0"/>
    <xf numFmtId="0" fontId="44" fillId="40" borderId="0" applyNumberFormat="0" applyBorder="0" applyAlignment="0" applyProtection="0"/>
    <xf numFmtId="0" fontId="44" fillId="40" borderId="0" applyNumberFormat="0" applyBorder="0" applyAlignment="0" applyProtection="0"/>
    <xf numFmtId="0" fontId="44" fillId="40" borderId="0" applyNumberFormat="0" applyBorder="0" applyAlignment="0" applyProtection="0"/>
    <xf numFmtId="0" fontId="44" fillId="40" borderId="0" applyNumberFormat="0" applyBorder="0" applyAlignment="0" applyProtection="0"/>
    <xf numFmtId="0" fontId="44" fillId="40" borderId="0" applyNumberFormat="0" applyBorder="0" applyAlignment="0" applyProtection="0"/>
    <xf numFmtId="0" fontId="111" fillId="40" borderId="0" applyNumberFormat="0" applyBorder="0" applyAlignment="0" applyProtection="0"/>
    <xf numFmtId="0" fontId="10" fillId="40" borderId="0" applyNumberFormat="0" applyBorder="0" applyAlignment="0" applyProtection="0"/>
    <xf numFmtId="0" fontId="111" fillId="40" borderId="0" applyNumberFormat="0" applyBorder="0" applyAlignment="0" applyProtection="0"/>
    <xf numFmtId="0" fontId="10" fillId="40" borderId="0" applyNumberFormat="0" applyBorder="0" applyAlignment="0" applyProtection="0"/>
    <xf numFmtId="0" fontId="111" fillId="40" borderId="0" applyNumberFormat="0" applyBorder="0" applyAlignment="0" applyProtection="0"/>
    <xf numFmtId="0" fontId="111" fillId="41" borderId="0" applyNumberFormat="0" applyBorder="0" applyAlignment="0" applyProtection="0"/>
    <xf numFmtId="0" fontId="111" fillId="41" borderId="0" applyNumberFormat="0" applyBorder="0" applyAlignment="0" applyProtection="0"/>
    <xf numFmtId="0" fontId="10" fillId="41" borderId="0" applyNumberFormat="0" applyBorder="0" applyAlignment="0" applyProtection="0"/>
    <xf numFmtId="0" fontId="111" fillId="41" borderId="0" applyNumberFormat="0" applyBorder="0" applyAlignment="0" applyProtection="0"/>
    <xf numFmtId="0" fontId="10" fillId="41" borderId="0" applyNumberFormat="0" applyBorder="0" applyAlignment="0" applyProtection="0"/>
    <xf numFmtId="0" fontId="111" fillId="41" borderId="0" applyNumberFormat="0" applyBorder="0" applyAlignment="0" applyProtection="0"/>
    <xf numFmtId="0" fontId="10" fillId="41" borderId="0" applyNumberFormat="0" applyBorder="0" applyAlignment="0" applyProtection="0"/>
    <xf numFmtId="0" fontId="10" fillId="41" borderId="0" applyNumberFormat="0" applyBorder="0" applyAlignment="0" applyProtection="0"/>
    <xf numFmtId="0" fontId="10" fillId="41" borderId="0" applyNumberFormat="0" applyBorder="0" applyAlignment="0" applyProtection="0"/>
    <xf numFmtId="0" fontId="10" fillId="41" borderId="0" applyNumberFormat="0" applyBorder="0" applyAlignment="0" applyProtection="0"/>
    <xf numFmtId="0" fontId="111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111" fillId="41" borderId="0" applyNumberFormat="0" applyBorder="0" applyAlignment="0" applyProtection="0"/>
    <xf numFmtId="0" fontId="10" fillId="41" borderId="0" applyNumberFormat="0" applyBorder="0" applyAlignment="0" applyProtection="0"/>
    <xf numFmtId="0" fontId="111" fillId="41" borderId="0" applyNumberFormat="0" applyBorder="0" applyAlignment="0" applyProtection="0"/>
    <xf numFmtId="0" fontId="10" fillId="41" borderId="0" applyNumberFormat="0" applyBorder="0" applyAlignment="0" applyProtection="0"/>
    <xf numFmtId="0" fontId="111" fillId="41" borderId="0" applyNumberFormat="0" applyBorder="0" applyAlignment="0" applyProtection="0"/>
    <xf numFmtId="0" fontId="111" fillId="42" borderId="0" applyNumberFormat="0" applyBorder="0" applyAlignment="0" applyProtection="0"/>
    <xf numFmtId="0" fontId="111" fillId="42" borderId="0" applyNumberFormat="0" applyBorder="0" applyAlignment="0" applyProtection="0"/>
    <xf numFmtId="0" fontId="10" fillId="42" borderId="0" applyNumberFormat="0" applyBorder="0" applyAlignment="0" applyProtection="0"/>
    <xf numFmtId="0" fontId="111" fillId="42" borderId="0" applyNumberFormat="0" applyBorder="0" applyAlignment="0" applyProtection="0"/>
    <xf numFmtId="0" fontId="10" fillId="42" borderId="0" applyNumberFormat="0" applyBorder="0" applyAlignment="0" applyProtection="0"/>
    <xf numFmtId="0" fontId="111" fillId="42" borderId="0" applyNumberFormat="0" applyBorder="0" applyAlignment="0" applyProtection="0"/>
    <xf numFmtId="0" fontId="10" fillId="42" borderId="0" applyNumberFormat="0" applyBorder="0" applyAlignment="0" applyProtection="0"/>
    <xf numFmtId="0" fontId="10" fillId="42" borderId="0" applyNumberFormat="0" applyBorder="0" applyAlignment="0" applyProtection="0"/>
    <xf numFmtId="0" fontId="10" fillId="42" borderId="0" applyNumberFormat="0" applyBorder="0" applyAlignment="0" applyProtection="0"/>
    <xf numFmtId="0" fontId="10" fillId="42" borderId="0" applyNumberFormat="0" applyBorder="0" applyAlignment="0" applyProtection="0"/>
    <xf numFmtId="0" fontId="111" fillId="42" borderId="0" applyNumberFormat="0" applyBorder="0" applyAlignment="0" applyProtection="0"/>
    <xf numFmtId="0" fontId="44" fillId="42" borderId="0" applyNumberFormat="0" applyBorder="0" applyAlignment="0" applyProtection="0"/>
    <xf numFmtId="0" fontId="44" fillId="42" borderId="0" applyNumberFormat="0" applyBorder="0" applyAlignment="0" applyProtection="0"/>
    <xf numFmtId="0" fontId="44" fillId="42" borderId="0" applyNumberFormat="0" applyBorder="0" applyAlignment="0" applyProtection="0"/>
    <xf numFmtId="0" fontId="44" fillId="42" borderId="0" applyNumberFormat="0" applyBorder="0" applyAlignment="0" applyProtection="0"/>
    <xf numFmtId="0" fontId="44" fillId="42" borderId="0" applyNumberFormat="0" applyBorder="0" applyAlignment="0" applyProtection="0"/>
    <xf numFmtId="0" fontId="44" fillId="42" borderId="0" applyNumberFormat="0" applyBorder="0" applyAlignment="0" applyProtection="0"/>
    <xf numFmtId="0" fontId="44" fillId="42" borderId="0" applyNumberFormat="0" applyBorder="0" applyAlignment="0" applyProtection="0"/>
    <xf numFmtId="0" fontId="111" fillId="42" borderId="0" applyNumberFormat="0" applyBorder="0" applyAlignment="0" applyProtection="0"/>
    <xf numFmtId="0" fontId="10" fillId="42" borderId="0" applyNumberFormat="0" applyBorder="0" applyAlignment="0" applyProtection="0"/>
    <xf numFmtId="0" fontId="111" fillId="42" borderId="0" applyNumberFormat="0" applyBorder="0" applyAlignment="0" applyProtection="0"/>
    <xf numFmtId="0" fontId="10" fillId="42" borderId="0" applyNumberFormat="0" applyBorder="0" applyAlignment="0" applyProtection="0"/>
    <xf numFmtId="0" fontId="111" fillId="42" borderId="0" applyNumberFormat="0" applyBorder="0" applyAlignment="0" applyProtection="0"/>
    <xf numFmtId="0" fontId="111" fillId="37" borderId="0" applyNumberFormat="0" applyBorder="0" applyAlignment="0" applyProtection="0"/>
    <xf numFmtId="0" fontId="111" fillId="37" borderId="0" applyNumberFormat="0" applyBorder="0" applyAlignment="0" applyProtection="0"/>
    <xf numFmtId="0" fontId="10" fillId="37" borderId="0" applyNumberFormat="0" applyBorder="0" applyAlignment="0" applyProtection="0"/>
    <xf numFmtId="0" fontId="111" fillId="37" borderId="0" applyNumberFormat="0" applyBorder="0" applyAlignment="0" applyProtection="0"/>
    <xf numFmtId="0" fontId="10" fillId="37" borderId="0" applyNumberFormat="0" applyBorder="0" applyAlignment="0" applyProtection="0"/>
    <xf numFmtId="0" fontId="111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11" fillId="37" borderId="0" applyNumberFormat="0" applyBorder="0" applyAlignment="0" applyProtection="0"/>
    <xf numFmtId="0" fontId="44" fillId="37" borderId="0" applyNumberFormat="0" applyBorder="0" applyAlignment="0" applyProtection="0"/>
    <xf numFmtId="0" fontId="44" fillId="37" borderId="0" applyNumberFormat="0" applyBorder="0" applyAlignment="0" applyProtection="0"/>
    <xf numFmtId="0" fontId="44" fillId="37" borderId="0" applyNumberFormat="0" applyBorder="0" applyAlignment="0" applyProtection="0"/>
    <xf numFmtId="0" fontId="44" fillId="37" borderId="0" applyNumberFormat="0" applyBorder="0" applyAlignment="0" applyProtection="0"/>
    <xf numFmtId="0" fontId="44" fillId="37" borderId="0" applyNumberFormat="0" applyBorder="0" applyAlignment="0" applyProtection="0"/>
    <xf numFmtId="0" fontId="44" fillId="37" borderId="0" applyNumberFormat="0" applyBorder="0" applyAlignment="0" applyProtection="0"/>
    <xf numFmtId="0" fontId="44" fillId="37" borderId="0" applyNumberFormat="0" applyBorder="0" applyAlignment="0" applyProtection="0"/>
    <xf numFmtId="0" fontId="111" fillId="37" borderId="0" applyNumberFormat="0" applyBorder="0" applyAlignment="0" applyProtection="0"/>
    <xf numFmtId="0" fontId="10" fillId="37" borderId="0" applyNumberFormat="0" applyBorder="0" applyAlignment="0" applyProtection="0"/>
    <xf numFmtId="0" fontId="111" fillId="37" borderId="0" applyNumberFormat="0" applyBorder="0" applyAlignment="0" applyProtection="0"/>
    <xf numFmtId="0" fontId="10" fillId="37" borderId="0" applyNumberFormat="0" applyBorder="0" applyAlignment="0" applyProtection="0"/>
    <xf numFmtId="0" fontId="111" fillId="37" borderId="0" applyNumberFormat="0" applyBorder="0" applyAlignment="0" applyProtection="0"/>
    <xf numFmtId="0" fontId="111" fillId="40" borderId="0" applyNumberFormat="0" applyBorder="0" applyAlignment="0" applyProtection="0"/>
    <xf numFmtId="0" fontId="111" fillId="40" borderId="0" applyNumberFormat="0" applyBorder="0" applyAlignment="0" applyProtection="0"/>
    <xf numFmtId="0" fontId="10" fillId="40" borderId="0" applyNumberFormat="0" applyBorder="0" applyAlignment="0" applyProtection="0"/>
    <xf numFmtId="0" fontId="111" fillId="40" borderId="0" applyNumberFormat="0" applyBorder="0" applyAlignment="0" applyProtection="0"/>
    <xf numFmtId="0" fontId="10" fillId="40" borderId="0" applyNumberFormat="0" applyBorder="0" applyAlignment="0" applyProtection="0"/>
    <xf numFmtId="0" fontId="111" fillId="40" borderId="0" applyNumberFormat="0" applyBorder="0" applyAlignment="0" applyProtection="0"/>
    <xf numFmtId="0" fontId="10" fillId="40" borderId="0" applyNumberFormat="0" applyBorder="0" applyAlignment="0" applyProtection="0"/>
    <xf numFmtId="0" fontId="10" fillId="40" borderId="0" applyNumberFormat="0" applyBorder="0" applyAlignment="0" applyProtection="0"/>
    <xf numFmtId="0" fontId="10" fillId="40" borderId="0" applyNumberFormat="0" applyBorder="0" applyAlignment="0" applyProtection="0"/>
    <xf numFmtId="0" fontId="10" fillId="40" borderId="0" applyNumberFormat="0" applyBorder="0" applyAlignment="0" applyProtection="0"/>
    <xf numFmtId="0" fontId="111" fillId="40" borderId="0" applyNumberFormat="0" applyBorder="0" applyAlignment="0" applyProtection="0"/>
    <xf numFmtId="0" fontId="44" fillId="40" borderId="0" applyNumberFormat="0" applyBorder="0" applyAlignment="0" applyProtection="0"/>
    <xf numFmtId="0" fontId="44" fillId="40" borderId="0" applyNumberFormat="0" applyBorder="0" applyAlignment="0" applyProtection="0"/>
    <xf numFmtId="0" fontId="44" fillId="40" borderId="0" applyNumberFormat="0" applyBorder="0" applyAlignment="0" applyProtection="0"/>
    <xf numFmtId="0" fontId="44" fillId="40" borderId="0" applyNumberFormat="0" applyBorder="0" applyAlignment="0" applyProtection="0"/>
    <xf numFmtId="0" fontId="44" fillId="40" borderId="0" applyNumberFormat="0" applyBorder="0" applyAlignment="0" applyProtection="0"/>
    <xf numFmtId="0" fontId="44" fillId="40" borderId="0" applyNumberFormat="0" applyBorder="0" applyAlignment="0" applyProtection="0"/>
    <xf numFmtId="0" fontId="44" fillId="40" borderId="0" applyNumberFormat="0" applyBorder="0" applyAlignment="0" applyProtection="0"/>
    <xf numFmtId="0" fontId="111" fillId="40" borderId="0" applyNumberFormat="0" applyBorder="0" applyAlignment="0" applyProtection="0"/>
    <xf numFmtId="0" fontId="10" fillId="40" borderId="0" applyNumberFormat="0" applyBorder="0" applyAlignment="0" applyProtection="0"/>
    <xf numFmtId="0" fontId="111" fillId="40" borderId="0" applyNumberFormat="0" applyBorder="0" applyAlignment="0" applyProtection="0"/>
    <xf numFmtId="0" fontId="10" fillId="40" borderId="0" applyNumberFormat="0" applyBorder="0" applyAlignment="0" applyProtection="0"/>
    <xf numFmtId="0" fontId="111" fillId="40" borderId="0" applyNumberFormat="0" applyBorder="0" applyAlignment="0" applyProtection="0"/>
    <xf numFmtId="0" fontId="111" fillId="43" borderId="0" applyNumberFormat="0" applyBorder="0" applyAlignment="0" applyProtection="0"/>
    <xf numFmtId="0" fontId="111" fillId="43" borderId="0" applyNumberFormat="0" applyBorder="0" applyAlignment="0" applyProtection="0"/>
    <xf numFmtId="0" fontId="10" fillId="43" borderId="0" applyNumberFormat="0" applyBorder="0" applyAlignment="0" applyProtection="0"/>
    <xf numFmtId="0" fontId="111" fillId="43" borderId="0" applyNumberFormat="0" applyBorder="0" applyAlignment="0" applyProtection="0"/>
    <xf numFmtId="0" fontId="10" fillId="43" borderId="0" applyNumberFormat="0" applyBorder="0" applyAlignment="0" applyProtection="0"/>
    <xf numFmtId="0" fontId="111" fillId="43" borderId="0" applyNumberFormat="0" applyBorder="0" applyAlignment="0" applyProtection="0"/>
    <xf numFmtId="0" fontId="10" fillId="43" borderId="0" applyNumberFormat="0" applyBorder="0" applyAlignment="0" applyProtection="0"/>
    <xf numFmtId="0" fontId="10" fillId="43" borderId="0" applyNumberFormat="0" applyBorder="0" applyAlignment="0" applyProtection="0"/>
    <xf numFmtId="0" fontId="10" fillId="43" borderId="0" applyNumberFormat="0" applyBorder="0" applyAlignment="0" applyProtection="0"/>
    <xf numFmtId="0" fontId="10" fillId="43" borderId="0" applyNumberFormat="0" applyBorder="0" applyAlignment="0" applyProtection="0"/>
    <xf numFmtId="0" fontId="111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111" fillId="43" borderId="0" applyNumberFormat="0" applyBorder="0" applyAlignment="0" applyProtection="0"/>
    <xf numFmtId="0" fontId="10" fillId="43" borderId="0" applyNumberFormat="0" applyBorder="0" applyAlignment="0" applyProtection="0"/>
    <xf numFmtId="0" fontId="111" fillId="43" borderId="0" applyNumberFormat="0" applyBorder="0" applyAlignment="0" applyProtection="0"/>
    <xf numFmtId="0" fontId="10" fillId="43" borderId="0" applyNumberFormat="0" applyBorder="0" applyAlignment="0" applyProtection="0"/>
    <xf numFmtId="0" fontId="111" fillId="43" borderId="0" applyNumberFormat="0" applyBorder="0" applyAlignment="0" applyProtection="0"/>
    <xf numFmtId="0" fontId="11" fillId="0" borderId="0" applyNumberFormat="0" applyFont="0" applyFill="0" applyBorder="0" applyProtection="0">
      <alignment horizontal="left" vertical="center" indent="5"/>
    </xf>
    <xf numFmtId="0" fontId="11" fillId="0" borderId="0" applyNumberFormat="0" applyFont="0" applyFill="0" applyBorder="0" applyProtection="0">
      <alignment horizontal="left" vertical="center" indent="5"/>
    </xf>
    <xf numFmtId="0" fontId="110" fillId="44" borderId="0" applyNumberFormat="0" applyBorder="0" applyAlignment="0" applyProtection="0"/>
    <xf numFmtId="0" fontId="110" fillId="41" borderId="0" applyNumberFormat="0" applyBorder="0" applyAlignment="0" applyProtection="0"/>
    <xf numFmtId="0" fontId="110" fillId="42" borderId="0" applyNumberFormat="0" applyBorder="0" applyAlignment="0" applyProtection="0"/>
    <xf numFmtId="0" fontId="110" fillId="45" borderId="0" applyNumberFormat="0" applyBorder="0" applyAlignment="0" applyProtection="0"/>
    <xf numFmtId="0" fontId="110" fillId="46" borderId="0" applyNumberFormat="0" applyBorder="0" applyAlignment="0" applyProtection="0"/>
    <xf numFmtId="0" fontId="110" fillId="47" borderId="0" applyNumberFormat="0" applyBorder="0" applyAlignment="0" applyProtection="0"/>
    <xf numFmtId="0" fontId="110" fillId="44" borderId="0" applyNumberFormat="0" applyBorder="0" applyAlignment="0" applyProtection="0"/>
    <xf numFmtId="0" fontId="110" fillId="44" borderId="0" applyNumberFormat="0" applyBorder="0" applyAlignment="0" applyProtection="0"/>
    <xf numFmtId="0" fontId="110" fillId="41" borderId="0" applyNumberFormat="0" applyBorder="0" applyAlignment="0" applyProtection="0"/>
    <xf numFmtId="0" fontId="110" fillId="41" borderId="0" applyNumberFormat="0" applyBorder="0" applyAlignment="0" applyProtection="0"/>
    <xf numFmtId="0" fontId="110" fillId="42" borderId="0" applyNumberFormat="0" applyBorder="0" applyAlignment="0" applyProtection="0"/>
    <xf numFmtId="0" fontId="110" fillId="42" borderId="0" applyNumberFormat="0" applyBorder="0" applyAlignment="0" applyProtection="0"/>
    <xf numFmtId="0" fontId="110" fillId="45" borderId="0" applyNumberFormat="0" applyBorder="0" applyAlignment="0" applyProtection="0"/>
    <xf numFmtId="0" fontId="110" fillId="45" borderId="0" applyNumberFormat="0" applyBorder="0" applyAlignment="0" applyProtection="0"/>
    <xf numFmtId="0" fontId="110" fillId="46" borderId="0" applyNumberFormat="0" applyBorder="0" applyAlignment="0" applyProtection="0"/>
    <xf numFmtId="0" fontId="110" fillId="46" borderId="0" applyNumberFormat="0" applyBorder="0" applyAlignment="0" applyProtection="0"/>
    <xf numFmtId="0" fontId="110" fillId="47" borderId="0" applyNumberFormat="0" applyBorder="0" applyAlignment="0" applyProtection="0"/>
    <xf numFmtId="0" fontId="110" fillId="47" borderId="0" applyNumberFormat="0" applyBorder="0" applyAlignment="0" applyProtection="0"/>
    <xf numFmtId="0" fontId="112" fillId="44" borderId="0" applyNumberFormat="0" applyBorder="0" applyAlignment="0" applyProtection="0"/>
    <xf numFmtId="0" fontId="112" fillId="44" borderId="0" applyNumberFormat="0" applyBorder="0" applyAlignment="0" applyProtection="0"/>
    <xf numFmtId="0" fontId="110" fillId="44" borderId="0" applyNumberFormat="0" applyBorder="0" applyAlignment="0" applyProtection="0"/>
    <xf numFmtId="0" fontId="112" fillId="44" borderId="0" applyNumberFormat="0" applyBorder="0" applyAlignment="0" applyProtection="0"/>
    <xf numFmtId="0" fontId="110" fillId="44" borderId="0" applyNumberFormat="0" applyBorder="0" applyAlignment="0" applyProtection="0"/>
    <xf numFmtId="0" fontId="112" fillId="44" borderId="0" applyNumberFormat="0" applyBorder="0" applyAlignment="0" applyProtection="0"/>
    <xf numFmtId="0" fontId="110" fillId="44" borderId="0" applyNumberFormat="0" applyBorder="0" applyAlignment="0" applyProtection="0"/>
    <xf numFmtId="0" fontId="110" fillId="44" borderId="0" applyNumberFormat="0" applyBorder="0" applyAlignment="0" applyProtection="0"/>
    <xf numFmtId="0" fontId="110" fillId="44" borderId="0" applyNumberFormat="0" applyBorder="0" applyAlignment="0" applyProtection="0"/>
    <xf numFmtId="0" fontId="110" fillId="44" borderId="0" applyNumberFormat="0" applyBorder="0" applyAlignment="0" applyProtection="0"/>
    <xf numFmtId="0" fontId="112" fillId="44" borderId="0" applyNumberFormat="0" applyBorder="0" applyAlignment="0" applyProtection="0"/>
    <xf numFmtId="0" fontId="113" fillId="44" borderId="0" applyNumberFormat="0" applyBorder="0" applyAlignment="0" applyProtection="0"/>
    <xf numFmtId="0" fontId="113" fillId="44" borderId="0" applyNumberFormat="0" applyBorder="0" applyAlignment="0" applyProtection="0"/>
    <xf numFmtId="0" fontId="113" fillId="44" borderId="0" applyNumberFormat="0" applyBorder="0" applyAlignment="0" applyProtection="0"/>
    <xf numFmtId="0" fontId="113" fillId="44" borderId="0" applyNumberFormat="0" applyBorder="0" applyAlignment="0" applyProtection="0"/>
    <xf numFmtId="0" fontId="113" fillId="44" borderId="0" applyNumberFormat="0" applyBorder="0" applyAlignment="0" applyProtection="0"/>
    <xf numFmtId="0" fontId="113" fillId="44" borderId="0" applyNumberFormat="0" applyBorder="0" applyAlignment="0" applyProtection="0"/>
    <xf numFmtId="0" fontId="113" fillId="44" borderId="0" applyNumberFormat="0" applyBorder="0" applyAlignment="0" applyProtection="0"/>
    <xf numFmtId="0" fontId="112" fillId="44" borderId="0" applyNumberFormat="0" applyBorder="0" applyAlignment="0" applyProtection="0"/>
    <xf numFmtId="0" fontId="110" fillId="44" borderId="0" applyNumberFormat="0" applyBorder="0" applyAlignment="0" applyProtection="0"/>
    <xf numFmtId="0" fontId="112" fillId="44" borderId="0" applyNumberFormat="0" applyBorder="0" applyAlignment="0" applyProtection="0"/>
    <xf numFmtId="0" fontId="110" fillId="44" borderId="0" applyNumberFormat="0" applyBorder="0" applyAlignment="0" applyProtection="0"/>
    <xf numFmtId="0" fontId="112" fillId="44" borderId="0" applyNumberFormat="0" applyBorder="0" applyAlignment="0" applyProtection="0"/>
    <xf numFmtId="0" fontId="112" fillId="41" borderId="0" applyNumberFormat="0" applyBorder="0" applyAlignment="0" applyProtection="0"/>
    <xf numFmtId="0" fontId="112" fillId="41" borderId="0" applyNumberFormat="0" applyBorder="0" applyAlignment="0" applyProtection="0"/>
    <xf numFmtId="0" fontId="110" fillId="41" borderId="0" applyNumberFormat="0" applyBorder="0" applyAlignment="0" applyProtection="0"/>
    <xf numFmtId="0" fontId="112" fillId="41" borderId="0" applyNumberFormat="0" applyBorder="0" applyAlignment="0" applyProtection="0"/>
    <xf numFmtId="0" fontId="110" fillId="41" borderId="0" applyNumberFormat="0" applyBorder="0" applyAlignment="0" applyProtection="0"/>
    <xf numFmtId="0" fontId="112" fillId="41" borderId="0" applyNumberFormat="0" applyBorder="0" applyAlignment="0" applyProtection="0"/>
    <xf numFmtId="0" fontId="110" fillId="41" borderId="0" applyNumberFormat="0" applyBorder="0" applyAlignment="0" applyProtection="0"/>
    <xf numFmtId="0" fontId="110" fillId="41" borderId="0" applyNumberFormat="0" applyBorder="0" applyAlignment="0" applyProtection="0"/>
    <xf numFmtId="0" fontId="110" fillId="41" borderId="0" applyNumberFormat="0" applyBorder="0" applyAlignment="0" applyProtection="0"/>
    <xf numFmtId="0" fontId="110" fillId="41" borderId="0" applyNumberFormat="0" applyBorder="0" applyAlignment="0" applyProtection="0"/>
    <xf numFmtId="0" fontId="112" fillId="41" borderId="0" applyNumberFormat="0" applyBorder="0" applyAlignment="0" applyProtection="0"/>
    <xf numFmtId="0" fontId="113" fillId="41" borderId="0" applyNumberFormat="0" applyBorder="0" applyAlignment="0" applyProtection="0"/>
    <xf numFmtId="0" fontId="113" fillId="41" borderId="0" applyNumberFormat="0" applyBorder="0" applyAlignment="0" applyProtection="0"/>
    <xf numFmtId="0" fontId="113" fillId="41" borderId="0" applyNumberFormat="0" applyBorder="0" applyAlignment="0" applyProtection="0"/>
    <xf numFmtId="0" fontId="113" fillId="41" borderId="0" applyNumberFormat="0" applyBorder="0" applyAlignment="0" applyProtection="0"/>
    <xf numFmtId="0" fontId="113" fillId="41" borderId="0" applyNumberFormat="0" applyBorder="0" applyAlignment="0" applyProtection="0"/>
    <xf numFmtId="0" fontId="113" fillId="41" borderId="0" applyNumberFormat="0" applyBorder="0" applyAlignment="0" applyProtection="0"/>
    <xf numFmtId="0" fontId="113" fillId="41" borderId="0" applyNumberFormat="0" applyBorder="0" applyAlignment="0" applyProtection="0"/>
    <xf numFmtId="0" fontId="112" fillId="41" borderId="0" applyNumberFormat="0" applyBorder="0" applyAlignment="0" applyProtection="0"/>
    <xf numFmtId="0" fontId="110" fillId="41" borderId="0" applyNumberFormat="0" applyBorder="0" applyAlignment="0" applyProtection="0"/>
    <xf numFmtId="0" fontId="112" fillId="41" borderId="0" applyNumberFormat="0" applyBorder="0" applyAlignment="0" applyProtection="0"/>
    <xf numFmtId="0" fontId="110" fillId="41" borderId="0" applyNumberFormat="0" applyBorder="0" applyAlignment="0" applyProtection="0"/>
    <xf numFmtId="0" fontId="112" fillId="41" borderId="0" applyNumberFormat="0" applyBorder="0" applyAlignment="0" applyProtection="0"/>
    <xf numFmtId="0" fontId="112" fillId="42" borderId="0" applyNumberFormat="0" applyBorder="0" applyAlignment="0" applyProtection="0"/>
    <xf numFmtId="0" fontId="112" fillId="42" borderId="0" applyNumberFormat="0" applyBorder="0" applyAlignment="0" applyProtection="0"/>
    <xf numFmtId="0" fontId="110" fillId="42" borderId="0" applyNumberFormat="0" applyBorder="0" applyAlignment="0" applyProtection="0"/>
    <xf numFmtId="0" fontId="112" fillId="42" borderId="0" applyNumberFormat="0" applyBorder="0" applyAlignment="0" applyProtection="0"/>
    <xf numFmtId="0" fontId="110" fillId="42" borderId="0" applyNumberFormat="0" applyBorder="0" applyAlignment="0" applyProtection="0"/>
    <xf numFmtId="0" fontId="112" fillId="42" borderId="0" applyNumberFormat="0" applyBorder="0" applyAlignment="0" applyProtection="0"/>
    <xf numFmtId="0" fontId="110" fillId="42" borderId="0" applyNumberFormat="0" applyBorder="0" applyAlignment="0" applyProtection="0"/>
    <xf numFmtId="0" fontId="110" fillId="42" borderId="0" applyNumberFormat="0" applyBorder="0" applyAlignment="0" applyProtection="0"/>
    <xf numFmtId="0" fontId="110" fillId="42" borderId="0" applyNumberFormat="0" applyBorder="0" applyAlignment="0" applyProtection="0"/>
    <xf numFmtId="0" fontId="110" fillId="42" borderId="0" applyNumberFormat="0" applyBorder="0" applyAlignment="0" applyProtection="0"/>
    <xf numFmtId="0" fontId="112" fillId="42" borderId="0" applyNumberFormat="0" applyBorder="0" applyAlignment="0" applyProtection="0"/>
    <xf numFmtId="0" fontId="113" fillId="42" borderId="0" applyNumberFormat="0" applyBorder="0" applyAlignment="0" applyProtection="0"/>
    <xf numFmtId="0" fontId="113" fillId="42" borderId="0" applyNumberFormat="0" applyBorder="0" applyAlignment="0" applyProtection="0"/>
    <xf numFmtId="0" fontId="113" fillId="42" borderId="0" applyNumberFormat="0" applyBorder="0" applyAlignment="0" applyProtection="0"/>
    <xf numFmtId="0" fontId="113" fillId="42" borderId="0" applyNumberFormat="0" applyBorder="0" applyAlignment="0" applyProtection="0"/>
    <xf numFmtId="0" fontId="113" fillId="42" borderId="0" applyNumberFormat="0" applyBorder="0" applyAlignment="0" applyProtection="0"/>
    <xf numFmtId="0" fontId="113" fillId="42" borderId="0" applyNumberFormat="0" applyBorder="0" applyAlignment="0" applyProtection="0"/>
    <xf numFmtId="0" fontId="113" fillId="42" borderId="0" applyNumberFormat="0" applyBorder="0" applyAlignment="0" applyProtection="0"/>
    <xf numFmtId="0" fontId="112" fillId="42" borderId="0" applyNumberFormat="0" applyBorder="0" applyAlignment="0" applyProtection="0"/>
    <xf numFmtId="0" fontId="110" fillId="42" borderId="0" applyNumberFormat="0" applyBorder="0" applyAlignment="0" applyProtection="0"/>
    <xf numFmtId="0" fontId="112" fillId="42" borderId="0" applyNumberFormat="0" applyBorder="0" applyAlignment="0" applyProtection="0"/>
    <xf numFmtId="0" fontId="110" fillId="42" borderId="0" applyNumberFormat="0" applyBorder="0" applyAlignment="0" applyProtection="0"/>
    <xf numFmtId="0" fontId="112" fillId="42" borderId="0" applyNumberFormat="0" applyBorder="0" applyAlignment="0" applyProtection="0"/>
    <xf numFmtId="0" fontId="112" fillId="45" borderId="0" applyNumberFormat="0" applyBorder="0" applyAlignment="0" applyProtection="0"/>
    <xf numFmtId="0" fontId="112" fillId="45" borderId="0" applyNumberFormat="0" applyBorder="0" applyAlignment="0" applyProtection="0"/>
    <xf numFmtId="0" fontId="110" fillId="45" borderId="0" applyNumberFormat="0" applyBorder="0" applyAlignment="0" applyProtection="0"/>
    <xf numFmtId="0" fontId="112" fillId="45" borderId="0" applyNumberFormat="0" applyBorder="0" applyAlignment="0" applyProtection="0"/>
    <xf numFmtId="0" fontId="110" fillId="45" borderId="0" applyNumberFormat="0" applyBorder="0" applyAlignment="0" applyProtection="0"/>
    <xf numFmtId="0" fontId="112" fillId="45" borderId="0" applyNumberFormat="0" applyBorder="0" applyAlignment="0" applyProtection="0"/>
    <xf numFmtId="0" fontId="110" fillId="45" borderId="0" applyNumberFormat="0" applyBorder="0" applyAlignment="0" applyProtection="0"/>
    <xf numFmtId="0" fontId="110" fillId="45" borderId="0" applyNumberFormat="0" applyBorder="0" applyAlignment="0" applyProtection="0"/>
    <xf numFmtId="0" fontId="110" fillId="45" borderId="0" applyNumberFormat="0" applyBorder="0" applyAlignment="0" applyProtection="0"/>
    <xf numFmtId="0" fontId="175" fillId="45" borderId="0" applyNumberFormat="0" applyBorder="0" applyAlignment="0" applyProtection="0"/>
    <xf numFmtId="0" fontId="110" fillId="45" borderId="0" applyNumberFormat="0" applyBorder="0" applyAlignment="0" applyProtection="0"/>
    <xf numFmtId="0" fontId="112" fillId="45" borderId="0" applyNumberFormat="0" applyBorder="0" applyAlignment="0" applyProtection="0"/>
    <xf numFmtId="0" fontId="113" fillId="45" borderId="0" applyNumberFormat="0" applyBorder="0" applyAlignment="0" applyProtection="0"/>
    <xf numFmtId="0" fontId="113" fillId="45" borderId="0" applyNumberFormat="0" applyBorder="0" applyAlignment="0" applyProtection="0"/>
    <xf numFmtId="0" fontId="113" fillId="45" borderId="0" applyNumberFormat="0" applyBorder="0" applyAlignment="0" applyProtection="0"/>
    <xf numFmtId="0" fontId="113" fillId="45" borderId="0" applyNumberFormat="0" applyBorder="0" applyAlignment="0" applyProtection="0"/>
    <xf numFmtId="0" fontId="113" fillId="45" borderId="0" applyNumberFormat="0" applyBorder="0" applyAlignment="0" applyProtection="0"/>
    <xf numFmtId="0" fontId="113" fillId="45" borderId="0" applyNumberFormat="0" applyBorder="0" applyAlignment="0" applyProtection="0"/>
    <xf numFmtId="0" fontId="113" fillId="45" borderId="0" applyNumberFormat="0" applyBorder="0" applyAlignment="0" applyProtection="0"/>
    <xf numFmtId="0" fontId="112" fillId="45" borderId="0" applyNumberFormat="0" applyBorder="0" applyAlignment="0" applyProtection="0"/>
    <xf numFmtId="0" fontId="110" fillId="45" borderId="0" applyNumberFormat="0" applyBorder="0" applyAlignment="0" applyProtection="0"/>
    <xf numFmtId="0" fontId="112" fillId="45" borderId="0" applyNumberFormat="0" applyBorder="0" applyAlignment="0" applyProtection="0"/>
    <xf numFmtId="0" fontId="110" fillId="45" borderId="0" applyNumberFormat="0" applyBorder="0" applyAlignment="0" applyProtection="0"/>
    <xf numFmtId="0" fontId="112" fillId="45" borderId="0" applyNumberFormat="0" applyBorder="0" applyAlignment="0" applyProtection="0"/>
    <xf numFmtId="0" fontId="112" fillId="46" borderId="0" applyNumberFormat="0" applyBorder="0" applyAlignment="0" applyProtection="0"/>
    <xf numFmtId="0" fontId="112" fillId="46" borderId="0" applyNumberFormat="0" applyBorder="0" applyAlignment="0" applyProtection="0"/>
    <xf numFmtId="0" fontId="110" fillId="46" borderId="0" applyNumberFormat="0" applyBorder="0" applyAlignment="0" applyProtection="0"/>
    <xf numFmtId="0" fontId="112" fillId="46" borderId="0" applyNumberFormat="0" applyBorder="0" applyAlignment="0" applyProtection="0"/>
    <xf numFmtId="0" fontId="110" fillId="46" borderId="0" applyNumberFormat="0" applyBorder="0" applyAlignment="0" applyProtection="0"/>
    <xf numFmtId="0" fontId="112" fillId="46" borderId="0" applyNumberFormat="0" applyBorder="0" applyAlignment="0" applyProtection="0"/>
    <xf numFmtId="0" fontId="110" fillId="46" borderId="0" applyNumberFormat="0" applyBorder="0" applyAlignment="0" applyProtection="0"/>
    <xf numFmtId="0" fontId="110" fillId="46" borderId="0" applyNumberFormat="0" applyBorder="0" applyAlignment="0" applyProtection="0"/>
    <xf numFmtId="0" fontId="110" fillId="46" borderId="0" applyNumberFormat="0" applyBorder="0" applyAlignment="0" applyProtection="0"/>
    <xf numFmtId="0" fontId="110" fillId="46" borderId="0" applyNumberFormat="0" applyBorder="0" applyAlignment="0" applyProtection="0"/>
    <xf numFmtId="0" fontId="112" fillId="46" borderId="0" applyNumberFormat="0" applyBorder="0" applyAlignment="0" applyProtection="0"/>
    <xf numFmtId="0" fontId="113" fillId="46" borderId="0" applyNumberFormat="0" applyBorder="0" applyAlignment="0" applyProtection="0"/>
    <xf numFmtId="0" fontId="113" fillId="46" borderId="0" applyNumberFormat="0" applyBorder="0" applyAlignment="0" applyProtection="0"/>
    <xf numFmtId="0" fontId="113" fillId="46" borderId="0" applyNumberFormat="0" applyBorder="0" applyAlignment="0" applyProtection="0"/>
    <xf numFmtId="0" fontId="113" fillId="46" borderId="0" applyNumberFormat="0" applyBorder="0" applyAlignment="0" applyProtection="0"/>
    <xf numFmtId="0" fontId="113" fillId="46" borderId="0" applyNumberFormat="0" applyBorder="0" applyAlignment="0" applyProtection="0"/>
    <xf numFmtId="0" fontId="113" fillId="46" borderId="0" applyNumberFormat="0" applyBorder="0" applyAlignment="0" applyProtection="0"/>
    <xf numFmtId="0" fontId="113" fillId="46" borderId="0" applyNumberFormat="0" applyBorder="0" applyAlignment="0" applyProtection="0"/>
    <xf numFmtId="0" fontId="112" fillId="46" borderId="0" applyNumberFormat="0" applyBorder="0" applyAlignment="0" applyProtection="0"/>
    <xf numFmtId="0" fontId="110" fillId="46" borderId="0" applyNumberFormat="0" applyBorder="0" applyAlignment="0" applyProtection="0"/>
    <xf numFmtId="0" fontId="112" fillId="46" borderId="0" applyNumberFormat="0" applyBorder="0" applyAlignment="0" applyProtection="0"/>
    <xf numFmtId="0" fontId="110" fillId="46" borderId="0" applyNumberFormat="0" applyBorder="0" applyAlignment="0" applyProtection="0"/>
    <xf numFmtId="0" fontId="112" fillId="46" borderId="0" applyNumberFormat="0" applyBorder="0" applyAlignment="0" applyProtection="0"/>
    <xf numFmtId="0" fontId="112" fillId="47" borderId="0" applyNumberFormat="0" applyBorder="0" applyAlignment="0" applyProtection="0"/>
    <xf numFmtId="0" fontId="112" fillId="47" borderId="0" applyNumberFormat="0" applyBorder="0" applyAlignment="0" applyProtection="0"/>
    <xf numFmtId="0" fontId="110" fillId="47" borderId="0" applyNumberFormat="0" applyBorder="0" applyAlignment="0" applyProtection="0"/>
    <xf numFmtId="0" fontId="112" fillId="47" borderId="0" applyNumberFormat="0" applyBorder="0" applyAlignment="0" applyProtection="0"/>
    <xf numFmtId="0" fontId="110" fillId="47" borderId="0" applyNumberFormat="0" applyBorder="0" applyAlignment="0" applyProtection="0"/>
    <xf numFmtId="0" fontId="112" fillId="47" borderId="0" applyNumberFormat="0" applyBorder="0" applyAlignment="0" applyProtection="0"/>
    <xf numFmtId="0" fontId="110" fillId="47" borderId="0" applyNumberFormat="0" applyBorder="0" applyAlignment="0" applyProtection="0"/>
    <xf numFmtId="0" fontId="110" fillId="47" borderId="0" applyNumberFormat="0" applyBorder="0" applyAlignment="0" applyProtection="0"/>
    <xf numFmtId="0" fontId="110" fillId="47" borderId="0" applyNumberFormat="0" applyBorder="0" applyAlignment="0" applyProtection="0"/>
    <xf numFmtId="0" fontId="110" fillId="47" borderId="0" applyNumberFormat="0" applyBorder="0" applyAlignment="0" applyProtection="0"/>
    <xf numFmtId="0" fontId="112" fillId="47" borderId="0" applyNumberFormat="0" applyBorder="0" applyAlignment="0" applyProtection="0"/>
    <xf numFmtId="0" fontId="113" fillId="47" borderId="0" applyNumberFormat="0" applyBorder="0" applyAlignment="0" applyProtection="0"/>
    <xf numFmtId="0" fontId="113" fillId="47" borderId="0" applyNumberFormat="0" applyBorder="0" applyAlignment="0" applyProtection="0"/>
    <xf numFmtId="0" fontId="113" fillId="47" borderId="0" applyNumberFormat="0" applyBorder="0" applyAlignment="0" applyProtection="0"/>
    <xf numFmtId="0" fontId="113" fillId="47" borderId="0" applyNumberFormat="0" applyBorder="0" applyAlignment="0" applyProtection="0"/>
    <xf numFmtId="0" fontId="113" fillId="47" borderId="0" applyNumberFormat="0" applyBorder="0" applyAlignment="0" applyProtection="0"/>
    <xf numFmtId="0" fontId="113" fillId="47" borderId="0" applyNumberFormat="0" applyBorder="0" applyAlignment="0" applyProtection="0"/>
    <xf numFmtId="0" fontId="113" fillId="47" borderId="0" applyNumberFormat="0" applyBorder="0" applyAlignment="0" applyProtection="0"/>
    <xf numFmtId="0" fontId="112" fillId="47" borderId="0" applyNumberFormat="0" applyBorder="0" applyAlignment="0" applyProtection="0"/>
    <xf numFmtId="0" fontId="110" fillId="47" borderId="0" applyNumberFormat="0" applyBorder="0" applyAlignment="0" applyProtection="0"/>
    <xf numFmtId="0" fontId="112" fillId="47" borderId="0" applyNumberFormat="0" applyBorder="0" applyAlignment="0" applyProtection="0"/>
    <xf numFmtId="0" fontId="110" fillId="47" borderId="0" applyNumberFormat="0" applyBorder="0" applyAlignment="0" applyProtection="0"/>
    <xf numFmtId="0" fontId="112" fillId="47" borderId="0" applyNumberFormat="0" applyBorder="0" applyAlignment="0" applyProtection="0"/>
    <xf numFmtId="0" fontId="110" fillId="48" borderId="0" applyNumberFormat="0" applyBorder="0" applyAlignment="0" applyProtection="0"/>
    <xf numFmtId="0" fontId="110" fillId="48" borderId="0" applyNumberFormat="0" applyBorder="0" applyAlignment="0" applyProtection="0"/>
    <xf numFmtId="0" fontId="110" fillId="49" borderId="0" applyNumberFormat="0" applyBorder="0" applyAlignment="0" applyProtection="0"/>
    <xf numFmtId="0" fontId="110" fillId="49" borderId="0" applyNumberFormat="0" applyBorder="0" applyAlignment="0" applyProtection="0"/>
    <xf numFmtId="0" fontId="110" fillId="50" borderId="0" applyNumberFormat="0" applyBorder="0" applyAlignment="0" applyProtection="0"/>
    <xf numFmtId="0" fontId="110" fillId="50" borderId="0" applyNumberFormat="0" applyBorder="0" applyAlignment="0" applyProtection="0"/>
    <xf numFmtId="0" fontId="110" fillId="45" borderId="0" applyNumberFormat="0" applyBorder="0" applyAlignment="0" applyProtection="0"/>
    <xf numFmtId="0" fontId="110" fillId="45" borderId="0" applyNumberFormat="0" applyBorder="0" applyAlignment="0" applyProtection="0"/>
    <xf numFmtId="0" fontId="110" fillId="46" borderId="0" applyNumberFormat="0" applyBorder="0" applyAlignment="0" applyProtection="0"/>
    <xf numFmtId="0" fontId="110" fillId="46" borderId="0" applyNumberFormat="0" applyBorder="0" applyAlignment="0" applyProtection="0"/>
    <xf numFmtId="0" fontId="110" fillId="51" borderId="0" applyNumberFormat="0" applyBorder="0" applyAlignment="0" applyProtection="0"/>
    <xf numFmtId="0" fontId="110" fillId="51" borderId="0" applyNumberFormat="0" applyBorder="0" applyAlignment="0" applyProtection="0"/>
    <xf numFmtId="191" fontId="11" fillId="52" borderId="55">
      <alignment horizontal="center" vertical="center"/>
    </xf>
    <xf numFmtId="0" fontId="112" fillId="48" borderId="0" applyNumberFormat="0" applyBorder="0" applyAlignment="0" applyProtection="0"/>
    <xf numFmtId="0" fontId="112" fillId="48" borderId="0" applyNumberFormat="0" applyBorder="0" applyAlignment="0" applyProtection="0"/>
    <xf numFmtId="0" fontId="110" fillId="48" borderId="0" applyNumberFormat="0" applyBorder="0" applyAlignment="0" applyProtection="0"/>
    <xf numFmtId="0" fontId="112" fillId="48" borderId="0" applyNumberFormat="0" applyBorder="0" applyAlignment="0" applyProtection="0"/>
    <xf numFmtId="0" fontId="110" fillId="48" borderId="0" applyNumberFormat="0" applyBorder="0" applyAlignment="0" applyProtection="0"/>
    <xf numFmtId="0" fontId="112" fillId="48" borderId="0" applyNumberFormat="0" applyBorder="0" applyAlignment="0" applyProtection="0"/>
    <xf numFmtId="0" fontId="110" fillId="48" borderId="0" applyNumberFormat="0" applyBorder="0" applyAlignment="0" applyProtection="0"/>
    <xf numFmtId="0" fontId="110" fillId="48" borderId="0" applyNumberFormat="0" applyBorder="0" applyAlignment="0" applyProtection="0"/>
    <xf numFmtId="0" fontId="110" fillId="48" borderId="0" applyNumberFormat="0" applyBorder="0" applyAlignment="0" applyProtection="0"/>
    <xf numFmtId="0" fontId="110" fillId="48" borderId="0" applyNumberFormat="0" applyBorder="0" applyAlignment="0" applyProtection="0"/>
    <xf numFmtId="0" fontId="112" fillId="48" borderId="0" applyNumberFormat="0" applyBorder="0" applyAlignment="0" applyProtection="0"/>
    <xf numFmtId="0" fontId="113" fillId="48" borderId="0" applyNumberFormat="0" applyBorder="0" applyAlignment="0" applyProtection="0"/>
    <xf numFmtId="0" fontId="113" fillId="48" borderId="0" applyNumberFormat="0" applyBorder="0" applyAlignment="0" applyProtection="0"/>
    <xf numFmtId="0" fontId="113" fillId="48" borderId="0" applyNumberFormat="0" applyBorder="0" applyAlignment="0" applyProtection="0"/>
    <xf numFmtId="0" fontId="113" fillId="48" borderId="0" applyNumberFormat="0" applyBorder="0" applyAlignment="0" applyProtection="0"/>
    <xf numFmtId="0" fontId="113" fillId="48" borderId="0" applyNumberFormat="0" applyBorder="0" applyAlignment="0" applyProtection="0"/>
    <xf numFmtId="0" fontId="113" fillId="48" borderId="0" applyNumberFormat="0" applyBorder="0" applyAlignment="0" applyProtection="0"/>
    <xf numFmtId="0" fontId="113" fillId="48" borderId="0" applyNumberFormat="0" applyBorder="0" applyAlignment="0" applyProtection="0"/>
    <xf numFmtId="0" fontId="112" fillId="48" borderId="0" applyNumberFormat="0" applyBorder="0" applyAlignment="0" applyProtection="0"/>
    <xf numFmtId="0" fontId="110" fillId="48" borderId="0" applyNumberFormat="0" applyBorder="0" applyAlignment="0" applyProtection="0"/>
    <xf numFmtId="0" fontId="112" fillId="48" borderId="0" applyNumberFormat="0" applyBorder="0" applyAlignment="0" applyProtection="0"/>
    <xf numFmtId="0" fontId="110" fillId="48" borderId="0" applyNumberFormat="0" applyBorder="0" applyAlignment="0" applyProtection="0"/>
    <xf numFmtId="0" fontId="112" fillId="48" borderId="0" applyNumberFormat="0" applyBorder="0" applyAlignment="0" applyProtection="0"/>
    <xf numFmtId="0" fontId="112" fillId="49" borderId="0" applyNumberFormat="0" applyBorder="0" applyAlignment="0" applyProtection="0"/>
    <xf numFmtId="0" fontId="112" fillId="49" borderId="0" applyNumberFormat="0" applyBorder="0" applyAlignment="0" applyProtection="0"/>
    <xf numFmtId="0" fontId="110" fillId="49" borderId="0" applyNumberFormat="0" applyBorder="0" applyAlignment="0" applyProtection="0"/>
    <xf numFmtId="0" fontId="112" fillId="49" borderId="0" applyNumberFormat="0" applyBorder="0" applyAlignment="0" applyProtection="0"/>
    <xf numFmtId="0" fontId="110" fillId="49" borderId="0" applyNumberFormat="0" applyBorder="0" applyAlignment="0" applyProtection="0"/>
    <xf numFmtId="0" fontId="112" fillId="49" borderId="0" applyNumberFormat="0" applyBorder="0" applyAlignment="0" applyProtection="0"/>
    <xf numFmtId="0" fontId="110" fillId="49" borderId="0" applyNumberFormat="0" applyBorder="0" applyAlignment="0" applyProtection="0"/>
    <xf numFmtId="0" fontId="110" fillId="49" borderId="0" applyNumberFormat="0" applyBorder="0" applyAlignment="0" applyProtection="0"/>
    <xf numFmtId="0" fontId="110" fillId="49" borderId="0" applyNumberFormat="0" applyBorder="0" applyAlignment="0" applyProtection="0"/>
    <xf numFmtId="0" fontId="110" fillId="49" borderId="0" applyNumberFormat="0" applyBorder="0" applyAlignment="0" applyProtection="0"/>
    <xf numFmtId="0" fontId="112" fillId="49" borderId="0" applyNumberFormat="0" applyBorder="0" applyAlignment="0" applyProtection="0"/>
    <xf numFmtId="0" fontId="113" fillId="49" borderId="0" applyNumberFormat="0" applyBorder="0" applyAlignment="0" applyProtection="0"/>
    <xf numFmtId="0" fontId="113" fillId="49" borderId="0" applyNumberFormat="0" applyBorder="0" applyAlignment="0" applyProtection="0"/>
    <xf numFmtId="0" fontId="113" fillId="49" borderId="0" applyNumberFormat="0" applyBorder="0" applyAlignment="0" applyProtection="0"/>
    <xf numFmtId="0" fontId="113" fillId="49" borderId="0" applyNumberFormat="0" applyBorder="0" applyAlignment="0" applyProtection="0"/>
    <xf numFmtId="0" fontId="113" fillId="49" borderId="0" applyNumberFormat="0" applyBorder="0" applyAlignment="0" applyProtection="0"/>
    <xf numFmtId="0" fontId="113" fillId="49" borderId="0" applyNumberFormat="0" applyBorder="0" applyAlignment="0" applyProtection="0"/>
    <xf numFmtId="0" fontId="113" fillId="49" borderId="0" applyNumberFormat="0" applyBorder="0" applyAlignment="0" applyProtection="0"/>
    <xf numFmtId="0" fontId="112" fillId="49" borderId="0" applyNumberFormat="0" applyBorder="0" applyAlignment="0" applyProtection="0"/>
    <xf numFmtId="0" fontId="110" fillId="49" borderId="0" applyNumberFormat="0" applyBorder="0" applyAlignment="0" applyProtection="0"/>
    <xf numFmtId="0" fontId="112" fillId="49" borderId="0" applyNumberFormat="0" applyBorder="0" applyAlignment="0" applyProtection="0"/>
    <xf numFmtId="0" fontId="110" fillId="49" borderId="0" applyNumberFormat="0" applyBorder="0" applyAlignment="0" applyProtection="0"/>
    <xf numFmtId="0" fontId="112" fillId="49" borderId="0" applyNumberFormat="0" applyBorder="0" applyAlignment="0" applyProtection="0"/>
    <xf numFmtId="0" fontId="112" fillId="50" borderId="0" applyNumberFormat="0" applyBorder="0" applyAlignment="0" applyProtection="0"/>
    <xf numFmtId="0" fontId="112" fillId="50" borderId="0" applyNumberFormat="0" applyBorder="0" applyAlignment="0" applyProtection="0"/>
    <xf numFmtId="0" fontId="110" fillId="50" borderId="0" applyNumberFormat="0" applyBorder="0" applyAlignment="0" applyProtection="0"/>
    <xf numFmtId="0" fontId="112" fillId="50" borderId="0" applyNumberFormat="0" applyBorder="0" applyAlignment="0" applyProtection="0"/>
    <xf numFmtId="0" fontId="110" fillId="50" borderId="0" applyNumberFormat="0" applyBorder="0" applyAlignment="0" applyProtection="0"/>
    <xf numFmtId="0" fontId="112" fillId="50" borderId="0" applyNumberFormat="0" applyBorder="0" applyAlignment="0" applyProtection="0"/>
    <xf numFmtId="0" fontId="110" fillId="50" borderId="0" applyNumberFormat="0" applyBorder="0" applyAlignment="0" applyProtection="0"/>
    <xf numFmtId="0" fontId="110" fillId="50" borderId="0" applyNumberFormat="0" applyBorder="0" applyAlignment="0" applyProtection="0"/>
    <xf numFmtId="0" fontId="110" fillId="50" borderId="0" applyNumberFormat="0" applyBorder="0" applyAlignment="0" applyProtection="0"/>
    <xf numFmtId="0" fontId="110" fillId="50" borderId="0" applyNumberFormat="0" applyBorder="0" applyAlignment="0" applyProtection="0"/>
    <xf numFmtId="0" fontId="112" fillId="50" borderId="0" applyNumberFormat="0" applyBorder="0" applyAlignment="0" applyProtection="0"/>
    <xf numFmtId="0" fontId="113" fillId="50" borderId="0" applyNumberFormat="0" applyBorder="0" applyAlignment="0" applyProtection="0"/>
    <xf numFmtId="0" fontId="113" fillId="50" borderId="0" applyNumberFormat="0" applyBorder="0" applyAlignment="0" applyProtection="0"/>
    <xf numFmtId="0" fontId="113" fillId="50" borderId="0" applyNumberFormat="0" applyBorder="0" applyAlignment="0" applyProtection="0"/>
    <xf numFmtId="0" fontId="113" fillId="50" borderId="0" applyNumberFormat="0" applyBorder="0" applyAlignment="0" applyProtection="0"/>
    <xf numFmtId="0" fontId="113" fillId="50" borderId="0" applyNumberFormat="0" applyBorder="0" applyAlignment="0" applyProtection="0"/>
    <xf numFmtId="0" fontId="113" fillId="50" borderId="0" applyNumberFormat="0" applyBorder="0" applyAlignment="0" applyProtection="0"/>
    <xf numFmtId="0" fontId="113" fillId="50" borderId="0" applyNumberFormat="0" applyBorder="0" applyAlignment="0" applyProtection="0"/>
    <xf numFmtId="0" fontId="112" fillId="50" borderId="0" applyNumberFormat="0" applyBorder="0" applyAlignment="0" applyProtection="0"/>
    <xf numFmtId="0" fontId="110" fillId="50" borderId="0" applyNumberFormat="0" applyBorder="0" applyAlignment="0" applyProtection="0"/>
    <xf numFmtId="0" fontId="112" fillId="50" borderId="0" applyNumberFormat="0" applyBorder="0" applyAlignment="0" applyProtection="0"/>
    <xf numFmtId="0" fontId="110" fillId="50" borderId="0" applyNumberFormat="0" applyBorder="0" applyAlignment="0" applyProtection="0"/>
    <xf numFmtId="0" fontId="112" fillId="50" borderId="0" applyNumberFormat="0" applyBorder="0" applyAlignment="0" applyProtection="0"/>
    <xf numFmtId="0" fontId="112" fillId="45" borderId="0" applyNumberFormat="0" applyBorder="0" applyAlignment="0" applyProtection="0"/>
    <xf numFmtId="0" fontId="112" fillId="45" borderId="0" applyNumberFormat="0" applyBorder="0" applyAlignment="0" applyProtection="0"/>
    <xf numFmtId="0" fontId="110" fillId="45" borderId="0" applyNumberFormat="0" applyBorder="0" applyAlignment="0" applyProtection="0"/>
    <xf numFmtId="0" fontId="112" fillId="45" borderId="0" applyNumberFormat="0" applyBorder="0" applyAlignment="0" applyProtection="0"/>
    <xf numFmtId="0" fontId="110" fillId="45" borderId="0" applyNumberFormat="0" applyBorder="0" applyAlignment="0" applyProtection="0"/>
    <xf numFmtId="0" fontId="112" fillId="45" borderId="0" applyNumberFormat="0" applyBorder="0" applyAlignment="0" applyProtection="0"/>
    <xf numFmtId="0" fontId="110" fillId="45" borderId="0" applyNumberFormat="0" applyBorder="0" applyAlignment="0" applyProtection="0"/>
    <xf numFmtId="0" fontId="110" fillId="45" borderId="0" applyNumberFormat="0" applyBorder="0" applyAlignment="0" applyProtection="0"/>
    <xf numFmtId="0" fontId="110" fillId="45" borderId="0" applyNumberFormat="0" applyBorder="0" applyAlignment="0" applyProtection="0"/>
    <xf numFmtId="0" fontId="110" fillId="45" borderId="0" applyNumberFormat="0" applyBorder="0" applyAlignment="0" applyProtection="0"/>
    <xf numFmtId="0" fontId="112" fillId="45" borderId="0" applyNumberFormat="0" applyBorder="0" applyAlignment="0" applyProtection="0"/>
    <xf numFmtId="0" fontId="113" fillId="45" borderId="0" applyNumberFormat="0" applyBorder="0" applyAlignment="0" applyProtection="0"/>
    <xf numFmtId="0" fontId="113" fillId="45" borderId="0" applyNumberFormat="0" applyBorder="0" applyAlignment="0" applyProtection="0"/>
    <xf numFmtId="0" fontId="113" fillId="45" borderId="0" applyNumberFormat="0" applyBorder="0" applyAlignment="0" applyProtection="0"/>
    <xf numFmtId="0" fontId="113" fillId="45" borderId="0" applyNumberFormat="0" applyBorder="0" applyAlignment="0" applyProtection="0"/>
    <xf numFmtId="0" fontId="113" fillId="45" borderId="0" applyNumberFormat="0" applyBorder="0" applyAlignment="0" applyProtection="0"/>
    <xf numFmtId="0" fontId="113" fillId="45" borderId="0" applyNumberFormat="0" applyBorder="0" applyAlignment="0" applyProtection="0"/>
    <xf numFmtId="0" fontId="113" fillId="45" borderId="0" applyNumberFormat="0" applyBorder="0" applyAlignment="0" applyProtection="0"/>
    <xf numFmtId="0" fontId="112" fillId="45" borderId="0" applyNumberFormat="0" applyBorder="0" applyAlignment="0" applyProtection="0"/>
    <xf numFmtId="0" fontId="110" fillId="45" borderId="0" applyNumberFormat="0" applyBorder="0" applyAlignment="0" applyProtection="0"/>
    <xf numFmtId="0" fontId="112" fillId="45" borderId="0" applyNumberFormat="0" applyBorder="0" applyAlignment="0" applyProtection="0"/>
    <xf numFmtId="0" fontId="110" fillId="45" borderId="0" applyNumberFormat="0" applyBorder="0" applyAlignment="0" applyProtection="0"/>
    <xf numFmtId="0" fontId="112" fillId="45" borderId="0" applyNumberFormat="0" applyBorder="0" applyAlignment="0" applyProtection="0"/>
    <xf numFmtId="0" fontId="112" fillId="46" borderId="0" applyNumberFormat="0" applyBorder="0" applyAlignment="0" applyProtection="0"/>
    <xf numFmtId="0" fontId="112" fillId="46" borderId="0" applyNumberFormat="0" applyBorder="0" applyAlignment="0" applyProtection="0"/>
    <xf numFmtId="0" fontId="110" fillId="46" borderId="0" applyNumberFormat="0" applyBorder="0" applyAlignment="0" applyProtection="0"/>
    <xf numFmtId="0" fontId="112" fillId="46" borderId="0" applyNumberFormat="0" applyBorder="0" applyAlignment="0" applyProtection="0"/>
    <xf numFmtId="0" fontId="110" fillId="46" borderId="0" applyNumberFormat="0" applyBorder="0" applyAlignment="0" applyProtection="0"/>
    <xf numFmtId="0" fontId="112" fillId="46" borderId="0" applyNumberFormat="0" applyBorder="0" applyAlignment="0" applyProtection="0"/>
    <xf numFmtId="0" fontId="110" fillId="46" borderId="0" applyNumberFormat="0" applyBorder="0" applyAlignment="0" applyProtection="0"/>
    <xf numFmtId="0" fontId="110" fillId="46" borderId="0" applyNumberFormat="0" applyBorder="0" applyAlignment="0" applyProtection="0"/>
    <xf numFmtId="0" fontId="110" fillId="46" borderId="0" applyNumberFormat="0" applyBorder="0" applyAlignment="0" applyProtection="0"/>
    <xf numFmtId="0" fontId="110" fillId="46" borderId="0" applyNumberFormat="0" applyBorder="0" applyAlignment="0" applyProtection="0"/>
    <xf numFmtId="0" fontId="112" fillId="46" borderId="0" applyNumberFormat="0" applyBorder="0" applyAlignment="0" applyProtection="0"/>
    <xf numFmtId="0" fontId="113" fillId="46" borderId="0" applyNumberFormat="0" applyBorder="0" applyAlignment="0" applyProtection="0"/>
    <xf numFmtId="0" fontId="113" fillId="46" borderId="0" applyNumberFormat="0" applyBorder="0" applyAlignment="0" applyProtection="0"/>
    <xf numFmtId="0" fontId="113" fillId="46" borderId="0" applyNumberFormat="0" applyBorder="0" applyAlignment="0" applyProtection="0"/>
    <xf numFmtId="0" fontId="113" fillId="46" borderId="0" applyNumberFormat="0" applyBorder="0" applyAlignment="0" applyProtection="0"/>
    <xf numFmtId="0" fontId="113" fillId="46" borderId="0" applyNumberFormat="0" applyBorder="0" applyAlignment="0" applyProtection="0"/>
    <xf numFmtId="0" fontId="113" fillId="46" borderId="0" applyNumberFormat="0" applyBorder="0" applyAlignment="0" applyProtection="0"/>
    <xf numFmtId="0" fontId="113" fillId="46" borderId="0" applyNumberFormat="0" applyBorder="0" applyAlignment="0" applyProtection="0"/>
    <xf numFmtId="0" fontId="112" fillId="46" borderId="0" applyNumberFormat="0" applyBorder="0" applyAlignment="0" applyProtection="0"/>
    <xf numFmtId="0" fontId="110" fillId="46" borderId="0" applyNumberFormat="0" applyBorder="0" applyAlignment="0" applyProtection="0"/>
    <xf numFmtId="0" fontId="112" fillId="46" borderId="0" applyNumberFormat="0" applyBorder="0" applyAlignment="0" applyProtection="0"/>
    <xf numFmtId="0" fontId="110" fillId="46" borderId="0" applyNumberFormat="0" applyBorder="0" applyAlignment="0" applyProtection="0"/>
    <xf numFmtId="0" fontId="112" fillId="46" borderId="0" applyNumberFormat="0" applyBorder="0" applyAlignment="0" applyProtection="0"/>
    <xf numFmtId="0" fontId="112" fillId="51" borderId="0" applyNumberFormat="0" applyBorder="0" applyAlignment="0" applyProtection="0"/>
    <xf numFmtId="0" fontId="112" fillId="51" borderId="0" applyNumberFormat="0" applyBorder="0" applyAlignment="0" applyProtection="0"/>
    <xf numFmtId="0" fontId="110" fillId="51" borderId="0" applyNumberFormat="0" applyBorder="0" applyAlignment="0" applyProtection="0"/>
    <xf numFmtId="0" fontId="112" fillId="51" borderId="0" applyNumberFormat="0" applyBorder="0" applyAlignment="0" applyProtection="0"/>
    <xf numFmtId="0" fontId="110" fillId="51" borderId="0" applyNumberFormat="0" applyBorder="0" applyAlignment="0" applyProtection="0"/>
    <xf numFmtId="0" fontId="112" fillId="51" borderId="0" applyNumberFormat="0" applyBorder="0" applyAlignment="0" applyProtection="0"/>
    <xf numFmtId="0" fontId="110" fillId="51" borderId="0" applyNumberFormat="0" applyBorder="0" applyAlignment="0" applyProtection="0"/>
    <xf numFmtId="0" fontId="110" fillId="51" borderId="0" applyNumberFormat="0" applyBorder="0" applyAlignment="0" applyProtection="0"/>
    <xf numFmtId="0" fontId="110" fillId="51" borderId="0" applyNumberFormat="0" applyBorder="0" applyAlignment="0" applyProtection="0"/>
    <xf numFmtId="0" fontId="110" fillId="51" borderId="0" applyNumberFormat="0" applyBorder="0" applyAlignment="0" applyProtection="0"/>
    <xf numFmtId="0" fontId="112" fillId="51" borderId="0" applyNumberFormat="0" applyBorder="0" applyAlignment="0" applyProtection="0"/>
    <xf numFmtId="0" fontId="113" fillId="51" borderId="0" applyNumberFormat="0" applyBorder="0" applyAlignment="0" applyProtection="0"/>
    <xf numFmtId="0" fontId="113" fillId="51" borderId="0" applyNumberFormat="0" applyBorder="0" applyAlignment="0" applyProtection="0"/>
    <xf numFmtId="0" fontId="113" fillId="51" borderId="0" applyNumberFormat="0" applyBorder="0" applyAlignment="0" applyProtection="0"/>
    <xf numFmtId="0" fontId="113" fillId="51" borderId="0" applyNumberFormat="0" applyBorder="0" applyAlignment="0" applyProtection="0"/>
    <xf numFmtId="0" fontId="113" fillId="51" borderId="0" applyNumberFormat="0" applyBorder="0" applyAlignment="0" applyProtection="0"/>
    <xf numFmtId="0" fontId="113" fillId="51" borderId="0" applyNumberFormat="0" applyBorder="0" applyAlignment="0" applyProtection="0"/>
    <xf numFmtId="0" fontId="113" fillId="51" borderId="0" applyNumberFormat="0" applyBorder="0" applyAlignment="0" applyProtection="0"/>
    <xf numFmtId="0" fontId="112" fillId="51" borderId="0" applyNumberFormat="0" applyBorder="0" applyAlignment="0" applyProtection="0"/>
    <xf numFmtId="0" fontId="110" fillId="51" borderId="0" applyNumberFormat="0" applyBorder="0" applyAlignment="0" applyProtection="0"/>
    <xf numFmtId="0" fontId="112" fillId="51" borderId="0" applyNumberFormat="0" applyBorder="0" applyAlignment="0" applyProtection="0"/>
    <xf numFmtId="0" fontId="110" fillId="51" borderId="0" applyNumberFormat="0" applyBorder="0" applyAlignment="0" applyProtection="0"/>
    <xf numFmtId="0" fontId="112" fillId="51" borderId="0" applyNumberFormat="0" applyBorder="0" applyAlignment="0" applyProtection="0"/>
    <xf numFmtId="0" fontId="110" fillId="48" borderId="0" applyNumberFormat="0" applyBorder="0" applyAlignment="0" applyProtection="0"/>
    <xf numFmtId="0" fontId="110" fillId="49" borderId="0" applyNumberFormat="0" applyBorder="0" applyAlignment="0" applyProtection="0"/>
    <xf numFmtId="0" fontId="110" fillId="50" borderId="0" applyNumberFormat="0" applyBorder="0" applyAlignment="0" applyProtection="0"/>
    <xf numFmtId="0" fontId="110" fillId="45" borderId="0" applyNumberFormat="0" applyBorder="0" applyAlignment="0" applyProtection="0"/>
    <xf numFmtId="0" fontId="110" fillId="46" borderId="0" applyNumberFormat="0" applyBorder="0" applyAlignment="0" applyProtection="0"/>
    <xf numFmtId="0" fontId="110" fillId="51" borderId="0" applyNumberFormat="0" applyBorder="0" applyAlignment="0" applyProtection="0"/>
    <xf numFmtId="0" fontId="104" fillId="53" borderId="56" applyNumberFormat="0" applyAlignment="0" applyProtection="0"/>
    <xf numFmtId="0" fontId="101" fillId="35" borderId="0" applyNumberFormat="0" applyBorder="0" applyAlignment="0" applyProtection="0"/>
    <xf numFmtId="0" fontId="101" fillId="35" borderId="0" applyNumberFormat="0" applyBorder="0" applyAlignment="0" applyProtection="0"/>
    <xf numFmtId="0" fontId="105" fillId="53" borderId="57" applyNumberFormat="0" applyAlignment="0" applyProtection="0"/>
    <xf numFmtId="0" fontId="105" fillId="53" borderId="57" applyNumberFormat="0" applyAlignment="0" applyProtection="0"/>
    <xf numFmtId="0" fontId="105" fillId="53" borderId="57" applyNumberFormat="0" applyAlignment="0" applyProtection="0"/>
    <xf numFmtId="0" fontId="107" fillId="54" borderId="58" applyNumberFormat="0" applyAlignment="0" applyProtection="0"/>
    <xf numFmtId="0" fontId="107" fillId="54" borderId="58" applyNumberFormat="0" applyAlignment="0" applyProtection="0"/>
    <xf numFmtId="0" fontId="114" fillId="0" borderId="0" applyNumberFormat="0" applyFill="0" applyBorder="0" applyAlignment="0" applyProtection="0"/>
    <xf numFmtId="192" fontId="153" fillId="0" borderId="0">
      <protection locked="0"/>
    </xf>
    <xf numFmtId="0" fontId="154" fillId="0" borderId="0"/>
    <xf numFmtId="0" fontId="155" fillId="0" borderId="0"/>
    <xf numFmtId="192" fontId="153" fillId="0" borderId="0">
      <protection locked="0"/>
    </xf>
    <xf numFmtId="193" fontId="153" fillId="0" borderId="0">
      <protection locked="0"/>
    </xf>
    <xf numFmtId="0" fontId="115" fillId="39" borderId="57" applyNumberFormat="0" applyAlignment="0" applyProtection="0"/>
    <xf numFmtId="0" fontId="115" fillId="39" borderId="57" applyNumberFormat="0" applyAlignment="0" applyProtection="0"/>
    <xf numFmtId="0" fontId="103" fillId="39" borderId="57" applyNumberFormat="0" applyAlignment="0" applyProtection="0"/>
    <xf numFmtId="0" fontId="115" fillId="39" borderId="57" applyNumberFormat="0" applyAlignment="0" applyProtection="0"/>
    <xf numFmtId="0" fontId="103" fillId="39" borderId="57" applyNumberFormat="0" applyAlignment="0" applyProtection="0"/>
    <xf numFmtId="0" fontId="115" fillId="39" borderId="57" applyNumberFormat="0" applyAlignment="0" applyProtection="0"/>
    <xf numFmtId="0" fontId="103" fillId="39" borderId="57" applyNumberFormat="0" applyAlignment="0" applyProtection="0"/>
    <xf numFmtId="0" fontId="115" fillId="39" borderId="57" applyNumberFormat="0" applyAlignment="0" applyProtection="0"/>
    <xf numFmtId="0" fontId="103" fillId="39" borderId="57" applyNumberFormat="0" applyAlignment="0" applyProtection="0"/>
    <xf numFmtId="0" fontId="103" fillId="39" borderId="57" applyNumberFormat="0" applyAlignment="0" applyProtection="0"/>
    <xf numFmtId="0" fontId="103" fillId="39" borderId="57" applyNumberFormat="0" applyAlignment="0" applyProtection="0"/>
    <xf numFmtId="0" fontId="115" fillId="39" borderId="57" applyNumberFormat="0" applyAlignment="0" applyProtection="0"/>
    <xf numFmtId="0" fontId="116" fillId="39" borderId="57" applyNumberFormat="0" applyAlignment="0" applyProtection="0"/>
    <xf numFmtId="0" fontId="116" fillId="39" borderId="57" applyNumberFormat="0" applyAlignment="0" applyProtection="0"/>
    <xf numFmtId="0" fontId="116" fillId="39" borderId="57" applyNumberFormat="0" applyAlignment="0" applyProtection="0"/>
    <xf numFmtId="0" fontId="116" fillId="39" borderId="57" applyNumberFormat="0" applyAlignment="0" applyProtection="0"/>
    <xf numFmtId="0" fontId="116" fillId="39" borderId="57" applyNumberFormat="0" applyAlignment="0" applyProtection="0"/>
    <xf numFmtId="0" fontId="116" fillId="39" borderId="57" applyNumberFormat="0" applyAlignment="0" applyProtection="0"/>
    <xf numFmtId="0" fontId="116" fillId="39" borderId="57" applyNumberFormat="0" applyAlignment="0" applyProtection="0"/>
    <xf numFmtId="0" fontId="115" fillId="39" borderId="57" applyNumberFormat="0" applyAlignment="0" applyProtection="0"/>
    <xf numFmtId="0" fontId="103" fillId="39" borderId="57" applyNumberFormat="0" applyAlignment="0" applyProtection="0"/>
    <xf numFmtId="0" fontId="115" fillId="39" borderId="57" applyNumberFormat="0" applyAlignment="0" applyProtection="0"/>
    <xf numFmtId="0" fontId="103" fillId="39" borderId="57" applyNumberFormat="0" applyAlignment="0" applyProtection="0"/>
    <xf numFmtId="0" fontId="115" fillId="39" borderId="57" applyNumberFormat="0" applyAlignment="0" applyProtection="0"/>
    <xf numFmtId="0" fontId="117" fillId="53" borderId="56" applyNumberFormat="0" applyAlignment="0" applyProtection="0"/>
    <xf numFmtId="0" fontId="117" fillId="53" borderId="56" applyNumberFormat="0" applyAlignment="0" applyProtection="0"/>
    <xf numFmtId="0" fontId="104" fillId="53" borderId="56" applyNumberFormat="0" applyAlignment="0" applyProtection="0"/>
    <xf numFmtId="0" fontId="117" fillId="53" borderId="56" applyNumberFormat="0" applyAlignment="0" applyProtection="0"/>
    <xf numFmtId="0" fontId="104" fillId="53" borderId="56" applyNumberFormat="0" applyAlignment="0" applyProtection="0"/>
    <xf numFmtId="0" fontId="117" fillId="53" borderId="56" applyNumberFormat="0" applyAlignment="0" applyProtection="0"/>
    <xf numFmtId="0" fontId="104" fillId="53" borderId="56" applyNumberFormat="0" applyAlignment="0" applyProtection="0"/>
    <xf numFmtId="0" fontId="117" fillId="53" borderId="56" applyNumberFormat="0" applyAlignment="0" applyProtection="0"/>
    <xf numFmtId="0" fontId="104" fillId="53" borderId="56" applyNumberFormat="0" applyAlignment="0" applyProtection="0"/>
    <xf numFmtId="0" fontId="104" fillId="53" borderId="56" applyNumberFormat="0" applyAlignment="0" applyProtection="0"/>
    <xf numFmtId="0" fontId="104" fillId="53" borderId="56" applyNumberFormat="0" applyAlignment="0" applyProtection="0"/>
    <xf numFmtId="0" fontId="117" fillId="53" borderId="56" applyNumberFormat="0" applyAlignment="0" applyProtection="0"/>
    <xf numFmtId="0" fontId="118" fillId="53" borderId="56" applyNumberFormat="0" applyAlignment="0" applyProtection="0"/>
    <xf numFmtId="0" fontId="118" fillId="53" borderId="56" applyNumberFormat="0" applyAlignment="0" applyProtection="0"/>
    <xf numFmtId="0" fontId="118" fillId="53" borderId="56" applyNumberFormat="0" applyAlignment="0" applyProtection="0"/>
    <xf numFmtId="0" fontId="118" fillId="53" borderId="56" applyNumberFormat="0" applyAlignment="0" applyProtection="0"/>
    <xf numFmtId="0" fontId="118" fillId="53" borderId="56" applyNumberFormat="0" applyAlignment="0" applyProtection="0"/>
    <xf numFmtId="0" fontId="118" fillId="53" borderId="56" applyNumberFormat="0" applyAlignment="0" applyProtection="0"/>
    <xf numFmtId="0" fontId="118" fillId="53" borderId="56" applyNumberFormat="0" applyAlignment="0" applyProtection="0"/>
    <xf numFmtId="0" fontId="117" fillId="53" borderId="56" applyNumberFormat="0" applyAlignment="0" applyProtection="0"/>
    <xf numFmtId="0" fontId="104" fillId="53" borderId="56" applyNumberFormat="0" applyAlignment="0" applyProtection="0"/>
    <xf numFmtId="0" fontId="117" fillId="53" borderId="56" applyNumberFormat="0" applyAlignment="0" applyProtection="0"/>
    <xf numFmtId="0" fontId="104" fillId="53" borderId="56" applyNumberFormat="0" applyAlignment="0" applyProtection="0"/>
    <xf numFmtId="0" fontId="117" fillId="53" borderId="56" applyNumberFormat="0" applyAlignment="0" applyProtection="0"/>
    <xf numFmtId="0" fontId="153" fillId="0" borderId="0">
      <protection locked="0"/>
    </xf>
    <xf numFmtId="194" fontId="11" fillId="0" borderId="0" applyFont="0" applyFill="0" applyBorder="0" applyAlignment="0" applyProtection="0">
      <alignment wrapText="1"/>
    </xf>
    <xf numFmtId="41" fontId="11" fillId="0" borderId="0" applyFont="0" applyFill="0" applyBorder="0" applyAlignment="0" applyProtection="0"/>
    <xf numFmtId="181" fontId="11" fillId="0" borderId="0" applyFont="0" applyFill="0" applyBorder="0" applyAlignment="0" applyProtection="0"/>
    <xf numFmtId="185" fontId="11" fillId="0" borderId="0" applyFont="0" applyFill="0" applyBorder="0" applyAlignment="0" applyProtection="0"/>
    <xf numFmtId="190" fontId="10" fillId="0" borderId="0" applyFont="0" applyFill="0" applyBorder="0" applyAlignment="0" applyProtection="0"/>
    <xf numFmtId="190" fontId="10" fillId="0" borderId="0" applyFont="0" applyFill="0" applyBorder="0" applyAlignment="0" applyProtection="0"/>
    <xf numFmtId="190" fontId="10" fillId="0" borderId="0" applyFont="0" applyFill="0" applyBorder="0" applyAlignment="0" applyProtection="0"/>
    <xf numFmtId="185" fontId="11" fillId="0" borderId="0" applyFont="0" applyFill="0" applyBorder="0" applyAlignment="0" applyProtection="0"/>
    <xf numFmtId="0" fontId="119" fillId="36" borderId="0" applyNumberFormat="0" applyBorder="0" applyAlignment="0" applyProtection="0"/>
    <xf numFmtId="0" fontId="119" fillId="36" borderId="0" applyNumberFormat="0" applyBorder="0" applyAlignment="0" applyProtection="0"/>
    <xf numFmtId="0" fontId="100" fillId="36" borderId="0" applyNumberFormat="0" applyBorder="0" applyAlignment="0" applyProtection="0"/>
    <xf numFmtId="0" fontId="119" fillId="36" borderId="0" applyNumberFormat="0" applyBorder="0" applyAlignment="0" applyProtection="0"/>
    <xf numFmtId="0" fontId="100" fillId="36" borderId="0" applyNumberFormat="0" applyBorder="0" applyAlignment="0" applyProtection="0"/>
    <xf numFmtId="0" fontId="119" fillId="36" borderId="0" applyNumberFormat="0" applyBorder="0" applyAlignment="0" applyProtection="0"/>
    <xf numFmtId="0" fontId="100" fillId="36" borderId="0" applyNumberFormat="0" applyBorder="0" applyAlignment="0" applyProtection="0"/>
    <xf numFmtId="0" fontId="100" fillId="36" borderId="0" applyNumberFormat="0" applyBorder="0" applyAlignment="0" applyProtection="0"/>
    <xf numFmtId="0" fontId="100" fillId="36" borderId="0" applyNumberFormat="0" applyBorder="0" applyAlignment="0" applyProtection="0"/>
    <xf numFmtId="0" fontId="176" fillId="32" borderId="0" applyNumberFormat="0" applyBorder="0" applyAlignment="0" applyProtection="0"/>
    <xf numFmtId="0" fontId="100" fillId="36" borderId="0" applyNumberFormat="0" applyBorder="0" applyAlignment="0" applyProtection="0"/>
    <xf numFmtId="0" fontId="119" fillId="36" borderId="0" applyNumberFormat="0" applyBorder="0" applyAlignment="0" applyProtection="0"/>
    <xf numFmtId="0" fontId="120" fillId="36" borderId="0" applyNumberFormat="0" applyBorder="0" applyAlignment="0" applyProtection="0"/>
    <xf numFmtId="0" fontId="120" fillId="36" borderId="0" applyNumberFormat="0" applyBorder="0" applyAlignment="0" applyProtection="0"/>
    <xf numFmtId="0" fontId="120" fillId="36" borderId="0" applyNumberFormat="0" applyBorder="0" applyAlignment="0" applyProtection="0"/>
    <xf numFmtId="0" fontId="120" fillId="36" borderId="0" applyNumberFormat="0" applyBorder="0" applyAlignment="0" applyProtection="0"/>
    <xf numFmtId="0" fontId="120" fillId="36" borderId="0" applyNumberFormat="0" applyBorder="0" applyAlignment="0" applyProtection="0"/>
    <xf numFmtId="0" fontId="120" fillId="36" borderId="0" applyNumberFormat="0" applyBorder="0" applyAlignment="0" applyProtection="0"/>
    <xf numFmtId="0" fontId="120" fillId="36" borderId="0" applyNumberFormat="0" applyBorder="0" applyAlignment="0" applyProtection="0"/>
    <xf numFmtId="0" fontId="119" fillId="36" borderId="0" applyNumberFormat="0" applyBorder="0" applyAlignment="0" applyProtection="0"/>
    <xf numFmtId="0" fontId="100" fillId="36" borderId="0" applyNumberFormat="0" applyBorder="0" applyAlignment="0" applyProtection="0"/>
    <xf numFmtId="0" fontId="119" fillId="36" borderId="0" applyNumberFormat="0" applyBorder="0" applyAlignment="0" applyProtection="0"/>
    <xf numFmtId="0" fontId="100" fillId="36" borderId="0" applyNumberFormat="0" applyBorder="0" applyAlignment="0" applyProtection="0"/>
    <xf numFmtId="0" fontId="119" fillId="36" borderId="0" applyNumberFormat="0" applyBorder="0" applyAlignment="0" applyProtection="0"/>
    <xf numFmtId="182" fontId="32" fillId="0" borderId="0" applyFont="0" applyFill="0" applyBorder="0" applyAlignment="0" applyProtection="0"/>
    <xf numFmtId="0" fontId="103" fillId="39" borderId="57" applyNumberFormat="0" applyAlignment="0" applyProtection="0"/>
    <xf numFmtId="0" fontId="95" fillId="0" borderId="59" applyNumberFormat="0" applyFill="0" applyAlignment="0" applyProtection="0"/>
    <xf numFmtId="0" fontId="109" fillId="0" borderId="0" applyNumberFormat="0" applyFill="0" applyBorder="0" applyAlignment="0" applyProtection="0"/>
    <xf numFmtId="186" fontId="11" fillId="0" borderId="0" applyFont="0" applyFill="0" applyBorder="0" applyAlignment="0" applyProtection="0"/>
    <xf numFmtId="186" fontId="11" fillId="0" borderId="0" applyFont="0" applyFill="0" applyBorder="0" applyAlignment="0" applyProtection="0"/>
    <xf numFmtId="186" fontId="11" fillId="0" borderId="0" applyFont="0" applyFill="0" applyBorder="0" applyAlignment="0" applyProtection="0"/>
    <xf numFmtId="187" fontId="11" fillId="0" borderId="0" applyFont="0" applyFill="0" applyBorder="0" applyAlignment="0" applyProtection="0"/>
    <xf numFmtId="188" fontId="11" fillId="0" borderId="0" applyFont="0" applyFill="0" applyBorder="0" applyAlignment="0" applyProtection="0"/>
    <xf numFmtId="186" fontId="11" fillId="0" borderId="0" applyFont="0" applyFill="0" applyBorder="0" applyAlignment="0" applyProtection="0"/>
    <xf numFmtId="188" fontId="11" fillId="0" borderId="0" applyFont="0" applyFill="0" applyBorder="0" applyAlignment="0" applyProtection="0"/>
    <xf numFmtId="188" fontId="11" fillId="0" borderId="0" applyFont="0" applyFill="0" applyBorder="0" applyAlignment="0" applyProtection="0"/>
    <xf numFmtId="186" fontId="11" fillId="0" borderId="0" applyFont="0" applyFill="0" applyBorder="0" applyAlignment="0" applyProtection="0"/>
    <xf numFmtId="188" fontId="11" fillId="0" borderId="0" applyFont="0" applyFill="0" applyBorder="0" applyAlignment="0" applyProtection="0"/>
    <xf numFmtId="186" fontId="11" fillId="0" borderId="0" applyFont="0" applyFill="0" applyBorder="0" applyAlignment="0" applyProtection="0"/>
    <xf numFmtId="186" fontId="11" fillId="0" borderId="0" applyFont="0" applyFill="0" applyBorder="0" applyAlignment="0" applyProtection="0"/>
    <xf numFmtId="188" fontId="11" fillId="0" borderId="0" applyFont="0" applyFill="0" applyBorder="0" applyAlignment="0" applyProtection="0"/>
    <xf numFmtId="0" fontId="109" fillId="0" borderId="0" applyNumberFormat="0" applyFill="0" applyBorder="0" applyAlignment="0" applyProtection="0"/>
    <xf numFmtId="0" fontId="109" fillId="0" borderId="0" applyNumberFormat="0" applyFill="0" applyBorder="0" applyAlignment="0" applyProtection="0"/>
    <xf numFmtId="195" fontId="153" fillId="0" borderId="0">
      <protection locked="0"/>
    </xf>
    <xf numFmtId="0" fontId="156" fillId="0" borderId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0" fontId="100" fillId="36" borderId="0" applyNumberFormat="0" applyBorder="0" applyAlignment="0" applyProtection="0"/>
    <xf numFmtId="0" fontId="100" fillId="36" borderId="0" applyNumberFormat="0" applyBorder="0" applyAlignment="0" applyProtection="0"/>
    <xf numFmtId="38" fontId="27" fillId="55" borderId="0" applyNumberFormat="0" applyBorder="0" applyAlignment="0" applyProtection="0"/>
    <xf numFmtId="0" fontId="100" fillId="36" borderId="0" applyNumberFormat="0" applyBorder="0" applyAlignment="0" applyProtection="0"/>
    <xf numFmtId="0" fontId="157" fillId="0" borderId="0" applyNumberFormat="0" applyFill="0" applyBorder="0" applyAlignment="0" applyProtection="0"/>
    <xf numFmtId="0" fontId="158" fillId="0" borderId="0">
      <protection locked="0"/>
    </xf>
    <xf numFmtId="0" fontId="158" fillId="0" borderId="0">
      <protection locked="0"/>
    </xf>
    <xf numFmtId="0" fontId="158" fillId="0" borderId="0">
      <protection locked="0"/>
    </xf>
    <xf numFmtId="0" fontId="158" fillId="0" borderId="0">
      <protection locked="0"/>
    </xf>
    <xf numFmtId="0" fontId="158" fillId="0" borderId="0">
      <protection locked="0"/>
    </xf>
    <xf numFmtId="0" fontId="158" fillId="0" borderId="0">
      <protection locked="0"/>
    </xf>
    <xf numFmtId="0" fontId="158" fillId="0" borderId="0">
      <protection locked="0"/>
    </xf>
    <xf numFmtId="0" fontId="158" fillId="0" borderId="0">
      <protection locked="0"/>
    </xf>
    <xf numFmtId="0" fontId="158" fillId="0" borderId="0">
      <protection locked="0"/>
    </xf>
    <xf numFmtId="0" fontId="158" fillId="0" borderId="0">
      <protection locked="0"/>
    </xf>
    <xf numFmtId="0" fontId="97" fillId="0" borderId="60" applyNumberFormat="0" applyFill="0" applyAlignment="0" applyProtection="0"/>
    <xf numFmtId="0" fontId="158" fillId="0" borderId="0">
      <protection locked="0"/>
    </xf>
    <xf numFmtId="0" fontId="97" fillId="0" borderId="60" applyNumberFormat="0" applyFill="0" applyAlignment="0" applyProtection="0"/>
    <xf numFmtId="0" fontId="97" fillId="0" borderId="60" applyNumberFormat="0" applyFill="0" applyAlignment="0" applyProtection="0"/>
    <xf numFmtId="0" fontId="158" fillId="0" borderId="0">
      <protection locked="0"/>
    </xf>
    <xf numFmtId="0" fontId="158" fillId="0" borderId="0">
      <protection locked="0"/>
    </xf>
    <xf numFmtId="0" fontId="158" fillId="0" borderId="0">
      <protection locked="0"/>
    </xf>
    <xf numFmtId="0" fontId="158" fillId="0" borderId="0">
      <protection locked="0"/>
    </xf>
    <xf numFmtId="0" fontId="158" fillId="0" borderId="0">
      <protection locked="0"/>
    </xf>
    <xf numFmtId="0" fontId="158" fillId="0" borderId="0">
      <protection locked="0"/>
    </xf>
    <xf numFmtId="0" fontId="158" fillId="0" borderId="0">
      <protection locked="0"/>
    </xf>
    <xf numFmtId="0" fontId="158" fillId="0" borderId="0">
      <protection locked="0"/>
    </xf>
    <xf numFmtId="0" fontId="158" fillId="0" borderId="0">
      <protection locked="0"/>
    </xf>
    <xf numFmtId="0" fontId="158" fillId="0" borderId="0">
      <protection locked="0"/>
    </xf>
    <xf numFmtId="0" fontId="158" fillId="0" borderId="0">
      <protection locked="0"/>
    </xf>
    <xf numFmtId="0" fontId="158" fillId="0" borderId="0">
      <protection locked="0"/>
    </xf>
    <xf numFmtId="0" fontId="158" fillId="0" borderId="0">
      <protection locked="0"/>
    </xf>
    <xf numFmtId="0" fontId="158" fillId="0" borderId="0">
      <protection locked="0"/>
    </xf>
    <xf numFmtId="0" fontId="158" fillId="0" borderId="0">
      <protection locked="0"/>
    </xf>
    <xf numFmtId="0" fontId="158" fillId="0" borderId="0">
      <protection locked="0"/>
    </xf>
    <xf numFmtId="0" fontId="158" fillId="0" borderId="0">
      <protection locked="0"/>
    </xf>
    <xf numFmtId="0" fontId="98" fillId="0" borderId="61" applyNumberFormat="0" applyFill="0" applyAlignment="0" applyProtection="0"/>
    <xf numFmtId="0" fontId="158" fillId="0" borderId="0">
      <protection locked="0"/>
    </xf>
    <xf numFmtId="0" fontId="98" fillId="0" borderId="61" applyNumberFormat="0" applyFill="0" applyAlignment="0" applyProtection="0"/>
    <xf numFmtId="0" fontId="98" fillId="0" borderId="61" applyNumberFormat="0" applyFill="0" applyAlignment="0" applyProtection="0"/>
    <xf numFmtId="0" fontId="158" fillId="0" borderId="0">
      <protection locked="0"/>
    </xf>
    <xf numFmtId="0" fontId="158" fillId="0" borderId="0">
      <protection locked="0"/>
    </xf>
    <xf numFmtId="0" fontId="158" fillId="0" borderId="0">
      <protection locked="0"/>
    </xf>
    <xf numFmtId="0" fontId="158" fillId="0" borderId="0">
      <protection locked="0"/>
    </xf>
    <xf numFmtId="0" fontId="158" fillId="0" borderId="0">
      <protection locked="0"/>
    </xf>
    <xf numFmtId="0" fontId="158" fillId="0" borderId="0">
      <protection locked="0"/>
    </xf>
    <xf numFmtId="0" fontId="158" fillId="0" borderId="0">
      <protection locked="0"/>
    </xf>
    <xf numFmtId="0" fontId="99" fillId="0" borderId="62" applyNumberFormat="0" applyFill="0" applyAlignment="0" applyProtection="0"/>
    <xf numFmtId="0" fontId="99" fillId="0" borderId="62" applyNumberFormat="0" applyFill="0" applyAlignment="0" applyProtection="0"/>
    <xf numFmtId="0" fontId="99" fillId="0" borderId="0" applyNumberFormat="0" applyFill="0" applyBorder="0" applyAlignment="0" applyProtection="0"/>
    <xf numFmtId="0" fontId="99" fillId="0" borderId="0" applyNumberFormat="0" applyFill="0" applyBorder="0" applyAlignment="0" applyProtection="0"/>
    <xf numFmtId="0" fontId="158" fillId="0" borderId="0">
      <protection locked="0"/>
    </xf>
    <xf numFmtId="0" fontId="158" fillId="0" borderId="0">
      <protection locked="0"/>
    </xf>
    <xf numFmtId="0" fontId="25" fillId="0" borderId="0" applyNumberFormat="0" applyFill="0" applyBorder="0" applyAlignment="0" applyProtection="0"/>
    <xf numFmtId="0" fontId="159" fillId="0" borderId="63" applyNumberFormat="0" applyFill="0" applyAlignment="0" applyProtection="0"/>
    <xf numFmtId="0" fontId="122" fillId="0" borderId="0" applyNumberFormat="0" applyFill="0" applyBorder="0" applyAlignment="0" applyProtection="0">
      <alignment vertical="top"/>
      <protection locked="0"/>
    </xf>
    <xf numFmtId="0" fontId="122" fillId="0" borderId="0" applyNumberFormat="0" applyFill="0" applyBorder="0" applyAlignment="0" applyProtection="0">
      <alignment vertical="top"/>
      <protection locked="0"/>
    </xf>
    <xf numFmtId="0" fontId="177" fillId="0" borderId="0" applyNumberFormat="0" applyFill="0" applyBorder="0" applyAlignment="0" applyProtection="0"/>
    <xf numFmtId="0" fontId="177" fillId="0" borderId="0" applyNumberFormat="0" applyFill="0" applyBorder="0" applyAlignment="0" applyProtection="0"/>
    <xf numFmtId="0" fontId="121" fillId="0" borderId="0" applyNumberFormat="0" applyFill="0" applyBorder="0" applyAlignment="0" applyProtection="0"/>
    <xf numFmtId="0" fontId="177" fillId="0" borderId="0" applyNumberFormat="0" applyFill="0" applyBorder="0" applyAlignment="0" applyProtection="0"/>
    <xf numFmtId="0" fontId="121" fillId="0" borderId="0" applyNumberFormat="0" applyFill="0" applyBorder="0" applyAlignment="0" applyProtection="0"/>
    <xf numFmtId="0" fontId="177" fillId="0" borderId="0" applyNumberFormat="0" applyFill="0" applyBorder="0" applyAlignment="0" applyProtection="0"/>
    <xf numFmtId="0" fontId="121" fillId="0" borderId="0" applyNumberFormat="0" applyFill="0" applyBorder="0" applyAlignment="0" applyProtection="0"/>
    <xf numFmtId="0" fontId="178" fillId="0" borderId="0" applyNumberFormat="0" applyFill="0" applyBorder="0" applyAlignment="0" applyProtection="0"/>
    <xf numFmtId="0" fontId="178" fillId="0" borderId="0" applyNumberFormat="0" applyFill="0" applyBorder="0" applyAlignment="0" applyProtection="0"/>
    <xf numFmtId="0" fontId="122" fillId="0" borderId="0" applyNumberFormat="0" applyFill="0" applyBorder="0" applyAlignment="0" applyProtection="0">
      <alignment vertical="top"/>
      <protection locked="0"/>
    </xf>
    <xf numFmtId="0" fontId="122" fillId="0" borderId="0" applyNumberFormat="0" applyFill="0" applyBorder="0" applyAlignment="0" applyProtection="0">
      <alignment vertical="top"/>
      <protection locked="0"/>
    </xf>
    <xf numFmtId="0" fontId="122" fillId="0" borderId="0" applyNumberFormat="0" applyFill="0" applyBorder="0" applyAlignment="0" applyProtection="0">
      <alignment vertical="top"/>
      <protection locked="0"/>
    </xf>
    <xf numFmtId="0" fontId="122" fillId="0" borderId="0" applyNumberFormat="0" applyFill="0" applyBorder="0" applyAlignment="0" applyProtection="0">
      <alignment vertical="top"/>
      <protection locked="0"/>
    </xf>
    <xf numFmtId="0" fontId="122" fillId="0" borderId="0" applyNumberFormat="0" applyFill="0" applyBorder="0" applyAlignment="0" applyProtection="0">
      <alignment vertical="top"/>
      <protection locked="0"/>
    </xf>
    <xf numFmtId="0" fontId="122" fillId="0" borderId="0" applyNumberFormat="0" applyFill="0" applyBorder="0" applyAlignment="0" applyProtection="0">
      <alignment vertical="top"/>
      <protection locked="0"/>
    </xf>
    <xf numFmtId="0" fontId="123" fillId="0" borderId="0" applyNumberFormat="0" applyFill="0" applyBorder="0" applyAlignment="0" applyProtection="0">
      <alignment vertical="top"/>
      <protection locked="0"/>
    </xf>
    <xf numFmtId="0" fontId="178" fillId="0" borderId="0" applyNumberFormat="0" applyFill="0" applyBorder="0" applyAlignment="0" applyProtection="0">
      <alignment vertical="top"/>
      <protection locked="0"/>
    </xf>
    <xf numFmtId="0" fontId="123" fillId="0" borderId="0" applyNumberFormat="0" applyFill="0" applyBorder="0" applyAlignment="0" applyProtection="0">
      <alignment vertical="top"/>
      <protection locked="0"/>
    </xf>
    <xf numFmtId="0" fontId="178" fillId="0" borderId="0" applyNumberFormat="0" applyFill="0" applyBorder="0" applyAlignment="0" applyProtection="0">
      <alignment vertical="top"/>
      <protection locked="0"/>
    </xf>
    <xf numFmtId="0" fontId="123" fillId="0" borderId="0" applyNumberFormat="0" applyFill="0" applyBorder="0" applyAlignment="0" applyProtection="0">
      <alignment vertical="top"/>
      <protection locked="0"/>
    </xf>
    <xf numFmtId="0" fontId="178" fillId="0" borderId="0" applyNumberFormat="0" applyFill="0" applyBorder="0" applyAlignment="0" applyProtection="0">
      <alignment vertical="top"/>
      <protection locked="0"/>
    </xf>
    <xf numFmtId="0" fontId="123" fillId="0" borderId="0" applyNumberFormat="0" applyFill="0" applyBorder="0" applyAlignment="0" applyProtection="0">
      <alignment vertical="top"/>
      <protection locked="0"/>
    </xf>
    <xf numFmtId="0" fontId="122" fillId="0" borderId="0" applyNumberFormat="0" applyFill="0" applyBorder="0" applyAlignment="0" applyProtection="0">
      <alignment vertical="top"/>
      <protection locked="0"/>
    </xf>
    <xf numFmtId="10" fontId="27" fillId="56" borderId="1" applyNumberFormat="0" applyBorder="0" applyAlignment="0" applyProtection="0"/>
    <xf numFmtId="0" fontId="103" fillId="39" borderId="57" applyNumberFormat="0" applyAlignment="0" applyProtection="0"/>
    <xf numFmtId="0" fontId="103" fillId="39" borderId="57" applyNumberFormat="0" applyAlignment="0" applyProtection="0"/>
    <xf numFmtId="0" fontId="103" fillId="39" borderId="57" applyNumberFormat="0" applyAlignment="0" applyProtection="0"/>
    <xf numFmtId="0" fontId="103" fillId="39" borderId="57" applyNumberFormat="0" applyAlignment="0" applyProtection="0"/>
    <xf numFmtId="0" fontId="103" fillId="39" borderId="57" applyNumberFormat="0" applyAlignment="0" applyProtection="0"/>
    <xf numFmtId="0" fontId="103" fillId="39" borderId="57" applyNumberFormat="0" applyAlignment="0" applyProtection="0"/>
    <xf numFmtId="0" fontId="103" fillId="39" borderId="57" applyNumberFormat="0" applyAlignment="0" applyProtection="0"/>
    <xf numFmtId="0" fontId="103" fillId="39" borderId="57" applyNumberFormat="0" applyAlignment="0" applyProtection="0"/>
    <xf numFmtId="0" fontId="103" fillId="39" borderId="57" applyNumberFormat="0" applyAlignment="0" applyProtection="0"/>
    <xf numFmtId="0" fontId="103" fillId="39" borderId="57" applyNumberFormat="0" applyAlignment="0" applyProtection="0"/>
    <xf numFmtId="0" fontId="103" fillId="39" borderId="57" applyNumberFormat="0" applyAlignment="0" applyProtection="0"/>
    <xf numFmtId="0" fontId="103" fillId="39" borderId="57" applyNumberFormat="0" applyAlignment="0" applyProtection="0"/>
    <xf numFmtId="0" fontId="103" fillId="39" borderId="57" applyNumberFormat="0" applyAlignment="0" applyProtection="0"/>
    <xf numFmtId="0" fontId="103" fillId="39" borderId="57" applyNumberFormat="0" applyAlignment="0" applyProtection="0"/>
    <xf numFmtId="0" fontId="103" fillId="39" borderId="57" applyNumberFormat="0" applyAlignment="0" applyProtection="0"/>
    <xf numFmtId="0" fontId="103" fillId="39" borderId="57" applyNumberFormat="0" applyAlignment="0" applyProtection="0"/>
    <xf numFmtId="0" fontId="103" fillId="39" borderId="57" applyNumberFormat="0" applyAlignment="0" applyProtection="0"/>
    <xf numFmtId="0" fontId="103" fillId="39" borderId="57" applyNumberFormat="0" applyAlignment="0" applyProtection="0"/>
    <xf numFmtId="0" fontId="103" fillId="39" borderId="57" applyNumberFormat="0" applyAlignment="0" applyProtection="0"/>
    <xf numFmtId="0" fontId="103" fillId="39" borderId="57" applyNumberFormat="0" applyAlignment="0" applyProtection="0"/>
    <xf numFmtId="0" fontId="103" fillId="39" borderId="57" applyNumberFormat="0" applyAlignment="0" applyProtection="0"/>
    <xf numFmtId="0" fontId="103" fillId="39" borderId="57" applyNumberFormat="0" applyAlignment="0" applyProtection="0"/>
    <xf numFmtId="0" fontId="103" fillId="39" borderId="57" applyNumberFormat="0" applyAlignment="0" applyProtection="0"/>
    <xf numFmtId="0" fontId="103" fillId="39" borderId="57" applyNumberFormat="0" applyAlignment="0" applyProtection="0"/>
    <xf numFmtId="0" fontId="103" fillId="39" borderId="57" applyNumberFormat="0" applyAlignment="0" applyProtection="0"/>
    <xf numFmtId="0" fontId="103" fillId="39" borderId="57" applyNumberFormat="0" applyAlignment="0" applyProtection="0"/>
    <xf numFmtId="0" fontId="103" fillId="39" borderId="57" applyNumberFormat="0" applyAlignment="0" applyProtection="0"/>
    <xf numFmtId="0" fontId="103" fillId="39" borderId="57" applyNumberFormat="0" applyAlignment="0" applyProtection="0"/>
    <xf numFmtId="0" fontId="103" fillId="39" borderId="57" applyNumberFormat="0" applyAlignment="0" applyProtection="0"/>
    <xf numFmtId="0" fontId="103" fillId="39" borderId="57" applyNumberFormat="0" applyAlignment="0" applyProtection="0"/>
    <xf numFmtId="0" fontId="103" fillId="39" borderId="57" applyNumberFormat="0" applyAlignment="0" applyProtection="0"/>
    <xf numFmtId="0" fontId="103" fillId="39" borderId="57" applyNumberFormat="0" applyAlignment="0" applyProtection="0"/>
    <xf numFmtId="0" fontId="103" fillId="39" borderId="57" applyNumberFormat="0" applyAlignment="0" applyProtection="0"/>
    <xf numFmtId="0" fontId="103" fillId="39" borderId="57" applyNumberFormat="0" applyAlignment="0" applyProtection="0"/>
    <xf numFmtId="0" fontId="103" fillId="39" borderId="57" applyNumberFormat="0" applyAlignment="0" applyProtection="0"/>
    <xf numFmtId="0" fontId="103" fillId="39" borderId="57" applyNumberFormat="0" applyAlignment="0" applyProtection="0"/>
    <xf numFmtId="0" fontId="103" fillId="39" borderId="57" applyNumberFormat="0" applyAlignment="0" applyProtection="0"/>
    <xf numFmtId="0" fontId="103" fillId="39" borderId="57" applyNumberFormat="0" applyAlignment="0" applyProtection="0"/>
    <xf numFmtId="0" fontId="103" fillId="39" borderId="57" applyNumberFormat="0" applyAlignment="0" applyProtection="0"/>
    <xf numFmtId="0" fontId="103" fillId="39" borderId="57" applyNumberFormat="0" applyAlignment="0" applyProtection="0"/>
    <xf numFmtId="0" fontId="103" fillId="39" borderId="57" applyNumberFormat="0" applyAlignment="0" applyProtection="0"/>
    <xf numFmtId="0" fontId="103" fillId="39" borderId="57" applyNumberFormat="0" applyAlignment="0" applyProtection="0"/>
    <xf numFmtId="0" fontId="103" fillId="39" borderId="57" applyNumberFormat="0" applyAlignment="0" applyProtection="0"/>
    <xf numFmtId="0" fontId="103" fillId="39" borderId="57" applyNumberFormat="0" applyAlignment="0" applyProtection="0"/>
    <xf numFmtId="0" fontId="103" fillId="39" borderId="57" applyNumberFormat="0" applyAlignment="0" applyProtection="0"/>
    <xf numFmtId="0" fontId="103" fillId="39" borderId="57" applyNumberFormat="0" applyAlignment="0" applyProtection="0"/>
    <xf numFmtId="0" fontId="103" fillId="39" borderId="57" applyNumberFormat="0" applyAlignment="0" applyProtection="0"/>
    <xf numFmtId="0" fontId="103" fillId="39" borderId="57" applyNumberFormat="0" applyAlignment="0" applyProtection="0"/>
    <xf numFmtId="0" fontId="103" fillId="39" borderId="57" applyNumberFormat="0" applyAlignment="0" applyProtection="0"/>
    <xf numFmtId="0" fontId="103" fillId="39" borderId="57" applyNumberFormat="0" applyAlignment="0" applyProtection="0"/>
    <xf numFmtId="4" fontId="26" fillId="0" borderId="0" applyBorder="0">
      <alignment horizontal="right" vertical="center"/>
    </xf>
    <xf numFmtId="4" fontId="26" fillId="0" borderId="53">
      <alignment horizontal="right" vertical="center"/>
    </xf>
    <xf numFmtId="40" fontId="124" fillId="0" borderId="0" applyFont="0" applyFill="0" applyBorder="0" applyAlignment="0" applyProtection="0"/>
    <xf numFmtId="43" fontId="11" fillId="0" borderId="0" applyFont="0" applyFill="0" applyBorder="0" applyAlignment="0" applyProtection="0"/>
    <xf numFmtId="185" fontId="11" fillId="0" borderId="0" applyFont="0" applyFill="0" applyBorder="0" applyAlignment="0" applyProtection="0"/>
    <xf numFmtId="0" fontId="125" fillId="0" borderId="64" applyNumberFormat="0" applyFill="0" applyAlignment="0" applyProtection="0"/>
    <xf numFmtId="0" fontId="125" fillId="0" borderId="64" applyNumberFormat="0" applyFill="0" applyAlignment="0" applyProtection="0"/>
    <xf numFmtId="0" fontId="106" fillId="0" borderId="64" applyNumberFormat="0" applyFill="0" applyAlignment="0" applyProtection="0"/>
    <xf numFmtId="0" fontId="125" fillId="0" borderId="64" applyNumberFormat="0" applyFill="0" applyAlignment="0" applyProtection="0"/>
    <xf numFmtId="0" fontId="106" fillId="0" borderId="64" applyNumberFormat="0" applyFill="0" applyAlignment="0" applyProtection="0"/>
    <xf numFmtId="0" fontId="125" fillId="0" borderId="64" applyNumberFormat="0" applyFill="0" applyAlignment="0" applyProtection="0"/>
    <xf numFmtId="0" fontId="106" fillId="0" borderId="64" applyNumberFormat="0" applyFill="0" applyAlignment="0" applyProtection="0"/>
    <xf numFmtId="0" fontId="125" fillId="0" borderId="64" applyNumberFormat="0" applyFill="0" applyAlignment="0" applyProtection="0"/>
    <xf numFmtId="0" fontId="106" fillId="0" borderId="64" applyNumberFormat="0" applyFill="0" applyAlignment="0" applyProtection="0"/>
    <xf numFmtId="0" fontId="106" fillId="0" borderId="64" applyNumberFormat="0" applyFill="0" applyAlignment="0" applyProtection="0"/>
    <xf numFmtId="0" fontId="106" fillId="0" borderId="64" applyNumberFormat="0" applyFill="0" applyAlignment="0" applyProtection="0"/>
    <xf numFmtId="0" fontId="125" fillId="0" borderId="64" applyNumberFormat="0" applyFill="0" applyAlignment="0" applyProtection="0"/>
    <xf numFmtId="0" fontId="126" fillId="0" borderId="64" applyNumberFormat="0" applyFill="0" applyAlignment="0" applyProtection="0"/>
    <xf numFmtId="0" fontId="126" fillId="0" borderId="64" applyNumberFormat="0" applyFill="0" applyAlignment="0" applyProtection="0"/>
    <xf numFmtId="0" fontId="126" fillId="0" borderId="64" applyNumberFormat="0" applyFill="0" applyAlignment="0" applyProtection="0"/>
    <xf numFmtId="0" fontId="126" fillId="0" borderId="64" applyNumberFormat="0" applyFill="0" applyAlignment="0" applyProtection="0"/>
    <xf numFmtId="0" fontId="126" fillId="0" borderId="64" applyNumberFormat="0" applyFill="0" applyAlignment="0" applyProtection="0"/>
    <xf numFmtId="0" fontId="126" fillId="0" borderId="64" applyNumberFormat="0" applyFill="0" applyAlignment="0" applyProtection="0"/>
    <xf numFmtId="0" fontId="126" fillId="0" borderId="64" applyNumberFormat="0" applyFill="0" applyAlignment="0" applyProtection="0"/>
    <xf numFmtId="0" fontId="125" fillId="0" borderId="64" applyNumberFormat="0" applyFill="0" applyAlignment="0" applyProtection="0"/>
    <xf numFmtId="0" fontId="106" fillId="0" borderId="64" applyNumberFormat="0" applyFill="0" applyAlignment="0" applyProtection="0"/>
    <xf numFmtId="0" fontId="125" fillId="0" borderId="64" applyNumberFormat="0" applyFill="0" applyAlignment="0" applyProtection="0"/>
    <xf numFmtId="0" fontId="106" fillId="0" borderId="64" applyNumberFormat="0" applyFill="0" applyAlignment="0" applyProtection="0"/>
    <xf numFmtId="0" fontId="125" fillId="0" borderId="64" applyNumberFormat="0" applyFill="0" applyAlignment="0" applyProtection="0"/>
    <xf numFmtId="0" fontId="127" fillId="54" borderId="58" applyNumberFormat="0" applyAlignment="0" applyProtection="0"/>
    <xf numFmtId="0" fontId="127" fillId="54" borderId="58" applyNumberFormat="0" applyAlignment="0" applyProtection="0"/>
    <xf numFmtId="0" fontId="107" fillId="54" borderId="58" applyNumberFormat="0" applyAlignment="0" applyProtection="0"/>
    <xf numFmtId="0" fontId="127" fillId="54" borderId="58" applyNumberFormat="0" applyAlignment="0" applyProtection="0"/>
    <xf numFmtId="0" fontId="107" fillId="54" borderId="58" applyNumberFormat="0" applyAlignment="0" applyProtection="0"/>
    <xf numFmtId="0" fontId="127" fillId="54" borderId="58" applyNumberFormat="0" applyAlignment="0" applyProtection="0"/>
    <xf numFmtId="0" fontId="107" fillId="54" borderId="58" applyNumberFormat="0" applyAlignment="0" applyProtection="0"/>
    <xf numFmtId="0" fontId="127" fillId="54" borderId="58" applyNumberFormat="0" applyAlignment="0" applyProtection="0"/>
    <xf numFmtId="0" fontId="107" fillId="54" borderId="58" applyNumberFormat="0" applyAlignment="0" applyProtection="0"/>
    <xf numFmtId="0" fontId="107" fillId="54" borderId="58" applyNumberFormat="0" applyAlignment="0" applyProtection="0"/>
    <xf numFmtId="0" fontId="107" fillId="54" borderId="58" applyNumberFormat="0" applyAlignment="0" applyProtection="0"/>
    <xf numFmtId="0" fontId="127" fillId="54" borderId="58" applyNumberFormat="0" applyAlignment="0" applyProtection="0"/>
    <xf numFmtId="0" fontId="128" fillId="54" borderId="58" applyNumberFormat="0" applyAlignment="0" applyProtection="0"/>
    <xf numFmtId="0" fontId="128" fillId="54" borderId="58" applyNumberFormat="0" applyAlignment="0" applyProtection="0"/>
    <xf numFmtId="0" fontId="128" fillId="54" borderId="58" applyNumberFormat="0" applyAlignment="0" applyProtection="0"/>
    <xf numFmtId="0" fontId="128" fillId="54" borderId="58" applyNumberFormat="0" applyAlignment="0" applyProtection="0"/>
    <xf numFmtId="0" fontId="128" fillId="54" borderId="58" applyNumberFormat="0" applyAlignment="0" applyProtection="0"/>
    <xf numFmtId="0" fontId="128" fillId="54" borderId="58" applyNumberFormat="0" applyAlignment="0" applyProtection="0"/>
    <xf numFmtId="0" fontId="128" fillId="54" borderId="58" applyNumberFormat="0" applyAlignment="0" applyProtection="0"/>
    <xf numFmtId="0" fontId="127" fillId="54" borderId="58" applyNumberFormat="0" applyAlignment="0" applyProtection="0"/>
    <xf numFmtId="0" fontId="107" fillId="54" borderId="58" applyNumberFormat="0" applyAlignment="0" applyProtection="0"/>
    <xf numFmtId="0" fontId="127" fillId="54" borderId="58" applyNumberFormat="0" applyAlignment="0" applyProtection="0"/>
    <xf numFmtId="0" fontId="107" fillId="54" borderId="58" applyNumberFormat="0" applyAlignment="0" applyProtection="0"/>
    <xf numFmtId="0" fontId="127" fillId="54" borderId="58" applyNumberFormat="0" applyAlignment="0" applyProtection="0"/>
    <xf numFmtId="0" fontId="106" fillId="0" borderId="64" applyNumberFormat="0" applyFill="0" applyAlignment="0" applyProtection="0"/>
    <xf numFmtId="0" fontId="106" fillId="0" borderId="64" applyNumberFormat="0" applyFill="0" applyAlignment="0" applyProtection="0"/>
    <xf numFmtId="0" fontId="129" fillId="0" borderId="60" applyNumberFormat="0" applyFill="0" applyAlignment="0" applyProtection="0"/>
    <xf numFmtId="0" fontId="129" fillId="0" borderId="60" applyNumberFormat="0" applyFill="0" applyAlignment="0" applyProtection="0"/>
    <xf numFmtId="0" fontId="97" fillId="0" borderId="60" applyNumberFormat="0" applyFill="0" applyAlignment="0" applyProtection="0"/>
    <xf numFmtId="0" fontId="129" fillId="0" borderId="60" applyNumberFormat="0" applyFill="0" applyAlignment="0" applyProtection="0"/>
    <xf numFmtId="0" fontId="97" fillId="0" borderId="60" applyNumberFormat="0" applyFill="0" applyAlignment="0" applyProtection="0"/>
    <xf numFmtId="0" fontId="129" fillId="0" borderId="60" applyNumberFormat="0" applyFill="0" applyAlignment="0" applyProtection="0"/>
    <xf numFmtId="0" fontId="97" fillId="0" borderId="60" applyNumberFormat="0" applyFill="0" applyAlignment="0" applyProtection="0"/>
    <xf numFmtId="0" fontId="129" fillId="0" borderId="60" applyNumberFormat="0" applyFill="0" applyAlignment="0" applyProtection="0"/>
    <xf numFmtId="0" fontId="97" fillId="0" borderId="60" applyNumberFormat="0" applyFill="0" applyAlignment="0" applyProtection="0"/>
    <xf numFmtId="0" fontId="97" fillId="0" borderId="60" applyNumberFormat="0" applyFill="0" applyAlignment="0" applyProtection="0"/>
    <xf numFmtId="0" fontId="97" fillId="0" borderId="60" applyNumberFormat="0" applyFill="0" applyAlignment="0" applyProtection="0"/>
    <xf numFmtId="0" fontId="129" fillId="0" borderId="60" applyNumberFormat="0" applyFill="0" applyAlignment="0" applyProtection="0"/>
    <xf numFmtId="0" fontId="130" fillId="0" borderId="60" applyNumberFormat="0" applyFill="0" applyAlignment="0" applyProtection="0"/>
    <xf numFmtId="0" fontId="130" fillId="0" borderId="60" applyNumberFormat="0" applyFill="0" applyAlignment="0" applyProtection="0"/>
    <xf numFmtId="0" fontId="130" fillId="0" borderId="60" applyNumberFormat="0" applyFill="0" applyAlignment="0" applyProtection="0"/>
    <xf numFmtId="0" fontId="130" fillId="0" borderId="60" applyNumberFormat="0" applyFill="0" applyAlignment="0" applyProtection="0"/>
    <xf numFmtId="0" fontId="130" fillId="0" borderId="60" applyNumberFormat="0" applyFill="0" applyAlignment="0" applyProtection="0"/>
    <xf numFmtId="0" fontId="130" fillId="0" borderId="60" applyNumberFormat="0" applyFill="0" applyAlignment="0" applyProtection="0"/>
    <xf numFmtId="0" fontId="130" fillId="0" borderId="60" applyNumberFormat="0" applyFill="0" applyAlignment="0" applyProtection="0"/>
    <xf numFmtId="0" fontId="129" fillId="0" borderId="60" applyNumberFormat="0" applyFill="0" applyAlignment="0" applyProtection="0"/>
    <xf numFmtId="0" fontId="97" fillId="0" borderId="60" applyNumberFormat="0" applyFill="0" applyAlignment="0" applyProtection="0"/>
    <xf numFmtId="0" fontId="129" fillId="0" borderId="60" applyNumberFormat="0" applyFill="0" applyAlignment="0" applyProtection="0"/>
    <xf numFmtId="0" fontId="97" fillId="0" borderId="60" applyNumberFormat="0" applyFill="0" applyAlignment="0" applyProtection="0"/>
    <xf numFmtId="0" fontId="129" fillId="0" borderId="60" applyNumberFormat="0" applyFill="0" applyAlignment="0" applyProtection="0"/>
    <xf numFmtId="0" fontId="131" fillId="0" borderId="61" applyNumberFormat="0" applyFill="0" applyAlignment="0" applyProtection="0"/>
    <xf numFmtId="0" fontId="131" fillId="0" borderId="61" applyNumberFormat="0" applyFill="0" applyAlignment="0" applyProtection="0"/>
    <xf numFmtId="0" fontId="98" fillId="0" borderId="61" applyNumberFormat="0" applyFill="0" applyAlignment="0" applyProtection="0"/>
    <xf numFmtId="0" fontId="131" fillId="0" borderId="61" applyNumberFormat="0" applyFill="0" applyAlignment="0" applyProtection="0"/>
    <xf numFmtId="0" fontId="98" fillId="0" borderId="61" applyNumberFormat="0" applyFill="0" applyAlignment="0" applyProtection="0"/>
    <xf numFmtId="0" fontId="131" fillId="0" borderId="61" applyNumberFormat="0" applyFill="0" applyAlignment="0" applyProtection="0"/>
    <xf numFmtId="0" fontId="98" fillId="0" borderId="61" applyNumberFormat="0" applyFill="0" applyAlignment="0" applyProtection="0"/>
    <xf numFmtId="0" fontId="131" fillId="0" borderId="61" applyNumberFormat="0" applyFill="0" applyAlignment="0" applyProtection="0"/>
    <xf numFmtId="0" fontId="98" fillId="0" borderId="61" applyNumberFormat="0" applyFill="0" applyAlignment="0" applyProtection="0"/>
    <xf numFmtId="0" fontId="98" fillId="0" borderId="61" applyNumberFormat="0" applyFill="0" applyAlignment="0" applyProtection="0"/>
    <xf numFmtId="0" fontId="98" fillId="0" borderId="61" applyNumberFormat="0" applyFill="0" applyAlignment="0" applyProtection="0"/>
    <xf numFmtId="0" fontId="131" fillId="0" borderId="61" applyNumberFormat="0" applyFill="0" applyAlignment="0" applyProtection="0"/>
    <xf numFmtId="0" fontId="132" fillId="0" borderId="61" applyNumberFormat="0" applyFill="0" applyAlignment="0" applyProtection="0"/>
    <xf numFmtId="0" fontId="132" fillId="0" borderId="61" applyNumberFormat="0" applyFill="0" applyAlignment="0" applyProtection="0"/>
    <xf numFmtId="0" fontId="132" fillId="0" borderId="61" applyNumberFormat="0" applyFill="0" applyAlignment="0" applyProtection="0"/>
    <xf numFmtId="0" fontId="132" fillId="0" borderId="61" applyNumberFormat="0" applyFill="0" applyAlignment="0" applyProtection="0"/>
    <xf numFmtId="0" fontId="132" fillId="0" borderId="61" applyNumberFormat="0" applyFill="0" applyAlignment="0" applyProtection="0"/>
    <xf numFmtId="0" fontId="132" fillId="0" borderId="61" applyNumberFormat="0" applyFill="0" applyAlignment="0" applyProtection="0"/>
    <xf numFmtId="0" fontId="132" fillId="0" borderId="61" applyNumberFormat="0" applyFill="0" applyAlignment="0" applyProtection="0"/>
    <xf numFmtId="0" fontId="131" fillId="0" borderId="61" applyNumberFormat="0" applyFill="0" applyAlignment="0" applyProtection="0"/>
    <xf numFmtId="0" fontId="98" fillId="0" borderId="61" applyNumberFormat="0" applyFill="0" applyAlignment="0" applyProtection="0"/>
    <xf numFmtId="0" fontId="131" fillId="0" borderId="61" applyNumberFormat="0" applyFill="0" applyAlignment="0" applyProtection="0"/>
    <xf numFmtId="0" fontId="98" fillId="0" borderId="61" applyNumberFormat="0" applyFill="0" applyAlignment="0" applyProtection="0"/>
    <xf numFmtId="0" fontId="131" fillId="0" borderId="61" applyNumberFormat="0" applyFill="0" applyAlignment="0" applyProtection="0"/>
    <xf numFmtId="0" fontId="133" fillId="0" borderId="62" applyNumberFormat="0" applyFill="0" applyAlignment="0" applyProtection="0"/>
    <xf numFmtId="0" fontId="133" fillId="0" borderId="62" applyNumberFormat="0" applyFill="0" applyAlignment="0" applyProtection="0"/>
    <xf numFmtId="0" fontId="99" fillId="0" borderId="62" applyNumberFormat="0" applyFill="0" applyAlignment="0" applyProtection="0"/>
    <xf numFmtId="0" fontId="133" fillId="0" borderId="62" applyNumberFormat="0" applyFill="0" applyAlignment="0" applyProtection="0"/>
    <xf numFmtId="0" fontId="99" fillId="0" borderId="62" applyNumberFormat="0" applyFill="0" applyAlignment="0" applyProtection="0"/>
    <xf numFmtId="0" fontId="133" fillId="0" borderId="62" applyNumberFormat="0" applyFill="0" applyAlignment="0" applyProtection="0"/>
    <xf numFmtId="0" fontId="99" fillId="0" borderId="62" applyNumberFormat="0" applyFill="0" applyAlignment="0" applyProtection="0"/>
    <xf numFmtId="0" fontId="133" fillId="0" borderId="62" applyNumberFormat="0" applyFill="0" applyAlignment="0" applyProtection="0"/>
    <xf numFmtId="0" fontId="99" fillId="0" borderId="62" applyNumberFormat="0" applyFill="0" applyAlignment="0" applyProtection="0"/>
    <xf numFmtId="0" fontId="99" fillId="0" borderId="62" applyNumberFormat="0" applyFill="0" applyAlignment="0" applyProtection="0"/>
    <xf numFmtId="0" fontId="99" fillId="0" borderId="62" applyNumberFormat="0" applyFill="0" applyAlignment="0" applyProtection="0"/>
    <xf numFmtId="0" fontId="133" fillId="0" borderId="62" applyNumberFormat="0" applyFill="0" applyAlignment="0" applyProtection="0"/>
    <xf numFmtId="0" fontId="134" fillId="0" borderId="62" applyNumberFormat="0" applyFill="0" applyAlignment="0" applyProtection="0"/>
    <xf numFmtId="0" fontId="134" fillId="0" borderId="62" applyNumberFormat="0" applyFill="0" applyAlignment="0" applyProtection="0"/>
    <xf numFmtId="0" fontId="134" fillId="0" borderId="62" applyNumberFormat="0" applyFill="0" applyAlignment="0" applyProtection="0"/>
    <xf numFmtId="0" fontId="134" fillId="0" borderId="62" applyNumberFormat="0" applyFill="0" applyAlignment="0" applyProtection="0"/>
    <xf numFmtId="0" fontId="134" fillId="0" borderId="62" applyNumberFormat="0" applyFill="0" applyAlignment="0" applyProtection="0"/>
    <xf numFmtId="0" fontId="134" fillId="0" borderId="62" applyNumberFormat="0" applyFill="0" applyAlignment="0" applyProtection="0"/>
    <xf numFmtId="0" fontId="134" fillId="0" borderId="62" applyNumberFormat="0" applyFill="0" applyAlignment="0" applyProtection="0"/>
    <xf numFmtId="0" fontId="133" fillId="0" borderId="62" applyNumberFormat="0" applyFill="0" applyAlignment="0" applyProtection="0"/>
    <xf numFmtId="0" fontId="99" fillId="0" borderId="62" applyNumberFormat="0" applyFill="0" applyAlignment="0" applyProtection="0"/>
    <xf numFmtId="0" fontId="133" fillId="0" borderId="62" applyNumberFormat="0" applyFill="0" applyAlignment="0" applyProtection="0"/>
    <xf numFmtId="0" fontId="99" fillId="0" borderId="62" applyNumberFormat="0" applyFill="0" applyAlignment="0" applyProtection="0"/>
    <xf numFmtId="0" fontId="133" fillId="0" borderId="62" applyNumberFormat="0" applyFill="0" applyAlignment="0" applyProtection="0"/>
    <xf numFmtId="0" fontId="133" fillId="0" borderId="0" applyNumberFormat="0" applyFill="0" applyBorder="0" applyAlignment="0" applyProtection="0"/>
    <xf numFmtId="0" fontId="133" fillId="0" borderId="0" applyNumberFormat="0" applyFill="0" applyBorder="0" applyAlignment="0" applyProtection="0"/>
    <xf numFmtId="0" fontId="99" fillId="0" borderId="0" applyNumberFormat="0" applyFill="0" applyBorder="0" applyAlignment="0" applyProtection="0"/>
    <xf numFmtId="0" fontId="133" fillId="0" borderId="0" applyNumberFormat="0" applyFill="0" applyBorder="0" applyAlignment="0" applyProtection="0"/>
    <xf numFmtId="0" fontId="99" fillId="0" borderId="0" applyNumberFormat="0" applyFill="0" applyBorder="0" applyAlignment="0" applyProtection="0"/>
    <xf numFmtId="0" fontId="133" fillId="0" borderId="0" applyNumberFormat="0" applyFill="0" applyBorder="0" applyAlignment="0" applyProtection="0"/>
    <xf numFmtId="0" fontId="99" fillId="0" borderId="0" applyNumberFormat="0" applyFill="0" applyBorder="0" applyAlignment="0" applyProtection="0"/>
    <xf numFmtId="0" fontId="99" fillId="0" borderId="0" applyNumberFormat="0" applyFill="0" applyBorder="0" applyAlignment="0" applyProtection="0"/>
    <xf numFmtId="0" fontId="99" fillId="0" borderId="0" applyNumberFormat="0" applyFill="0" applyBorder="0" applyAlignment="0" applyProtection="0"/>
    <xf numFmtId="0" fontId="99" fillId="0" borderId="0" applyNumberFormat="0" applyFill="0" applyBorder="0" applyAlignment="0" applyProtection="0"/>
    <xf numFmtId="0" fontId="133" fillId="0" borderId="0" applyNumberFormat="0" applyFill="0" applyBorder="0" applyAlignment="0" applyProtection="0"/>
    <xf numFmtId="0" fontId="134" fillId="0" borderId="0" applyNumberFormat="0" applyFill="0" applyBorder="0" applyAlignment="0" applyProtection="0"/>
    <xf numFmtId="0" fontId="134" fillId="0" borderId="0" applyNumberFormat="0" applyFill="0" applyBorder="0" applyAlignment="0" applyProtection="0"/>
    <xf numFmtId="0" fontId="134" fillId="0" borderId="0" applyNumberFormat="0" applyFill="0" applyBorder="0" applyAlignment="0" applyProtection="0"/>
    <xf numFmtId="0" fontId="134" fillId="0" borderId="0" applyNumberFormat="0" applyFill="0" applyBorder="0" applyAlignment="0" applyProtection="0"/>
    <xf numFmtId="0" fontId="134" fillId="0" borderId="0" applyNumberFormat="0" applyFill="0" applyBorder="0" applyAlignment="0" applyProtection="0"/>
    <xf numFmtId="0" fontId="134" fillId="0" borderId="0" applyNumberFormat="0" applyFill="0" applyBorder="0" applyAlignment="0" applyProtection="0"/>
    <xf numFmtId="0" fontId="134" fillId="0" borderId="0" applyNumberFormat="0" applyFill="0" applyBorder="0" applyAlignment="0" applyProtection="0"/>
    <xf numFmtId="0" fontId="133" fillId="0" borderId="0" applyNumberFormat="0" applyFill="0" applyBorder="0" applyAlignment="0" applyProtection="0"/>
    <xf numFmtId="0" fontId="99" fillId="0" borderId="0" applyNumberFormat="0" applyFill="0" applyBorder="0" applyAlignment="0" applyProtection="0"/>
    <xf numFmtId="0" fontId="133" fillId="0" borderId="0" applyNumberFormat="0" applyFill="0" applyBorder="0" applyAlignment="0" applyProtection="0"/>
    <xf numFmtId="0" fontId="99" fillId="0" borderId="0" applyNumberFormat="0" applyFill="0" applyBorder="0" applyAlignment="0" applyProtection="0"/>
    <xf numFmtId="0" fontId="133" fillId="0" borderId="0" applyNumberFormat="0" applyFill="0" applyBorder="0" applyAlignment="0" applyProtection="0"/>
    <xf numFmtId="0" fontId="102" fillId="57" borderId="0" applyNumberFormat="0" applyBorder="0" applyAlignment="0" applyProtection="0"/>
    <xf numFmtId="0" fontId="102" fillId="57" borderId="0" applyNumberFormat="0" applyBorder="0" applyAlignment="0" applyProtection="0"/>
    <xf numFmtId="0" fontId="135" fillId="57" borderId="0" applyNumberFormat="0" applyBorder="0" applyAlignment="0" applyProtection="0"/>
    <xf numFmtId="0" fontId="135" fillId="57" borderId="0" applyNumberFormat="0" applyBorder="0" applyAlignment="0" applyProtection="0"/>
    <xf numFmtId="0" fontId="102" fillId="57" borderId="0" applyNumberFormat="0" applyBorder="0" applyAlignment="0" applyProtection="0"/>
    <xf numFmtId="0" fontId="135" fillId="57" borderId="0" applyNumberFormat="0" applyBorder="0" applyAlignment="0" applyProtection="0"/>
    <xf numFmtId="0" fontId="102" fillId="57" borderId="0" applyNumberFormat="0" applyBorder="0" applyAlignment="0" applyProtection="0"/>
    <xf numFmtId="0" fontId="135" fillId="57" borderId="0" applyNumberFormat="0" applyBorder="0" applyAlignment="0" applyProtection="0"/>
    <xf numFmtId="0" fontId="102" fillId="57" borderId="0" applyNumberFormat="0" applyBorder="0" applyAlignment="0" applyProtection="0"/>
    <xf numFmtId="0" fontId="102" fillId="57" borderId="0" applyNumberFormat="0" applyBorder="0" applyAlignment="0" applyProtection="0"/>
    <xf numFmtId="0" fontId="179" fillId="33" borderId="0" applyNumberFormat="0" applyBorder="0" applyAlignment="0" applyProtection="0"/>
    <xf numFmtId="0" fontId="135" fillId="57" borderId="0" applyNumberFormat="0" applyBorder="0" applyAlignment="0" applyProtection="0"/>
    <xf numFmtId="0" fontId="179" fillId="33" borderId="0" applyNumberFormat="0" applyBorder="0" applyAlignment="0" applyProtection="0"/>
    <xf numFmtId="0" fontId="102" fillId="57" borderId="0" applyNumberFormat="0" applyBorder="0" applyAlignment="0" applyProtection="0"/>
    <xf numFmtId="0" fontId="102" fillId="57" borderId="0" applyNumberFormat="0" applyBorder="0" applyAlignment="0" applyProtection="0"/>
    <xf numFmtId="0" fontId="135" fillId="57" borderId="0" applyNumberFormat="0" applyBorder="0" applyAlignment="0" applyProtection="0"/>
    <xf numFmtId="0" fontId="136" fillId="57" borderId="0" applyNumberFormat="0" applyBorder="0" applyAlignment="0" applyProtection="0"/>
    <xf numFmtId="0" fontId="136" fillId="57" borderId="0" applyNumberFormat="0" applyBorder="0" applyAlignment="0" applyProtection="0"/>
    <xf numFmtId="0" fontId="136" fillId="57" borderId="0" applyNumberFormat="0" applyBorder="0" applyAlignment="0" applyProtection="0"/>
    <xf numFmtId="0" fontId="136" fillId="57" borderId="0" applyNumberFormat="0" applyBorder="0" applyAlignment="0" applyProtection="0"/>
    <xf numFmtId="0" fontId="136" fillId="57" borderId="0" applyNumberFormat="0" applyBorder="0" applyAlignment="0" applyProtection="0"/>
    <xf numFmtId="0" fontId="136" fillId="57" borderId="0" applyNumberFormat="0" applyBorder="0" applyAlignment="0" applyProtection="0"/>
    <xf numFmtId="0" fontId="136" fillId="57" borderId="0" applyNumberFormat="0" applyBorder="0" applyAlignment="0" applyProtection="0"/>
    <xf numFmtId="0" fontId="135" fillId="57" borderId="0" applyNumberFormat="0" applyBorder="0" applyAlignment="0" applyProtection="0"/>
    <xf numFmtId="0" fontId="102" fillId="57" borderId="0" applyNumberFormat="0" applyBorder="0" applyAlignment="0" applyProtection="0"/>
    <xf numFmtId="0" fontId="135" fillId="57" borderId="0" applyNumberFormat="0" applyBorder="0" applyAlignment="0" applyProtection="0"/>
    <xf numFmtId="0" fontId="102" fillId="57" borderId="0" applyNumberFormat="0" applyBorder="0" applyAlignment="0" applyProtection="0"/>
    <xf numFmtId="0" fontId="135" fillId="57" borderId="0" applyNumberFormat="0" applyBorder="0" applyAlignment="0" applyProtection="0"/>
    <xf numFmtId="37" fontId="160" fillId="0" borderId="0"/>
    <xf numFmtId="43" fontId="11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1" fillId="0" borderId="0"/>
    <xf numFmtId="0" fontId="6" fillId="0" borderId="0"/>
    <xf numFmtId="0" fontId="10" fillId="0" borderId="0"/>
    <xf numFmtId="0" fontId="6" fillId="0" borderId="0"/>
    <xf numFmtId="0" fontId="11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6" fillId="0" borderId="0"/>
    <xf numFmtId="0" fontId="10" fillId="0" borderId="0"/>
    <xf numFmtId="0" fontId="6" fillId="0" borderId="0"/>
    <xf numFmtId="0" fontId="11" fillId="0" borderId="0"/>
    <xf numFmtId="0" fontId="6" fillId="0" borderId="0"/>
    <xf numFmtId="0" fontId="10" fillId="0" borderId="0"/>
    <xf numFmtId="0" fontId="6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6" fillId="0" borderId="0"/>
    <xf numFmtId="0" fontId="10" fillId="0" borderId="0"/>
    <xf numFmtId="0" fontId="6" fillId="0" borderId="0"/>
    <xf numFmtId="0" fontId="11" fillId="0" borderId="0"/>
    <xf numFmtId="0" fontId="6" fillId="0" borderId="0"/>
    <xf numFmtId="0" fontId="10" fillId="0" borderId="0"/>
    <xf numFmtId="0" fontId="6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37" fillId="0" borderId="0" applyNumberFormat="0" applyFill="0" applyBorder="0" applyProtection="0">
      <alignment horizontal="left" vertical="center"/>
    </xf>
    <xf numFmtId="0" fontId="11" fillId="58" borderId="0" applyNumberFormat="0" applyFont="0" applyBorder="0" applyAlignment="0" applyProtection="0"/>
    <xf numFmtId="0" fontId="11" fillId="58" borderId="0" applyNumberFormat="0" applyFont="0" applyBorder="0" applyAlignment="0" applyProtection="0"/>
    <xf numFmtId="0" fontId="138" fillId="0" borderId="0"/>
    <xf numFmtId="0" fontId="149" fillId="0" borderId="0"/>
    <xf numFmtId="0" fontId="32" fillId="0" borderId="0"/>
    <xf numFmtId="0" fontId="149" fillId="0" borderId="0"/>
    <xf numFmtId="0" fontId="149" fillId="0" borderId="0"/>
    <xf numFmtId="0" fontId="149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149" fillId="0" borderId="0"/>
    <xf numFmtId="0" fontId="149" fillId="0" borderId="0"/>
    <xf numFmtId="0" fontId="149" fillId="0" borderId="0"/>
    <xf numFmtId="0" fontId="149" fillId="0" borderId="0"/>
    <xf numFmtId="0" fontId="149" fillId="0" borderId="0"/>
    <xf numFmtId="0" fontId="149" fillId="0" borderId="0"/>
    <xf numFmtId="0" fontId="149" fillId="0" borderId="0"/>
    <xf numFmtId="0" fontId="149" fillId="0" borderId="0"/>
    <xf numFmtId="0" fontId="149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6" fillId="0" borderId="0"/>
    <xf numFmtId="0" fontId="10" fillId="0" borderId="0"/>
    <xf numFmtId="0" fontId="6" fillId="0" borderId="0"/>
    <xf numFmtId="0" fontId="149" fillId="0" borderId="0"/>
    <xf numFmtId="0" fontId="149" fillId="0" borderId="0"/>
    <xf numFmtId="0" fontId="149" fillId="0" borderId="0"/>
    <xf numFmtId="0" fontId="149" fillId="0" borderId="0"/>
    <xf numFmtId="0" fontId="149" fillId="0" borderId="0"/>
    <xf numFmtId="0" fontId="149" fillId="0" borderId="0"/>
    <xf numFmtId="0" fontId="149" fillId="0" borderId="0"/>
    <xf numFmtId="0" fontId="149" fillId="0" borderId="0"/>
    <xf numFmtId="0" fontId="111" fillId="0" borderId="0"/>
    <xf numFmtId="0" fontId="1" fillId="0" borderId="0"/>
    <xf numFmtId="0" fontId="111" fillId="0" borderId="0"/>
    <xf numFmtId="0" fontId="111" fillId="0" borderId="0"/>
    <xf numFmtId="0" fontId="1" fillId="0" borderId="0"/>
    <xf numFmtId="0" fontId="111" fillId="0" borderId="0"/>
    <xf numFmtId="0" fontId="1" fillId="0" borderId="0"/>
    <xf numFmtId="0" fontId="111" fillId="0" borderId="0"/>
    <xf numFmtId="0" fontId="1" fillId="0" borderId="0"/>
    <xf numFmtId="0" fontId="111" fillId="0" borderId="0"/>
    <xf numFmtId="0" fontId="111" fillId="0" borderId="0"/>
    <xf numFmtId="0" fontId="1" fillId="0" borderId="0"/>
    <xf numFmtId="0" fontId="111" fillId="0" borderId="0"/>
    <xf numFmtId="0" fontId="111" fillId="0" borderId="0"/>
    <xf numFmtId="0" fontId="1" fillId="0" borderId="0"/>
    <xf numFmtId="0" fontId="111" fillId="0" borderId="0"/>
    <xf numFmtId="0" fontId="111" fillId="0" borderId="0"/>
    <xf numFmtId="0" fontId="1" fillId="0" borderId="0"/>
    <xf numFmtId="0" fontId="111" fillId="0" borderId="0"/>
    <xf numFmtId="0" fontId="1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1" fillId="0" borderId="0"/>
    <xf numFmtId="0" fontId="1" fillId="0" borderId="0"/>
    <xf numFmtId="0" fontId="111" fillId="0" borderId="0"/>
    <xf numFmtId="0" fontId="1" fillId="0" borderId="0"/>
    <xf numFmtId="0" fontId="111" fillId="0" borderId="0"/>
    <xf numFmtId="0" fontId="1" fillId="0" borderId="0"/>
    <xf numFmtId="0" fontId="111" fillId="0" borderId="0"/>
    <xf numFmtId="0" fontId="1" fillId="0" borderId="0"/>
    <xf numFmtId="0" fontId="1" fillId="0" borderId="0"/>
    <xf numFmtId="0" fontId="111" fillId="0" borderId="0"/>
    <xf numFmtId="0" fontId="1" fillId="0" borderId="0"/>
    <xf numFmtId="0" fontId="111" fillId="0" borderId="0"/>
    <xf numFmtId="0" fontId="1" fillId="0" borderId="0"/>
    <xf numFmtId="0" fontId="111" fillId="0" borderId="0"/>
    <xf numFmtId="0" fontId="1" fillId="0" borderId="0"/>
    <xf numFmtId="0" fontId="111" fillId="0" borderId="0"/>
    <xf numFmtId="0" fontId="1" fillId="0" borderId="0"/>
    <xf numFmtId="0" fontId="111" fillId="0" borderId="0"/>
    <xf numFmtId="0" fontId="1" fillId="0" borderId="0"/>
    <xf numFmtId="0" fontId="111" fillId="0" borderId="0"/>
    <xf numFmtId="0" fontId="1" fillId="0" borderId="0"/>
    <xf numFmtId="0" fontId="1" fillId="0" borderId="0"/>
    <xf numFmtId="0" fontId="111" fillId="0" borderId="0"/>
    <xf numFmtId="0" fontId="1" fillId="0" borderId="0"/>
    <xf numFmtId="0" fontId="111" fillId="0" borderId="0"/>
    <xf numFmtId="0" fontId="1" fillId="0" borderId="0"/>
    <xf numFmtId="0" fontId="111" fillId="0" borderId="0"/>
    <xf numFmtId="0" fontId="1" fillId="0" borderId="0"/>
    <xf numFmtId="0" fontId="111" fillId="0" borderId="0"/>
    <xf numFmtId="0" fontId="1" fillId="0" borderId="0"/>
    <xf numFmtId="0" fontId="1" fillId="0" borderId="0"/>
    <xf numFmtId="0" fontId="111" fillId="0" borderId="0"/>
    <xf numFmtId="0" fontId="1" fillId="0" borderId="0"/>
    <xf numFmtId="0" fontId="111" fillId="0" borderId="0"/>
    <xf numFmtId="0" fontId="1" fillId="0" borderId="0"/>
    <xf numFmtId="0" fontId="111" fillId="0" borderId="0"/>
    <xf numFmtId="0" fontId="1" fillId="0" borderId="0"/>
    <xf numFmtId="0" fontId="111" fillId="0" borderId="0"/>
    <xf numFmtId="0" fontId="1" fillId="0" borderId="0"/>
    <xf numFmtId="0" fontId="1" fillId="0" borderId="0"/>
    <xf numFmtId="0" fontId="111" fillId="0" borderId="0"/>
    <xf numFmtId="0" fontId="1" fillId="0" borderId="0"/>
    <xf numFmtId="0" fontId="111" fillId="0" borderId="0"/>
    <xf numFmtId="0" fontId="1" fillId="0" borderId="0"/>
    <xf numFmtId="0" fontId="111" fillId="0" borderId="0"/>
    <xf numFmtId="0" fontId="1" fillId="0" borderId="0"/>
    <xf numFmtId="0" fontId="111" fillId="0" borderId="0"/>
    <xf numFmtId="0" fontId="1" fillId="0" borderId="0"/>
    <xf numFmtId="0" fontId="111" fillId="0" borderId="0"/>
    <xf numFmtId="0" fontId="1" fillId="0" borderId="0"/>
    <xf numFmtId="0" fontId="111" fillId="0" borderId="0"/>
    <xf numFmtId="0" fontId="1" fillId="0" borderId="0"/>
    <xf numFmtId="0" fontId="1" fillId="0" borderId="0"/>
    <xf numFmtId="0" fontId="111" fillId="0" borderId="0"/>
    <xf numFmtId="0" fontId="1" fillId="0" borderId="0"/>
    <xf numFmtId="0" fontId="111" fillId="0" borderId="0"/>
    <xf numFmtId="0" fontId="1" fillId="0" borderId="0"/>
    <xf numFmtId="0" fontId="111" fillId="0" borderId="0"/>
    <xf numFmtId="0" fontId="1" fillId="0" borderId="0"/>
    <xf numFmtId="0" fontId="111" fillId="0" borderId="0"/>
    <xf numFmtId="0" fontId="1" fillId="0" borderId="0"/>
    <xf numFmtId="0" fontId="1" fillId="0" borderId="0"/>
    <xf numFmtId="0" fontId="1" fillId="0" borderId="0"/>
    <xf numFmtId="0" fontId="111" fillId="0" borderId="0"/>
    <xf numFmtId="0" fontId="1" fillId="0" borderId="0"/>
    <xf numFmtId="0" fontId="111" fillId="0" borderId="0"/>
    <xf numFmtId="0" fontId="1" fillId="0" borderId="0"/>
    <xf numFmtId="0" fontId="111" fillId="0" borderId="0"/>
    <xf numFmtId="0" fontId="1" fillId="0" borderId="0"/>
    <xf numFmtId="0" fontId="111" fillId="0" borderId="0"/>
    <xf numFmtId="0" fontId="1" fillId="0" borderId="0"/>
    <xf numFmtId="0" fontId="1" fillId="0" borderId="0"/>
    <xf numFmtId="0" fontId="111" fillId="0" borderId="0"/>
    <xf numFmtId="0" fontId="1" fillId="0" borderId="0"/>
    <xf numFmtId="0" fontId="111" fillId="0" borderId="0"/>
    <xf numFmtId="0" fontId="1" fillId="0" borderId="0"/>
    <xf numFmtId="0" fontId="111" fillId="0" borderId="0"/>
    <xf numFmtId="0" fontId="1" fillId="0" borderId="0"/>
    <xf numFmtId="0" fontId="111" fillId="0" borderId="0"/>
    <xf numFmtId="0" fontId="1" fillId="0" borderId="0"/>
    <xf numFmtId="0" fontId="111" fillId="0" borderId="0"/>
    <xf numFmtId="0" fontId="1" fillId="0" borderId="0"/>
    <xf numFmtId="0" fontId="111" fillId="0" borderId="0"/>
    <xf numFmtId="0" fontId="1" fillId="0" borderId="0"/>
    <xf numFmtId="0" fontId="1" fillId="0" borderId="0"/>
    <xf numFmtId="0" fontId="111" fillId="0" borderId="0"/>
    <xf numFmtId="0" fontId="1" fillId="0" borderId="0"/>
    <xf numFmtId="0" fontId="111" fillId="0" borderId="0"/>
    <xf numFmtId="0" fontId="1" fillId="0" borderId="0"/>
    <xf numFmtId="0" fontId="111" fillId="0" borderId="0"/>
    <xf numFmtId="0" fontId="1" fillId="0" borderId="0"/>
    <xf numFmtId="0" fontId="111" fillId="0" borderId="0"/>
    <xf numFmtId="0" fontId="1" fillId="0" borderId="0"/>
    <xf numFmtId="0" fontId="1" fillId="0" borderId="0"/>
    <xf numFmtId="0" fontId="111" fillId="0" borderId="0"/>
    <xf numFmtId="0" fontId="1" fillId="0" borderId="0"/>
    <xf numFmtId="0" fontId="111" fillId="0" borderId="0"/>
    <xf numFmtId="0" fontId="1" fillId="0" borderId="0"/>
    <xf numFmtId="0" fontId="111" fillId="0" borderId="0"/>
    <xf numFmtId="0" fontId="1" fillId="0" borderId="0"/>
    <xf numFmtId="0" fontId="111" fillId="0" borderId="0"/>
    <xf numFmtId="0" fontId="1" fillId="0" borderId="0"/>
    <xf numFmtId="0" fontId="1" fillId="0" borderId="0"/>
    <xf numFmtId="0" fontId="111" fillId="0" borderId="0"/>
    <xf numFmtId="0" fontId="1" fillId="0" borderId="0"/>
    <xf numFmtId="0" fontId="111" fillId="0" borderId="0"/>
    <xf numFmtId="0" fontId="1" fillId="0" borderId="0"/>
    <xf numFmtId="0" fontId="111" fillId="0" borderId="0"/>
    <xf numFmtId="0" fontId="1" fillId="0" borderId="0"/>
    <xf numFmtId="0" fontId="111" fillId="0" borderId="0"/>
    <xf numFmtId="0" fontId="1" fillId="0" borderId="0"/>
    <xf numFmtId="0" fontId="111" fillId="0" borderId="0"/>
    <xf numFmtId="0" fontId="1" fillId="0" borderId="0"/>
    <xf numFmtId="0" fontId="111" fillId="0" borderId="0"/>
    <xf numFmtId="0" fontId="1" fillId="0" borderId="0"/>
    <xf numFmtId="0" fontId="1" fillId="0" borderId="0"/>
    <xf numFmtId="0" fontId="111" fillId="0" borderId="0"/>
    <xf numFmtId="0" fontId="1" fillId="0" borderId="0"/>
    <xf numFmtId="0" fontId="111" fillId="0" borderId="0"/>
    <xf numFmtId="0" fontId="1" fillId="0" borderId="0"/>
    <xf numFmtId="0" fontId="111" fillId="0" borderId="0"/>
    <xf numFmtId="0" fontId="1" fillId="0" borderId="0"/>
    <xf numFmtId="0" fontId="1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49" fillId="0" borderId="0"/>
    <xf numFmtId="0" fontId="149" fillId="0" borderId="0"/>
    <xf numFmtId="0" fontId="149" fillId="0" borderId="0"/>
    <xf numFmtId="0" fontId="149" fillId="0" borderId="0"/>
    <xf numFmtId="0" fontId="149" fillId="0" borderId="0"/>
    <xf numFmtId="0" fontId="149" fillId="0" borderId="0"/>
    <xf numFmtId="0" fontId="149" fillId="0" borderId="0"/>
    <xf numFmtId="0" fontId="149" fillId="0" borderId="0"/>
    <xf numFmtId="0" fontId="149" fillId="0" borderId="0"/>
    <xf numFmtId="0" fontId="149" fillId="0" borderId="0"/>
    <xf numFmtId="0" fontId="149" fillId="0" borderId="0"/>
    <xf numFmtId="0" fontId="149" fillId="0" borderId="0"/>
    <xf numFmtId="0" fontId="149" fillId="0" borderId="0"/>
    <xf numFmtId="0" fontId="149" fillId="0" borderId="0"/>
    <xf numFmtId="0" fontId="149" fillId="0" borderId="0"/>
    <xf numFmtId="0" fontId="149" fillId="0" borderId="0"/>
    <xf numFmtId="0" fontId="149" fillId="0" borderId="0"/>
    <xf numFmtId="0" fontId="149" fillId="0" borderId="0"/>
    <xf numFmtId="0" fontId="149" fillId="0" borderId="0"/>
    <xf numFmtId="0" fontId="149" fillId="0" borderId="0"/>
    <xf numFmtId="0" fontId="149" fillId="0" borderId="0"/>
    <xf numFmtId="0" fontId="149" fillId="0" borderId="0"/>
    <xf numFmtId="0" fontId="149" fillId="0" borderId="0"/>
    <xf numFmtId="0" fontId="149" fillId="0" borderId="0"/>
    <xf numFmtId="0" fontId="149" fillId="0" borderId="0"/>
    <xf numFmtId="0" fontId="149" fillId="0" borderId="0"/>
    <xf numFmtId="0" fontId="149" fillId="0" borderId="0"/>
    <xf numFmtId="0" fontId="149" fillId="0" borderId="0"/>
    <xf numFmtId="0" fontId="149" fillId="0" borderId="0"/>
    <xf numFmtId="0" fontId="149" fillId="0" borderId="0"/>
    <xf numFmtId="0" fontId="149" fillId="0" borderId="0"/>
    <xf numFmtId="0" fontId="149" fillId="0" borderId="0"/>
    <xf numFmtId="0" fontId="149" fillId="0" borderId="0"/>
    <xf numFmtId="0" fontId="149" fillId="0" borderId="0"/>
    <xf numFmtId="0" fontId="149" fillId="0" borderId="0"/>
    <xf numFmtId="0" fontId="149" fillId="0" borderId="0"/>
    <xf numFmtId="0" fontId="149" fillId="0" borderId="0"/>
    <xf numFmtId="0" fontId="149" fillId="0" borderId="0"/>
    <xf numFmtId="0" fontId="149" fillId="0" borderId="0"/>
    <xf numFmtId="0" fontId="149" fillId="0" borderId="0"/>
    <xf numFmtId="0" fontId="149" fillId="0" borderId="0"/>
    <xf numFmtId="0" fontId="149" fillId="0" borderId="0"/>
    <xf numFmtId="0" fontId="149" fillId="0" borderId="0"/>
    <xf numFmtId="0" fontId="149" fillId="0" borderId="0"/>
    <xf numFmtId="0" fontId="149" fillId="0" borderId="0"/>
    <xf numFmtId="0" fontId="149" fillId="0" borderId="0"/>
    <xf numFmtId="0" fontId="149" fillId="0" borderId="0"/>
    <xf numFmtId="0" fontId="149" fillId="0" borderId="0"/>
    <xf numFmtId="0" fontId="149" fillId="0" borderId="0"/>
    <xf numFmtId="0" fontId="1" fillId="0" borderId="0"/>
    <xf numFmtId="0" fontId="1" fillId="0" borderId="0"/>
    <xf numFmtId="0" fontId="1" fillId="0" borderId="0"/>
    <xf numFmtId="0" fontId="111" fillId="0" borderId="0"/>
    <xf numFmtId="0" fontId="1" fillId="0" borderId="0"/>
    <xf numFmtId="0" fontId="111" fillId="0" borderId="0"/>
    <xf numFmtId="0" fontId="1" fillId="0" borderId="0"/>
    <xf numFmtId="0" fontId="111" fillId="0" borderId="0"/>
    <xf numFmtId="0" fontId="1" fillId="0" borderId="0"/>
    <xf numFmtId="0" fontId="111" fillId="0" borderId="0"/>
    <xf numFmtId="0" fontId="1" fillId="0" borderId="0"/>
    <xf numFmtId="0" fontId="1" fillId="0" borderId="0"/>
    <xf numFmtId="0" fontId="111" fillId="0" borderId="0"/>
    <xf numFmtId="0" fontId="1" fillId="0" borderId="0"/>
    <xf numFmtId="0" fontId="111" fillId="0" borderId="0"/>
    <xf numFmtId="0" fontId="1" fillId="0" borderId="0"/>
    <xf numFmtId="0" fontId="111" fillId="0" borderId="0"/>
    <xf numFmtId="0" fontId="1" fillId="0" borderId="0"/>
    <xf numFmtId="0" fontId="111" fillId="0" borderId="0"/>
    <xf numFmtId="0" fontId="1" fillId="0" borderId="0"/>
    <xf numFmtId="0" fontId="111" fillId="0" borderId="0"/>
    <xf numFmtId="0" fontId="1" fillId="0" borderId="0"/>
    <xf numFmtId="0" fontId="111" fillId="0" borderId="0"/>
    <xf numFmtId="0" fontId="1" fillId="0" borderId="0"/>
    <xf numFmtId="0" fontId="1" fillId="0" borderId="0"/>
    <xf numFmtId="0" fontId="111" fillId="0" borderId="0"/>
    <xf numFmtId="0" fontId="1" fillId="0" borderId="0"/>
    <xf numFmtId="0" fontId="111" fillId="0" borderId="0"/>
    <xf numFmtId="0" fontId="1" fillId="0" borderId="0"/>
    <xf numFmtId="0" fontId="111" fillId="0" borderId="0"/>
    <xf numFmtId="0" fontId="1" fillId="0" borderId="0"/>
    <xf numFmtId="0" fontId="111" fillId="0" borderId="0"/>
    <xf numFmtId="0" fontId="1" fillId="0" borderId="0"/>
    <xf numFmtId="0" fontId="1" fillId="0" borderId="0"/>
    <xf numFmtId="0" fontId="111" fillId="0" borderId="0"/>
    <xf numFmtId="0" fontId="1" fillId="0" borderId="0"/>
    <xf numFmtId="0" fontId="111" fillId="0" borderId="0"/>
    <xf numFmtId="0" fontId="1" fillId="0" borderId="0"/>
    <xf numFmtId="0" fontId="111" fillId="0" borderId="0"/>
    <xf numFmtId="0" fontId="1" fillId="0" borderId="0"/>
    <xf numFmtId="0" fontId="111" fillId="0" borderId="0"/>
    <xf numFmtId="0" fontId="1" fillId="0" borderId="0"/>
    <xf numFmtId="0" fontId="1" fillId="0" borderId="0"/>
    <xf numFmtId="0" fontId="111" fillId="0" borderId="0"/>
    <xf numFmtId="0" fontId="1" fillId="0" borderId="0"/>
    <xf numFmtId="0" fontId="111" fillId="0" borderId="0"/>
    <xf numFmtId="0" fontId="1" fillId="0" borderId="0"/>
    <xf numFmtId="0" fontId="111" fillId="0" borderId="0"/>
    <xf numFmtId="0" fontId="1" fillId="0" borderId="0"/>
    <xf numFmtId="0" fontId="111" fillId="0" borderId="0"/>
    <xf numFmtId="0" fontId="1" fillId="0" borderId="0"/>
    <xf numFmtId="0" fontId="111" fillId="0" borderId="0"/>
    <xf numFmtId="0" fontId="1" fillId="0" borderId="0"/>
    <xf numFmtId="0" fontId="111" fillId="0" borderId="0"/>
    <xf numFmtId="0" fontId="1" fillId="0" borderId="0"/>
    <xf numFmtId="0" fontId="111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4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10" fillId="0" borderId="0"/>
    <xf numFmtId="0" fontId="32" fillId="0" borderId="0"/>
    <xf numFmtId="0" fontId="1" fillId="0" borderId="0"/>
    <xf numFmtId="0" fontId="111" fillId="0" borderId="0"/>
    <xf numFmtId="0" fontId="1" fillId="0" borderId="0"/>
    <xf numFmtId="0" fontId="174" fillId="0" borderId="0"/>
    <xf numFmtId="0" fontId="174" fillId="0" borderId="0"/>
    <xf numFmtId="0" fontId="32" fillId="0" borderId="0"/>
    <xf numFmtId="0" fontId="32" fillId="0" borderId="0"/>
    <xf numFmtId="0" fontId="6" fillId="0" borderId="0"/>
    <xf numFmtId="0" fontId="1" fillId="0" borderId="0"/>
    <xf numFmtId="0" fontId="1" fillId="0" borderId="0"/>
    <xf numFmtId="0" fontId="32" fillId="0" borderId="0"/>
    <xf numFmtId="0" fontId="1" fillId="0" borderId="0"/>
    <xf numFmtId="0" fontId="3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11" fillId="59" borderId="65" applyNumberFormat="0" applyFont="0" applyAlignment="0" applyProtection="0"/>
    <xf numFmtId="0" fontId="10" fillId="59" borderId="65" applyNumberFormat="0" applyFont="0" applyAlignment="0" applyProtection="0"/>
    <xf numFmtId="0" fontId="11" fillId="59" borderId="65" applyNumberFormat="0" applyFont="0" applyAlignment="0" applyProtection="0"/>
    <xf numFmtId="0" fontId="10" fillId="59" borderId="65" applyNumberFormat="0" applyFont="0" applyAlignment="0" applyProtection="0"/>
    <xf numFmtId="0" fontId="11" fillId="59" borderId="65" applyNumberFormat="0" applyFont="0" applyAlignment="0" applyProtection="0"/>
    <xf numFmtId="0" fontId="11" fillId="59" borderId="65" applyNumberFormat="0" applyFont="0" applyAlignment="0" applyProtection="0"/>
    <xf numFmtId="0" fontId="10" fillId="59" borderId="65" applyNumberFormat="0" applyFont="0" applyAlignment="0" applyProtection="0"/>
    <xf numFmtId="0" fontId="139" fillId="53" borderId="57" applyNumberFormat="0" applyAlignment="0" applyProtection="0"/>
    <xf numFmtId="0" fontId="139" fillId="53" borderId="57" applyNumberFormat="0" applyAlignment="0" applyProtection="0"/>
    <xf numFmtId="0" fontId="105" fillId="53" borderId="57" applyNumberFormat="0" applyAlignment="0" applyProtection="0"/>
    <xf numFmtId="0" fontId="139" fillId="53" borderId="57" applyNumberFormat="0" applyAlignment="0" applyProtection="0"/>
    <xf numFmtId="0" fontId="105" fillId="53" borderId="57" applyNumberFormat="0" applyAlignment="0" applyProtection="0"/>
    <xf numFmtId="0" fontId="139" fillId="53" borderId="57" applyNumberFormat="0" applyAlignment="0" applyProtection="0"/>
    <xf numFmtId="0" fontId="105" fillId="53" borderId="57" applyNumberFormat="0" applyAlignment="0" applyProtection="0"/>
    <xf numFmtId="0" fontId="139" fillId="53" borderId="57" applyNumberFormat="0" applyAlignment="0" applyProtection="0"/>
    <xf numFmtId="0" fontId="105" fillId="53" borderId="57" applyNumberFormat="0" applyAlignment="0" applyProtection="0"/>
    <xf numFmtId="0" fontId="105" fillId="53" borderId="57" applyNumberFormat="0" applyAlignment="0" applyProtection="0"/>
    <xf numFmtId="0" fontId="105" fillId="53" borderId="57" applyNumberFormat="0" applyAlignment="0" applyProtection="0"/>
    <xf numFmtId="0" fontId="139" fillId="53" borderId="57" applyNumberFormat="0" applyAlignment="0" applyProtection="0"/>
    <xf numFmtId="0" fontId="140" fillId="53" borderId="57" applyNumberFormat="0" applyAlignment="0" applyProtection="0"/>
    <xf numFmtId="0" fontId="140" fillId="53" borderId="57" applyNumberFormat="0" applyAlignment="0" applyProtection="0"/>
    <xf numFmtId="0" fontId="140" fillId="53" borderId="57" applyNumberFormat="0" applyAlignment="0" applyProtection="0"/>
    <xf numFmtId="0" fontId="140" fillId="53" borderId="57" applyNumberFormat="0" applyAlignment="0" applyProtection="0"/>
    <xf numFmtId="0" fontId="140" fillId="53" borderId="57" applyNumberFormat="0" applyAlignment="0" applyProtection="0"/>
    <xf numFmtId="0" fontId="140" fillId="53" borderId="57" applyNumberFormat="0" applyAlignment="0" applyProtection="0"/>
    <xf numFmtId="0" fontId="140" fillId="53" borderId="57" applyNumberFormat="0" applyAlignment="0" applyProtection="0"/>
    <xf numFmtId="0" fontId="139" fillId="53" borderId="57" applyNumberFormat="0" applyAlignment="0" applyProtection="0"/>
    <xf numFmtId="0" fontId="105" fillId="53" borderId="57" applyNumberFormat="0" applyAlignment="0" applyProtection="0"/>
    <xf numFmtId="0" fontId="139" fillId="53" borderId="57" applyNumberFormat="0" applyAlignment="0" applyProtection="0"/>
    <xf numFmtId="0" fontId="105" fillId="53" borderId="57" applyNumberFormat="0" applyAlignment="0" applyProtection="0"/>
    <xf numFmtId="0" fontId="139" fillId="53" borderId="57" applyNumberFormat="0" applyAlignment="0" applyProtection="0"/>
    <xf numFmtId="0" fontId="104" fillId="53" borderId="56" applyNumberFormat="0" applyAlignment="0" applyProtection="0"/>
    <xf numFmtId="0" fontId="104" fillId="53" borderId="56" applyNumberFormat="0" applyAlignment="0" applyProtection="0"/>
    <xf numFmtId="10" fontId="11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10" fillId="0" borderId="0" applyFont="0" applyFill="0" applyBorder="0" applyAlignment="0" applyProtection="0"/>
    <xf numFmtId="200" fontId="172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201" fontId="172" fillId="0" borderId="0" applyFont="0" applyFill="0" applyBorder="0" applyAlignment="0" applyProtection="0"/>
    <xf numFmtId="202" fontId="172" fillId="0" borderId="0" applyFont="0" applyFill="0" applyBorder="0" applyAlignment="0" applyProtection="0"/>
    <xf numFmtId="0" fontId="161" fillId="0" borderId="0" applyNumberFormat="0" applyFill="0" applyBorder="0" applyAlignment="0" applyProtection="0">
      <alignment horizontal="center"/>
    </xf>
    <xf numFmtId="4" fontId="162" fillId="57" borderId="66" applyNumberFormat="0" applyProtection="0">
      <alignment vertical="center"/>
    </xf>
    <xf numFmtId="4" fontId="163" fillId="60" borderId="66" applyNumberFormat="0" applyProtection="0">
      <alignment vertical="center"/>
    </xf>
    <xf numFmtId="4" fontId="162" fillId="60" borderId="66" applyNumberFormat="0" applyProtection="0">
      <alignment horizontal="left" vertical="center" indent="1"/>
    </xf>
    <xf numFmtId="0" fontId="162" fillId="60" borderId="66" applyNumberFormat="0" applyProtection="0">
      <alignment horizontal="left" vertical="top" indent="1"/>
    </xf>
    <xf numFmtId="4" fontId="162" fillId="61" borderId="0" applyNumberFormat="0" applyProtection="0">
      <alignment horizontal="left" vertical="center" indent="1"/>
    </xf>
    <xf numFmtId="4" fontId="164" fillId="35" borderId="66" applyNumberFormat="0" applyProtection="0">
      <alignment horizontal="right" vertical="center"/>
    </xf>
    <xf numFmtId="4" fontId="164" fillId="41" borderId="66" applyNumberFormat="0" applyProtection="0">
      <alignment horizontal="right" vertical="center"/>
    </xf>
    <xf numFmtId="4" fontId="164" fillId="49" borderId="66" applyNumberFormat="0" applyProtection="0">
      <alignment horizontal="right" vertical="center"/>
    </xf>
    <xf numFmtId="4" fontId="164" fillId="43" borderId="66" applyNumberFormat="0" applyProtection="0">
      <alignment horizontal="right" vertical="center"/>
    </xf>
    <xf numFmtId="4" fontId="164" fillId="47" borderId="66" applyNumberFormat="0" applyProtection="0">
      <alignment horizontal="right" vertical="center"/>
    </xf>
    <xf numFmtId="4" fontId="164" fillId="51" borderId="66" applyNumberFormat="0" applyProtection="0">
      <alignment horizontal="right" vertical="center"/>
    </xf>
    <xf numFmtId="4" fontId="164" fillId="50" borderId="66" applyNumberFormat="0" applyProtection="0">
      <alignment horizontal="right" vertical="center"/>
    </xf>
    <xf numFmtId="4" fontId="164" fillId="62" borderId="66" applyNumberFormat="0" applyProtection="0">
      <alignment horizontal="right" vertical="center"/>
    </xf>
    <xf numFmtId="4" fontId="164" fillId="42" borderId="66" applyNumberFormat="0" applyProtection="0">
      <alignment horizontal="right" vertical="center"/>
    </xf>
    <xf numFmtId="4" fontId="162" fillId="63" borderId="67" applyNumberFormat="0" applyProtection="0">
      <alignment horizontal="left" vertical="center" indent="1"/>
    </xf>
    <xf numFmtId="4" fontId="164" fillId="64" borderId="0" applyNumberFormat="0" applyProtection="0">
      <alignment horizontal="left" vertical="center" indent="1"/>
    </xf>
    <xf numFmtId="4" fontId="165" fillId="65" borderId="0" applyNumberFormat="0" applyProtection="0">
      <alignment horizontal="left" vertical="center" indent="1"/>
    </xf>
    <xf numFmtId="4" fontId="164" fillId="66" borderId="66" applyNumberFormat="0" applyProtection="0">
      <alignment horizontal="right" vertical="center"/>
    </xf>
    <xf numFmtId="4" fontId="164" fillId="64" borderId="0" applyNumberFormat="0" applyProtection="0">
      <alignment horizontal="left" vertical="center" indent="1"/>
    </xf>
    <xf numFmtId="4" fontId="164" fillId="61" borderId="0" applyNumberFormat="0" applyProtection="0">
      <alignment horizontal="left" vertical="center" indent="1"/>
    </xf>
    <xf numFmtId="0" fontId="11" fillId="65" borderId="66" applyNumberFormat="0" applyProtection="0">
      <alignment horizontal="left" vertical="center" indent="1"/>
    </xf>
    <xf numFmtId="0" fontId="11" fillId="65" borderId="66" applyNumberFormat="0" applyProtection="0">
      <alignment horizontal="left" vertical="top" indent="1"/>
    </xf>
    <xf numFmtId="0" fontId="11" fillId="61" borderId="66" applyNumberFormat="0" applyProtection="0">
      <alignment horizontal="left" vertical="center" indent="1"/>
    </xf>
    <xf numFmtId="0" fontId="11" fillId="61" borderId="66" applyNumberFormat="0" applyProtection="0">
      <alignment horizontal="left" vertical="top" indent="1"/>
    </xf>
    <xf numFmtId="0" fontId="11" fillId="52" borderId="66" applyNumberFormat="0" applyProtection="0">
      <alignment horizontal="left" vertical="center" indent="1"/>
    </xf>
    <xf numFmtId="0" fontId="11" fillId="52" borderId="66" applyNumberFormat="0" applyProtection="0">
      <alignment horizontal="left" vertical="top" indent="1"/>
    </xf>
    <xf numFmtId="0" fontId="11" fillId="67" borderId="66" applyNumberFormat="0" applyProtection="0">
      <alignment horizontal="left" vertical="center" indent="1"/>
    </xf>
    <xf numFmtId="0" fontId="11" fillId="67" borderId="66" applyNumberFormat="0" applyProtection="0">
      <alignment horizontal="left" vertical="top" indent="1"/>
    </xf>
    <xf numFmtId="4" fontId="164" fillId="56" borderId="66" applyNumberFormat="0" applyProtection="0">
      <alignment vertical="center"/>
    </xf>
    <xf numFmtId="4" fontId="166" fillId="56" borderId="66" applyNumberFormat="0" applyProtection="0">
      <alignment vertical="center"/>
    </xf>
    <xf numFmtId="4" fontId="164" fillId="56" borderId="66" applyNumberFormat="0" applyProtection="0">
      <alignment horizontal="left" vertical="center" indent="1"/>
    </xf>
    <xf numFmtId="0" fontId="164" fillId="56" borderId="66" applyNumberFormat="0" applyProtection="0">
      <alignment horizontal="left" vertical="top" indent="1"/>
    </xf>
    <xf numFmtId="4" fontId="164" fillId="64" borderId="66" applyNumberFormat="0" applyProtection="0">
      <alignment horizontal="right" vertical="center"/>
    </xf>
    <xf numFmtId="4" fontId="166" fillId="64" borderId="66" applyNumberFormat="0" applyProtection="0">
      <alignment horizontal="right" vertical="center"/>
    </xf>
    <xf numFmtId="4" fontId="164" fillId="66" borderId="66" applyNumberFormat="0" applyProtection="0">
      <alignment horizontal="left" vertical="center" indent="1"/>
    </xf>
    <xf numFmtId="0" fontId="164" fillId="61" borderId="66" applyNumberFormat="0" applyProtection="0">
      <alignment horizontal="left" vertical="top" indent="1"/>
    </xf>
    <xf numFmtId="4" fontId="167" fillId="68" borderId="0" applyNumberFormat="0" applyProtection="0">
      <alignment horizontal="left" vertical="center" indent="1"/>
    </xf>
    <xf numFmtId="4" fontId="168" fillId="64" borderId="66" applyNumberFormat="0" applyProtection="0">
      <alignment horizontal="right" vertical="center"/>
    </xf>
    <xf numFmtId="0" fontId="101" fillId="35" borderId="0" applyNumberFormat="0" applyBorder="0" applyAlignment="0" applyProtection="0"/>
    <xf numFmtId="0" fontId="26" fillId="58" borderId="1"/>
    <xf numFmtId="0" fontId="141" fillId="0" borderId="0"/>
    <xf numFmtId="0" fontId="11" fillId="0" borderId="0"/>
    <xf numFmtId="0" fontId="11" fillId="0" borderId="0"/>
    <xf numFmtId="0" fontId="12" fillId="0" borderId="0"/>
    <xf numFmtId="0" fontId="6" fillId="0" borderId="0"/>
    <xf numFmtId="0" fontId="10" fillId="0" borderId="0"/>
    <xf numFmtId="0" fontId="10" fillId="0" borderId="0"/>
    <xf numFmtId="0" fontId="6" fillId="0" borderId="0"/>
    <xf numFmtId="0" fontId="10" fillId="0" borderId="0"/>
    <xf numFmtId="0" fontId="6" fillId="0" borderId="0"/>
    <xf numFmtId="0" fontId="10" fillId="0" borderId="0"/>
    <xf numFmtId="0" fontId="10" fillId="0" borderId="0"/>
    <xf numFmtId="0" fontId="6" fillId="0" borderId="0"/>
    <xf numFmtId="0" fontId="10" fillId="0" borderId="0"/>
    <xf numFmtId="0" fontId="12" fillId="0" borderId="0"/>
    <xf numFmtId="0" fontId="10" fillId="0" borderId="0"/>
    <xf numFmtId="0" fontId="6" fillId="0" borderId="0"/>
    <xf numFmtId="0" fontId="10" fillId="0" borderId="0"/>
    <xf numFmtId="0" fontId="6" fillId="0" borderId="0"/>
    <xf numFmtId="0" fontId="10" fillId="0" borderId="0"/>
    <xf numFmtId="0" fontId="180" fillId="0" borderId="0"/>
    <xf numFmtId="0" fontId="10" fillId="0" borderId="0"/>
    <xf numFmtId="0" fontId="6" fillId="0" borderId="0"/>
    <xf numFmtId="0" fontId="10" fillId="0" borderId="0"/>
    <xf numFmtId="0" fontId="180" fillId="0" borderId="0"/>
    <xf numFmtId="0" fontId="180" fillId="0" borderId="0"/>
    <xf numFmtId="0" fontId="180" fillId="0" borderId="0"/>
    <xf numFmtId="0" fontId="111" fillId="0" borderId="0"/>
    <xf numFmtId="0" fontId="180" fillId="0" borderId="0"/>
    <xf numFmtId="0" fontId="111" fillId="0" borderId="0"/>
    <xf numFmtId="0" fontId="180" fillId="0" borderId="0"/>
    <xf numFmtId="0" fontId="111" fillId="0" borderId="0"/>
    <xf numFmtId="0" fontId="180" fillId="0" borderId="0"/>
    <xf numFmtId="0" fontId="111" fillId="0" borderId="0"/>
    <xf numFmtId="0" fontId="180" fillId="0" borderId="0"/>
    <xf numFmtId="0" fontId="180" fillId="0" borderId="0"/>
    <xf numFmtId="0" fontId="180" fillId="0" borderId="0"/>
    <xf numFmtId="0" fontId="180" fillId="0" borderId="0"/>
    <xf numFmtId="0" fontId="111" fillId="0" borderId="0"/>
    <xf numFmtId="0" fontId="180" fillId="0" borderId="0"/>
    <xf numFmtId="0" fontId="111" fillId="0" borderId="0"/>
    <xf numFmtId="0" fontId="6" fillId="0" borderId="0"/>
    <xf numFmtId="0" fontId="10" fillId="0" borderId="0"/>
    <xf numFmtId="0" fontId="6" fillId="0" borderId="0"/>
    <xf numFmtId="0" fontId="6" fillId="0" borderId="0"/>
    <xf numFmtId="0" fontId="10" fillId="0" borderId="0"/>
    <xf numFmtId="0" fontId="6" fillId="0" borderId="0"/>
    <xf numFmtId="0" fontId="111" fillId="0" borderId="0"/>
    <xf numFmtId="0" fontId="10" fillId="0" borderId="0"/>
    <xf numFmtId="0" fontId="6" fillId="0" borderId="0"/>
    <xf numFmtId="0" fontId="10" fillId="0" borderId="0"/>
    <xf numFmtId="0" fontId="10" fillId="0" borderId="0"/>
    <xf numFmtId="0" fontId="6" fillId="0" borderId="0"/>
    <xf numFmtId="0" fontId="10" fillId="0" borderId="0"/>
    <xf numFmtId="0" fontId="6" fillId="0" borderId="0"/>
    <xf numFmtId="0" fontId="10" fillId="0" borderId="0"/>
    <xf numFmtId="0" fontId="6" fillId="0" borderId="0"/>
    <xf numFmtId="0" fontId="10" fillId="0" borderId="0"/>
    <xf numFmtId="0" fontId="10" fillId="0" borderId="0"/>
    <xf numFmtId="0" fontId="6" fillId="0" borderId="0"/>
    <xf numFmtId="0" fontId="10" fillId="0" borderId="0"/>
    <xf numFmtId="0" fontId="10" fillId="0" borderId="0"/>
    <xf numFmtId="0" fontId="6" fillId="0" borderId="0"/>
    <xf numFmtId="0" fontId="10" fillId="0" borderId="0"/>
    <xf numFmtId="0" fontId="10" fillId="0" borderId="0"/>
    <xf numFmtId="0" fontId="149" fillId="0" borderId="0"/>
    <xf numFmtId="0" fontId="11" fillId="0" borderId="0"/>
    <xf numFmtId="0" fontId="11" fillId="0" borderId="0"/>
    <xf numFmtId="0" fontId="10" fillId="0" borderId="0"/>
    <xf numFmtId="0" fontId="6" fillId="0" borderId="0"/>
    <xf numFmtId="0" fontId="10" fillId="0" borderId="0"/>
    <xf numFmtId="0" fontId="6" fillId="0" borderId="0"/>
    <xf numFmtId="0" fontId="10" fillId="0" borderId="0"/>
    <xf numFmtId="0" fontId="10" fillId="0" borderId="0"/>
    <xf numFmtId="0" fontId="6" fillId="0" borderId="0"/>
    <xf numFmtId="0" fontId="10" fillId="0" borderId="0"/>
    <xf numFmtId="0" fontId="10" fillId="0" borderId="0"/>
    <xf numFmtId="0" fontId="6" fillId="0" borderId="0"/>
    <xf numFmtId="0" fontId="10" fillId="0" borderId="0"/>
    <xf numFmtId="0" fontId="6" fillId="0" borderId="0"/>
    <xf numFmtId="0" fontId="10" fillId="0" borderId="0"/>
    <xf numFmtId="0" fontId="10" fillId="0" borderId="0"/>
    <xf numFmtId="0" fontId="6" fillId="0" borderId="0"/>
    <xf numFmtId="0" fontId="10" fillId="0" borderId="0"/>
    <xf numFmtId="0" fontId="124" fillId="0" borderId="0"/>
    <xf numFmtId="0" fontId="11" fillId="0" borderId="0"/>
    <xf numFmtId="0" fontId="11" fillId="0" borderId="0"/>
    <xf numFmtId="0" fontId="11" fillId="0" borderId="0"/>
    <xf numFmtId="0" fontId="27" fillId="0" borderId="0"/>
    <xf numFmtId="0" fontId="27" fillId="0" borderId="0"/>
    <xf numFmtId="0" fontId="27" fillId="0" borderId="0"/>
    <xf numFmtId="0" fontId="10" fillId="0" borderId="0"/>
    <xf numFmtId="0" fontId="10" fillId="0" borderId="0"/>
    <xf numFmtId="0" fontId="10" fillId="0" borderId="0"/>
    <xf numFmtId="0" fontId="6" fillId="0" borderId="0"/>
    <xf numFmtId="0" fontId="10" fillId="0" borderId="0"/>
    <xf numFmtId="0" fontId="6" fillId="0" borderId="0"/>
    <xf numFmtId="0" fontId="10" fillId="0" borderId="0"/>
    <xf numFmtId="0" fontId="10" fillId="0" borderId="0"/>
    <xf numFmtId="0" fontId="6" fillId="0" borderId="0"/>
    <xf numFmtId="0" fontId="10" fillId="0" borderId="0"/>
    <xf numFmtId="0" fontId="10" fillId="0" borderId="0"/>
    <xf numFmtId="0" fontId="6" fillId="0" borderId="0"/>
    <xf numFmtId="0" fontId="10" fillId="0" borderId="0"/>
    <xf numFmtId="0" fontId="6" fillId="0" borderId="0"/>
    <xf numFmtId="0" fontId="10" fillId="0" borderId="0"/>
    <xf numFmtId="0" fontId="10" fillId="0" borderId="0"/>
    <xf numFmtId="0" fontId="6" fillId="0" borderId="0"/>
    <xf numFmtId="0" fontId="10" fillId="0" borderId="0"/>
    <xf numFmtId="0" fontId="6" fillId="0" borderId="0"/>
    <xf numFmtId="0" fontId="10" fillId="0" borderId="0"/>
    <xf numFmtId="0" fontId="6" fillId="0" borderId="0"/>
    <xf numFmtId="0" fontId="10" fillId="0" borderId="0"/>
    <xf numFmtId="0" fontId="10" fillId="0" borderId="0"/>
    <xf numFmtId="0" fontId="6" fillId="0" borderId="0"/>
    <xf numFmtId="0" fontId="10" fillId="0" borderId="0"/>
    <xf numFmtId="0" fontId="10" fillId="0" borderId="0"/>
    <xf numFmtId="0" fontId="6" fillId="0" borderId="0"/>
    <xf numFmtId="0" fontId="10" fillId="0" borderId="0"/>
    <xf numFmtId="0" fontId="6" fillId="0" borderId="0"/>
    <xf numFmtId="0" fontId="10" fillId="0" borderId="0"/>
    <xf numFmtId="0" fontId="10" fillId="0" borderId="0"/>
    <xf numFmtId="0" fontId="6" fillId="0" borderId="0"/>
    <xf numFmtId="0" fontId="10" fillId="0" borderId="0"/>
    <xf numFmtId="0" fontId="10" fillId="0" borderId="0"/>
    <xf numFmtId="0" fontId="6" fillId="0" borderId="0"/>
    <xf numFmtId="0" fontId="10" fillId="0" borderId="0"/>
    <xf numFmtId="0" fontId="6" fillId="0" borderId="0"/>
    <xf numFmtId="0" fontId="10" fillId="0" borderId="0"/>
    <xf numFmtId="0" fontId="10" fillId="0" borderId="0"/>
    <xf numFmtId="0" fontId="6" fillId="0" borderId="0"/>
    <xf numFmtId="0" fontId="10" fillId="0" borderId="0"/>
    <xf numFmtId="0" fontId="10" fillId="0" borderId="0"/>
    <xf numFmtId="0" fontId="6" fillId="0" borderId="0"/>
    <xf numFmtId="0" fontId="10" fillId="0" borderId="0"/>
    <xf numFmtId="0" fontId="6" fillId="0" borderId="0"/>
    <xf numFmtId="0" fontId="10" fillId="0" borderId="0"/>
    <xf numFmtId="0" fontId="10" fillId="0" borderId="0"/>
    <xf numFmtId="0" fontId="6" fillId="0" borderId="0"/>
    <xf numFmtId="0" fontId="10" fillId="0" borderId="0"/>
    <xf numFmtId="0" fontId="6" fillId="0" borderId="0"/>
    <xf numFmtId="0" fontId="10" fillId="0" borderId="0"/>
    <xf numFmtId="0" fontId="6" fillId="0" borderId="0"/>
    <xf numFmtId="0" fontId="10" fillId="0" borderId="0"/>
    <xf numFmtId="0" fontId="10" fillId="0" borderId="0"/>
    <xf numFmtId="0" fontId="6" fillId="0" borderId="0"/>
    <xf numFmtId="0" fontId="10" fillId="0" borderId="0"/>
    <xf numFmtId="0" fontId="27" fillId="0" borderId="0"/>
    <xf numFmtId="0" fontId="6" fillId="0" borderId="0"/>
    <xf numFmtId="0" fontId="10" fillId="0" borderId="0"/>
    <xf numFmtId="0" fontId="10" fillId="0" borderId="0"/>
    <xf numFmtId="0" fontId="6" fillId="0" borderId="0"/>
    <xf numFmtId="0" fontId="10" fillId="0" borderId="0"/>
    <xf numFmtId="0" fontId="27" fillId="0" borderId="0"/>
    <xf numFmtId="0" fontId="10" fillId="0" borderId="0"/>
    <xf numFmtId="0" fontId="6" fillId="0" borderId="0"/>
    <xf numFmtId="0" fontId="10" fillId="0" borderId="0"/>
    <xf numFmtId="0" fontId="6" fillId="0" borderId="0"/>
    <xf numFmtId="0" fontId="10" fillId="0" borderId="0"/>
    <xf numFmtId="0" fontId="10" fillId="0" borderId="0"/>
    <xf numFmtId="0" fontId="6" fillId="0" borderId="0"/>
    <xf numFmtId="0" fontId="10" fillId="0" borderId="0"/>
    <xf numFmtId="0" fontId="10" fillId="0" borderId="0"/>
    <xf numFmtId="0" fontId="6" fillId="0" borderId="0"/>
    <xf numFmtId="0" fontId="10" fillId="0" borderId="0"/>
    <xf numFmtId="0" fontId="6" fillId="0" borderId="0"/>
    <xf numFmtId="0" fontId="10" fillId="0" borderId="0"/>
    <xf numFmtId="0" fontId="10" fillId="0" borderId="0"/>
    <xf numFmtId="0" fontId="6" fillId="0" borderId="0"/>
    <xf numFmtId="0" fontId="10" fillId="0" borderId="0"/>
    <xf numFmtId="0" fontId="11" fillId="0" borderId="0"/>
    <xf numFmtId="0" fontId="22" fillId="69" borderId="68" applyNumberFormat="0" applyProtection="0">
      <alignment horizontal="center" wrapText="1"/>
    </xf>
    <xf numFmtId="0" fontId="11" fillId="0" borderId="1" applyNumberFormat="0" applyFill="0" applyProtection="0">
      <alignment horizontal="right"/>
    </xf>
    <xf numFmtId="0" fontId="11" fillId="0" borderId="1" applyNumberFormat="0" applyFill="0" applyProtection="0">
      <alignment horizontal="right"/>
    </xf>
    <xf numFmtId="0" fontId="22" fillId="69" borderId="68" applyNumberFormat="0" applyProtection="0">
      <alignment horizontal="center" wrapText="1"/>
    </xf>
    <xf numFmtId="0" fontId="11" fillId="0" borderId="1" applyNumberFormat="0" applyFill="0" applyProtection="0">
      <alignment horizontal="right"/>
    </xf>
    <xf numFmtId="0" fontId="22" fillId="69" borderId="69" applyNumberFormat="0" applyAlignment="0" applyProtection="0">
      <alignment wrapText="1"/>
    </xf>
    <xf numFmtId="0" fontId="22" fillId="70" borderId="1" applyNumberFormat="0" applyProtection="0">
      <alignment horizontal="right"/>
    </xf>
    <xf numFmtId="0" fontId="22" fillId="69" borderId="69" applyNumberFormat="0" applyAlignment="0" applyProtection="0">
      <alignment wrapText="1"/>
    </xf>
    <xf numFmtId="0" fontId="22" fillId="70" borderId="1" applyNumberFormat="0" applyProtection="0">
      <alignment horizontal="right"/>
    </xf>
    <xf numFmtId="0" fontId="11" fillId="71" borderId="0" applyNumberFormat="0" applyBorder="0">
      <alignment horizontal="center" wrapText="1"/>
    </xf>
    <xf numFmtId="0" fontId="169" fillId="70" borderId="0" applyNumberFormat="0" applyBorder="0" applyProtection="0">
      <alignment horizontal="left"/>
    </xf>
    <xf numFmtId="0" fontId="11" fillId="71" borderId="0" applyNumberFormat="0" applyBorder="0">
      <alignment horizontal="center" wrapText="1"/>
    </xf>
    <xf numFmtId="0" fontId="169" fillId="70" borderId="0" applyNumberFormat="0" applyBorder="0" applyProtection="0">
      <alignment horizontal="left"/>
    </xf>
    <xf numFmtId="0" fontId="11" fillId="71" borderId="0" applyNumberFormat="0" applyBorder="0">
      <alignment wrapText="1"/>
    </xf>
    <xf numFmtId="0" fontId="22" fillId="70" borderId="1" applyNumberFormat="0" applyProtection="0">
      <alignment horizontal="left"/>
    </xf>
    <xf numFmtId="0" fontId="11" fillId="71" borderId="0" applyNumberFormat="0" applyBorder="0">
      <alignment wrapText="1"/>
    </xf>
    <xf numFmtId="0" fontId="22" fillId="70" borderId="1" applyNumberFormat="0" applyProtection="0">
      <alignment horizontal="left"/>
    </xf>
    <xf numFmtId="0" fontId="11" fillId="0" borderId="0" applyNumberFormat="0" applyFill="0" applyBorder="0" applyProtection="0">
      <alignment horizontal="right" wrapText="1"/>
    </xf>
    <xf numFmtId="0" fontId="11" fillId="0" borderId="1" applyNumberFormat="0" applyFill="0" applyProtection="0">
      <alignment horizontal="right"/>
    </xf>
    <xf numFmtId="0" fontId="11" fillId="0" borderId="1" applyNumberFormat="0" applyFill="0" applyProtection="0">
      <alignment horizontal="right"/>
    </xf>
    <xf numFmtId="0" fontId="11" fillId="0" borderId="0" applyNumberFormat="0" applyFill="0" applyBorder="0" applyProtection="0">
      <alignment horizontal="right" wrapText="1"/>
    </xf>
    <xf numFmtId="0" fontId="11" fillId="0" borderId="1" applyNumberFormat="0" applyFill="0" applyProtection="0">
      <alignment horizontal="right"/>
    </xf>
    <xf numFmtId="196" fontId="11" fillId="0" borderId="0" applyFill="0" applyBorder="0" applyAlignment="0" applyProtection="0">
      <alignment wrapText="1"/>
    </xf>
    <xf numFmtId="0" fontId="173" fillId="72" borderId="0" applyNumberFormat="0" applyBorder="0" applyProtection="0">
      <alignment horizontal="left"/>
    </xf>
    <xf numFmtId="196" fontId="11" fillId="0" borderId="0" applyFill="0" applyBorder="0" applyAlignment="0" applyProtection="0">
      <alignment wrapText="1"/>
    </xf>
    <xf numFmtId="0" fontId="173" fillId="72" borderId="0" applyNumberFormat="0" applyBorder="0" applyProtection="0">
      <alignment horizontal="left"/>
    </xf>
    <xf numFmtId="197" fontId="11" fillId="0" borderId="0" applyFill="0" applyBorder="0" applyAlignment="0" applyProtection="0">
      <alignment wrapText="1"/>
    </xf>
    <xf numFmtId="198" fontId="11" fillId="0" borderId="0" applyFill="0" applyBorder="0" applyAlignment="0" applyProtection="0">
      <alignment wrapText="1"/>
    </xf>
    <xf numFmtId="0" fontId="11" fillId="0" borderId="0" applyNumberFormat="0" applyFill="0" applyBorder="0" applyProtection="0">
      <alignment horizontal="right" wrapText="1"/>
    </xf>
    <xf numFmtId="0" fontId="11" fillId="0" borderId="0" applyNumberFormat="0" applyFill="0" applyBorder="0">
      <alignment horizontal="right" wrapText="1"/>
    </xf>
    <xf numFmtId="17" fontId="11" fillId="0" borderId="0" applyFill="0" applyBorder="0">
      <alignment horizontal="right" wrapText="1"/>
    </xf>
    <xf numFmtId="183" fontId="11" fillId="0" borderId="0" applyFill="0" applyBorder="0" applyAlignment="0" applyProtection="0">
      <alignment wrapText="1"/>
    </xf>
    <xf numFmtId="0" fontId="169" fillId="0" borderId="0" applyNumberFormat="0" applyFill="0" applyBorder="0">
      <alignment horizontal="left" wrapText="1"/>
    </xf>
    <xf numFmtId="0" fontId="22" fillId="0" borderId="0" applyNumberFormat="0" applyFill="0" applyBorder="0">
      <alignment horizontal="center" wrapText="1"/>
    </xf>
    <xf numFmtId="0" fontId="22" fillId="0" borderId="0" applyNumberFormat="0" applyFill="0" applyBorder="0">
      <alignment horizontal="center" wrapText="1"/>
    </xf>
    <xf numFmtId="0" fontId="142" fillId="0" borderId="59" applyNumberFormat="0" applyFill="0" applyAlignment="0" applyProtection="0"/>
    <xf numFmtId="0" fontId="142" fillId="0" borderId="59" applyNumberFormat="0" applyFill="0" applyAlignment="0" applyProtection="0"/>
    <xf numFmtId="0" fontId="95" fillId="0" borderId="59" applyNumberFormat="0" applyFill="0" applyAlignment="0" applyProtection="0"/>
    <xf numFmtId="0" fontId="142" fillId="0" borderId="59" applyNumberFormat="0" applyFill="0" applyAlignment="0" applyProtection="0"/>
    <xf numFmtId="0" fontId="95" fillId="0" borderId="59" applyNumberFormat="0" applyFill="0" applyAlignment="0" applyProtection="0"/>
    <xf numFmtId="0" fontId="142" fillId="0" borderId="59" applyNumberFormat="0" applyFill="0" applyAlignment="0" applyProtection="0"/>
    <xf numFmtId="0" fontId="95" fillId="0" borderId="59" applyNumberFormat="0" applyFill="0" applyAlignment="0" applyProtection="0"/>
    <xf numFmtId="0" fontId="142" fillId="0" borderId="59" applyNumberFormat="0" applyFill="0" applyAlignment="0" applyProtection="0"/>
    <xf numFmtId="0" fontId="95" fillId="0" borderId="59" applyNumberFormat="0" applyFill="0" applyAlignment="0" applyProtection="0"/>
    <xf numFmtId="0" fontId="95" fillId="0" borderId="59" applyNumberFormat="0" applyFill="0" applyAlignment="0" applyProtection="0"/>
    <xf numFmtId="0" fontId="95" fillId="0" borderId="59" applyNumberFormat="0" applyFill="0" applyAlignment="0" applyProtection="0"/>
    <xf numFmtId="0" fontId="142" fillId="0" borderId="59" applyNumberFormat="0" applyFill="0" applyAlignment="0" applyProtection="0"/>
    <xf numFmtId="0" fontId="143" fillId="0" borderId="59" applyNumberFormat="0" applyFill="0" applyAlignment="0" applyProtection="0"/>
    <xf numFmtId="0" fontId="143" fillId="0" borderId="59" applyNumberFormat="0" applyFill="0" applyAlignment="0" applyProtection="0"/>
    <xf numFmtId="0" fontId="143" fillId="0" borderId="59" applyNumberFormat="0" applyFill="0" applyAlignment="0" applyProtection="0"/>
    <xf numFmtId="0" fontId="143" fillId="0" borderId="59" applyNumberFormat="0" applyFill="0" applyAlignment="0" applyProtection="0"/>
    <xf numFmtId="0" fontId="143" fillId="0" borderId="59" applyNumberFormat="0" applyFill="0" applyAlignment="0" applyProtection="0"/>
    <xf numFmtId="0" fontId="143" fillId="0" borderId="59" applyNumberFormat="0" applyFill="0" applyAlignment="0" applyProtection="0"/>
    <xf numFmtId="0" fontId="143" fillId="0" borderId="59" applyNumberFormat="0" applyFill="0" applyAlignment="0" applyProtection="0"/>
    <xf numFmtId="0" fontId="142" fillId="0" borderId="59" applyNumberFormat="0" applyFill="0" applyAlignment="0" applyProtection="0"/>
    <xf numFmtId="0" fontId="95" fillId="0" borderId="59" applyNumberFormat="0" applyFill="0" applyAlignment="0" applyProtection="0"/>
    <xf numFmtId="0" fontId="142" fillId="0" borderId="59" applyNumberFormat="0" applyFill="0" applyAlignment="0" applyProtection="0"/>
    <xf numFmtId="0" fontId="95" fillId="0" borderId="59" applyNumberFormat="0" applyFill="0" applyAlignment="0" applyProtection="0"/>
    <xf numFmtId="0" fontId="142" fillId="0" borderId="59" applyNumberFormat="0" applyFill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09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09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09" fillId="0" borderId="0" applyNumberFormat="0" applyFill="0" applyBorder="0" applyAlignment="0" applyProtection="0"/>
    <xf numFmtId="0" fontId="109" fillId="0" borderId="0" applyNumberFormat="0" applyFill="0" applyBorder="0" applyAlignment="0" applyProtection="0"/>
    <xf numFmtId="0" fontId="109" fillId="0" borderId="0" applyNumberFormat="0" applyFill="0" applyBorder="0" applyAlignment="0" applyProtection="0"/>
    <xf numFmtId="0" fontId="109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09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09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6" fillId="0" borderId="0" applyNumberFormat="0" applyFill="0" applyBorder="0" applyAlignment="0" applyProtection="0"/>
    <xf numFmtId="0" fontId="146" fillId="0" borderId="0" applyNumberFormat="0" applyFill="0" applyBorder="0" applyAlignment="0" applyProtection="0"/>
    <xf numFmtId="0" fontId="108" fillId="0" borderId="0" applyNumberFormat="0" applyFill="0" applyBorder="0" applyAlignment="0" applyProtection="0"/>
    <xf numFmtId="0" fontId="146" fillId="0" borderId="0" applyNumberFormat="0" applyFill="0" applyBorder="0" applyAlignment="0" applyProtection="0"/>
    <xf numFmtId="0" fontId="108" fillId="0" borderId="0" applyNumberFormat="0" applyFill="0" applyBorder="0" applyAlignment="0" applyProtection="0"/>
    <xf numFmtId="0" fontId="146" fillId="0" borderId="0" applyNumberFormat="0" applyFill="0" applyBorder="0" applyAlignment="0" applyProtection="0"/>
    <xf numFmtId="0" fontId="108" fillId="0" borderId="0" applyNumberFormat="0" applyFill="0" applyBorder="0" applyAlignment="0" applyProtection="0"/>
    <xf numFmtId="0" fontId="108" fillId="0" borderId="0" applyNumberFormat="0" applyFill="0" applyBorder="0" applyAlignment="0" applyProtection="0"/>
    <xf numFmtId="0" fontId="108" fillId="0" borderId="0" applyNumberFormat="0" applyFill="0" applyBorder="0" applyAlignment="0" applyProtection="0"/>
    <xf numFmtId="0" fontId="108" fillId="0" borderId="0" applyNumberFormat="0" applyFill="0" applyBorder="0" applyAlignment="0" applyProtection="0"/>
    <xf numFmtId="0" fontId="146" fillId="0" borderId="0" applyNumberFormat="0" applyFill="0" applyBorder="0" applyAlignment="0" applyProtection="0"/>
    <xf numFmtId="0" fontId="147" fillId="0" borderId="0" applyNumberFormat="0" applyFill="0" applyBorder="0" applyAlignment="0" applyProtection="0"/>
    <xf numFmtId="0" fontId="147" fillId="0" borderId="0" applyNumberFormat="0" applyFill="0" applyBorder="0" applyAlignment="0" applyProtection="0"/>
    <xf numFmtId="0" fontId="147" fillId="0" borderId="0" applyNumberFormat="0" applyFill="0" applyBorder="0" applyAlignment="0" applyProtection="0"/>
    <xf numFmtId="0" fontId="147" fillId="0" borderId="0" applyNumberFormat="0" applyFill="0" applyBorder="0" applyAlignment="0" applyProtection="0"/>
    <xf numFmtId="0" fontId="147" fillId="0" borderId="0" applyNumberFormat="0" applyFill="0" applyBorder="0" applyAlignment="0" applyProtection="0"/>
    <xf numFmtId="0" fontId="147" fillId="0" borderId="0" applyNumberFormat="0" applyFill="0" applyBorder="0" applyAlignment="0" applyProtection="0"/>
    <xf numFmtId="0" fontId="147" fillId="0" borderId="0" applyNumberFormat="0" applyFill="0" applyBorder="0" applyAlignment="0" applyProtection="0"/>
    <xf numFmtId="0" fontId="146" fillId="0" borderId="0" applyNumberFormat="0" applyFill="0" applyBorder="0" applyAlignment="0" applyProtection="0"/>
    <xf numFmtId="0" fontId="108" fillId="0" borderId="0" applyNumberFormat="0" applyFill="0" applyBorder="0" applyAlignment="0" applyProtection="0"/>
    <xf numFmtId="0" fontId="146" fillId="0" borderId="0" applyNumberFormat="0" applyFill="0" applyBorder="0" applyAlignment="0" applyProtection="0"/>
    <xf numFmtId="0" fontId="108" fillId="0" borderId="0" applyNumberFormat="0" applyFill="0" applyBorder="0" applyAlignment="0" applyProtection="0"/>
    <xf numFmtId="0" fontId="146" fillId="0" borderId="0" applyNumberFormat="0" applyFill="0" applyBorder="0" applyAlignment="0" applyProtection="0"/>
    <xf numFmtId="0" fontId="96" fillId="0" borderId="0" applyNumberFormat="0" applyFill="0" applyBorder="0" applyAlignment="0" applyProtection="0"/>
    <xf numFmtId="0" fontId="96" fillId="0" borderId="0" applyNumberFormat="0" applyFill="0" applyBorder="0" applyAlignment="0" applyProtection="0"/>
    <xf numFmtId="0" fontId="158" fillId="0" borderId="0">
      <protection locked="0"/>
    </xf>
    <xf numFmtId="0" fontId="158" fillId="0" borderId="0">
      <protection locked="0"/>
    </xf>
    <xf numFmtId="0" fontId="158" fillId="0" borderId="0">
      <protection locked="0"/>
    </xf>
    <xf numFmtId="0" fontId="158" fillId="0" borderId="0">
      <protection locked="0"/>
    </xf>
    <xf numFmtId="0" fontId="158" fillId="0" borderId="0">
      <protection locked="0"/>
    </xf>
    <xf numFmtId="0" fontId="158" fillId="0" borderId="0">
      <protection locked="0"/>
    </xf>
    <xf numFmtId="0" fontId="158" fillId="0" borderId="0">
      <protection locked="0"/>
    </xf>
    <xf numFmtId="0" fontId="158" fillId="0" borderId="0">
      <protection locked="0"/>
    </xf>
    <xf numFmtId="0" fontId="158" fillId="0" borderId="0">
      <protection locked="0"/>
    </xf>
    <xf numFmtId="0" fontId="158" fillId="0" borderId="0">
      <protection locked="0"/>
    </xf>
    <xf numFmtId="0" fontId="95" fillId="0" borderId="59" applyNumberFormat="0" applyFill="0" applyAlignment="0" applyProtection="0"/>
    <xf numFmtId="0" fontId="158" fillId="0" borderId="0">
      <protection locked="0"/>
    </xf>
    <xf numFmtId="0" fontId="95" fillId="0" borderId="59" applyNumberFormat="0" applyFill="0" applyAlignment="0" applyProtection="0"/>
    <xf numFmtId="0" fontId="95" fillId="0" borderId="59" applyNumberFormat="0" applyFill="0" applyAlignment="0" applyProtection="0"/>
    <xf numFmtId="0" fontId="158" fillId="0" borderId="0">
      <protection locked="0"/>
    </xf>
    <xf numFmtId="0" fontId="158" fillId="0" borderId="0">
      <protection locked="0"/>
    </xf>
    <xf numFmtId="0" fontId="158" fillId="0" borderId="0">
      <protection locked="0"/>
    </xf>
    <xf numFmtId="0" fontId="158" fillId="0" borderId="0">
      <protection locked="0"/>
    </xf>
    <xf numFmtId="0" fontId="158" fillId="0" borderId="0">
      <protection locked="0"/>
    </xf>
    <xf numFmtId="0" fontId="158" fillId="0" borderId="0">
      <protection locked="0"/>
    </xf>
    <xf numFmtId="0" fontId="158" fillId="0" borderId="0">
      <protection locked="0"/>
    </xf>
    <xf numFmtId="0" fontId="148" fillId="0" borderId="0" applyNumberFormat="0" applyFill="0" applyBorder="0" applyAlignment="0" applyProtection="0"/>
    <xf numFmtId="0" fontId="148" fillId="0" borderId="0" applyNumberFormat="0" applyFill="0" applyBorder="0" applyAlignment="0" applyProtection="0"/>
    <xf numFmtId="0" fontId="96" fillId="0" borderId="0" applyNumberFormat="0" applyFill="0" applyBorder="0" applyAlignment="0" applyProtection="0"/>
    <xf numFmtId="0" fontId="148" fillId="0" borderId="0" applyNumberFormat="0" applyFill="0" applyBorder="0" applyAlignment="0" applyProtection="0"/>
    <xf numFmtId="0" fontId="96" fillId="0" borderId="0" applyNumberFormat="0" applyFill="0" applyBorder="0" applyAlignment="0" applyProtection="0"/>
    <xf numFmtId="0" fontId="148" fillId="0" borderId="0" applyNumberFormat="0" applyFill="0" applyBorder="0" applyAlignment="0" applyProtection="0"/>
    <xf numFmtId="0" fontId="96" fillId="0" borderId="0" applyNumberFormat="0" applyFill="0" applyBorder="0" applyAlignment="0" applyProtection="0"/>
    <xf numFmtId="0" fontId="148" fillId="0" borderId="0" applyNumberFormat="0" applyFill="0" applyBorder="0" applyAlignment="0" applyProtection="0"/>
    <xf numFmtId="0" fontId="96" fillId="0" borderId="0" applyNumberFormat="0" applyFill="0" applyBorder="0" applyAlignment="0" applyProtection="0"/>
    <xf numFmtId="0" fontId="148" fillId="0" borderId="0" applyNumberFormat="0" applyFill="0" applyBorder="0" applyAlignment="0" applyProtection="0"/>
    <xf numFmtId="0" fontId="96" fillId="0" borderId="0" applyNumberFormat="0" applyFill="0" applyBorder="0" applyAlignment="0" applyProtection="0"/>
    <xf numFmtId="0" fontId="96" fillId="0" borderId="0" applyNumberFormat="0" applyFill="0" applyBorder="0" applyAlignment="0" applyProtection="0"/>
    <xf numFmtId="0" fontId="96" fillId="0" borderId="0" applyNumberFormat="0" applyFill="0" applyBorder="0" applyAlignment="0" applyProtection="0"/>
    <xf numFmtId="0" fontId="96" fillId="0" borderId="0" applyNumberFormat="0" applyFill="0" applyBorder="0" applyAlignment="0" applyProtection="0"/>
    <xf numFmtId="0" fontId="148" fillId="0" borderId="0" applyNumberFormat="0" applyFill="0" applyBorder="0" applyAlignment="0" applyProtection="0"/>
    <xf numFmtId="0" fontId="148" fillId="0" borderId="0" applyNumberFormat="0" applyFill="0" applyBorder="0" applyAlignment="0" applyProtection="0"/>
    <xf numFmtId="0" fontId="97" fillId="0" borderId="60" applyNumberFormat="0" applyFill="0" applyAlignment="0" applyProtection="0"/>
    <xf numFmtId="0" fontId="98" fillId="0" borderId="61" applyNumberFormat="0" applyFill="0" applyAlignment="0" applyProtection="0"/>
    <xf numFmtId="0" fontId="99" fillId="0" borderId="62" applyNumberFormat="0" applyFill="0" applyAlignment="0" applyProtection="0"/>
    <xf numFmtId="0" fontId="99" fillId="0" borderId="0" applyNumberFormat="0" applyFill="0" applyBorder="0" applyAlignment="0" applyProtection="0"/>
    <xf numFmtId="0" fontId="96" fillId="0" borderId="0" applyNumberFormat="0" applyFill="0" applyBorder="0" applyAlignment="0" applyProtection="0"/>
    <xf numFmtId="37" fontId="27" fillId="60" borderId="0" applyNumberFormat="0" applyBorder="0" applyAlignment="0" applyProtection="0"/>
    <xf numFmtId="37" fontId="27" fillId="0" borderId="0"/>
    <xf numFmtId="37" fontId="27" fillId="60" borderId="0" applyNumberFormat="0" applyBorder="0" applyAlignment="0" applyProtection="0"/>
    <xf numFmtId="3" fontId="170" fillId="0" borderId="63" applyProtection="0"/>
    <xf numFmtId="0" fontId="149" fillId="59" borderId="65" applyNumberFormat="0" applyFont="0" applyAlignment="0" applyProtection="0"/>
    <xf numFmtId="0" fontId="149" fillId="59" borderId="65" applyNumberFormat="0" applyFont="0" applyAlignment="0" applyProtection="0"/>
    <xf numFmtId="0" fontId="11" fillId="59" borderId="65" applyNumberFormat="0" applyFont="0" applyAlignment="0" applyProtection="0"/>
    <xf numFmtId="0" fontId="149" fillId="59" borderId="65" applyNumberFormat="0" applyFont="0" applyAlignment="0" applyProtection="0"/>
    <xf numFmtId="0" fontId="149" fillId="59" borderId="65" applyNumberFormat="0" applyFont="0" applyAlignment="0" applyProtection="0"/>
    <xf numFmtId="0" fontId="149" fillId="59" borderId="65" applyNumberFormat="0" applyFont="0" applyAlignment="0" applyProtection="0"/>
    <xf numFmtId="0" fontId="149" fillId="59" borderId="65" applyNumberFormat="0" applyFont="0" applyAlignment="0" applyProtection="0"/>
    <xf numFmtId="0" fontId="149" fillId="59" borderId="65" applyNumberFormat="0" applyFont="0" applyAlignment="0" applyProtection="0"/>
    <xf numFmtId="0" fontId="149" fillId="59" borderId="65" applyNumberFormat="0" applyFont="0" applyAlignment="0" applyProtection="0"/>
    <xf numFmtId="0" fontId="149" fillId="59" borderId="65" applyNumberFormat="0" applyFont="0" applyAlignment="0" applyProtection="0"/>
    <xf numFmtId="0" fontId="149" fillId="59" borderId="65" applyNumberFormat="0" applyFont="0" applyAlignment="0" applyProtection="0"/>
    <xf numFmtId="0" fontId="11" fillId="59" borderId="65" applyNumberFormat="0" applyFont="0" applyAlignment="0" applyProtection="0"/>
    <xf numFmtId="0" fontId="149" fillId="59" borderId="65" applyNumberFormat="0" applyFont="0" applyAlignment="0" applyProtection="0"/>
    <xf numFmtId="0" fontId="149" fillId="59" borderId="65" applyNumberFormat="0" applyFont="0" applyAlignment="0" applyProtection="0"/>
    <xf numFmtId="0" fontId="149" fillId="59" borderId="65" applyNumberFormat="0" applyFont="0" applyAlignment="0" applyProtection="0"/>
    <xf numFmtId="0" fontId="149" fillId="59" borderId="65" applyNumberFormat="0" applyFont="0" applyAlignment="0" applyProtection="0"/>
    <xf numFmtId="0" fontId="149" fillId="59" borderId="65" applyNumberFormat="0" applyFont="0" applyAlignment="0" applyProtection="0"/>
    <xf numFmtId="0" fontId="11" fillId="59" borderId="65" applyNumberFormat="0" applyFont="0" applyAlignment="0" applyProtection="0"/>
    <xf numFmtId="0" fontId="149" fillId="59" borderId="65" applyNumberFormat="0" applyFont="0" applyAlignment="0" applyProtection="0"/>
    <xf numFmtId="0" fontId="149" fillId="59" borderId="65" applyNumberFormat="0" applyFont="0" applyAlignment="0" applyProtection="0"/>
    <xf numFmtId="0" fontId="149" fillId="59" borderId="65" applyNumberFormat="0" applyFont="0" applyAlignment="0" applyProtection="0"/>
    <xf numFmtId="0" fontId="11" fillId="59" borderId="65" applyNumberFormat="0" applyFont="0" applyAlignment="0" applyProtection="0"/>
    <xf numFmtId="0" fontId="11" fillId="59" borderId="65" applyNumberFormat="0" applyFont="0" applyAlignment="0" applyProtection="0"/>
    <xf numFmtId="0" fontId="11" fillId="59" borderId="65" applyNumberFormat="0" applyFont="0" applyAlignment="0" applyProtection="0"/>
    <xf numFmtId="0" fontId="149" fillId="59" borderId="65" applyNumberFormat="0" applyFont="0" applyAlignment="0" applyProtection="0"/>
    <xf numFmtId="0" fontId="44" fillId="59" borderId="65" applyNumberFormat="0" applyFont="0" applyAlignment="0" applyProtection="0"/>
    <xf numFmtId="0" fontId="44" fillId="59" borderId="65" applyNumberFormat="0" applyFont="0" applyAlignment="0" applyProtection="0"/>
    <xf numFmtId="0" fontId="44" fillId="59" borderId="65" applyNumberFormat="0" applyFont="0" applyAlignment="0" applyProtection="0"/>
    <xf numFmtId="0" fontId="44" fillId="59" borderId="65" applyNumberFormat="0" applyFont="0" applyAlignment="0" applyProtection="0"/>
    <xf numFmtId="0" fontId="44" fillId="59" borderId="65" applyNumberFormat="0" applyFont="0" applyAlignment="0" applyProtection="0"/>
    <xf numFmtId="0" fontId="44" fillId="59" borderId="65" applyNumberFormat="0" applyFont="0" applyAlignment="0" applyProtection="0"/>
    <xf numFmtId="0" fontId="44" fillId="59" borderId="65" applyNumberFormat="0" applyFont="0" applyAlignment="0" applyProtection="0"/>
    <xf numFmtId="0" fontId="149" fillId="59" borderId="65" applyNumberFormat="0" applyFont="0" applyAlignment="0" applyProtection="0"/>
    <xf numFmtId="0" fontId="11" fillId="59" borderId="65" applyNumberFormat="0" applyFont="0" applyAlignment="0" applyProtection="0"/>
    <xf numFmtId="0" fontId="149" fillId="59" borderId="65" applyNumberFormat="0" applyFont="0" applyAlignment="0" applyProtection="0"/>
    <xf numFmtId="0" fontId="149" fillId="59" borderId="65" applyNumberFormat="0" applyFont="0" applyAlignment="0" applyProtection="0"/>
    <xf numFmtId="0" fontId="149" fillId="59" borderId="65" applyNumberFormat="0" applyFont="0" applyAlignment="0" applyProtection="0"/>
    <xf numFmtId="0" fontId="149" fillId="59" borderId="65" applyNumberFormat="0" applyFont="0" applyAlignment="0" applyProtection="0"/>
    <xf numFmtId="0" fontId="149" fillId="59" borderId="65" applyNumberFormat="0" applyFont="0" applyAlignment="0" applyProtection="0"/>
    <xf numFmtId="0" fontId="149" fillId="59" borderId="65" applyNumberFormat="0" applyFont="0" applyAlignment="0" applyProtection="0"/>
    <xf numFmtId="0" fontId="149" fillId="59" borderId="65" applyNumberFormat="0" applyFont="0" applyAlignment="0" applyProtection="0"/>
    <xf numFmtId="0" fontId="149" fillId="59" borderId="65" applyNumberFormat="0" applyFont="0" applyAlignment="0" applyProtection="0"/>
    <xf numFmtId="0" fontId="11" fillId="59" borderId="65" applyNumberFormat="0" applyFont="0" applyAlignment="0" applyProtection="0"/>
    <xf numFmtId="0" fontId="111" fillId="59" borderId="65" applyNumberFormat="0" applyFont="0" applyAlignment="0" applyProtection="0"/>
    <xf numFmtId="203" fontId="172" fillId="0" borderId="0" applyFont="0" applyFill="0" applyBorder="0" applyAlignment="0" applyProtection="0"/>
    <xf numFmtId="0" fontId="106" fillId="0" borderId="64" applyNumberFormat="0" applyFill="0" applyAlignment="0" applyProtection="0"/>
    <xf numFmtId="184" fontId="11" fillId="0" borderId="0" applyFont="0" applyFill="0" applyBorder="0" applyAlignment="0" applyProtection="0"/>
    <xf numFmtId="189" fontId="124" fillId="0" borderId="0" applyFont="0" applyFill="0" applyBorder="0" applyAlignment="0" applyProtection="0"/>
    <xf numFmtId="0" fontId="108" fillId="0" borderId="0" applyNumberFormat="0" applyFill="0" applyBorder="0" applyAlignment="0" applyProtection="0"/>
    <xf numFmtId="0" fontId="108" fillId="0" borderId="0" applyNumberFormat="0" applyFill="0" applyBorder="0" applyAlignment="0" applyProtection="0"/>
    <xf numFmtId="0" fontId="108" fillId="0" borderId="0" applyNumberFormat="0" applyFill="0" applyBorder="0" applyAlignment="0" applyProtection="0"/>
    <xf numFmtId="199" fontId="171" fillId="0" borderId="0">
      <alignment horizontal="right" vertical="center"/>
    </xf>
    <xf numFmtId="0" fontId="107" fillId="54" borderId="58" applyNumberFormat="0" applyAlignment="0" applyProtection="0"/>
    <xf numFmtId="0" fontId="150" fillId="35" borderId="0" applyNumberFormat="0" applyBorder="0" applyAlignment="0" applyProtection="0"/>
    <xf numFmtId="0" fontId="150" fillId="35" borderId="0" applyNumberFormat="0" applyBorder="0" applyAlignment="0" applyProtection="0"/>
    <xf numFmtId="0" fontId="101" fillId="35" borderId="0" applyNumberFormat="0" applyBorder="0" applyAlignment="0" applyProtection="0"/>
    <xf numFmtId="0" fontId="150" fillId="35" borderId="0" applyNumberFormat="0" applyBorder="0" applyAlignment="0" applyProtection="0"/>
    <xf numFmtId="0" fontId="101" fillId="35" borderId="0" applyNumberFormat="0" applyBorder="0" applyAlignment="0" applyProtection="0"/>
    <xf numFmtId="0" fontId="150" fillId="35" borderId="0" applyNumberFormat="0" applyBorder="0" applyAlignment="0" applyProtection="0"/>
    <xf numFmtId="0" fontId="101" fillId="35" borderId="0" applyNumberFormat="0" applyBorder="0" applyAlignment="0" applyProtection="0"/>
    <xf numFmtId="0" fontId="101" fillId="35" borderId="0" applyNumberFormat="0" applyBorder="0" applyAlignment="0" applyProtection="0"/>
    <xf numFmtId="0" fontId="101" fillId="35" borderId="0" applyNumberFormat="0" applyBorder="0" applyAlignment="0" applyProtection="0"/>
    <xf numFmtId="0" fontId="101" fillId="35" borderId="0" applyNumberFormat="0" applyBorder="0" applyAlignment="0" applyProtection="0"/>
    <xf numFmtId="0" fontId="150" fillId="35" borderId="0" applyNumberFormat="0" applyBorder="0" applyAlignment="0" applyProtection="0"/>
    <xf numFmtId="0" fontId="151" fillId="35" borderId="0" applyNumberFormat="0" applyBorder="0" applyAlignment="0" applyProtection="0"/>
    <xf numFmtId="0" fontId="151" fillId="35" borderId="0" applyNumberFormat="0" applyBorder="0" applyAlignment="0" applyProtection="0"/>
    <xf numFmtId="0" fontId="151" fillId="35" borderId="0" applyNumberFormat="0" applyBorder="0" applyAlignment="0" applyProtection="0"/>
    <xf numFmtId="0" fontId="151" fillId="35" borderId="0" applyNumberFormat="0" applyBorder="0" applyAlignment="0" applyProtection="0"/>
    <xf numFmtId="0" fontId="151" fillId="35" borderId="0" applyNumberFormat="0" applyBorder="0" applyAlignment="0" applyProtection="0"/>
    <xf numFmtId="0" fontId="151" fillId="35" borderId="0" applyNumberFormat="0" applyBorder="0" applyAlignment="0" applyProtection="0"/>
    <xf numFmtId="0" fontId="151" fillId="35" borderId="0" applyNumberFormat="0" applyBorder="0" applyAlignment="0" applyProtection="0"/>
    <xf numFmtId="0" fontId="150" fillId="35" borderId="0" applyNumberFormat="0" applyBorder="0" applyAlignment="0" applyProtection="0"/>
    <xf numFmtId="0" fontId="101" fillId="35" borderId="0" applyNumberFormat="0" applyBorder="0" applyAlignment="0" applyProtection="0"/>
    <xf numFmtId="0" fontId="150" fillId="35" borderId="0" applyNumberFormat="0" applyBorder="0" applyAlignment="0" applyProtection="0"/>
    <xf numFmtId="0" fontId="101" fillId="35" borderId="0" applyNumberFormat="0" applyBorder="0" applyAlignment="0" applyProtection="0"/>
    <xf numFmtId="0" fontId="150" fillId="35" borderId="0" applyNumberFormat="0" applyBorder="0" applyAlignment="0" applyProtection="0"/>
    <xf numFmtId="4" fontId="26" fillId="0" borderId="0"/>
    <xf numFmtId="0" fontId="152" fillId="0" borderId="0" applyNumberFormat="0" applyFill="0" applyBorder="0" applyAlignment="0" applyProtection="0">
      <alignment vertical="center"/>
    </xf>
  </cellStyleXfs>
  <cellXfs count="762">
    <xf numFmtId="0" fontId="0" fillId="0" borderId="0" xfId="0"/>
    <xf numFmtId="0" fontId="70" fillId="14" borderId="19" xfId="7" applyFont="1" applyFill="1" applyBorder="1" applyAlignment="1">
      <alignment horizontal="center" vertical="center" wrapText="1"/>
    </xf>
    <xf numFmtId="0" fontId="71" fillId="13" borderId="18" xfId="6" applyFont="1" applyFill="1" applyBorder="1" applyAlignment="1">
      <alignment horizontal="center" vertical="center" wrapText="1"/>
    </xf>
    <xf numFmtId="166" fontId="73" fillId="16" borderId="0" xfId="5" applyNumberFormat="1" applyFont="1" applyFill="1"/>
    <xf numFmtId="166" fontId="73" fillId="16" borderId="0" xfId="5" applyNumberFormat="1" applyFont="1" applyFill="1" applyAlignment="1">
      <alignment vertical="center"/>
    </xf>
    <xf numFmtId="0" fontId="70" fillId="18" borderId="21" xfId="5" applyFont="1" applyFill="1" applyBorder="1"/>
    <xf numFmtId="166" fontId="70" fillId="16" borderId="0" xfId="0" applyNumberFormat="1" applyFont="1" applyFill="1"/>
    <xf numFmtId="0" fontId="70" fillId="16" borderId="0" xfId="0" applyFont="1" applyFill="1"/>
    <xf numFmtId="0" fontId="70" fillId="16" borderId="0" xfId="5" applyFont="1" applyFill="1"/>
    <xf numFmtId="0" fontId="70" fillId="18" borderId="0" xfId="0" applyFont="1" applyFill="1"/>
    <xf numFmtId="0" fontId="70" fillId="18" borderId="0" xfId="5" applyFont="1" applyFill="1"/>
    <xf numFmtId="166" fontId="70" fillId="18" borderId="0" xfId="5" applyNumberFormat="1" applyFont="1" applyFill="1"/>
    <xf numFmtId="166" fontId="70" fillId="16" borderId="0" xfId="5" applyNumberFormat="1" applyFont="1" applyFill="1"/>
    <xf numFmtId="0" fontId="68" fillId="11" borderId="0" xfId="24" applyFill="1" applyAlignment="1">
      <alignment horizontal="left" vertical="top" wrapText="1"/>
    </xf>
    <xf numFmtId="0" fontId="69" fillId="11" borderId="39" xfId="24" applyFont="1" applyFill="1" applyBorder="1" applyAlignment="1">
      <alignment horizontal="left" vertical="center"/>
    </xf>
    <xf numFmtId="0" fontId="72" fillId="11" borderId="0" xfId="22" applyFont="1" applyFill="1"/>
    <xf numFmtId="0" fontId="2" fillId="0" borderId="0" xfId="23"/>
    <xf numFmtId="0" fontId="68" fillId="11" borderId="4" xfId="24" applyFill="1" applyBorder="1"/>
    <xf numFmtId="0" fontId="68" fillId="14" borderId="4" xfId="24" applyFill="1" applyBorder="1"/>
    <xf numFmtId="0" fontId="32" fillId="14" borderId="2" xfId="8" applyFill="1" applyBorder="1" applyAlignment="1">
      <alignment horizontal="center" vertical="center" wrapText="1"/>
    </xf>
    <xf numFmtId="0" fontId="32" fillId="14" borderId="19" xfId="8" applyFill="1" applyBorder="1" applyAlignment="1">
      <alignment horizontal="center" vertical="center" wrapText="1"/>
    </xf>
    <xf numFmtId="0" fontId="32" fillId="14" borderId="26" xfId="8" applyFill="1" applyBorder="1" applyAlignment="1">
      <alignment horizontal="center" vertical="center" wrapText="1"/>
    </xf>
    <xf numFmtId="0" fontId="28" fillId="0" borderId="13" xfId="10" applyFont="1" applyBorder="1" applyAlignment="1">
      <alignment horizontal="center" vertical="center" wrapText="1"/>
    </xf>
    <xf numFmtId="0" fontId="28" fillId="0" borderId="13" xfId="20" applyFont="1" applyBorder="1" applyAlignment="1">
      <alignment horizontal="center" vertical="center"/>
    </xf>
    <xf numFmtId="0" fontId="69" fillId="11" borderId="0" xfId="24" applyFont="1" applyFill="1" applyAlignment="1">
      <alignment horizontal="left"/>
    </xf>
    <xf numFmtId="0" fontId="18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0" fontId="10" fillId="0" borderId="0" xfId="1" applyFill="1" applyAlignment="1" applyProtection="1">
      <alignment vertical="center"/>
    </xf>
    <xf numFmtId="0" fontId="0" fillId="0" borderId="0" xfId="0" applyAlignment="1">
      <alignment vertical="center"/>
    </xf>
    <xf numFmtId="0" fontId="12" fillId="0" borderId="0" xfId="2" applyAlignment="1">
      <alignment vertical="center"/>
    </xf>
    <xf numFmtId="0" fontId="19" fillId="4" borderId="1" xfId="0" applyFont="1" applyFill="1" applyBorder="1" applyAlignment="1">
      <alignment horizontal="center" vertical="center" wrapText="1"/>
    </xf>
    <xf numFmtId="0" fontId="0" fillId="3" borderId="11" xfId="0" applyFill="1" applyBorder="1" applyAlignment="1">
      <alignment horizontal="center" vertical="center"/>
    </xf>
    <xf numFmtId="0" fontId="18" fillId="0" borderId="14" xfId="0" applyFont="1" applyBorder="1" applyAlignment="1">
      <alignment vertical="center"/>
    </xf>
    <xf numFmtId="0" fontId="18" fillId="0" borderId="15" xfId="0" applyFont="1" applyBorder="1" applyAlignment="1">
      <alignment vertical="center"/>
    </xf>
    <xf numFmtId="0" fontId="19" fillId="3" borderId="1" xfId="0" applyFont="1" applyFill="1" applyBorder="1" applyAlignment="1">
      <alignment horizontal="center" vertical="center"/>
    </xf>
    <xf numFmtId="0" fontId="19" fillId="5" borderId="11" xfId="0" applyFont="1" applyFill="1" applyBorder="1" applyAlignment="1">
      <alignment horizontal="left" vertical="center" wrapText="1"/>
    </xf>
    <xf numFmtId="0" fontId="18" fillId="0" borderId="13" xfId="0" applyFont="1" applyBorder="1" applyAlignment="1">
      <alignment vertical="center"/>
    </xf>
    <xf numFmtId="0" fontId="18" fillId="0" borderId="5" xfId="0" applyFont="1" applyBorder="1" applyAlignment="1">
      <alignment vertical="center"/>
    </xf>
    <xf numFmtId="0" fontId="18" fillId="0" borderId="3" xfId="0" applyFont="1" applyBorder="1" applyAlignment="1">
      <alignment vertical="center"/>
    </xf>
    <xf numFmtId="164" fontId="0" fillId="2" borderId="2" xfId="0" applyNumberFormat="1" applyFill="1" applyBorder="1" applyAlignment="1">
      <alignment vertical="center"/>
    </xf>
    <xf numFmtId="164" fontId="0" fillId="2" borderId="1" xfId="0" applyNumberFormat="1" applyFill="1" applyBorder="1" applyAlignment="1">
      <alignment vertical="center"/>
    </xf>
    <xf numFmtId="0" fontId="0" fillId="3" borderId="3" xfId="0" applyFill="1" applyBorder="1" applyAlignment="1">
      <alignment vertical="center"/>
    </xf>
    <xf numFmtId="0" fontId="0" fillId="3" borderId="4" xfId="0" applyFill="1" applyBorder="1" applyAlignment="1">
      <alignment vertical="center"/>
    </xf>
    <xf numFmtId="0" fontId="0" fillId="3" borderId="13" xfId="0" applyFill="1" applyBorder="1" applyAlignment="1">
      <alignment vertical="center"/>
    </xf>
    <xf numFmtId="0" fontId="0" fillId="4" borderId="8" xfId="0" applyFill="1" applyBorder="1" applyAlignment="1">
      <alignment vertical="center"/>
    </xf>
    <xf numFmtId="0" fontId="0" fillId="4" borderId="15" xfId="0" applyFill="1" applyBorder="1" applyAlignment="1">
      <alignment vertical="center"/>
    </xf>
    <xf numFmtId="0" fontId="0" fillId="2" borderId="3" xfId="0" applyFill="1" applyBorder="1" applyAlignment="1">
      <alignment vertical="center"/>
    </xf>
    <xf numFmtId="0" fontId="0" fillId="2" borderId="4" xfId="0" applyFill="1" applyBorder="1" applyAlignment="1">
      <alignment vertical="center"/>
    </xf>
    <xf numFmtId="0" fontId="0" fillId="2" borderId="13" xfId="0" applyFill="1" applyBorder="1" applyAlignment="1">
      <alignment vertical="center"/>
    </xf>
    <xf numFmtId="0" fontId="0" fillId="2" borderId="6" xfId="0" applyFill="1" applyBorder="1" applyAlignment="1">
      <alignment vertical="center"/>
    </xf>
    <xf numFmtId="0" fontId="0" fillId="2" borderId="0" xfId="0" applyFill="1" applyAlignment="1">
      <alignment vertical="center"/>
    </xf>
    <xf numFmtId="0" fontId="0" fillId="2" borderId="14" xfId="0" applyFill="1" applyBorder="1" applyAlignment="1">
      <alignment vertical="center"/>
    </xf>
    <xf numFmtId="0" fontId="0" fillId="4" borderId="6" xfId="0" applyFill="1" applyBorder="1" applyAlignment="1">
      <alignment vertical="center"/>
    </xf>
    <xf numFmtId="0" fontId="0" fillId="4" borderId="0" xfId="0" applyFill="1" applyAlignment="1">
      <alignment vertical="center"/>
    </xf>
    <xf numFmtId="0" fontId="0" fillId="4" borderId="14" xfId="0" applyFill="1" applyBorder="1" applyAlignment="1">
      <alignment vertical="center"/>
    </xf>
    <xf numFmtId="0" fontId="0" fillId="4" borderId="9" xfId="0" applyFill="1" applyBorder="1" applyAlignment="1">
      <alignment vertical="center"/>
    </xf>
    <xf numFmtId="0" fontId="8" fillId="0" borderId="0" xfId="0" applyFont="1" applyAlignment="1">
      <alignment vertical="center"/>
    </xf>
    <xf numFmtId="0" fontId="0" fillId="0" borderId="3" xfId="0" applyBorder="1" applyAlignment="1">
      <alignment vertical="center"/>
    </xf>
    <xf numFmtId="0" fontId="9" fillId="4" borderId="9" xfId="0" applyFont="1" applyFill="1" applyBorder="1" applyAlignment="1">
      <alignment vertical="center"/>
    </xf>
    <xf numFmtId="0" fontId="0" fillId="4" borderId="5" xfId="0" applyFill="1" applyBorder="1" applyAlignment="1">
      <alignment vertical="center"/>
    </xf>
    <xf numFmtId="0" fontId="0" fillId="4" borderId="7" xfId="0" applyFill="1" applyBorder="1" applyAlignment="1">
      <alignment vertical="center"/>
    </xf>
    <xf numFmtId="2" fontId="0" fillId="0" borderId="4" xfId="0" applyNumberFormat="1" applyBorder="1" applyAlignment="1">
      <alignment vertical="center"/>
    </xf>
    <xf numFmtId="0" fontId="9" fillId="2" borderId="3" xfId="0" applyFont="1" applyFill="1" applyBorder="1" applyAlignment="1">
      <alignment vertical="center"/>
    </xf>
    <xf numFmtId="164" fontId="9" fillId="2" borderId="2" xfId="0" applyNumberFormat="1" applyFont="1" applyFill="1" applyBorder="1" applyAlignment="1">
      <alignment vertical="center"/>
    </xf>
    <xf numFmtId="0" fontId="9" fillId="3" borderId="3" xfId="0" applyFont="1" applyFill="1" applyBorder="1" applyAlignment="1">
      <alignment vertical="center"/>
    </xf>
    <xf numFmtId="0" fontId="9" fillId="4" borderId="8" xfId="0" applyFont="1" applyFill="1" applyBorder="1" applyAlignment="1">
      <alignment vertical="center"/>
    </xf>
    <xf numFmtId="0" fontId="9" fillId="4" borderId="3" xfId="0" applyFont="1" applyFill="1" applyBorder="1" applyAlignment="1">
      <alignment vertical="center"/>
    </xf>
    <xf numFmtId="0" fontId="9" fillId="4" borderId="0" xfId="0" applyFont="1" applyFill="1" applyAlignment="1">
      <alignment vertical="center"/>
    </xf>
    <xf numFmtId="0" fontId="7" fillId="7" borderId="12" xfId="0" applyFont="1" applyFill="1" applyBorder="1" applyAlignment="1">
      <alignment vertical="center"/>
    </xf>
    <xf numFmtId="0" fontId="7" fillId="7" borderId="1" xfId="0" applyFont="1" applyFill="1" applyBorder="1" applyAlignment="1">
      <alignment vertical="center"/>
    </xf>
    <xf numFmtId="0" fontId="0" fillId="4" borderId="9" xfId="0" applyFill="1" applyBorder="1" applyAlignment="1">
      <alignment horizontal="left" vertical="center"/>
    </xf>
    <xf numFmtId="0" fontId="9" fillId="3" borderId="4" xfId="0" applyFont="1" applyFill="1" applyBorder="1" applyAlignment="1">
      <alignment vertical="center"/>
    </xf>
    <xf numFmtId="0" fontId="9" fillId="0" borderId="0" xfId="0" applyFont="1" applyAlignment="1">
      <alignment vertic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7" borderId="4" xfId="0" applyFont="1" applyFill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0" fontId="9" fillId="4" borderId="6" xfId="0" applyFont="1" applyFill="1" applyBorder="1" applyAlignment="1">
      <alignment vertical="center"/>
    </xf>
    <xf numFmtId="164" fontId="9" fillId="2" borderId="9" xfId="0" applyNumberFormat="1" applyFont="1" applyFill="1" applyBorder="1" applyAlignment="1">
      <alignment vertical="center"/>
    </xf>
    <xf numFmtId="164" fontId="0" fillId="2" borderId="9" xfId="0" applyNumberFormat="1" applyFill="1" applyBorder="1" applyAlignment="1">
      <alignment vertical="center"/>
    </xf>
    <xf numFmtId="0" fontId="7" fillId="7" borderId="11" xfId="0" applyFont="1" applyFill="1" applyBorder="1" applyAlignment="1">
      <alignment vertical="center"/>
    </xf>
    <xf numFmtId="0" fontId="0" fillId="0" borderId="6" xfId="0" applyBorder="1" applyAlignment="1">
      <alignment vertical="center"/>
    </xf>
    <xf numFmtId="0" fontId="8" fillId="6" borderId="7" xfId="0" applyFont="1" applyFill="1" applyBorder="1" applyAlignment="1">
      <alignment vertical="center"/>
    </xf>
    <xf numFmtId="3" fontId="0" fillId="0" borderId="0" xfId="0" applyNumberFormat="1" applyAlignment="1">
      <alignment horizontal="center" vertical="center"/>
    </xf>
    <xf numFmtId="3" fontId="0" fillId="0" borderId="4" xfId="0" applyNumberFormat="1" applyBorder="1" applyAlignment="1">
      <alignment horizontal="center" vertical="center"/>
    </xf>
    <xf numFmtId="0" fontId="0" fillId="4" borderId="3" xfId="0" applyFill="1" applyBorder="1" applyAlignment="1">
      <alignment vertical="center"/>
    </xf>
    <xf numFmtId="2" fontId="18" fillId="0" borderId="0" xfId="0" applyNumberFormat="1" applyFont="1" applyAlignment="1">
      <alignment vertical="center"/>
    </xf>
    <xf numFmtId="164" fontId="0" fillId="0" borderId="0" xfId="0" applyNumberFormat="1"/>
    <xf numFmtId="0" fontId="9" fillId="0" borderId="9" xfId="0" applyFont="1" applyBorder="1" applyAlignment="1">
      <alignment vertical="center"/>
    </xf>
    <xf numFmtId="2" fontId="0" fillId="0" borderId="0" xfId="0" applyNumberFormat="1"/>
    <xf numFmtId="1" fontId="0" fillId="0" borderId="0" xfId="0" applyNumberFormat="1"/>
    <xf numFmtId="166" fontId="0" fillId="0" borderId="0" xfId="0" applyNumberFormat="1"/>
    <xf numFmtId="0" fontId="19" fillId="2" borderId="17" xfId="0" applyFont="1" applyFill="1" applyBorder="1" applyAlignment="1">
      <alignment vertical="center"/>
    </xf>
    <xf numFmtId="0" fontId="9" fillId="0" borderId="0" xfId="0" applyFont="1"/>
    <xf numFmtId="167" fontId="0" fillId="0" borderId="0" xfId="0" applyNumberFormat="1" applyAlignment="1">
      <alignment vertical="center"/>
    </xf>
    <xf numFmtId="0" fontId="0" fillId="0" borderId="9" xfId="0" applyBorder="1"/>
    <xf numFmtId="168" fontId="0" fillId="0" borderId="0" xfId="0" applyNumberFormat="1"/>
    <xf numFmtId="167" fontId="0" fillId="0" borderId="0" xfId="0" applyNumberFormat="1"/>
    <xf numFmtId="0" fontId="17" fillId="0" borderId="0" xfId="0" applyFont="1" applyAlignment="1">
      <alignment horizontal="right"/>
    </xf>
    <xf numFmtId="9" fontId="6" fillId="0" borderId="0" xfId="4" applyFont="1" applyBorder="1" applyAlignment="1">
      <alignment vertical="center"/>
    </xf>
    <xf numFmtId="9" fontId="6" fillId="0" borderId="1" xfId="4" applyFont="1" applyBorder="1" applyAlignment="1">
      <alignment vertical="center"/>
    </xf>
    <xf numFmtId="0" fontId="19" fillId="4" borderId="11" xfId="0" applyFont="1" applyFill="1" applyBorder="1" applyAlignment="1">
      <alignment horizontal="center" vertical="center" wrapText="1"/>
    </xf>
    <xf numFmtId="0" fontId="19" fillId="4" borderId="2" xfId="0" applyFont="1" applyFill="1" applyBorder="1" applyAlignment="1">
      <alignment horizontal="center" vertical="center" wrapText="1"/>
    </xf>
    <xf numFmtId="0" fontId="19" fillId="4" borderId="12" xfId="0" applyFont="1" applyFill="1" applyBorder="1" applyAlignment="1">
      <alignment horizontal="center" vertical="center" wrapText="1"/>
    </xf>
    <xf numFmtId="2" fontId="6" fillId="0" borderId="1" xfId="4" applyNumberFormat="1" applyFont="1" applyBorder="1" applyAlignment="1">
      <alignment vertical="center"/>
    </xf>
    <xf numFmtId="0" fontId="18" fillId="0" borderId="11" xfId="0" applyFont="1" applyBorder="1" applyAlignment="1">
      <alignment vertical="center"/>
    </xf>
    <xf numFmtId="1" fontId="19" fillId="8" borderId="17" xfId="0" applyNumberFormat="1" applyFont="1" applyFill="1" applyBorder="1" applyAlignment="1">
      <alignment horizontal="center" vertical="center"/>
    </xf>
    <xf numFmtId="1" fontId="19" fillId="8" borderId="0" xfId="0" applyNumberFormat="1" applyFont="1" applyFill="1" applyAlignment="1">
      <alignment horizontal="center" vertical="center"/>
    </xf>
    <xf numFmtId="2" fontId="0" fillId="10" borderId="0" xfId="0" applyNumberFormat="1" applyFill="1"/>
    <xf numFmtId="0" fontId="19" fillId="5" borderId="3" xfId="0" applyFont="1" applyFill="1" applyBorder="1" applyAlignment="1">
      <alignment vertical="center" wrapText="1"/>
    </xf>
    <xf numFmtId="0" fontId="19" fillId="4" borderId="1" xfId="0" applyFont="1" applyFill="1" applyBorder="1" applyAlignment="1">
      <alignment vertical="center" wrapText="1"/>
    </xf>
    <xf numFmtId="0" fontId="31" fillId="0" borderId="1" xfId="0" applyFont="1" applyBorder="1" applyAlignment="1">
      <alignment vertical="center"/>
    </xf>
    <xf numFmtId="0" fontId="32" fillId="0" borderId="0" xfId="5"/>
    <xf numFmtId="166" fontId="32" fillId="0" borderId="0" xfId="5" applyNumberFormat="1"/>
    <xf numFmtId="0" fontId="33" fillId="13" borderId="18" xfId="6" applyFont="1" applyFill="1" applyBorder="1" applyAlignment="1">
      <alignment horizontal="center" vertical="center"/>
    </xf>
    <xf numFmtId="0" fontId="32" fillId="14" borderId="19" xfId="7" applyFont="1" applyFill="1" applyBorder="1" applyAlignment="1">
      <alignment horizontal="center" vertical="center" wrapText="1"/>
    </xf>
    <xf numFmtId="166" fontId="21" fillId="0" borderId="0" xfId="0" applyNumberFormat="1" applyFont="1" applyAlignment="1">
      <alignment horizontal="left" vertical="center"/>
    </xf>
    <xf numFmtId="0" fontId="36" fillId="15" borderId="0" xfId="8" applyFont="1" applyFill="1"/>
    <xf numFmtId="0" fontId="21" fillId="0" borderId="0" xfId="8" applyFont="1"/>
    <xf numFmtId="0" fontId="32" fillId="0" borderId="0" xfId="8"/>
    <xf numFmtId="0" fontId="22" fillId="0" borderId="0" xfId="8" applyFont="1"/>
    <xf numFmtId="0" fontId="33" fillId="13" borderId="18" xfId="8" applyFont="1" applyFill="1" applyBorder="1" applyAlignment="1">
      <alignment horizontal="center" vertical="center" wrapText="1"/>
    </xf>
    <xf numFmtId="0" fontId="32" fillId="16" borderId="20" xfId="8" applyFill="1" applyBorder="1"/>
    <xf numFmtId="0" fontId="32" fillId="16" borderId="20" xfId="8" applyFill="1" applyBorder="1" applyAlignment="1">
      <alignment wrapText="1"/>
    </xf>
    <xf numFmtId="0" fontId="32" fillId="17" borderId="20" xfId="8" applyFill="1" applyBorder="1"/>
    <xf numFmtId="0" fontId="32" fillId="16" borderId="20" xfId="8" applyFill="1" applyBorder="1" applyAlignment="1">
      <alignment vertical="center" wrapText="1"/>
    </xf>
    <xf numFmtId="0" fontId="32" fillId="18" borderId="0" xfId="8" applyFill="1"/>
    <xf numFmtId="0" fontId="32" fillId="18" borderId="0" xfId="8" applyFill="1" applyAlignment="1">
      <alignment wrapText="1"/>
    </xf>
    <xf numFmtId="0" fontId="32" fillId="18" borderId="0" xfId="8" applyFill="1" applyAlignment="1">
      <alignment vertical="center" wrapText="1"/>
    </xf>
    <xf numFmtId="0" fontId="32" fillId="19" borderId="0" xfId="8" applyFill="1"/>
    <xf numFmtId="0" fontId="32" fillId="16" borderId="0" xfId="8" applyFill="1"/>
    <xf numFmtId="0" fontId="32" fillId="16" borderId="0" xfId="8" applyFill="1" applyAlignment="1">
      <alignment wrapText="1"/>
    </xf>
    <xf numFmtId="0" fontId="32" fillId="16" borderId="0" xfId="8" applyFill="1" applyAlignment="1">
      <alignment vertical="center" wrapText="1"/>
    </xf>
    <xf numFmtId="0" fontId="32" fillId="17" borderId="0" xfId="8" applyFill="1"/>
    <xf numFmtId="0" fontId="37" fillId="18" borderId="0" xfId="8" applyFont="1" applyFill="1"/>
    <xf numFmtId="166" fontId="32" fillId="16" borderId="0" xfId="8" applyNumberFormat="1" applyFill="1"/>
    <xf numFmtId="0" fontId="32" fillId="18" borderId="21" xfId="8" applyFill="1" applyBorder="1"/>
    <xf numFmtId="0" fontId="32" fillId="18" borderId="21" xfId="8" applyFill="1" applyBorder="1" applyAlignment="1">
      <alignment wrapText="1"/>
    </xf>
    <xf numFmtId="0" fontId="32" fillId="18" borderId="21" xfId="8" applyFill="1" applyBorder="1" applyAlignment="1">
      <alignment vertical="center" wrapText="1"/>
    </xf>
    <xf numFmtId="0" fontId="32" fillId="19" borderId="21" xfId="8" applyFill="1" applyBorder="1"/>
    <xf numFmtId="0" fontId="38" fillId="0" borderId="0" xfId="0" applyFont="1"/>
    <xf numFmtId="0" fontId="39" fillId="0" borderId="0" xfId="0" applyFont="1" applyAlignment="1">
      <alignment horizontal="right" readingOrder="1"/>
    </xf>
    <xf numFmtId="0" fontId="40" fillId="0" borderId="0" xfId="0" applyFont="1"/>
    <xf numFmtId="0" fontId="41" fillId="0" borderId="0" xfId="0" applyFont="1"/>
    <xf numFmtId="0" fontId="0" fillId="0" borderId="1" xfId="0" applyBorder="1" applyAlignment="1">
      <alignment vertical="center"/>
    </xf>
    <xf numFmtId="0" fontId="19" fillId="5" borderId="1" xfId="0" applyFont="1" applyFill="1" applyBorder="1" applyAlignment="1">
      <alignment horizontal="center" vertical="center" wrapText="1"/>
    </xf>
    <xf numFmtId="0" fontId="39" fillId="0" borderId="22" xfId="0" applyFont="1" applyBorder="1" applyAlignment="1">
      <alignment horizontal="center" vertical="center" wrapText="1" readingOrder="1"/>
    </xf>
    <xf numFmtId="0" fontId="42" fillId="0" borderId="22" xfId="0" applyFont="1" applyBorder="1" applyAlignment="1">
      <alignment horizontal="center" vertical="center" wrapText="1" readingOrder="1"/>
    </xf>
    <xf numFmtId="2" fontId="39" fillId="0" borderId="22" xfId="0" applyNumberFormat="1" applyFont="1" applyBorder="1" applyAlignment="1">
      <alignment horizontal="center" vertical="center" wrapText="1" readingOrder="1"/>
    </xf>
    <xf numFmtId="0" fontId="39" fillId="0" borderId="0" xfId="0" applyFont="1" applyAlignment="1">
      <alignment horizontal="center" vertical="center" readingOrder="1"/>
    </xf>
    <xf numFmtId="2" fontId="18" fillId="0" borderId="0" xfId="0" applyNumberFormat="1" applyFont="1"/>
    <xf numFmtId="0" fontId="33" fillId="13" borderId="18" xfId="0" applyFont="1" applyFill="1" applyBorder="1" applyAlignment="1">
      <alignment horizontal="center" vertical="center"/>
    </xf>
    <xf numFmtId="0" fontId="33" fillId="13" borderId="23" xfId="0" applyFont="1" applyFill="1" applyBorder="1" applyAlignment="1">
      <alignment horizontal="center" vertical="center"/>
    </xf>
    <xf numFmtId="0" fontId="43" fillId="18" borderId="0" xfId="0" applyFont="1" applyFill="1"/>
    <xf numFmtId="167" fontId="43" fillId="18" borderId="6" xfId="0" applyNumberFormat="1" applyFont="1" applyFill="1" applyBorder="1"/>
    <xf numFmtId="2" fontId="43" fillId="18" borderId="0" xfId="0" applyNumberFormat="1" applyFont="1" applyFill="1"/>
    <xf numFmtId="0" fontId="43" fillId="16" borderId="0" xfId="0" applyFont="1" applyFill="1"/>
    <xf numFmtId="167" fontId="43" fillId="16" borderId="6" xfId="0" applyNumberFormat="1" applyFont="1" applyFill="1" applyBorder="1"/>
    <xf numFmtId="2" fontId="43" fillId="16" borderId="0" xfId="0" applyNumberFormat="1" applyFont="1" applyFill="1"/>
    <xf numFmtId="0" fontId="43" fillId="18" borderId="16" xfId="0" applyFont="1" applyFill="1" applyBorder="1"/>
    <xf numFmtId="2" fontId="43" fillId="18" borderId="16" xfId="0" applyNumberFormat="1" applyFont="1" applyFill="1" applyBorder="1"/>
    <xf numFmtId="0" fontId="43" fillId="18" borderId="21" xfId="0" applyFont="1" applyFill="1" applyBorder="1" applyAlignment="1">
      <alignment vertical="center" wrapText="1"/>
    </xf>
    <xf numFmtId="2" fontId="38" fillId="20" borderId="0" xfId="0" applyNumberFormat="1" applyFont="1" applyFill="1"/>
    <xf numFmtId="2" fontId="0" fillId="0" borderId="0" xfId="0" applyNumberFormat="1" applyAlignment="1">
      <alignment vertical="center"/>
    </xf>
    <xf numFmtId="10" fontId="0" fillId="0" borderId="0" xfId="0" applyNumberFormat="1"/>
    <xf numFmtId="0" fontId="18" fillId="6" borderId="0" xfId="0" applyFont="1" applyFill="1" applyAlignment="1">
      <alignment vertical="center"/>
    </xf>
    <xf numFmtId="0" fontId="31" fillId="6" borderId="0" xfId="0" applyFont="1" applyFill="1" applyAlignment="1">
      <alignment vertical="center"/>
    </xf>
    <xf numFmtId="3" fontId="18" fillId="0" borderId="13" xfId="0" applyNumberFormat="1" applyFont="1" applyBorder="1" applyAlignment="1">
      <alignment vertical="center"/>
    </xf>
    <xf numFmtId="3" fontId="18" fillId="0" borderId="14" xfId="0" applyNumberFormat="1" applyFont="1" applyBorder="1" applyAlignment="1">
      <alignment vertical="center"/>
    </xf>
    <xf numFmtId="3" fontId="18" fillId="0" borderId="15" xfId="0" applyNumberFormat="1" applyFont="1" applyBorder="1" applyAlignment="1">
      <alignment vertical="center"/>
    </xf>
    <xf numFmtId="3" fontId="18" fillId="0" borderId="0" xfId="0" applyNumberFormat="1" applyFont="1" applyAlignment="1">
      <alignment vertical="center"/>
    </xf>
    <xf numFmtId="0" fontId="18" fillId="22" borderId="0" xfId="0" applyFont="1" applyFill="1" applyAlignment="1">
      <alignment vertical="center"/>
    </xf>
    <xf numFmtId="0" fontId="0" fillId="22" borderId="0" xfId="0" applyFill="1"/>
    <xf numFmtId="0" fontId="31" fillId="22" borderId="0" xfId="0" applyFont="1" applyFill="1" applyAlignment="1">
      <alignment vertical="center"/>
    </xf>
    <xf numFmtId="0" fontId="43" fillId="18" borderId="0" xfId="0" applyFont="1" applyFill="1" applyAlignment="1">
      <alignment vertical="center" wrapText="1"/>
    </xf>
    <xf numFmtId="0" fontId="43" fillId="18" borderId="7" xfId="0" applyFont="1" applyFill="1" applyBorder="1"/>
    <xf numFmtId="0" fontId="43" fillId="16" borderId="0" xfId="0" applyFont="1" applyFill="1" applyAlignment="1">
      <alignment vertical="center" wrapText="1"/>
    </xf>
    <xf numFmtId="0" fontId="43" fillId="16" borderId="7" xfId="0" applyFont="1" applyFill="1" applyBorder="1"/>
    <xf numFmtId="167" fontId="43" fillId="18" borderId="16" xfId="0" applyNumberFormat="1" applyFont="1" applyFill="1" applyBorder="1"/>
    <xf numFmtId="0" fontId="43" fillId="18" borderId="21" xfId="0" applyFont="1" applyFill="1" applyBorder="1"/>
    <xf numFmtId="0" fontId="43" fillId="18" borderId="24" xfId="0" applyFont="1" applyFill="1" applyBorder="1"/>
    <xf numFmtId="0" fontId="0" fillId="23" borderId="0" xfId="0" applyFill="1"/>
    <xf numFmtId="1" fontId="33" fillId="13" borderId="25" xfId="0" applyNumberFormat="1" applyFont="1" applyFill="1" applyBorder="1" applyAlignment="1">
      <alignment horizontal="center" vertical="center"/>
    </xf>
    <xf numFmtId="0" fontId="32" fillId="14" borderId="26" xfId="0" applyFont="1" applyFill="1" applyBorder="1" applyAlignment="1">
      <alignment horizontal="center" vertical="center" wrapText="1"/>
    </xf>
    <xf numFmtId="0" fontId="43" fillId="14" borderId="19" xfId="0" applyFont="1" applyFill="1" applyBorder="1" applyAlignment="1">
      <alignment horizontal="center" vertical="center" wrapText="1"/>
    </xf>
    <xf numFmtId="0" fontId="32" fillId="14" borderId="19" xfId="0" applyFont="1" applyFill="1" applyBorder="1" applyAlignment="1">
      <alignment horizontal="center" vertical="center" wrapText="1"/>
    </xf>
    <xf numFmtId="167" fontId="43" fillId="14" borderId="27" xfId="0" applyNumberFormat="1" applyFont="1" applyFill="1" applyBorder="1" applyAlignment="1">
      <alignment horizontal="center" vertical="center" wrapText="1"/>
    </xf>
    <xf numFmtId="0" fontId="32" fillId="16" borderId="6" xfId="0" applyFont="1" applyFill="1" applyBorder="1" applyAlignment="1">
      <alignment vertical="center"/>
    </xf>
    <xf numFmtId="0" fontId="32" fillId="16" borderId="0" xfId="0" applyFont="1" applyFill="1" applyAlignment="1">
      <alignment vertical="center"/>
    </xf>
    <xf numFmtId="167" fontId="43" fillId="16" borderId="7" xfId="0" applyNumberFormat="1" applyFont="1" applyFill="1" applyBorder="1"/>
    <xf numFmtId="0" fontId="32" fillId="16" borderId="28" xfId="0" applyFont="1" applyFill="1" applyBorder="1" applyAlignment="1">
      <alignment vertical="center"/>
    </xf>
    <xf numFmtId="0" fontId="43" fillId="16" borderId="20" xfId="0" applyFont="1" applyFill="1" applyBorder="1"/>
    <xf numFmtId="0" fontId="32" fillId="16" borderId="20" xfId="0" applyFont="1" applyFill="1" applyBorder="1" applyAlignment="1">
      <alignment vertical="center"/>
    </xf>
    <xf numFmtId="167" fontId="43" fillId="16" borderId="29" xfId="0" applyNumberFormat="1" applyFont="1" applyFill="1" applyBorder="1"/>
    <xf numFmtId="0" fontId="32" fillId="18" borderId="6" xfId="0" applyFont="1" applyFill="1" applyBorder="1" applyAlignment="1">
      <alignment vertical="center"/>
    </xf>
    <xf numFmtId="167" fontId="43" fillId="18" borderId="7" xfId="0" applyNumberFormat="1" applyFont="1" applyFill="1" applyBorder="1"/>
    <xf numFmtId="0" fontId="32" fillId="18" borderId="0" xfId="0" applyFont="1" applyFill="1" applyAlignment="1">
      <alignment vertical="center"/>
    </xf>
    <xf numFmtId="0" fontId="32" fillId="18" borderId="30" xfId="0" applyFont="1" applyFill="1" applyBorder="1" applyAlignment="1">
      <alignment vertical="center"/>
    </xf>
    <xf numFmtId="0" fontId="32" fillId="18" borderId="21" xfId="0" applyFont="1" applyFill="1" applyBorder="1" applyAlignment="1">
      <alignment vertical="center"/>
    </xf>
    <xf numFmtId="167" fontId="43" fillId="18" borderId="24" xfId="0" applyNumberFormat="1" applyFont="1" applyFill="1" applyBorder="1"/>
    <xf numFmtId="0" fontId="43" fillId="18" borderId="7" xfId="0" applyFont="1" applyFill="1" applyBorder="1" applyAlignment="1">
      <alignment vertical="center" wrapText="1"/>
    </xf>
    <xf numFmtId="0" fontId="43" fillId="16" borderId="21" xfId="0" applyFont="1" applyFill="1" applyBorder="1" applyAlignment="1">
      <alignment vertical="center" wrapText="1"/>
    </xf>
    <xf numFmtId="0" fontId="43" fillId="16" borderId="21" xfId="0" applyFont="1" applyFill="1" applyBorder="1"/>
    <xf numFmtId="3" fontId="0" fillId="0" borderId="0" xfId="0" applyNumberFormat="1"/>
    <xf numFmtId="0" fontId="25" fillId="0" borderId="0" xfId="10" applyFont="1"/>
    <xf numFmtId="0" fontId="32" fillId="0" borderId="0" xfId="10"/>
    <xf numFmtId="0" fontId="28" fillId="0" borderId="4" xfId="10" applyFont="1" applyBorder="1" applyAlignment="1">
      <alignment horizontal="center" vertical="center" wrapText="1"/>
    </xf>
    <xf numFmtId="0" fontId="28" fillId="0" borderId="1" xfId="10" applyFont="1" applyBorder="1" applyAlignment="1">
      <alignment horizontal="center" vertical="center" wrapText="1"/>
    </xf>
    <xf numFmtId="0" fontId="28" fillId="0" borderId="2" xfId="10" applyFont="1" applyBorder="1" applyAlignment="1">
      <alignment horizontal="center" vertical="center" wrapText="1"/>
    </xf>
    <xf numFmtId="0" fontId="45" fillId="0" borderId="0" xfId="0" applyFont="1" applyAlignment="1">
      <alignment wrapText="1"/>
    </xf>
    <xf numFmtId="2" fontId="45" fillId="0" borderId="14" xfId="10" applyNumberFormat="1" applyFont="1" applyBorder="1" applyAlignment="1">
      <alignment horizontal="right"/>
    </xf>
    <xf numFmtId="2" fontId="45" fillId="0" borderId="7" xfId="10" applyNumberFormat="1" applyFont="1" applyBorder="1" applyAlignment="1">
      <alignment horizontal="right"/>
    </xf>
    <xf numFmtId="164" fontId="45" fillId="0" borderId="0" xfId="10" applyNumberFormat="1" applyFont="1" applyAlignment="1">
      <alignment horizontal="right"/>
    </xf>
    <xf numFmtId="0" fontId="45" fillId="0" borderId="0" xfId="0" applyFont="1"/>
    <xf numFmtId="2" fontId="28" fillId="0" borderId="0" xfId="10" applyNumberFormat="1" applyFont="1" applyAlignment="1">
      <alignment horizontal="right"/>
    </xf>
    <xf numFmtId="3" fontId="46" fillId="21" borderId="0" xfId="12" applyNumberFormat="1" applyFont="1" applyFill="1" applyProtection="1">
      <protection hidden="1"/>
    </xf>
    <xf numFmtId="3" fontId="46" fillId="23" borderId="0" xfId="12" applyNumberFormat="1" applyFont="1" applyFill="1" applyProtection="1">
      <protection hidden="1"/>
    </xf>
    <xf numFmtId="3" fontId="46" fillId="24" borderId="0" xfId="12" applyNumberFormat="1" applyFont="1" applyFill="1" applyProtection="1">
      <protection hidden="1"/>
    </xf>
    <xf numFmtId="3" fontId="46" fillId="23" borderId="0" xfId="3" applyNumberFormat="1" applyFont="1" applyFill="1" applyBorder="1" applyAlignment="1" applyProtection="1">
      <protection hidden="1"/>
    </xf>
    <xf numFmtId="169" fontId="46" fillId="21" borderId="0" xfId="12" applyNumberFormat="1" applyFont="1" applyFill="1" applyProtection="1">
      <protection hidden="1"/>
    </xf>
    <xf numFmtId="169" fontId="46" fillId="23" borderId="0" xfId="12" applyNumberFormat="1" applyFont="1" applyFill="1" applyProtection="1">
      <protection hidden="1"/>
    </xf>
    <xf numFmtId="169" fontId="46" fillId="24" borderId="0" xfId="12" applyNumberFormat="1" applyFont="1" applyFill="1" applyProtection="1">
      <protection hidden="1"/>
    </xf>
    <xf numFmtId="169" fontId="46" fillId="21" borderId="9" xfId="12" applyNumberFormat="1" applyFont="1" applyFill="1" applyBorder="1" applyProtection="1">
      <protection hidden="1"/>
    </xf>
    <xf numFmtId="3" fontId="0" fillId="0" borderId="9" xfId="0" applyNumberFormat="1" applyBorder="1"/>
    <xf numFmtId="169" fontId="38" fillId="0" borderId="0" xfId="0" applyNumberFormat="1" applyFont="1"/>
    <xf numFmtId="168" fontId="0" fillId="0" borderId="9" xfId="0" applyNumberFormat="1" applyBorder="1"/>
    <xf numFmtId="168" fontId="38" fillId="0" borderId="0" xfId="0" applyNumberFormat="1" applyFont="1"/>
    <xf numFmtId="167" fontId="0" fillId="0" borderId="9" xfId="0" applyNumberFormat="1" applyBorder="1"/>
    <xf numFmtId="167" fontId="38" fillId="0" borderId="0" xfId="0" applyNumberFormat="1" applyFont="1"/>
    <xf numFmtId="3" fontId="38" fillId="0" borderId="0" xfId="0" applyNumberFormat="1" applyFont="1"/>
    <xf numFmtId="3" fontId="46" fillId="24" borderId="16" xfId="12" applyNumberFormat="1" applyFont="1" applyFill="1" applyBorder="1" applyProtection="1">
      <protection hidden="1"/>
    </xf>
    <xf numFmtId="0" fontId="47" fillId="0" borderId="0" xfId="11" applyFont="1"/>
    <xf numFmtId="0" fontId="5" fillId="0" borderId="0" xfId="15"/>
    <xf numFmtId="0" fontId="25" fillId="0" borderId="0" xfId="10" applyFont="1" applyAlignment="1">
      <alignment horizontal="left" indent="5"/>
    </xf>
    <xf numFmtId="0" fontId="27" fillId="0" borderId="0" xfId="10" applyFont="1" applyAlignment="1">
      <alignment horizontal="center"/>
    </xf>
    <xf numFmtId="0" fontId="50" fillId="0" borderId="0" xfId="13" applyFont="1"/>
    <xf numFmtId="171" fontId="0" fillId="0" borderId="0" xfId="0" applyNumberFormat="1"/>
    <xf numFmtId="164" fontId="38" fillId="0" borderId="0" xfId="0" applyNumberFormat="1" applyFont="1"/>
    <xf numFmtId="2" fontId="38" fillId="0" borderId="0" xfId="0" applyNumberFormat="1" applyFont="1"/>
    <xf numFmtId="172" fontId="0" fillId="0" borderId="0" xfId="0" applyNumberFormat="1"/>
    <xf numFmtId="0" fontId="0" fillId="0" borderId="1" xfId="0" applyBorder="1"/>
    <xf numFmtId="0" fontId="0" fillId="0" borderId="1" xfId="0" quotePrefix="1" applyBorder="1"/>
    <xf numFmtId="0" fontId="55" fillId="0" borderId="0" xfId="16" applyFont="1" applyAlignment="1">
      <alignment horizontal="left"/>
    </xf>
    <xf numFmtId="168" fontId="0" fillId="0" borderId="0" xfId="0" applyNumberFormat="1" applyAlignment="1">
      <alignment horizontal="center" vertical="center"/>
    </xf>
    <xf numFmtId="173" fontId="0" fillId="0" borderId="0" xfId="0" applyNumberFormat="1"/>
    <xf numFmtId="0" fontId="3" fillId="0" borderId="0" xfId="17"/>
    <xf numFmtId="0" fontId="55" fillId="0" borderId="0" xfId="17" applyFont="1" applyAlignment="1">
      <alignment horizontal="left"/>
    </xf>
    <xf numFmtId="0" fontId="55" fillId="0" borderId="0" xfId="17" applyFont="1" applyAlignment="1">
      <alignment horizontal="left" vertical="top"/>
    </xf>
    <xf numFmtId="164" fontId="0" fillId="0" borderId="0" xfId="0" quotePrefix="1" applyNumberFormat="1"/>
    <xf numFmtId="0" fontId="45" fillId="0" borderId="9" xfId="15" applyFont="1" applyBorder="1" applyAlignment="1">
      <alignment horizontal="center" vertical="center" wrapText="1"/>
    </xf>
    <xf numFmtId="0" fontId="45" fillId="0" borderId="1" xfId="15" applyFont="1" applyBorder="1" applyAlignment="1">
      <alignment horizontal="center" vertical="center" wrapText="1"/>
    </xf>
    <xf numFmtId="0" fontId="28" fillId="0" borderId="1" xfId="15" applyFont="1" applyBorder="1" applyAlignment="1">
      <alignment horizontal="center" vertical="center" wrapText="1"/>
    </xf>
    <xf numFmtId="0" fontId="45" fillId="0" borderId="1" xfId="15" applyFont="1" applyBorder="1"/>
    <xf numFmtId="168" fontId="51" fillId="25" borderId="1" xfId="15" applyNumberFormat="1" applyFont="1" applyFill="1" applyBorder="1" applyAlignment="1">
      <alignment horizontal="right"/>
    </xf>
    <xf numFmtId="168" fontId="49" fillId="25" borderId="1" xfId="15" applyNumberFormat="1" applyFont="1" applyFill="1" applyBorder="1" applyAlignment="1">
      <alignment horizontal="right"/>
    </xf>
    <xf numFmtId="2" fontId="0" fillId="11" borderId="1" xfId="0" applyNumberFormat="1" applyFill="1" applyBorder="1"/>
    <xf numFmtId="2" fontId="0" fillId="11" borderId="1" xfId="0" quotePrefix="1" applyNumberFormat="1" applyFill="1" applyBorder="1"/>
    <xf numFmtId="0" fontId="56" fillId="0" borderId="1" xfId="16" applyFont="1" applyBorder="1" applyAlignment="1">
      <alignment horizontal="center" vertical="center" wrapText="1"/>
    </xf>
    <xf numFmtId="165" fontId="54" fillId="0" borderId="1" xfId="14" applyFont="1" applyFill="1" applyBorder="1" applyAlignment="1" applyProtection="1">
      <alignment horizontal="left"/>
      <protection hidden="1"/>
    </xf>
    <xf numFmtId="165" fontId="56" fillId="0" borderId="1" xfId="14" applyFont="1" applyFill="1" applyBorder="1" applyAlignment="1" applyProtection="1">
      <alignment horizontal="center" vertical="top"/>
      <protection hidden="1"/>
    </xf>
    <xf numFmtId="3" fontId="49" fillId="0" borderId="1" xfId="12" applyNumberFormat="1" applyFont="1" applyBorder="1" applyAlignment="1" applyProtection="1">
      <alignment horizontal="right" vertical="top"/>
      <protection hidden="1"/>
    </xf>
    <xf numFmtId="165" fontId="56" fillId="0" borderId="1" xfId="14" applyFont="1" applyFill="1" applyBorder="1" applyAlignment="1" applyProtection="1">
      <alignment horizontal="center"/>
      <protection hidden="1"/>
    </xf>
    <xf numFmtId="3" fontId="49" fillId="0" borderId="1" xfId="12" applyNumberFormat="1" applyFont="1" applyBorder="1" applyAlignment="1" applyProtection="1">
      <alignment horizontal="right"/>
      <protection hidden="1"/>
    </xf>
    <xf numFmtId="3" fontId="49" fillId="0" borderId="1" xfId="14" applyNumberFormat="1" applyFont="1" applyFill="1" applyBorder="1" applyAlignment="1" applyProtection="1">
      <alignment horizontal="right" vertical="top"/>
      <protection hidden="1"/>
    </xf>
    <xf numFmtId="165" fontId="56" fillId="0" borderId="1" xfId="14" applyFont="1" applyFill="1" applyBorder="1" applyAlignment="1" applyProtection="1">
      <alignment horizontal="left" wrapText="1" indent="1"/>
      <protection hidden="1"/>
    </xf>
    <xf numFmtId="165" fontId="57" fillId="0" borderId="1" xfId="14" applyFont="1" applyFill="1" applyBorder="1" applyAlignment="1" applyProtection="1">
      <alignment horizontal="left"/>
      <protection hidden="1"/>
    </xf>
    <xf numFmtId="165" fontId="58" fillId="0" borderId="1" xfId="14" applyFont="1" applyFill="1" applyBorder="1" applyAlignment="1" applyProtection="1">
      <alignment horizontal="center"/>
      <protection hidden="1"/>
    </xf>
    <xf numFmtId="3" fontId="57" fillId="0" borderId="1" xfId="14" applyNumberFormat="1" applyFont="1" applyFill="1" applyBorder="1" applyProtection="1">
      <alignment horizontal="right"/>
      <protection hidden="1"/>
    </xf>
    <xf numFmtId="170" fontId="0" fillId="0" borderId="0" xfId="4" applyNumberFormat="1" applyFont="1" applyAlignment="1">
      <alignment horizontal="center"/>
    </xf>
    <xf numFmtId="167" fontId="0" fillId="0" borderId="0" xfId="0" applyNumberFormat="1" applyAlignment="1">
      <alignment horizontal="center"/>
    </xf>
    <xf numFmtId="0" fontId="9" fillId="0" borderId="0" xfId="0" applyFont="1" applyAlignment="1">
      <alignment horizontal="center"/>
    </xf>
    <xf numFmtId="167" fontId="38" fillId="0" borderId="0" xfId="0" applyNumberFormat="1" applyFont="1" applyAlignment="1">
      <alignment horizontal="center"/>
    </xf>
    <xf numFmtId="168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2" fontId="38" fillId="0" borderId="0" xfId="0" applyNumberFormat="1" applyFont="1" applyAlignment="1">
      <alignment horizontal="center"/>
    </xf>
    <xf numFmtId="167" fontId="9" fillId="0" borderId="0" xfId="0" applyNumberFormat="1" applyFont="1" applyAlignment="1">
      <alignment horizontal="center"/>
    </xf>
    <xf numFmtId="167" fontId="19" fillId="8" borderId="0" xfId="0" applyNumberFormat="1" applyFont="1" applyFill="1" applyAlignment="1">
      <alignment horizontal="center" vertical="center"/>
    </xf>
    <xf numFmtId="2" fontId="9" fillId="0" borderId="0" xfId="0" applyNumberFormat="1" applyFont="1" applyAlignment="1">
      <alignment horizontal="center"/>
    </xf>
    <xf numFmtId="0" fontId="19" fillId="4" borderId="3" xfId="0" applyFont="1" applyFill="1" applyBorder="1" applyAlignment="1">
      <alignment horizontal="center" vertical="center" wrapText="1"/>
    </xf>
    <xf numFmtId="0" fontId="19" fillId="4" borderId="4" xfId="0" applyFont="1" applyFill="1" applyBorder="1" applyAlignment="1">
      <alignment horizontal="center" vertical="center" wrapText="1"/>
    </xf>
    <xf numFmtId="0" fontId="19" fillId="4" borderId="5" xfId="0" applyFont="1" applyFill="1" applyBorder="1" applyAlignment="1">
      <alignment horizontal="center" vertical="center" wrapText="1"/>
    </xf>
    <xf numFmtId="164" fontId="0" fillId="0" borderId="1" xfId="0" applyNumberFormat="1" applyBorder="1"/>
    <xf numFmtId="0" fontId="45" fillId="0" borderId="0" xfId="15" applyFont="1" applyAlignment="1">
      <alignment horizontal="center" vertical="center" wrapText="1"/>
    </xf>
    <xf numFmtId="2" fontId="0" fillId="0" borderId="0" xfId="4" applyNumberFormat="1" applyFont="1" applyAlignment="1">
      <alignment horizontal="center"/>
    </xf>
    <xf numFmtId="172" fontId="0" fillId="0" borderId="0" xfId="0" applyNumberFormat="1" applyAlignment="1">
      <alignment horizontal="center"/>
    </xf>
    <xf numFmtId="0" fontId="56" fillId="0" borderId="1" xfId="17" applyFont="1" applyBorder="1" applyAlignment="1">
      <alignment horizontal="center" vertical="center" wrapText="1"/>
    </xf>
    <xf numFmtId="0" fontId="45" fillId="0" borderId="9" xfId="15" applyFont="1" applyBorder="1" applyAlignment="1">
      <alignment horizontal="center" vertical="center"/>
    </xf>
    <xf numFmtId="0" fontId="28" fillId="0" borderId="1" xfId="0" applyFont="1" applyBorder="1" applyAlignment="1">
      <alignment horizontal="center" vertical="center" wrapText="1"/>
    </xf>
    <xf numFmtId="2" fontId="51" fillId="0" borderId="1" xfId="15" applyNumberFormat="1" applyFont="1" applyBorder="1" applyAlignment="1">
      <alignment horizontal="right"/>
    </xf>
    <xf numFmtId="2" fontId="49" fillId="0" borderId="1" xfId="15" applyNumberFormat="1" applyFont="1" applyBorder="1" applyAlignment="1">
      <alignment horizontal="right"/>
    </xf>
    <xf numFmtId="2" fontId="38" fillId="11" borderId="1" xfId="0" applyNumberFormat="1" applyFont="1" applyFill="1" applyBorder="1"/>
    <xf numFmtId="10" fontId="0" fillId="0" borderId="0" xfId="4" applyNumberFormat="1" applyFont="1" applyAlignment="1">
      <alignment horizontal="center"/>
    </xf>
    <xf numFmtId="10" fontId="0" fillId="0" borderId="1" xfId="0" applyNumberFormat="1" applyBorder="1"/>
    <xf numFmtId="0" fontId="29" fillId="0" borderId="0" xfId="18" applyAlignment="1">
      <alignment vertical="center"/>
    </xf>
    <xf numFmtId="0" fontId="18" fillId="26" borderId="0" xfId="0" applyFont="1" applyFill="1" applyAlignment="1">
      <alignment vertical="center"/>
    </xf>
    <xf numFmtId="0" fontId="18" fillId="11" borderId="0" xfId="0" applyFont="1" applyFill="1" applyAlignment="1">
      <alignment vertical="center"/>
    </xf>
    <xf numFmtId="0" fontId="19" fillId="11" borderId="2" xfId="0" applyFont="1" applyFill="1" applyBorder="1" applyAlignment="1">
      <alignment vertical="center"/>
    </xf>
    <xf numFmtId="0" fontId="18" fillId="9" borderId="0" xfId="0" applyFont="1" applyFill="1" applyAlignment="1">
      <alignment vertical="center"/>
    </xf>
    <xf numFmtId="0" fontId="31" fillId="9" borderId="0" xfId="0" applyFont="1" applyFill="1" applyAlignment="1">
      <alignment vertical="center"/>
    </xf>
    <xf numFmtId="0" fontId="31" fillId="26" borderId="0" xfId="0" applyFont="1" applyFill="1" applyAlignment="1">
      <alignment vertical="center"/>
    </xf>
    <xf numFmtId="0" fontId="18" fillId="27" borderId="0" xfId="0" applyFont="1" applyFill="1" applyAlignment="1">
      <alignment vertical="center"/>
    </xf>
    <xf numFmtId="0" fontId="0" fillId="27" borderId="0" xfId="0" applyFill="1"/>
    <xf numFmtId="0" fontId="31" fillId="27" borderId="0" xfId="0" applyFont="1" applyFill="1" applyAlignment="1">
      <alignment vertical="center"/>
    </xf>
    <xf numFmtId="167" fontId="43" fillId="16" borderId="30" xfId="0" applyNumberFormat="1" applyFont="1" applyFill="1" applyBorder="1"/>
    <xf numFmtId="2" fontId="43" fillId="16" borderId="21" xfId="0" applyNumberFormat="1" applyFont="1" applyFill="1" applyBorder="1"/>
    <xf numFmtId="0" fontId="43" fillId="14" borderId="26" xfId="0" applyFont="1" applyFill="1" applyBorder="1" applyAlignment="1">
      <alignment horizontal="center" vertical="center" wrapText="1"/>
    </xf>
    <xf numFmtId="0" fontId="43" fillId="16" borderId="0" xfId="0" applyFont="1" applyFill="1" applyAlignment="1">
      <alignment vertical="center"/>
    </xf>
    <xf numFmtId="0" fontId="43" fillId="16" borderId="7" xfId="0" applyFont="1" applyFill="1" applyBorder="1" applyAlignment="1">
      <alignment vertical="center"/>
    </xf>
    <xf numFmtId="0" fontId="43" fillId="14" borderId="27" xfId="0" applyFont="1" applyFill="1" applyBorder="1" applyAlignment="1">
      <alignment horizontal="center" vertical="center" wrapText="1"/>
    </xf>
    <xf numFmtId="0" fontId="33" fillId="13" borderId="25" xfId="0" applyFont="1" applyFill="1" applyBorder="1" applyAlignment="1">
      <alignment horizontal="center" vertical="center"/>
    </xf>
    <xf numFmtId="1" fontId="33" fillId="13" borderId="18" xfId="0" applyNumberFormat="1" applyFont="1" applyFill="1" applyBorder="1" applyAlignment="1">
      <alignment horizontal="center" vertical="center"/>
    </xf>
    <xf numFmtId="0" fontId="32" fillId="16" borderId="23" xfId="0" applyFont="1" applyFill="1" applyBorder="1" applyAlignment="1">
      <alignment vertical="center" wrapText="1"/>
    </xf>
    <xf numFmtId="0" fontId="32" fillId="16" borderId="18" xfId="0" applyFont="1" applyFill="1" applyBorder="1" applyAlignment="1">
      <alignment vertical="center" wrapText="1"/>
    </xf>
    <xf numFmtId="2" fontId="32" fillId="16" borderId="18" xfId="0" applyNumberFormat="1" applyFont="1" applyFill="1" applyBorder="1" applyAlignment="1">
      <alignment vertical="center" wrapText="1"/>
    </xf>
    <xf numFmtId="2" fontId="32" fillId="18" borderId="0" xfId="0" applyNumberFormat="1" applyFont="1" applyFill="1" applyAlignment="1">
      <alignment vertical="center"/>
    </xf>
    <xf numFmtId="2" fontId="32" fillId="16" borderId="0" xfId="0" applyNumberFormat="1" applyFont="1" applyFill="1" applyAlignment="1">
      <alignment vertical="center"/>
    </xf>
    <xf numFmtId="2" fontId="32" fillId="18" borderId="21" xfId="0" applyNumberFormat="1" applyFont="1" applyFill="1" applyBorder="1" applyAlignment="1">
      <alignment vertical="center"/>
    </xf>
    <xf numFmtId="2" fontId="32" fillId="16" borderId="20" xfId="0" applyNumberFormat="1" applyFont="1" applyFill="1" applyBorder="1" applyAlignment="1">
      <alignment vertical="center"/>
    </xf>
    <xf numFmtId="0" fontId="33" fillId="11" borderId="18" xfId="0" applyFont="1" applyFill="1" applyBorder="1" applyAlignment="1">
      <alignment horizontal="center" vertical="center"/>
    </xf>
    <xf numFmtId="0" fontId="59" fillId="0" borderId="0" xfId="0" applyFont="1"/>
    <xf numFmtId="0" fontId="18" fillId="0" borderId="9" xfId="0" applyFont="1" applyBorder="1" applyAlignment="1">
      <alignment vertical="center"/>
    </xf>
    <xf numFmtId="2" fontId="18" fillId="0" borderId="9" xfId="0" applyNumberFormat="1" applyFont="1" applyBorder="1" applyAlignment="1">
      <alignment vertical="center"/>
    </xf>
    <xf numFmtId="0" fontId="32" fillId="18" borderId="0" xfId="5" applyFill="1"/>
    <xf numFmtId="0" fontId="18" fillId="0" borderId="1" xfId="0" applyFont="1" applyBorder="1" applyAlignment="1">
      <alignment vertical="center"/>
    </xf>
    <xf numFmtId="3" fontId="0" fillId="0" borderId="1" xfId="0" applyNumberFormat="1" applyBorder="1" applyAlignment="1">
      <alignment vertical="center"/>
    </xf>
    <xf numFmtId="0" fontId="43" fillId="16" borderId="31" xfId="0" applyFont="1" applyFill="1" applyBorder="1"/>
    <xf numFmtId="2" fontId="43" fillId="16" borderId="31" xfId="0" applyNumberFormat="1" applyFont="1" applyFill="1" applyBorder="1"/>
    <xf numFmtId="167" fontId="43" fillId="16" borderId="31" xfId="0" applyNumberFormat="1" applyFont="1" applyFill="1" applyBorder="1"/>
    <xf numFmtId="167" fontId="43" fillId="18" borderId="0" xfId="0" applyNumberFormat="1" applyFont="1" applyFill="1"/>
    <xf numFmtId="167" fontId="43" fillId="16" borderId="0" xfId="0" applyNumberFormat="1" applyFont="1" applyFill="1"/>
    <xf numFmtId="167" fontId="43" fillId="18" borderId="21" xfId="0" applyNumberFormat="1" applyFont="1" applyFill="1" applyBorder="1"/>
    <xf numFmtId="167" fontId="43" fillId="16" borderId="21" xfId="0" applyNumberFormat="1" applyFont="1" applyFill="1" applyBorder="1"/>
    <xf numFmtId="0" fontId="0" fillId="20" borderId="0" xfId="0" applyFill="1"/>
    <xf numFmtId="0" fontId="33" fillId="13" borderId="18" xfId="6" applyFont="1" applyFill="1" applyBorder="1" applyAlignment="1">
      <alignment horizontal="center" vertical="center" wrapText="1"/>
    </xf>
    <xf numFmtId="174" fontId="0" fillId="0" borderId="0" xfId="19" applyNumberFormat="1" applyFont="1"/>
    <xf numFmtId="4" fontId="0" fillId="0" borderId="0" xfId="0" applyNumberFormat="1"/>
    <xf numFmtId="0" fontId="28" fillId="0" borderId="0" xfId="20" applyFont="1" applyAlignment="1">
      <alignment vertical="center"/>
    </xf>
    <xf numFmtId="0" fontId="60" fillId="0" borderId="0" xfId="21" applyFont="1" applyAlignment="1">
      <alignment vertical="center"/>
    </xf>
    <xf numFmtId="0" fontId="62" fillId="0" borderId="0" xfId="21" applyFont="1" applyAlignment="1">
      <alignment vertical="center"/>
    </xf>
    <xf numFmtId="0" fontId="63" fillId="0" borderId="0" xfId="21" applyFont="1" applyAlignment="1">
      <alignment vertical="center"/>
    </xf>
    <xf numFmtId="0" fontId="26" fillId="0" borderId="11" xfId="20" applyFont="1" applyBorder="1" applyAlignment="1">
      <alignment vertical="center"/>
    </xf>
    <xf numFmtId="0" fontId="26" fillId="0" borderId="2" xfId="20" applyFont="1" applyBorder="1" applyAlignment="1">
      <alignment vertical="center"/>
    </xf>
    <xf numFmtId="0" fontId="26" fillId="0" borderId="1" xfId="20" applyFont="1" applyBorder="1" applyAlignment="1">
      <alignment horizontal="center" vertical="center"/>
    </xf>
    <xf numFmtId="0" fontId="26" fillId="0" borderId="11" xfId="20" applyFont="1" applyBorder="1" applyAlignment="1">
      <alignment horizontal="center" vertical="center" wrapText="1"/>
    </xf>
    <xf numFmtId="0" fontId="26" fillId="0" borderId="7" xfId="20" applyFont="1" applyBorder="1" applyAlignment="1">
      <alignment horizontal="center"/>
    </xf>
    <xf numFmtId="175" fontId="26" fillId="0" borderId="14" xfId="21" applyNumberFormat="1" applyFont="1" applyBorder="1"/>
    <xf numFmtId="176" fontId="26" fillId="0" borderId="14" xfId="21" applyNumberFormat="1" applyFont="1" applyBorder="1"/>
    <xf numFmtId="176" fontId="26" fillId="0" borderId="13" xfId="21" applyNumberFormat="1" applyFont="1" applyBorder="1"/>
    <xf numFmtId="176" fontId="26" fillId="0" borderId="13" xfId="21" applyNumberFormat="1" applyFont="1" applyBorder="1" applyAlignment="1">
      <alignment horizontal="right"/>
    </xf>
    <xf numFmtId="177" fontId="64" fillId="0" borderId="0" xfId="21" applyNumberFormat="1" applyFont="1" applyAlignment="1">
      <alignment horizontal="center"/>
    </xf>
    <xf numFmtId="0" fontId="26" fillId="0" borderId="7" xfId="20" applyFont="1" applyBorder="1" applyAlignment="1">
      <alignment horizontal="center" vertical="top"/>
    </xf>
    <xf numFmtId="175" fontId="26" fillId="0" borderId="14" xfId="21" applyNumberFormat="1" applyFont="1" applyBorder="1" applyAlignment="1">
      <alignment vertical="top"/>
    </xf>
    <xf numFmtId="176" fontId="26" fillId="0" borderId="14" xfId="21" applyNumberFormat="1" applyFont="1" applyBorder="1" applyAlignment="1">
      <alignment vertical="top"/>
    </xf>
    <xf numFmtId="176" fontId="26" fillId="0" borderId="14" xfId="21" applyNumberFormat="1" applyFont="1" applyBorder="1" applyAlignment="1">
      <alignment horizontal="right" vertical="top"/>
    </xf>
    <xf numFmtId="176" fontId="26" fillId="0" borderId="6" xfId="21" applyNumberFormat="1" applyFont="1" applyBorder="1" applyAlignment="1">
      <alignment vertical="top"/>
    </xf>
    <xf numFmtId="178" fontId="26" fillId="0" borderId="14" xfId="21" applyNumberFormat="1" applyFont="1" applyBorder="1"/>
    <xf numFmtId="178" fontId="26" fillId="0" borderId="14" xfId="21" applyNumberFormat="1" applyFont="1" applyBorder="1" applyAlignment="1">
      <alignment horizontal="right"/>
    </xf>
    <xf numFmtId="178" fontId="26" fillId="0" borderId="14" xfId="21" applyNumberFormat="1" applyFont="1" applyBorder="1" applyAlignment="1">
      <alignment vertical="top"/>
    </xf>
    <xf numFmtId="178" fontId="26" fillId="0" borderId="14" xfId="21" applyNumberFormat="1" applyFont="1" applyBorder="1" applyAlignment="1">
      <alignment horizontal="right" vertical="top"/>
    </xf>
    <xf numFmtId="178" fontId="26" fillId="0" borderId="6" xfId="21" applyNumberFormat="1" applyFont="1" applyBorder="1" applyAlignment="1">
      <alignment vertical="top"/>
    </xf>
    <xf numFmtId="0" fontId="26" fillId="0" borderId="10" xfId="20" applyFont="1" applyBorder="1" applyAlignment="1">
      <alignment horizontal="center" vertical="top"/>
    </xf>
    <xf numFmtId="175" fontId="26" fillId="0" borderId="15" xfId="21" applyNumberFormat="1" applyFont="1" applyBorder="1" applyAlignment="1">
      <alignment vertical="top"/>
    </xf>
    <xf numFmtId="178" fontId="26" fillId="0" borderId="15" xfId="21" applyNumberFormat="1" applyFont="1" applyBorder="1" applyAlignment="1">
      <alignment vertical="top"/>
    </xf>
    <xf numFmtId="178" fontId="26" fillId="0" borderId="15" xfId="21" applyNumberFormat="1" applyFont="1" applyBorder="1" applyAlignment="1">
      <alignment horizontal="right" vertical="top"/>
    </xf>
    <xf numFmtId="178" fontId="26" fillId="0" borderId="8" xfId="21" applyNumberFormat="1" applyFont="1" applyBorder="1" applyAlignment="1">
      <alignment vertical="top"/>
    </xf>
    <xf numFmtId="0" fontId="63" fillId="0" borderId="0" xfId="10" applyFont="1" applyAlignment="1">
      <alignment vertical="center"/>
    </xf>
    <xf numFmtId="0" fontId="62" fillId="0" borderId="0" xfId="10" applyFont="1" applyAlignment="1">
      <alignment vertical="center"/>
    </xf>
    <xf numFmtId="0" fontId="62" fillId="0" borderId="0" xfId="10" applyFont="1" applyAlignment="1">
      <alignment horizontal="left" vertical="center"/>
    </xf>
    <xf numFmtId="0" fontId="49" fillId="0" borderId="0" xfId="20" applyFont="1" applyAlignment="1">
      <alignment vertical="center"/>
    </xf>
    <xf numFmtId="0" fontId="28" fillId="0" borderId="11" xfId="20" applyFont="1" applyBorder="1" applyAlignment="1">
      <alignment horizontal="left" vertical="center" indent="1"/>
    </xf>
    <xf numFmtId="0" fontId="28" fillId="0" borderId="2" xfId="20" applyFont="1" applyBorder="1" applyAlignment="1">
      <alignment horizontal="left" vertical="center" indent="1"/>
    </xf>
    <xf numFmtId="0" fontId="28" fillId="0" borderId="2" xfId="20" applyFont="1" applyBorder="1" applyAlignment="1">
      <alignment horizontal="centerContinuous" vertical="center"/>
    </xf>
    <xf numFmtId="0" fontId="28" fillId="0" borderId="13" xfId="20" applyFont="1" applyBorder="1" applyAlignment="1">
      <alignment horizontal="center" vertical="center" wrapText="1"/>
    </xf>
    <xf numFmtId="0" fontId="28" fillId="0" borderId="8" xfId="20" applyFont="1" applyBorder="1" applyAlignment="1">
      <alignment horizontal="center" vertical="center" wrapText="1"/>
    </xf>
    <xf numFmtId="0" fontId="28" fillId="0" borderId="3" xfId="20" applyFont="1" applyBorder="1" applyAlignment="1">
      <alignment horizontal="center" vertical="center" wrapText="1"/>
    </xf>
    <xf numFmtId="0" fontId="28" fillId="0" borderId="11" xfId="20" applyFont="1" applyBorder="1" applyAlignment="1">
      <alignment horizontal="centerContinuous" vertical="center"/>
    </xf>
    <xf numFmtId="0" fontId="60" fillId="0" borderId="0" xfId="20" applyFont="1"/>
    <xf numFmtId="0" fontId="60" fillId="0" borderId="7" xfId="20" applyFont="1" applyBorder="1" applyAlignment="1">
      <alignment horizontal="center"/>
    </xf>
    <xf numFmtId="179" fontId="60" fillId="0" borderId="14" xfId="21" applyNumberFormat="1" applyFont="1" applyBorder="1"/>
    <xf numFmtId="180" fontId="60" fillId="0" borderId="6" xfId="21" applyNumberFormat="1" applyFont="1" applyBorder="1" applyAlignment="1">
      <alignment horizontal="right"/>
    </xf>
    <xf numFmtId="179" fontId="60" fillId="0" borderId="6" xfId="21" applyNumberFormat="1" applyFont="1" applyBorder="1"/>
    <xf numFmtId="0" fontId="60" fillId="0" borderId="0" xfId="20" applyFont="1" applyAlignment="1">
      <alignment vertical="center"/>
    </xf>
    <xf numFmtId="0" fontId="60" fillId="0" borderId="7" xfId="20" applyFont="1" applyBorder="1" applyAlignment="1">
      <alignment horizontal="center" vertical="center"/>
    </xf>
    <xf numFmtId="179" fontId="60" fillId="0" borderId="14" xfId="21" applyNumberFormat="1" applyFont="1" applyBorder="1" applyAlignment="1">
      <alignment vertical="center"/>
    </xf>
    <xf numFmtId="180" fontId="60" fillId="0" borderId="6" xfId="21" applyNumberFormat="1" applyFont="1" applyBorder="1" applyAlignment="1">
      <alignment horizontal="right" vertical="center"/>
    </xf>
    <xf numFmtId="179" fontId="60" fillId="0" borderId="6" xfId="21" applyNumberFormat="1" applyFont="1" applyBorder="1" applyAlignment="1">
      <alignment vertical="center"/>
    </xf>
    <xf numFmtId="0" fontId="28" fillId="0" borderId="0" xfId="20" applyFont="1" applyAlignment="1">
      <alignment vertical="center" wrapText="1"/>
    </xf>
    <xf numFmtId="0" fontId="28" fillId="0" borderId="7" xfId="20" applyFont="1" applyBorder="1" applyAlignment="1">
      <alignment vertical="center" wrapText="1"/>
    </xf>
    <xf numFmtId="179" fontId="60" fillId="0" borderId="14" xfId="20" applyNumberFormat="1" applyFont="1" applyBorder="1" applyAlignment="1">
      <alignment vertical="center"/>
    </xf>
    <xf numFmtId="180" fontId="60" fillId="0" borderId="6" xfId="20" applyNumberFormat="1" applyFont="1" applyBorder="1" applyAlignment="1">
      <alignment horizontal="right" vertical="center"/>
    </xf>
    <xf numFmtId="179" fontId="60" fillId="0" borderId="6" xfId="20" applyNumberFormat="1" applyFont="1" applyBorder="1" applyAlignment="1">
      <alignment vertical="center"/>
    </xf>
    <xf numFmtId="0" fontId="28" fillId="0" borderId="0" xfId="20" applyFont="1" applyAlignment="1">
      <alignment horizontal="left" vertical="center"/>
    </xf>
    <xf numFmtId="0" fontId="28" fillId="0" borderId="7" xfId="20" applyFont="1" applyBorder="1" applyAlignment="1">
      <alignment horizontal="center" vertical="center"/>
    </xf>
    <xf numFmtId="179" fontId="49" fillId="0" borderId="14" xfId="21" applyNumberFormat="1" applyFont="1" applyBorder="1" applyAlignment="1">
      <alignment vertical="center"/>
    </xf>
    <xf numFmtId="180" fontId="49" fillId="0" borderId="6" xfId="21" applyNumberFormat="1" applyFont="1" applyBorder="1" applyAlignment="1">
      <alignment horizontal="right" vertical="center"/>
    </xf>
    <xf numFmtId="179" fontId="49" fillId="0" borderId="6" xfId="21" applyNumberFormat="1" applyFont="1" applyBorder="1" applyAlignment="1">
      <alignment vertical="center"/>
    </xf>
    <xf numFmtId="0" fontId="28" fillId="0" borderId="7" xfId="20" applyFont="1" applyBorder="1" applyAlignment="1">
      <alignment horizontal="center" vertical="top"/>
    </xf>
    <xf numFmtId="179" fontId="49" fillId="0" borderId="14" xfId="21" applyNumberFormat="1" applyFont="1" applyBorder="1" applyAlignment="1">
      <alignment vertical="top"/>
    </xf>
    <xf numFmtId="180" fontId="49" fillId="0" borderId="6" xfId="21" applyNumberFormat="1" applyFont="1" applyBorder="1" applyAlignment="1">
      <alignment horizontal="right" vertical="top"/>
    </xf>
    <xf numFmtId="179" fontId="49" fillId="0" borderId="6" xfId="21" applyNumberFormat="1" applyFont="1" applyBorder="1" applyAlignment="1">
      <alignment vertical="top"/>
    </xf>
    <xf numFmtId="0" fontId="28" fillId="0" borderId="9" xfId="20" applyFont="1" applyBorder="1" applyAlignment="1">
      <alignment horizontal="left" vertical="center" indent="1"/>
    </xf>
    <xf numFmtId="0" fontId="28" fillId="0" borderId="10" xfId="20" applyFont="1" applyBorder="1" applyAlignment="1">
      <alignment horizontal="center" vertical="center"/>
    </xf>
    <xf numFmtId="178" fontId="28" fillId="0" borderId="15" xfId="20" applyNumberFormat="1" applyFont="1" applyBorder="1" applyAlignment="1">
      <alignment vertical="center"/>
    </xf>
    <xf numFmtId="178" fontId="28" fillId="0" borderId="8" xfId="20" applyNumberFormat="1" applyFont="1" applyBorder="1" applyAlignment="1">
      <alignment vertical="center"/>
    </xf>
    <xf numFmtId="0" fontId="65" fillId="0" borderId="0" xfId="20" applyFont="1"/>
    <xf numFmtId="0" fontId="65" fillId="0" borderId="0" xfId="20" applyFont="1" applyAlignment="1">
      <alignment vertical="center"/>
    </xf>
    <xf numFmtId="0" fontId="32" fillId="18" borderId="0" xfId="0" applyFont="1" applyFill="1"/>
    <xf numFmtId="0" fontId="32" fillId="18" borderId="21" xfId="0" applyFont="1" applyFill="1" applyBorder="1"/>
    <xf numFmtId="0" fontId="32" fillId="16" borderId="20" xfId="0" applyFont="1" applyFill="1" applyBorder="1"/>
    <xf numFmtId="2" fontId="43" fillId="16" borderId="20" xfId="0" applyNumberFormat="1" applyFont="1" applyFill="1" applyBorder="1"/>
    <xf numFmtId="167" fontId="32" fillId="16" borderId="20" xfId="0" applyNumberFormat="1" applyFont="1" applyFill="1" applyBorder="1"/>
    <xf numFmtId="171" fontId="43" fillId="18" borderId="0" xfId="0" applyNumberFormat="1" applyFont="1" applyFill="1"/>
    <xf numFmtId="0" fontId="32" fillId="16" borderId="21" xfId="0" applyFont="1" applyFill="1" applyBorder="1"/>
    <xf numFmtId="171" fontId="43" fillId="16" borderId="21" xfId="0" applyNumberFormat="1" applyFont="1" applyFill="1" applyBorder="1"/>
    <xf numFmtId="174" fontId="43" fillId="16" borderId="21" xfId="19" applyNumberFormat="1" applyFont="1" applyFill="1" applyBorder="1" applyAlignment="1"/>
    <xf numFmtId="0" fontId="0" fillId="12" borderId="0" xfId="0" applyFill="1"/>
    <xf numFmtId="0" fontId="0" fillId="12" borderId="33" xfId="0" applyFill="1" applyBorder="1"/>
    <xf numFmtId="167" fontId="0" fillId="12" borderId="31" xfId="0" applyNumberFormat="1" applyFill="1" applyBorder="1"/>
    <xf numFmtId="174" fontId="0" fillId="12" borderId="34" xfId="19" applyNumberFormat="1" applyFont="1" applyFill="1" applyBorder="1"/>
    <xf numFmtId="0" fontId="0" fillId="12" borderId="35" xfId="0" applyFill="1" applyBorder="1"/>
    <xf numFmtId="174" fontId="0" fillId="12" borderId="36" xfId="19" applyNumberFormat="1" applyFont="1" applyFill="1" applyBorder="1"/>
    <xf numFmtId="4" fontId="0" fillId="12" borderId="36" xfId="0" applyNumberFormat="1" applyFill="1" applyBorder="1"/>
    <xf numFmtId="0" fontId="0" fillId="12" borderId="35" xfId="0" applyFill="1" applyBorder="1" applyAlignment="1">
      <alignment horizontal="left" indent="2"/>
    </xf>
    <xf numFmtId="4" fontId="0" fillId="12" borderId="38" xfId="0" applyNumberFormat="1" applyFill="1" applyBorder="1"/>
    <xf numFmtId="167" fontId="0" fillId="12" borderId="0" xfId="0" applyNumberFormat="1" applyFill="1"/>
    <xf numFmtId="167" fontId="32" fillId="12" borderId="0" xfId="0" applyNumberFormat="1" applyFont="1" applyFill="1"/>
    <xf numFmtId="167" fontId="32" fillId="12" borderId="16" xfId="0" applyNumberFormat="1" applyFont="1" applyFill="1" applyBorder="1"/>
    <xf numFmtId="174" fontId="0" fillId="12" borderId="36" xfId="19" quotePrefix="1" applyNumberFormat="1" applyFont="1" applyFill="1" applyBorder="1"/>
    <xf numFmtId="10" fontId="0" fillId="12" borderId="0" xfId="4" applyNumberFormat="1" applyFont="1" applyFill="1" applyBorder="1"/>
    <xf numFmtId="0" fontId="0" fillId="12" borderId="35" xfId="0" applyFill="1" applyBorder="1" applyAlignment="1">
      <alignment horizontal="left" indent="4"/>
    </xf>
    <xf numFmtId="0" fontId="0" fillId="12" borderId="37" xfId="0" applyFill="1" applyBorder="1" applyAlignment="1">
      <alignment horizontal="left" indent="4"/>
    </xf>
    <xf numFmtId="0" fontId="36" fillId="15" borderId="0" xfId="0" applyFont="1" applyFill="1"/>
    <xf numFmtId="0" fontId="66" fillId="15" borderId="0" xfId="0" applyFont="1" applyFill="1"/>
    <xf numFmtId="0" fontId="21" fillId="0" borderId="0" xfId="0" applyFont="1" applyAlignment="1">
      <alignment horizontal="left"/>
    </xf>
    <xf numFmtId="0" fontId="21" fillId="0" borderId="0" xfId="0" applyFont="1"/>
    <xf numFmtId="0" fontId="32" fillId="16" borderId="0" xfId="0" applyFont="1" applyFill="1"/>
    <xf numFmtId="0" fontId="67" fillId="13" borderId="18" xfId="0" applyFont="1" applyFill="1" applyBorder="1" applyAlignment="1">
      <alignment horizontal="center" vertical="center"/>
    </xf>
    <xf numFmtId="0" fontId="32" fillId="16" borderId="28" xfId="8" applyFill="1" applyBorder="1"/>
    <xf numFmtId="0" fontId="67" fillId="13" borderId="23" xfId="0" applyFont="1" applyFill="1" applyBorder="1" applyAlignment="1">
      <alignment horizontal="center" vertical="center"/>
    </xf>
    <xf numFmtId="0" fontId="43" fillId="18" borderId="6" xfId="0" applyFont="1" applyFill="1" applyBorder="1"/>
    <xf numFmtId="0" fontId="43" fillId="16" borderId="6" xfId="0" applyFont="1" applyFill="1" applyBorder="1"/>
    <xf numFmtId="0" fontId="32" fillId="16" borderId="21" xfId="8" applyFill="1" applyBorder="1"/>
    <xf numFmtId="0" fontId="43" fillId="16" borderId="30" xfId="0" applyFont="1" applyFill="1" applyBorder="1"/>
    <xf numFmtId="0" fontId="32" fillId="16" borderId="32" xfId="8" applyFill="1" applyBorder="1"/>
    <xf numFmtId="0" fontId="43" fillId="16" borderId="3" xfId="0" applyFont="1" applyFill="1" applyBorder="1"/>
    <xf numFmtId="0" fontId="43" fillId="16" borderId="32" xfId="0" applyFont="1" applyFill="1" applyBorder="1"/>
    <xf numFmtId="0" fontId="32" fillId="16" borderId="3" xfId="8" applyFill="1" applyBorder="1"/>
    <xf numFmtId="0" fontId="33" fillId="13" borderId="23" xfId="8" applyFont="1" applyFill="1" applyBorder="1" applyAlignment="1">
      <alignment horizontal="center" vertical="center"/>
    </xf>
    <xf numFmtId="0" fontId="33" fillId="13" borderId="23" xfId="8" applyFont="1" applyFill="1" applyBorder="1" applyAlignment="1">
      <alignment horizontal="center" vertical="center" wrapText="1"/>
    </xf>
    <xf numFmtId="0" fontId="0" fillId="16" borderId="0" xfId="8" applyFont="1" applyFill="1"/>
    <xf numFmtId="0" fontId="0" fillId="16" borderId="0" xfId="8" applyFont="1" applyFill="1" applyAlignment="1">
      <alignment wrapText="1"/>
    </xf>
    <xf numFmtId="0" fontId="0" fillId="16" borderId="0" xfId="8" applyFont="1" applyFill="1" applyAlignment="1">
      <alignment vertical="center" wrapText="1"/>
    </xf>
    <xf numFmtId="0" fontId="0" fillId="17" borderId="0" xfId="8" applyFont="1" applyFill="1"/>
    <xf numFmtId="0" fontId="0" fillId="18" borderId="0" xfId="8" applyFont="1" applyFill="1"/>
    <xf numFmtId="0" fontId="0" fillId="18" borderId="0" xfId="8" applyFont="1" applyFill="1" applyAlignment="1">
      <alignment wrapText="1"/>
    </xf>
    <xf numFmtId="0" fontId="0" fillId="18" borderId="0" xfId="8" applyFont="1" applyFill="1" applyAlignment="1">
      <alignment vertical="center" wrapText="1"/>
    </xf>
    <xf numFmtId="0" fontId="0" fillId="19" borderId="0" xfId="8" applyFont="1" applyFill="1"/>
    <xf numFmtId="2" fontId="32" fillId="16" borderId="20" xfId="8" applyNumberFormat="1" applyFill="1" applyBorder="1"/>
    <xf numFmtId="2" fontId="32" fillId="18" borderId="0" xfId="8" applyNumberFormat="1" applyFill="1"/>
    <xf numFmtId="2" fontId="32" fillId="16" borderId="0" xfId="8" applyNumberFormat="1" applyFill="1"/>
    <xf numFmtId="2" fontId="32" fillId="18" borderId="21" xfId="8" applyNumberFormat="1" applyFill="1" applyBorder="1"/>
    <xf numFmtId="2" fontId="32" fillId="16" borderId="28" xfId="8" applyNumberFormat="1" applyFill="1" applyBorder="1"/>
    <xf numFmtId="2" fontId="32" fillId="16" borderId="20" xfId="8" applyNumberFormat="1" applyFill="1" applyBorder="1" applyAlignment="1">
      <alignment wrapText="1"/>
    </xf>
    <xf numFmtId="2" fontId="32" fillId="16" borderId="28" xfId="8" applyNumberFormat="1" applyFill="1" applyBorder="1" applyAlignment="1">
      <alignment wrapText="1"/>
    </xf>
    <xf numFmtId="2" fontId="32" fillId="18" borderId="6" xfId="8" applyNumberFormat="1" applyFill="1" applyBorder="1"/>
    <xf numFmtId="2" fontId="32" fillId="18" borderId="0" xfId="8" applyNumberFormat="1" applyFill="1" applyAlignment="1">
      <alignment wrapText="1"/>
    </xf>
    <xf numFmtId="2" fontId="32" fillId="18" borderId="6" xfId="8" applyNumberFormat="1" applyFill="1" applyBorder="1" applyAlignment="1">
      <alignment wrapText="1"/>
    </xf>
    <xf numFmtId="2" fontId="32" fillId="16" borderId="6" xfId="8" applyNumberFormat="1" applyFill="1" applyBorder="1"/>
    <xf numFmtId="2" fontId="32" fillId="16" borderId="0" xfId="8" applyNumberFormat="1" applyFill="1" applyAlignment="1">
      <alignment wrapText="1"/>
    </xf>
    <xf numFmtId="2" fontId="32" fillId="16" borderId="6" xfId="8" applyNumberFormat="1" applyFill="1" applyBorder="1" applyAlignment="1">
      <alignment wrapText="1"/>
    </xf>
    <xf numFmtId="2" fontId="0" fillId="16" borderId="6" xfId="8" applyNumberFormat="1" applyFont="1" applyFill="1" applyBorder="1"/>
    <xf numFmtId="2" fontId="0" fillId="16" borderId="0" xfId="8" applyNumberFormat="1" applyFont="1" applyFill="1" applyAlignment="1">
      <alignment wrapText="1"/>
    </xf>
    <xf numFmtId="2" fontId="0" fillId="16" borderId="6" xfId="8" applyNumberFormat="1" applyFont="1" applyFill="1" applyBorder="1" applyAlignment="1">
      <alignment wrapText="1"/>
    </xf>
    <xf numFmtId="2" fontId="0" fillId="18" borderId="6" xfId="8" applyNumberFormat="1" applyFont="1" applyFill="1" applyBorder="1"/>
    <xf numFmtId="2" fontId="0" fillId="18" borderId="0" xfId="8" applyNumberFormat="1" applyFont="1" applyFill="1" applyAlignment="1">
      <alignment wrapText="1"/>
    </xf>
    <xf numFmtId="2" fontId="0" fillId="18" borderId="6" xfId="8" applyNumberFormat="1" applyFont="1" applyFill="1" applyBorder="1" applyAlignment="1">
      <alignment wrapText="1"/>
    </xf>
    <xf numFmtId="2" fontId="32" fillId="18" borderId="30" xfId="8" applyNumberFormat="1" applyFill="1" applyBorder="1"/>
    <xf numFmtId="2" fontId="32" fillId="18" borderId="21" xfId="8" applyNumberFormat="1" applyFill="1" applyBorder="1" applyAlignment="1">
      <alignment wrapText="1"/>
    </xf>
    <xf numFmtId="2" fontId="32" fillId="18" borderId="30" xfId="8" applyNumberFormat="1" applyFill="1" applyBorder="1" applyAlignment="1">
      <alignment wrapText="1"/>
    </xf>
    <xf numFmtId="0" fontId="68" fillId="11" borderId="0" xfId="24" applyFill="1"/>
    <xf numFmtId="0" fontId="68" fillId="13" borderId="0" xfId="24" applyFill="1"/>
    <xf numFmtId="0" fontId="68" fillId="14" borderId="10" xfId="24" applyFill="1" applyBorder="1"/>
    <xf numFmtId="0" fontId="68" fillId="14" borderId="9" xfId="24" applyFill="1" applyBorder="1"/>
    <xf numFmtId="0" fontId="68" fillId="14" borderId="8" xfId="24" applyFill="1" applyBorder="1"/>
    <xf numFmtId="0" fontId="68" fillId="14" borderId="7" xfId="24" applyFill="1" applyBorder="1"/>
    <xf numFmtId="0" fontId="68" fillId="11" borderId="10" xfId="24" applyFill="1" applyBorder="1"/>
    <xf numFmtId="0" fontId="68" fillId="11" borderId="9" xfId="24" applyFill="1" applyBorder="1"/>
    <xf numFmtId="0" fontId="68" fillId="11" borderId="8" xfId="24" applyFill="1" applyBorder="1"/>
    <xf numFmtId="0" fontId="68" fillId="14" borderId="6" xfId="24" applyFill="1" applyBorder="1"/>
    <xf numFmtId="0" fontId="68" fillId="11" borderId="7" xfId="24" applyFill="1" applyBorder="1"/>
    <xf numFmtId="0" fontId="68" fillId="11" borderId="6" xfId="24" applyFill="1" applyBorder="1"/>
    <xf numFmtId="14" fontId="68" fillId="11" borderId="0" xfId="24" applyNumberFormat="1" applyFill="1"/>
    <xf numFmtId="0" fontId="68" fillId="11" borderId="0" xfId="24" applyFill="1" applyAlignment="1">
      <alignment vertical="top" wrapText="1"/>
    </xf>
    <xf numFmtId="0" fontId="68" fillId="11" borderId="5" xfId="24" applyFill="1" applyBorder="1"/>
    <xf numFmtId="0" fontId="68" fillId="11" borderId="3" xfId="24" applyFill="1" applyBorder="1"/>
    <xf numFmtId="0" fontId="68" fillId="14" borderId="5" xfId="24" applyFill="1" applyBorder="1"/>
    <xf numFmtId="0" fontId="68" fillId="14" borderId="3" xfId="24" applyFill="1" applyBorder="1"/>
    <xf numFmtId="0" fontId="32" fillId="11" borderId="0" xfId="9" applyFill="1"/>
    <xf numFmtId="0" fontId="69" fillId="11" borderId="0" xfId="24" applyFont="1" applyFill="1"/>
    <xf numFmtId="0" fontId="69" fillId="11" borderId="39" xfId="24" applyFont="1" applyFill="1" applyBorder="1" applyAlignment="1">
      <alignment horizontal="center" vertical="center"/>
    </xf>
    <xf numFmtId="14" fontId="68" fillId="11" borderId="39" xfId="24" applyNumberFormat="1" applyFill="1" applyBorder="1" applyAlignment="1">
      <alignment horizontal="left" vertical="top"/>
    </xf>
    <xf numFmtId="0" fontId="68" fillId="11" borderId="39" xfId="24" applyFill="1" applyBorder="1" applyAlignment="1">
      <alignment vertical="top" wrapText="1"/>
    </xf>
    <xf numFmtId="0" fontId="68" fillId="11" borderId="39" xfId="24" applyFill="1" applyBorder="1" applyAlignment="1">
      <alignment vertical="top"/>
    </xf>
    <xf numFmtId="0" fontId="68" fillId="11" borderId="39" xfId="24" applyFill="1" applyBorder="1" applyAlignment="1">
      <alignment horizontal="left" vertical="top"/>
    </xf>
    <xf numFmtId="0" fontId="68" fillId="11" borderId="39" xfId="24" applyFill="1" applyBorder="1" applyAlignment="1">
      <alignment horizontal="center" vertical="top"/>
    </xf>
    <xf numFmtId="0" fontId="69" fillId="11" borderId="39" xfId="24" applyFont="1" applyFill="1" applyBorder="1" applyAlignment="1">
      <alignment vertical="top"/>
    </xf>
    <xf numFmtId="0" fontId="69" fillId="11" borderId="39" xfId="24" applyFont="1" applyFill="1" applyBorder="1" applyAlignment="1">
      <alignment horizontal="left" vertical="top"/>
    </xf>
    <xf numFmtId="0" fontId="68" fillId="11" borderId="9" xfId="24" applyFill="1" applyBorder="1" applyAlignment="1">
      <alignment horizontal="left" vertical="top"/>
    </xf>
    <xf numFmtId="166" fontId="21" fillId="0" borderId="0" xfId="0" applyNumberFormat="1" applyFont="1" applyAlignment="1">
      <alignment vertical="center"/>
    </xf>
    <xf numFmtId="171" fontId="43" fillId="16" borderId="0" xfId="0" applyNumberFormat="1" applyFont="1" applyFill="1"/>
    <xf numFmtId="0" fontId="28" fillId="0" borderId="3" xfId="10" applyFont="1" applyBorder="1" applyAlignment="1">
      <alignment horizontal="center" vertical="center" wrapText="1"/>
    </xf>
    <xf numFmtId="10" fontId="18" fillId="0" borderId="0" xfId="0" applyNumberFormat="1" applyFont="1" applyAlignment="1">
      <alignment vertical="center"/>
    </xf>
    <xf numFmtId="10" fontId="18" fillId="0" borderId="9" xfId="0" applyNumberFormat="1" applyFont="1" applyBorder="1" applyAlignment="1">
      <alignment vertical="center"/>
    </xf>
    <xf numFmtId="1" fontId="0" fillId="0" borderId="0" xfId="0" applyNumberFormat="1" applyAlignment="1">
      <alignment vertical="center"/>
    </xf>
    <xf numFmtId="2" fontId="20" fillId="0" borderId="0" xfId="0" applyNumberFormat="1" applyFont="1" applyAlignment="1">
      <alignment vertical="center"/>
    </xf>
    <xf numFmtId="0" fontId="38" fillId="20" borderId="0" xfId="0" applyFont="1" applyFill="1" applyAlignment="1">
      <alignment vertical="center"/>
    </xf>
    <xf numFmtId="0" fontId="38" fillId="21" borderId="0" xfId="0" applyFont="1" applyFill="1" applyAlignment="1">
      <alignment vertical="center"/>
    </xf>
    <xf numFmtId="0" fontId="38" fillId="0" borderId="0" xfId="0" applyFont="1" applyAlignment="1">
      <alignment vertical="center"/>
    </xf>
    <xf numFmtId="164" fontId="0" fillId="0" borderId="0" xfId="0" applyNumberFormat="1" applyAlignment="1">
      <alignment vertical="center"/>
    </xf>
    <xf numFmtId="167" fontId="18" fillId="0" borderId="0" xfId="0" applyNumberFormat="1" applyFont="1" applyAlignment="1">
      <alignment vertical="center"/>
    </xf>
    <xf numFmtId="2" fontId="0" fillId="0" borderId="1" xfId="0" applyNumberFormat="1" applyBorder="1"/>
    <xf numFmtId="2" fontId="70" fillId="16" borderId="0" xfId="0" applyNumberFormat="1" applyFont="1" applyFill="1"/>
    <xf numFmtId="167" fontId="70" fillId="16" borderId="0" xfId="0" applyNumberFormat="1" applyFont="1" applyFill="1"/>
    <xf numFmtId="2" fontId="70" fillId="18" borderId="0" xfId="0" applyNumberFormat="1" applyFont="1" applyFill="1"/>
    <xf numFmtId="167" fontId="70" fillId="18" borderId="0" xfId="0" applyNumberFormat="1" applyFont="1" applyFill="1"/>
    <xf numFmtId="0" fontId="70" fillId="18" borderId="21" xfId="0" applyFont="1" applyFill="1" applyBorder="1"/>
    <xf numFmtId="0" fontId="0" fillId="16" borderId="0" xfId="0" applyFill="1"/>
    <xf numFmtId="0" fontId="71" fillId="13" borderId="40" xfId="0" applyFont="1" applyFill="1" applyBorder="1" applyAlignment="1">
      <alignment horizontal="center" vertical="center" wrapText="1"/>
    </xf>
    <xf numFmtId="1" fontId="71" fillId="13" borderId="40" xfId="0" applyNumberFormat="1" applyFont="1" applyFill="1" applyBorder="1" applyAlignment="1">
      <alignment horizontal="center" vertical="center" wrapText="1"/>
    </xf>
    <xf numFmtId="0" fontId="19" fillId="2" borderId="4" xfId="0" applyFont="1" applyFill="1" applyBorder="1" applyAlignment="1">
      <alignment vertical="center"/>
    </xf>
    <xf numFmtId="1" fontId="19" fillId="8" borderId="4" xfId="0" applyNumberFormat="1" applyFont="1" applyFill="1" applyBorder="1" applyAlignment="1">
      <alignment horizontal="center" vertical="center"/>
    </xf>
    <xf numFmtId="167" fontId="0" fillId="16" borderId="0" xfId="0" applyNumberFormat="1" applyFill="1"/>
    <xf numFmtId="0" fontId="25" fillId="0" borderId="0" xfId="10" applyFont="1" applyAlignment="1">
      <alignment wrapText="1"/>
    </xf>
    <xf numFmtId="0" fontId="31" fillId="0" borderId="0" xfId="0" applyFont="1" applyAlignment="1">
      <alignment vertical="center"/>
    </xf>
    <xf numFmtId="3" fontId="0" fillId="0" borderId="32" xfId="0" applyNumberFormat="1" applyBorder="1" applyAlignment="1">
      <alignment horizontal="center" vertical="center"/>
    </xf>
    <xf numFmtId="0" fontId="7" fillId="7" borderId="32" xfId="0" applyFont="1" applyFill="1" applyBorder="1" applyAlignment="1">
      <alignment horizontal="center" vertical="center"/>
    </xf>
    <xf numFmtId="164" fontId="0" fillId="0" borderId="32" xfId="0" applyNumberFormat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74" fillId="13" borderId="2" xfId="0" applyFont="1" applyFill="1" applyBorder="1" applyAlignment="1">
      <alignment horizontal="center" vertical="center" wrapText="1"/>
    </xf>
    <xf numFmtId="0" fontId="75" fillId="11" borderId="2" xfId="0" applyFont="1" applyFill="1" applyBorder="1" applyAlignment="1">
      <alignment horizontal="center" vertical="center"/>
    </xf>
    <xf numFmtId="0" fontId="75" fillId="0" borderId="0" xfId="0" applyFont="1"/>
    <xf numFmtId="0" fontId="76" fillId="0" borderId="0" xfId="0" applyFont="1" applyAlignment="1">
      <alignment vertical="center"/>
    </xf>
    <xf numFmtId="0" fontId="51" fillId="0" borderId="0" xfId="0" applyFont="1" applyAlignment="1">
      <alignment vertical="center"/>
    </xf>
    <xf numFmtId="0" fontId="76" fillId="0" borderId="0" xfId="0" applyFont="1" applyAlignment="1">
      <alignment vertical="center" wrapText="1"/>
    </xf>
    <xf numFmtId="0" fontId="74" fillId="13" borderId="18" xfId="0" applyFont="1" applyFill="1" applyBorder="1" applyAlignment="1">
      <alignment horizontal="center" vertical="center" wrapText="1"/>
    </xf>
    <xf numFmtId="166" fontId="77" fillId="16" borderId="4" xfId="0" applyNumberFormat="1" applyFont="1" applyFill="1" applyBorder="1" applyAlignment="1">
      <alignment wrapText="1"/>
    </xf>
    <xf numFmtId="9" fontId="79" fillId="16" borderId="4" xfId="4" applyFont="1" applyFill="1" applyBorder="1" applyAlignment="1">
      <alignment vertical="center"/>
    </xf>
    <xf numFmtId="2" fontId="79" fillId="16" borderId="4" xfId="4" applyNumberFormat="1" applyFont="1" applyFill="1" applyBorder="1" applyAlignment="1">
      <alignment vertical="center"/>
    </xf>
    <xf numFmtId="10" fontId="77" fillId="16" borderId="4" xfId="0" applyNumberFormat="1" applyFont="1" applyFill="1" applyBorder="1" applyAlignment="1">
      <alignment vertical="center"/>
    </xf>
    <xf numFmtId="166" fontId="77" fillId="18" borderId="0" xfId="0" applyNumberFormat="1" applyFont="1" applyFill="1" applyAlignment="1">
      <alignment wrapText="1"/>
    </xf>
    <xf numFmtId="9" fontId="79" fillId="18" borderId="0" xfId="4" applyFont="1" applyFill="1" applyBorder="1" applyAlignment="1">
      <alignment vertical="center"/>
    </xf>
    <xf numFmtId="2" fontId="79" fillId="18" borderId="0" xfId="4" applyNumberFormat="1" applyFont="1" applyFill="1" applyBorder="1" applyAlignment="1">
      <alignment vertical="center"/>
    </xf>
    <xf numFmtId="10" fontId="77" fillId="18" borderId="0" xfId="0" applyNumberFormat="1" applyFont="1" applyFill="1" applyAlignment="1">
      <alignment vertical="center"/>
    </xf>
    <xf numFmtId="166" fontId="77" fillId="16" borderId="21" xfId="0" applyNumberFormat="1" applyFont="1" applyFill="1" applyBorder="1" applyAlignment="1">
      <alignment wrapText="1"/>
    </xf>
    <xf numFmtId="9" fontId="79" fillId="16" borderId="21" xfId="4" applyFont="1" applyFill="1" applyBorder="1" applyAlignment="1">
      <alignment vertical="center"/>
    </xf>
    <xf numFmtId="2" fontId="79" fillId="16" borderId="21" xfId="4" applyNumberFormat="1" applyFont="1" applyFill="1" applyBorder="1" applyAlignment="1">
      <alignment vertical="center"/>
    </xf>
    <xf numFmtId="10" fontId="77" fillId="16" borderId="21" xfId="0" applyNumberFormat="1" applyFont="1" applyFill="1" applyBorder="1" applyAlignment="1">
      <alignment vertical="center"/>
    </xf>
    <xf numFmtId="9" fontId="80" fillId="0" borderId="0" xfId="4" applyFont="1" applyFill="1" applyBorder="1" applyAlignment="1">
      <alignment vertical="center"/>
    </xf>
    <xf numFmtId="0" fontId="74" fillId="13" borderId="41" xfId="10" applyFont="1" applyFill="1" applyBorder="1" applyAlignment="1">
      <alignment horizontal="center" vertical="center" wrapText="1"/>
    </xf>
    <xf numFmtId="0" fontId="74" fillId="13" borderId="18" xfId="0" applyFont="1" applyFill="1" applyBorder="1" applyAlignment="1">
      <alignment horizontal="center" vertical="center"/>
    </xf>
    <xf numFmtId="0" fontId="77" fillId="14" borderId="0" xfId="0" applyFont="1" applyFill="1" applyAlignment="1">
      <alignment horizontal="center" vertical="center" wrapText="1"/>
    </xf>
    <xf numFmtId="0" fontId="77" fillId="14" borderId="14" xfId="0" applyFont="1" applyFill="1" applyBorder="1" applyAlignment="1">
      <alignment horizontal="center" vertical="center" wrapText="1"/>
    </xf>
    <xf numFmtId="0" fontId="77" fillId="16" borderId="0" xfId="0" applyFont="1" applyFill="1" applyAlignment="1">
      <alignment vertical="center"/>
    </xf>
    <xf numFmtId="10" fontId="77" fillId="16" borderId="14" xfId="0" applyNumberFormat="1" applyFont="1" applyFill="1" applyBorder="1" applyAlignment="1">
      <alignment vertical="center"/>
    </xf>
    <xf numFmtId="2" fontId="77" fillId="16" borderId="0" xfId="0" applyNumberFormat="1" applyFont="1" applyFill="1" applyAlignment="1">
      <alignment vertical="center"/>
    </xf>
    <xf numFmtId="0" fontId="77" fillId="18" borderId="0" xfId="0" applyFont="1" applyFill="1" applyAlignment="1">
      <alignment vertical="center"/>
    </xf>
    <xf numFmtId="10" fontId="77" fillId="18" borderId="14" xfId="0" applyNumberFormat="1" applyFont="1" applyFill="1" applyBorder="1" applyAlignment="1">
      <alignment vertical="center"/>
    </xf>
    <xf numFmtId="2" fontId="77" fillId="18" borderId="0" xfId="0" applyNumberFormat="1" applyFont="1" applyFill="1" applyAlignment="1">
      <alignment vertical="center"/>
    </xf>
    <xf numFmtId="0" fontId="77" fillId="18" borderId="21" xfId="0" applyFont="1" applyFill="1" applyBorder="1" applyAlignment="1">
      <alignment vertical="center"/>
    </xf>
    <xf numFmtId="10" fontId="77" fillId="18" borderId="42" xfId="0" applyNumberFormat="1" applyFont="1" applyFill="1" applyBorder="1" applyAlignment="1">
      <alignment vertical="center"/>
    </xf>
    <xf numFmtId="2" fontId="77" fillId="18" borderId="21" xfId="0" applyNumberFormat="1" applyFont="1" applyFill="1" applyBorder="1" applyAlignment="1">
      <alignment vertical="center"/>
    </xf>
    <xf numFmtId="0" fontId="81" fillId="0" borderId="0" xfId="0" applyFont="1"/>
    <xf numFmtId="0" fontId="32" fillId="0" borderId="0" xfId="0" applyFont="1" applyAlignment="1">
      <alignment vertical="center"/>
    </xf>
    <xf numFmtId="0" fontId="77" fillId="0" borderId="0" xfId="0" applyFont="1" applyAlignment="1">
      <alignment vertical="center"/>
    </xf>
    <xf numFmtId="0" fontId="79" fillId="0" borderId="0" xfId="0" applyFont="1"/>
    <xf numFmtId="0" fontId="74" fillId="4" borderId="1" xfId="0" applyFont="1" applyFill="1" applyBorder="1" applyAlignment="1">
      <alignment horizontal="center" vertical="center" wrapText="1"/>
    </xf>
    <xf numFmtId="0" fontId="77" fillId="14" borderId="19" xfId="0" applyFont="1" applyFill="1" applyBorder="1" applyAlignment="1">
      <alignment horizontal="center" vertical="center" wrapText="1"/>
    </xf>
    <xf numFmtId="0" fontId="79" fillId="18" borderId="0" xfId="0" applyFont="1" applyFill="1"/>
    <xf numFmtId="0" fontId="79" fillId="16" borderId="0" xfId="0" applyFont="1" applyFill="1"/>
    <xf numFmtId="0" fontId="79" fillId="0" borderId="0" xfId="0" applyFont="1" applyAlignment="1">
      <alignment horizontal="center"/>
    </xf>
    <xf numFmtId="0" fontId="77" fillId="0" borderId="0" xfId="0" applyFont="1" applyAlignment="1">
      <alignment horizontal="center" vertical="center"/>
    </xf>
    <xf numFmtId="0" fontId="56" fillId="0" borderId="0" xfId="16" applyFont="1" applyAlignment="1">
      <alignment horizontal="center" vertical="center" wrapText="1"/>
    </xf>
    <xf numFmtId="3" fontId="49" fillId="0" borderId="0" xfId="12" applyNumberFormat="1" applyFont="1" applyAlignment="1" applyProtection="1">
      <alignment horizontal="right" vertical="top"/>
      <protection hidden="1"/>
    </xf>
    <xf numFmtId="3" fontId="49" fillId="0" borderId="0" xfId="12" applyNumberFormat="1" applyFont="1" applyAlignment="1" applyProtection="1">
      <alignment horizontal="right"/>
      <protection hidden="1"/>
    </xf>
    <xf numFmtId="3" fontId="49" fillId="0" borderId="0" xfId="14" applyNumberFormat="1" applyFont="1" applyFill="1" applyBorder="1" applyAlignment="1" applyProtection="1">
      <alignment horizontal="right" vertical="top"/>
      <protection hidden="1"/>
    </xf>
    <xf numFmtId="3" fontId="57" fillId="0" borderId="0" xfId="14" applyNumberFormat="1" applyFont="1" applyFill="1" applyBorder="1" applyProtection="1">
      <alignment horizontal="right"/>
      <protection hidden="1"/>
    </xf>
    <xf numFmtId="10" fontId="79" fillId="28" borderId="0" xfId="0" applyNumberFormat="1" applyFont="1" applyFill="1" applyAlignment="1">
      <alignment horizontal="center"/>
    </xf>
    <xf numFmtId="1" fontId="19" fillId="8" borderId="33" xfId="0" applyNumberFormat="1" applyFont="1" applyFill="1" applyBorder="1" applyAlignment="1">
      <alignment horizontal="center" vertical="center"/>
    </xf>
    <xf numFmtId="1" fontId="19" fillId="8" borderId="31" xfId="0" applyNumberFormat="1" applyFont="1" applyFill="1" applyBorder="1" applyAlignment="1">
      <alignment horizontal="center" vertical="center"/>
    </xf>
    <xf numFmtId="168" fontId="38" fillId="0" borderId="37" xfId="0" applyNumberFormat="1" applyFont="1" applyBorder="1" applyAlignment="1">
      <alignment horizontal="center"/>
    </xf>
    <xf numFmtId="2" fontId="9" fillId="0" borderId="16" xfId="0" applyNumberFormat="1" applyFont="1" applyBorder="1" applyAlignment="1">
      <alignment horizontal="center"/>
    </xf>
    <xf numFmtId="0" fontId="81" fillId="0" borderId="0" xfId="0" applyFont="1" applyAlignment="1">
      <alignment vertical="center"/>
    </xf>
    <xf numFmtId="0" fontId="82" fillId="13" borderId="2" xfId="1" applyFont="1" applyFill="1" applyBorder="1" applyAlignment="1">
      <alignment horizontal="center" vertical="center"/>
    </xf>
    <xf numFmtId="0" fontId="83" fillId="11" borderId="2" xfId="0" applyFont="1" applyFill="1" applyBorder="1" applyAlignment="1">
      <alignment horizontal="center" vertical="center" wrapText="1"/>
    </xf>
    <xf numFmtId="0" fontId="54" fillId="0" borderId="0" xfId="1" applyFont="1" applyAlignment="1">
      <alignment vertical="center"/>
    </xf>
    <xf numFmtId="0" fontId="84" fillId="0" borderId="0" xfId="0" applyFont="1" applyAlignment="1">
      <alignment vertical="center"/>
    </xf>
    <xf numFmtId="0" fontId="79" fillId="14" borderId="19" xfId="0" applyFont="1" applyFill="1" applyBorder="1" applyAlignment="1">
      <alignment horizontal="center" vertical="center" wrapText="1"/>
    </xf>
    <xf numFmtId="0" fontId="77" fillId="16" borderId="0" xfId="0" applyFont="1" applyFill="1" applyAlignment="1">
      <alignment vertical="center" wrapText="1"/>
    </xf>
    <xf numFmtId="2" fontId="79" fillId="16" borderId="0" xfId="0" applyNumberFormat="1" applyFont="1" applyFill="1" applyAlignment="1">
      <alignment vertical="center"/>
    </xf>
    <xf numFmtId="0" fontId="77" fillId="18" borderId="0" xfId="0" applyFont="1" applyFill="1" applyAlignment="1">
      <alignment vertical="center" wrapText="1"/>
    </xf>
    <xf numFmtId="2" fontId="79" fillId="18" borderId="0" xfId="0" applyNumberFormat="1" applyFont="1" applyFill="1" applyAlignment="1">
      <alignment vertical="center"/>
    </xf>
    <xf numFmtId="0" fontId="77" fillId="18" borderId="21" xfId="0" applyFont="1" applyFill="1" applyBorder="1" applyAlignment="1">
      <alignment vertical="center" wrapText="1"/>
    </xf>
    <xf numFmtId="2" fontId="79" fillId="18" borderId="21" xfId="0" applyNumberFormat="1" applyFont="1" applyFill="1" applyBorder="1" applyAlignment="1">
      <alignment vertical="center"/>
    </xf>
    <xf numFmtId="0" fontId="79" fillId="16" borderId="21" xfId="0" applyFont="1" applyFill="1" applyBorder="1" applyAlignment="1">
      <alignment vertical="center" wrapText="1"/>
    </xf>
    <xf numFmtId="0" fontId="77" fillId="16" borderId="20" xfId="0" applyFont="1" applyFill="1" applyBorder="1" applyAlignment="1">
      <alignment vertical="center" wrapText="1"/>
    </xf>
    <xf numFmtId="0" fontId="85" fillId="0" borderId="0" xfId="0" applyFont="1" applyAlignment="1">
      <alignment horizontal="justify" vertical="center"/>
    </xf>
    <xf numFmtId="9" fontId="79" fillId="25" borderId="0" xfId="0" applyNumberFormat="1" applyFont="1" applyFill="1" applyAlignment="1">
      <alignment horizontal="center"/>
    </xf>
    <xf numFmtId="2" fontId="19" fillId="8" borderId="31" xfId="0" applyNumberFormat="1" applyFont="1" applyFill="1" applyBorder="1" applyAlignment="1">
      <alignment horizontal="center" vertical="center"/>
    </xf>
    <xf numFmtId="167" fontId="38" fillId="0" borderId="37" xfId="0" applyNumberFormat="1" applyFont="1" applyBorder="1" applyAlignment="1">
      <alignment horizontal="center"/>
    </xf>
    <xf numFmtId="167" fontId="38" fillId="0" borderId="16" xfId="0" applyNumberFormat="1" applyFont="1" applyBorder="1" applyAlignment="1">
      <alignment horizontal="center"/>
    </xf>
    <xf numFmtId="164" fontId="86" fillId="14" borderId="0" xfId="0" applyNumberFormat="1" applyFont="1" applyFill="1" applyAlignment="1">
      <alignment horizontal="center" vertical="center" wrapText="1"/>
    </xf>
    <xf numFmtId="9" fontId="77" fillId="25" borderId="0" xfId="0" applyNumberFormat="1" applyFont="1" applyFill="1" applyAlignment="1">
      <alignment horizontal="center" vertical="center"/>
    </xf>
    <xf numFmtId="0" fontId="74" fillId="14" borderId="19" xfId="0" applyFont="1" applyFill="1" applyBorder="1" applyAlignment="1">
      <alignment horizontal="center" vertical="center" wrapText="1"/>
    </xf>
    <xf numFmtId="10" fontId="79" fillId="30" borderId="0" xfId="0" applyNumberFormat="1" applyFont="1" applyFill="1" applyAlignment="1">
      <alignment horizontal="center"/>
    </xf>
    <xf numFmtId="0" fontId="77" fillId="30" borderId="0" xfId="0" applyFont="1" applyFill="1" applyAlignment="1">
      <alignment vertical="center"/>
    </xf>
    <xf numFmtId="0" fontId="79" fillId="30" borderId="21" xfId="0" applyFont="1" applyFill="1" applyBorder="1" applyAlignment="1">
      <alignment vertical="center"/>
    </xf>
    <xf numFmtId="0" fontId="77" fillId="30" borderId="21" xfId="0" applyFont="1" applyFill="1" applyBorder="1" applyAlignment="1">
      <alignment vertical="center"/>
    </xf>
    <xf numFmtId="9" fontId="79" fillId="30" borderId="0" xfId="4" applyFont="1" applyFill="1" applyAlignment="1">
      <alignment vertical="center"/>
    </xf>
    <xf numFmtId="9" fontId="77" fillId="30" borderId="21" xfId="0" applyNumberFormat="1" applyFont="1" applyFill="1" applyBorder="1" applyAlignment="1">
      <alignment vertical="center" wrapText="1"/>
    </xf>
    <xf numFmtId="164" fontId="79" fillId="30" borderId="20" xfId="4" applyNumberFormat="1" applyFont="1" applyFill="1" applyBorder="1" applyAlignment="1">
      <alignment vertical="center"/>
    </xf>
    <xf numFmtId="164" fontId="79" fillId="30" borderId="0" xfId="4" applyNumberFormat="1" applyFont="1" applyFill="1" applyAlignment="1">
      <alignment vertical="center"/>
    </xf>
    <xf numFmtId="0" fontId="16" fillId="6" borderId="33" xfId="0" applyFont="1" applyFill="1" applyBorder="1" applyAlignment="1">
      <alignment vertical="center"/>
    </xf>
    <xf numFmtId="0" fontId="8" fillId="6" borderId="44" xfId="0" applyFont="1" applyFill="1" applyBorder="1" applyAlignment="1">
      <alignment vertical="center"/>
    </xf>
    <xf numFmtId="164" fontId="88" fillId="6" borderId="31" xfId="0" applyNumberFormat="1" applyFont="1" applyFill="1" applyBorder="1" applyAlignment="1">
      <alignment horizontal="center" vertical="center"/>
    </xf>
    <xf numFmtId="164" fontId="88" fillId="6" borderId="34" xfId="0" applyNumberFormat="1" applyFont="1" applyFill="1" applyBorder="1" applyAlignment="1">
      <alignment horizontal="center" vertical="center"/>
    </xf>
    <xf numFmtId="0" fontId="0" fillId="6" borderId="35" xfId="0" applyFill="1" applyBorder="1" applyAlignment="1">
      <alignment vertical="center"/>
    </xf>
    <xf numFmtId="164" fontId="88" fillId="6" borderId="0" xfId="0" applyNumberFormat="1" applyFont="1" applyFill="1" applyAlignment="1">
      <alignment horizontal="center" vertical="center"/>
    </xf>
    <xf numFmtId="164" fontId="88" fillId="6" borderId="36" xfId="0" applyNumberFormat="1" applyFont="1" applyFill="1" applyBorder="1" applyAlignment="1">
      <alignment horizontal="center" vertical="center"/>
    </xf>
    <xf numFmtId="0" fontId="0" fillId="6" borderId="37" xfId="0" applyFill="1" applyBorder="1" applyAlignment="1">
      <alignment vertical="center"/>
    </xf>
    <xf numFmtId="0" fontId="8" fillId="6" borderId="46" xfId="0" applyFont="1" applyFill="1" applyBorder="1" applyAlignment="1">
      <alignment vertical="center"/>
    </xf>
    <xf numFmtId="164" fontId="88" fillId="6" borderId="16" xfId="0" applyNumberFormat="1" applyFont="1" applyFill="1" applyBorder="1" applyAlignment="1">
      <alignment horizontal="center" vertical="center"/>
    </xf>
    <xf numFmtId="164" fontId="88" fillId="6" borderId="38" xfId="0" applyNumberFormat="1" applyFont="1" applyFill="1" applyBorder="1" applyAlignment="1">
      <alignment horizontal="center" vertical="center"/>
    </xf>
    <xf numFmtId="0" fontId="88" fillId="6" borderId="7" xfId="0" applyFont="1" applyFill="1" applyBorder="1" applyAlignment="1">
      <alignment vertical="center"/>
    </xf>
    <xf numFmtId="0" fontId="88" fillId="6" borderId="14" xfId="0" applyFont="1" applyFill="1" applyBorder="1" applyAlignment="1">
      <alignment vertical="center"/>
    </xf>
    <xf numFmtId="0" fontId="88" fillId="6" borderId="33" xfId="0" applyFont="1" applyFill="1" applyBorder="1" applyAlignment="1">
      <alignment vertical="center"/>
    </xf>
    <xf numFmtId="0" fontId="88" fillId="6" borderId="44" xfId="0" applyFont="1" applyFill="1" applyBorder="1" applyAlignment="1">
      <alignment vertical="center"/>
    </xf>
    <xf numFmtId="0" fontId="88" fillId="6" borderId="45" xfId="0" applyFont="1" applyFill="1" applyBorder="1" applyAlignment="1">
      <alignment vertical="center"/>
    </xf>
    <xf numFmtId="0" fontId="38" fillId="6" borderId="35" xfId="0" applyFont="1" applyFill="1" applyBorder="1" applyAlignment="1">
      <alignment vertical="center"/>
    </xf>
    <xf numFmtId="0" fontId="38" fillId="6" borderId="37" xfId="0" applyFont="1" applyFill="1" applyBorder="1" applyAlignment="1">
      <alignment vertical="center"/>
    </xf>
    <xf numFmtId="0" fontId="88" fillId="6" borderId="46" xfId="0" applyFont="1" applyFill="1" applyBorder="1" applyAlignment="1">
      <alignment vertical="center"/>
    </xf>
    <xf numFmtId="0" fontId="88" fillId="6" borderId="47" xfId="0" applyFont="1" applyFill="1" applyBorder="1" applyAlignment="1">
      <alignment vertical="center"/>
    </xf>
    <xf numFmtId="0" fontId="31" fillId="0" borderId="1" xfId="0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10" fillId="0" borderId="0" xfId="1" applyFill="1" applyAlignment="1" applyProtection="1">
      <alignment horizontal="center" vertical="center"/>
    </xf>
    <xf numFmtId="1" fontId="38" fillId="0" borderId="0" xfId="0" applyNumberFormat="1" applyFont="1" applyAlignment="1">
      <alignment horizontal="center" vertical="center"/>
    </xf>
    <xf numFmtId="2" fontId="0" fillId="29" borderId="1" xfId="0" applyNumberForma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2" fontId="0" fillId="11" borderId="1" xfId="0" applyNumberFormat="1" applyFill="1" applyBorder="1" applyAlignment="1">
      <alignment horizontal="center" vertical="center"/>
    </xf>
    <xf numFmtId="0" fontId="38" fillId="0" borderId="0" xfId="0" applyFont="1" applyAlignment="1">
      <alignment horizontal="center" vertical="center"/>
    </xf>
    <xf numFmtId="0" fontId="89" fillId="0" borderId="0" xfId="0" applyFont="1" applyAlignment="1">
      <alignment vertical="center"/>
    </xf>
    <xf numFmtId="0" fontId="90" fillId="0" borderId="0" xfId="1" applyFont="1" applyFill="1" applyAlignment="1" applyProtection="1">
      <alignment horizontal="center" vertical="center"/>
    </xf>
    <xf numFmtId="1" fontId="91" fillId="0" borderId="0" xfId="0" applyNumberFormat="1" applyFont="1" applyAlignment="1">
      <alignment horizontal="center" vertical="center"/>
    </xf>
    <xf numFmtId="0" fontId="90" fillId="0" borderId="0" xfId="1" applyFont="1" applyFill="1" applyAlignment="1" applyProtection="1">
      <alignment vertical="center"/>
    </xf>
    <xf numFmtId="0" fontId="92" fillId="0" borderId="0" xfId="0" applyFont="1" applyAlignment="1">
      <alignment vertical="center"/>
    </xf>
    <xf numFmtId="0" fontId="92" fillId="0" borderId="0" xfId="0" applyFont="1" applyAlignment="1">
      <alignment horizontal="center" vertical="center"/>
    </xf>
    <xf numFmtId="0" fontId="91" fillId="0" borderId="0" xfId="0" applyFont="1" applyAlignment="1">
      <alignment vertical="center"/>
    </xf>
    <xf numFmtId="9" fontId="0" fillId="0" borderId="0" xfId="0" applyNumberFormat="1" applyAlignment="1">
      <alignment horizontal="center" vertical="center"/>
    </xf>
    <xf numFmtId="0" fontId="87" fillId="31" borderId="0" xfId="1" applyFont="1" applyFill="1" applyAlignment="1" applyProtection="1">
      <alignment horizontal="center" vertical="center"/>
    </xf>
    <xf numFmtId="0" fontId="31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3" fillId="6" borderId="45" xfId="0" applyFont="1" applyFill="1" applyBorder="1" applyAlignment="1">
      <alignment vertical="center"/>
    </xf>
    <xf numFmtId="164" fontId="94" fillId="6" borderId="31" xfId="0" applyNumberFormat="1" applyFont="1" applyFill="1" applyBorder="1" applyAlignment="1">
      <alignment horizontal="center" vertical="center"/>
    </xf>
    <xf numFmtId="164" fontId="94" fillId="6" borderId="34" xfId="0" applyNumberFormat="1" applyFont="1" applyFill="1" applyBorder="1" applyAlignment="1">
      <alignment horizontal="center" vertical="center"/>
    </xf>
    <xf numFmtId="0" fontId="93" fillId="6" borderId="14" xfId="0" applyFont="1" applyFill="1" applyBorder="1" applyAlignment="1">
      <alignment vertical="center"/>
    </xf>
    <xf numFmtId="164" fontId="94" fillId="6" borderId="0" xfId="0" applyNumberFormat="1" applyFont="1" applyFill="1" applyAlignment="1">
      <alignment horizontal="center" vertical="center"/>
    </xf>
    <xf numFmtId="164" fontId="94" fillId="6" borderId="36" xfId="0" applyNumberFormat="1" applyFont="1" applyFill="1" applyBorder="1" applyAlignment="1">
      <alignment horizontal="center" vertical="center"/>
    </xf>
    <xf numFmtId="0" fontId="93" fillId="6" borderId="47" xfId="0" applyFont="1" applyFill="1" applyBorder="1" applyAlignment="1">
      <alignment vertical="center"/>
    </xf>
    <xf numFmtId="164" fontId="94" fillId="6" borderId="16" xfId="0" applyNumberFormat="1" applyFont="1" applyFill="1" applyBorder="1" applyAlignment="1">
      <alignment horizontal="center" vertical="center"/>
    </xf>
    <xf numFmtId="164" fontId="94" fillId="6" borderId="38" xfId="0" applyNumberFormat="1" applyFont="1" applyFill="1" applyBorder="1" applyAlignment="1">
      <alignment horizontal="center" vertical="center"/>
    </xf>
    <xf numFmtId="1" fontId="71" fillId="29" borderId="40" xfId="0" applyNumberFormat="1" applyFont="1" applyFill="1" applyBorder="1" applyAlignment="1">
      <alignment horizontal="center" vertical="center" wrapText="1"/>
    </xf>
    <xf numFmtId="167" fontId="70" fillId="29" borderId="0" xfId="0" applyNumberFormat="1" applyFont="1" applyFill="1"/>
    <xf numFmtId="167" fontId="43" fillId="29" borderId="21" xfId="0" applyNumberFormat="1" applyFont="1" applyFill="1" applyBorder="1"/>
    <xf numFmtId="2" fontId="70" fillId="29" borderId="0" xfId="0" applyNumberFormat="1" applyFont="1" applyFill="1"/>
    <xf numFmtId="167" fontId="0" fillId="29" borderId="35" xfId="0" applyNumberFormat="1" applyFill="1" applyBorder="1" applyAlignment="1">
      <alignment horizontal="center"/>
    </xf>
    <xf numFmtId="2" fontId="9" fillId="29" borderId="0" xfId="0" applyNumberFormat="1" applyFont="1" applyFill="1" applyAlignment="1">
      <alignment horizontal="center"/>
    </xf>
    <xf numFmtId="0" fontId="45" fillId="0" borderId="48" xfId="15" applyFont="1" applyBorder="1" applyAlignment="1">
      <alignment horizontal="center" vertical="center" wrapText="1"/>
    </xf>
    <xf numFmtId="0" fontId="45" fillId="0" borderId="49" xfId="15" applyFont="1" applyBorder="1" applyAlignment="1">
      <alignment horizontal="center" vertical="center" wrapText="1"/>
    </xf>
    <xf numFmtId="0" fontId="19" fillId="4" borderId="50" xfId="0" applyFont="1" applyFill="1" applyBorder="1" applyAlignment="1">
      <alignment horizontal="center" vertical="center" wrapText="1"/>
    </xf>
    <xf numFmtId="0" fontId="45" fillId="0" borderId="52" xfId="15" applyFont="1" applyBorder="1" applyAlignment="1">
      <alignment horizontal="center" vertical="center" wrapText="1"/>
    </xf>
    <xf numFmtId="0" fontId="0" fillId="0" borderId="49" xfId="0" applyBorder="1"/>
    <xf numFmtId="0" fontId="0" fillId="0" borderId="51" xfId="0" applyBorder="1"/>
    <xf numFmtId="2" fontId="38" fillId="0" borderId="31" xfId="0" applyNumberFormat="1" applyFont="1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4" xfId="0" applyBorder="1" applyAlignment="1">
      <alignment horizontal="center"/>
    </xf>
    <xf numFmtId="9" fontId="6" fillId="0" borderId="1" xfId="4" applyFont="1" applyBorder="1" applyAlignment="1">
      <alignment horizontal="center" vertical="center"/>
    </xf>
    <xf numFmtId="9" fontId="6" fillId="0" borderId="50" xfId="4" applyFont="1" applyBorder="1" applyAlignment="1">
      <alignment horizontal="center" vertical="center"/>
    </xf>
    <xf numFmtId="0" fontId="0" fillId="0" borderId="36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11" borderId="1" xfId="0" applyNumberFormat="1" applyFill="1" applyBorder="1" applyAlignment="1">
      <alignment horizontal="center"/>
    </xf>
    <xf numFmtId="2" fontId="0" fillId="11" borderId="50" xfId="0" applyNumberFormat="1" applyFill="1" applyBorder="1" applyAlignment="1">
      <alignment horizontal="center"/>
    </xf>
    <xf numFmtId="2" fontId="0" fillId="0" borderId="1" xfId="0" quotePrefix="1" applyNumberFormat="1" applyBorder="1" applyAlignment="1">
      <alignment horizontal="center"/>
    </xf>
    <xf numFmtId="2" fontId="0" fillId="11" borderId="1" xfId="0" quotePrefix="1" applyNumberFormat="1" applyFill="1" applyBorder="1" applyAlignment="1">
      <alignment horizontal="center"/>
    </xf>
    <xf numFmtId="2" fontId="0" fillId="11" borderId="50" xfId="0" quotePrefix="1" applyNumberFormat="1" applyFill="1" applyBorder="1" applyAlignment="1">
      <alignment horizontal="center"/>
    </xf>
    <xf numFmtId="2" fontId="0" fillId="0" borderId="53" xfId="0" applyNumberFormat="1" applyBorder="1" applyAlignment="1">
      <alignment horizontal="center"/>
    </xf>
    <xf numFmtId="2" fontId="0" fillId="11" borderId="53" xfId="0" applyNumberFormat="1" applyFill="1" applyBorder="1" applyAlignment="1">
      <alignment horizontal="center"/>
    </xf>
    <xf numFmtId="2" fontId="0" fillId="11" borderId="54" xfId="0" applyNumberFormat="1" applyFill="1" applyBorder="1" applyAlignment="1">
      <alignment horizontal="center"/>
    </xf>
    <xf numFmtId="2" fontId="38" fillId="0" borderId="36" xfId="0" applyNumberFormat="1" applyFont="1" applyBorder="1" applyAlignment="1">
      <alignment horizontal="center"/>
    </xf>
    <xf numFmtId="9" fontId="51" fillId="0" borderId="0" xfId="0" applyNumberFormat="1" applyFont="1" applyAlignment="1">
      <alignment vertical="center"/>
    </xf>
    <xf numFmtId="10" fontId="51" fillId="0" borderId="0" xfId="0" applyNumberFormat="1" applyFont="1" applyAlignment="1">
      <alignment vertical="center"/>
    </xf>
    <xf numFmtId="0" fontId="181" fillId="0" borderId="0" xfId="0" applyFont="1" applyAlignment="1">
      <alignment horizontal="center" vertical="center" readingOrder="1"/>
    </xf>
    <xf numFmtId="0" fontId="69" fillId="11" borderId="0" xfId="24" applyFont="1" applyFill="1" applyAlignment="1">
      <alignment horizontal="left"/>
    </xf>
    <xf numFmtId="0" fontId="68" fillId="11" borderId="0" xfId="24" applyFill="1" applyAlignment="1">
      <alignment horizontal="left" vertical="top" wrapText="1"/>
    </xf>
    <xf numFmtId="0" fontId="69" fillId="11" borderId="0" xfId="24" applyFont="1" applyFill="1" applyAlignment="1">
      <alignment horizontal="center"/>
    </xf>
    <xf numFmtId="0" fontId="74" fillId="13" borderId="18" xfId="0" applyFont="1" applyFill="1" applyBorder="1" applyAlignment="1">
      <alignment horizontal="center" vertical="center"/>
    </xf>
    <xf numFmtId="0" fontId="74" fillId="13" borderId="2" xfId="0" applyFont="1" applyFill="1" applyBorder="1" applyAlignment="1">
      <alignment horizontal="center" vertical="center" wrapText="1"/>
    </xf>
    <xf numFmtId="0" fontId="74" fillId="13" borderId="43" xfId="0" applyFont="1" applyFill="1" applyBorder="1" applyAlignment="1">
      <alignment horizontal="center" vertical="center"/>
    </xf>
    <xf numFmtId="0" fontId="83" fillId="13" borderId="18" xfId="0" applyFont="1" applyFill="1" applyBorder="1" applyAlignment="1">
      <alignment horizontal="center" vertical="center" wrapText="1"/>
    </xf>
    <xf numFmtId="0" fontId="83" fillId="13" borderId="43" xfId="0" applyFont="1" applyFill="1" applyBorder="1" applyAlignment="1">
      <alignment horizontal="center" vertical="center"/>
    </xf>
    <xf numFmtId="0" fontId="83" fillId="13" borderId="18" xfId="0" applyFont="1" applyFill="1" applyBorder="1" applyAlignment="1">
      <alignment horizontal="center" vertical="center"/>
    </xf>
    <xf numFmtId="0" fontId="28" fillId="0" borderId="32" xfId="20" applyFont="1" applyBorder="1" applyAlignment="1">
      <alignment horizontal="center" vertical="center" wrapText="1"/>
    </xf>
    <xf numFmtId="0" fontId="28" fillId="0" borderId="5" xfId="20" applyFont="1" applyBorder="1" applyAlignment="1">
      <alignment horizontal="center" vertical="center" wrapText="1"/>
    </xf>
    <xf numFmtId="0" fontId="28" fillId="0" borderId="0" xfId="20" applyFont="1" applyAlignment="1">
      <alignment horizontal="center" vertical="center" wrapText="1"/>
    </xf>
    <xf numFmtId="0" fontId="28" fillId="0" borderId="7" xfId="20" applyFont="1" applyBorder="1" applyAlignment="1">
      <alignment horizontal="center" vertical="center" wrapText="1"/>
    </xf>
    <xf numFmtId="0" fontId="28" fillId="0" borderId="9" xfId="20" applyFont="1" applyBorder="1" applyAlignment="1">
      <alignment horizontal="center" vertical="center" wrapText="1"/>
    </xf>
    <xf numFmtId="0" fontId="28" fillId="0" borderId="10" xfId="20" applyFont="1" applyBorder="1" applyAlignment="1">
      <alignment horizontal="center" vertical="center" wrapText="1"/>
    </xf>
    <xf numFmtId="0" fontId="28" fillId="0" borderId="13" xfId="20" applyFont="1" applyBorder="1" applyAlignment="1">
      <alignment horizontal="center" vertical="center"/>
    </xf>
    <xf numFmtId="0" fontId="28" fillId="0" borderId="14" xfId="20" applyFont="1" applyBorder="1" applyAlignment="1">
      <alignment horizontal="center" vertical="center"/>
    </xf>
    <xf numFmtId="0" fontId="28" fillId="0" borderId="15" xfId="20" applyFont="1" applyBorder="1" applyAlignment="1">
      <alignment horizontal="center" vertical="center"/>
    </xf>
    <xf numFmtId="0" fontId="26" fillId="0" borderId="32" xfId="20" applyFont="1" applyBorder="1" applyAlignment="1">
      <alignment horizontal="left" vertical="center"/>
    </xf>
    <xf numFmtId="0" fontId="26" fillId="0" borderId="0" xfId="20" applyFont="1" applyAlignment="1">
      <alignment horizontal="left" vertical="center"/>
    </xf>
    <xf numFmtId="0" fontId="26" fillId="0" borderId="13" xfId="20" applyFont="1" applyBorder="1" applyAlignment="1">
      <alignment horizontal="center" vertical="center"/>
    </xf>
    <xf numFmtId="0" fontId="26" fillId="0" borderId="14" xfId="20" applyFont="1" applyBorder="1" applyAlignment="1">
      <alignment horizontal="center" vertical="center"/>
    </xf>
    <xf numFmtId="0" fontId="26" fillId="0" borderId="0" xfId="20" applyFont="1" applyAlignment="1">
      <alignment horizontal="left" vertical="center" wrapText="1"/>
    </xf>
    <xf numFmtId="0" fontId="26" fillId="0" borderId="9" xfId="20" applyFont="1" applyBorder="1" applyAlignment="1">
      <alignment horizontal="left" vertical="center" wrapText="1"/>
    </xf>
    <xf numFmtId="0" fontId="26" fillId="0" borderId="15" xfId="20" applyFont="1" applyBorder="1" applyAlignment="1">
      <alignment horizontal="center" vertical="center"/>
    </xf>
    <xf numFmtId="0" fontId="65" fillId="0" borderId="0" xfId="20" applyFont="1" applyAlignment="1">
      <alignment vertical="center" wrapText="1"/>
    </xf>
    <xf numFmtId="0" fontId="26" fillId="0" borderId="32" xfId="20" applyFont="1" applyBorder="1" applyAlignment="1">
      <alignment horizontal="center" vertical="center" wrapText="1"/>
    </xf>
    <xf numFmtId="0" fontId="26" fillId="0" borderId="5" xfId="20" applyFont="1" applyBorder="1" applyAlignment="1">
      <alignment horizontal="center" vertical="center" wrapText="1"/>
    </xf>
    <xf numFmtId="0" fontId="26" fillId="0" borderId="9" xfId="20" applyFont="1" applyBorder="1" applyAlignment="1">
      <alignment horizontal="center" vertical="center" wrapText="1"/>
    </xf>
    <xf numFmtId="0" fontId="26" fillId="0" borderId="10" xfId="20" applyFont="1" applyBorder="1" applyAlignment="1">
      <alignment horizontal="center" vertical="center" wrapText="1"/>
    </xf>
    <xf numFmtId="0" fontId="26" fillId="0" borderId="13" xfId="20" applyFont="1" applyBorder="1" applyAlignment="1">
      <alignment horizontal="center" vertical="center" wrapText="1"/>
    </xf>
    <xf numFmtId="0" fontId="26" fillId="0" borderId="15" xfId="20" applyFont="1" applyBorder="1" applyAlignment="1">
      <alignment horizontal="center" vertical="center" wrapText="1"/>
    </xf>
    <xf numFmtId="0" fontId="28" fillId="0" borderId="5" xfId="10" applyFont="1" applyBorder="1" applyAlignment="1">
      <alignment horizontal="center" vertical="center" wrapText="1"/>
    </xf>
    <xf numFmtId="0" fontId="28" fillId="0" borderId="10" xfId="10" applyFont="1" applyBorder="1" applyAlignment="1">
      <alignment horizontal="center" vertical="center" wrapText="1"/>
    </xf>
    <xf numFmtId="0" fontId="28" fillId="0" borderId="13" xfId="10" applyFont="1" applyBorder="1" applyAlignment="1">
      <alignment horizontal="center" vertical="center" wrapText="1"/>
    </xf>
    <xf numFmtId="0" fontId="28" fillId="0" borderId="15" xfId="10" applyFont="1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32" fillId="14" borderId="26" xfId="8" applyFill="1" applyBorder="1" applyAlignment="1">
      <alignment horizontal="center" vertical="center" wrapText="1"/>
    </xf>
    <xf numFmtId="0" fontId="32" fillId="14" borderId="19" xfId="8" applyFill="1" applyBorder="1" applyAlignment="1">
      <alignment horizontal="center" vertical="center" wrapText="1"/>
    </xf>
    <xf numFmtId="0" fontId="32" fillId="14" borderId="11" xfId="8" applyFill="1" applyBorder="1" applyAlignment="1">
      <alignment horizontal="center" vertical="center" wrapText="1"/>
    </xf>
    <xf numFmtId="0" fontId="32" fillId="14" borderId="2" xfId="8" applyFill="1" applyBorder="1" applyAlignment="1">
      <alignment horizontal="center" vertical="center" wrapText="1"/>
    </xf>
    <xf numFmtId="0" fontId="32" fillId="16" borderId="20" xfId="0" applyFont="1" applyFill="1" applyBorder="1" applyAlignment="1">
      <alignment vertical="center" wrapText="1"/>
    </xf>
    <xf numFmtId="167" fontId="32" fillId="16" borderId="29" xfId="0" applyNumberFormat="1" applyFont="1" applyFill="1" applyBorder="1" applyAlignment="1">
      <alignment vertical="center" wrapText="1"/>
    </xf>
    <xf numFmtId="0" fontId="43" fillId="18" borderId="0" xfId="0" applyFont="1" applyFill="1" applyBorder="1"/>
    <xf numFmtId="0" fontId="32" fillId="18" borderId="0" xfId="0" applyFont="1" applyFill="1" applyBorder="1" applyAlignment="1">
      <alignment vertical="center"/>
    </xf>
    <xf numFmtId="167" fontId="32" fillId="18" borderId="7" xfId="0" applyNumberFormat="1" applyFont="1" applyFill="1" applyBorder="1" applyAlignment="1">
      <alignment vertical="center"/>
    </xf>
    <xf numFmtId="0" fontId="43" fillId="16" borderId="0" xfId="0" applyFont="1" applyFill="1" applyBorder="1"/>
    <xf numFmtId="0" fontId="32" fillId="16" borderId="0" xfId="0" applyFont="1" applyFill="1" applyBorder="1" applyAlignment="1">
      <alignment vertical="center"/>
    </xf>
    <xf numFmtId="167" fontId="32" fillId="16" borderId="7" xfId="0" applyNumberFormat="1" applyFont="1" applyFill="1" applyBorder="1" applyAlignment="1">
      <alignment vertical="center"/>
    </xf>
    <xf numFmtId="167" fontId="32" fillId="18" borderId="24" xfId="0" applyNumberFormat="1" applyFont="1" applyFill="1" applyBorder="1" applyAlignment="1">
      <alignment vertical="center"/>
    </xf>
    <xf numFmtId="167" fontId="32" fillId="16" borderId="25" xfId="0" applyNumberFormat="1" applyFont="1" applyFill="1" applyBorder="1" applyAlignment="1">
      <alignment vertical="center" wrapText="1"/>
    </xf>
  </cellXfs>
  <cellStyles count="2167">
    <cellStyle name="20 % - Akzent1 2" xfId="27" xr:uid="{8DE8D69F-85A7-4DC1-B46C-06C1BB14CB83}"/>
    <cellStyle name="20 % - Akzent2 2" xfId="28" xr:uid="{3143E481-0D86-43C8-8EBF-0A69266914CF}"/>
    <cellStyle name="20 % - Akzent3 2" xfId="29" xr:uid="{1170C64E-5FA0-446E-986A-27B3A089D3EA}"/>
    <cellStyle name="20 % - Akzent4 2" xfId="30" xr:uid="{D02F9747-B9B8-40FA-97E1-439ED50DAA21}"/>
    <cellStyle name="20 % - Akzent5 2" xfId="31" xr:uid="{C7CE0DD0-DDD2-451D-B708-B48FCDC51776}"/>
    <cellStyle name="20 % - Akzent6 2" xfId="32" xr:uid="{5DEBE871-3A94-4B15-AFD6-AA0C11B7A153}"/>
    <cellStyle name="20% - Accent1 2" xfId="33" xr:uid="{0C67A1A9-35CD-4E8F-8424-8A0AE65C0071}"/>
    <cellStyle name="20% - Accent1 3" xfId="34" xr:uid="{2A31D74D-A3B4-4772-86A0-08708CAA774E}"/>
    <cellStyle name="20% - Accent2 2" xfId="35" xr:uid="{27470895-EDB9-4247-9D64-86EB5E71E069}"/>
    <cellStyle name="20% - Accent2 3" xfId="36" xr:uid="{FB71ECF6-B3A7-4E22-81C4-EBB4C14A891B}"/>
    <cellStyle name="20% - Accent3 2" xfId="37" xr:uid="{E8FBC041-DFA5-4A3F-BEB2-0D92DAA1B5E8}"/>
    <cellStyle name="20% - Accent3 3" xfId="38" xr:uid="{09BDAFDF-16D0-4143-8D38-2EA1CED6F616}"/>
    <cellStyle name="20% - Accent4 2" xfId="39" xr:uid="{7B905DBC-9B94-484D-B21D-324AFF792FD1}"/>
    <cellStyle name="20% - Accent4 3" xfId="40" xr:uid="{90F11B63-D1C0-4AE9-80AB-AB760F14A02E}"/>
    <cellStyle name="20% - Accent5 2" xfId="41" xr:uid="{E0744444-7FAF-443B-BB03-EF3F3E858EF7}"/>
    <cellStyle name="20% - Accent5 3" xfId="42" xr:uid="{5FB26C18-164B-4CFC-BE81-D113C667B878}"/>
    <cellStyle name="20% - Accent6 2" xfId="43" xr:uid="{C72ECE0D-1C25-425A-9AB6-FA8920D407AF}"/>
    <cellStyle name="20% - Accent6 3" xfId="44" xr:uid="{3A9614F0-E90D-4343-8622-EC032CA02006}"/>
    <cellStyle name="20% - akcent 1" xfId="45" xr:uid="{D9155C60-6E4E-485A-B798-B66038E35B1F}"/>
    <cellStyle name="20% - akcent 1 10" xfId="46" xr:uid="{51443648-2268-489E-96BF-D3509963BE70}"/>
    <cellStyle name="20% - akcent 1 10 2" xfId="47" xr:uid="{E7B7B670-44B4-4BD9-A061-1C2ADD98EFDF}"/>
    <cellStyle name="20% - akcent 1 10 3" xfId="48" xr:uid="{7B81035E-B1AA-45C8-AF86-B3CE61F2F6E6}"/>
    <cellStyle name="20% - akcent 1 10_COM_BND" xfId="49" xr:uid="{CA7BFC24-7997-456A-BEAD-0B7DDD47C17A}"/>
    <cellStyle name="20% - akcent 1 11" xfId="50" xr:uid="{0EB05EFC-A8AE-44F7-A9EA-BAE6C477FD9B}"/>
    <cellStyle name="20% - akcent 1 11 2" xfId="51" xr:uid="{6B395FB7-4D20-428A-8F8A-4FD3D3238E29}"/>
    <cellStyle name="20% - akcent 1 12" xfId="52" xr:uid="{2938E3F7-59F9-4E2F-9479-2A088E137B9A}"/>
    <cellStyle name="20% - akcent 1 13" xfId="53" xr:uid="{0C3D04B0-7E1D-4BAC-9478-6DAC194A2E3B}"/>
    <cellStyle name="20% - akcent 1 14" xfId="54" xr:uid="{A4A04332-43BA-45E5-BCDC-F6EFBEA54DBC}"/>
    <cellStyle name="20% - akcent 1 15" xfId="55" xr:uid="{07DA87CA-CDE9-4135-BB89-770C2D4AB924}"/>
    <cellStyle name="20% - akcent 1 2" xfId="56" xr:uid="{75BEFD25-7A17-4D17-9BBD-274CA37EA808}"/>
    <cellStyle name="20% - akcent 1 3" xfId="57" xr:uid="{A777A7BA-940D-4C07-93EA-F946DDA9EA7B}"/>
    <cellStyle name="20% - akcent 1 4" xfId="58" xr:uid="{0BE740F2-DC84-4463-AEBA-98DE8AF53373}"/>
    <cellStyle name="20% - akcent 1 5" xfId="59" xr:uid="{E99F2E20-0B9D-4373-8704-A5E35C180FB1}"/>
    <cellStyle name="20% - akcent 1 6" xfId="60" xr:uid="{1E258DEF-28B5-445F-B1FF-36AA13CBBB2A}"/>
    <cellStyle name="20% - akcent 1 7" xfId="61" xr:uid="{5CD1864C-5F72-402E-8D1B-B378F9B054A6}"/>
    <cellStyle name="20% - akcent 1 8" xfId="62" xr:uid="{4D1440F6-F2DD-40DC-9EF4-0ABAD89BD60E}"/>
    <cellStyle name="20% - akcent 1 9" xfId="63" xr:uid="{C5DB9356-DA06-4DD5-853D-A77B9D702420}"/>
    <cellStyle name="20% - akcent 1 9 2" xfId="64" xr:uid="{247CD62F-FEAD-4E1B-8618-C331B8FA951E}"/>
    <cellStyle name="20% - akcent 1 9 3" xfId="65" xr:uid="{2A815D48-A27F-4B23-B802-8214DDF280D1}"/>
    <cellStyle name="20% - akcent 1 9_COM_BND" xfId="66" xr:uid="{3640AD0E-C76A-4D01-8CCC-0C7245C296BC}"/>
    <cellStyle name="20% - akcent 1_CHP" xfId="67" xr:uid="{DAA987E2-F44B-472E-B1ED-7BB0E1237502}"/>
    <cellStyle name="20% - akcent 2" xfId="68" xr:uid="{1CB239FC-1D39-4592-8E77-F2C57CE9D40A}"/>
    <cellStyle name="20% - akcent 2 10" xfId="69" xr:uid="{55D63088-497F-4A5B-9545-09B3AFD3C71B}"/>
    <cellStyle name="20% - akcent 2 10 2" xfId="70" xr:uid="{38067190-A1A1-4C42-8B19-FB47A2E232C3}"/>
    <cellStyle name="20% - akcent 2 10 3" xfId="71" xr:uid="{190C2859-7305-4DBE-A388-94F5829E52BF}"/>
    <cellStyle name="20% - akcent 2 10_COM_BND" xfId="72" xr:uid="{C0CED9E8-C116-4B45-9B67-59FB1985A961}"/>
    <cellStyle name="20% - akcent 2 11" xfId="73" xr:uid="{420826D4-C6B4-45C1-AC69-CB544D67F1F0}"/>
    <cellStyle name="20% - akcent 2 11 2" xfId="74" xr:uid="{16372918-9584-473E-B939-529609258749}"/>
    <cellStyle name="20% - akcent 2 12" xfId="75" xr:uid="{C144A21B-C929-4970-8CF0-422B0FC85900}"/>
    <cellStyle name="20% - akcent 2 13" xfId="76" xr:uid="{D4F01010-C87F-4BB1-A725-DFD4F960529A}"/>
    <cellStyle name="20% - akcent 2 14" xfId="77" xr:uid="{1D33E7C4-28B5-45F1-9A01-AF69A1C79925}"/>
    <cellStyle name="20% - akcent 2 15" xfId="78" xr:uid="{01A0E420-4F33-4F29-B630-FCF11E074B74}"/>
    <cellStyle name="20% - akcent 2 2" xfId="79" xr:uid="{93A289F1-1116-40DC-A367-1B88BB34A93B}"/>
    <cellStyle name="20% - akcent 2 3" xfId="80" xr:uid="{22267BE7-A2B3-4A52-B8F1-38B2DCC4E54B}"/>
    <cellStyle name="20% - akcent 2 4" xfId="81" xr:uid="{8D3269C7-1538-4FD6-9C14-F0DAF39043A9}"/>
    <cellStyle name="20% - akcent 2 5" xfId="82" xr:uid="{B0E0DE23-FBA8-4B96-8741-502B0B531E9D}"/>
    <cellStyle name="20% - akcent 2 6" xfId="83" xr:uid="{D1570A93-7D65-434A-8999-F3F239D61AF8}"/>
    <cellStyle name="20% - akcent 2 7" xfId="84" xr:uid="{7A3EBBDA-6C1E-4848-91C3-4B566A76CC08}"/>
    <cellStyle name="20% - akcent 2 8" xfId="85" xr:uid="{E0159350-0E43-4652-B545-A2421B5D75C6}"/>
    <cellStyle name="20% - akcent 2 9" xfId="86" xr:uid="{CA2F0E60-37A1-4DC7-B195-BF2A56851117}"/>
    <cellStyle name="20% - akcent 2 9 2" xfId="87" xr:uid="{652582AD-40DC-448E-ABFA-C697131EC9FB}"/>
    <cellStyle name="20% - akcent 2 9 3" xfId="88" xr:uid="{6DA87039-381D-408E-ABB4-F7EF83BA3F12}"/>
    <cellStyle name="20% - akcent 2 9_COM_BND" xfId="89" xr:uid="{B5304142-94CA-49AB-8030-673720345FF4}"/>
    <cellStyle name="20% - akcent 2_CHP" xfId="90" xr:uid="{98DA65C9-8050-41D7-A948-E8585CD249D1}"/>
    <cellStyle name="20% - akcent 3" xfId="91" xr:uid="{863E9D63-8B89-426E-A61D-B9CCBDDB6A35}"/>
    <cellStyle name="20% - akcent 3 10" xfId="92" xr:uid="{6F5D5D87-9028-413B-8FBC-D8F58DBC1736}"/>
    <cellStyle name="20% - akcent 3 10 2" xfId="93" xr:uid="{5E51A9C8-7F54-4C9B-B4C5-2BF90D704B63}"/>
    <cellStyle name="20% - akcent 3 10 3" xfId="94" xr:uid="{60240541-0B9B-4A59-888A-E2090FAB1524}"/>
    <cellStyle name="20% - akcent 3 10_COM_BND" xfId="95" xr:uid="{491D3DBB-AC2F-4DCF-B7CC-1E549DFD4B73}"/>
    <cellStyle name="20% - akcent 3 11" xfId="96" xr:uid="{12DD62FE-FE78-4F9D-AC50-8E4235D2F3C8}"/>
    <cellStyle name="20% - akcent 3 11 2" xfId="97" xr:uid="{61CD79F9-51C1-400C-A5D7-30DEEE194BF4}"/>
    <cellStyle name="20% - akcent 3 12" xfId="98" xr:uid="{491E6D3A-9B4F-4CDA-A29E-BE2ACD39AFDA}"/>
    <cellStyle name="20% - akcent 3 13" xfId="99" xr:uid="{9ECF3E5B-EB56-4EE9-ABF1-663A90D15C5C}"/>
    <cellStyle name="20% - akcent 3 14" xfId="100" xr:uid="{147E5964-8FFE-4740-897B-79A48E3B5264}"/>
    <cellStyle name="20% - akcent 3 15" xfId="101" xr:uid="{8D260D16-5798-4021-AD51-1701BC3E0788}"/>
    <cellStyle name="20% - akcent 3 2" xfId="102" xr:uid="{EBD732F4-345C-4347-8FF5-596CB135B09A}"/>
    <cellStyle name="20% - akcent 3 3" xfId="103" xr:uid="{179BB77C-E302-43DF-845A-6366BCFB7230}"/>
    <cellStyle name="20% - akcent 3 4" xfId="104" xr:uid="{84BD7791-BB6A-4AD6-AE06-638D0F892485}"/>
    <cellStyle name="20% - akcent 3 5" xfId="105" xr:uid="{C943A7B7-35A4-470A-93BD-73672F9B75E5}"/>
    <cellStyle name="20% - akcent 3 6" xfId="106" xr:uid="{B98A91A2-2468-4B8C-BA42-538652F93863}"/>
    <cellStyle name="20% - akcent 3 7" xfId="107" xr:uid="{C9240FD7-2B9E-4FE4-9111-64B7A2169EC0}"/>
    <cellStyle name="20% - akcent 3 8" xfId="108" xr:uid="{61F9BB8A-FB84-446A-BA19-2BE982F41450}"/>
    <cellStyle name="20% - akcent 3 9" xfId="109" xr:uid="{6A6B9274-582C-487B-9639-FE47C1CC6C2E}"/>
    <cellStyle name="20% - akcent 3 9 2" xfId="110" xr:uid="{2797C6C6-82C8-4E76-B9E7-AE9E9CE7DF33}"/>
    <cellStyle name="20% - akcent 3 9 3" xfId="111" xr:uid="{375FE205-5B94-4F68-B9D4-517D7CD58C0A}"/>
    <cellStyle name="20% - akcent 3 9_COM_BND" xfId="112" xr:uid="{B7401DDD-5004-4E94-8069-3E8EF6F1517B}"/>
    <cellStyle name="20% - akcent 3_CHP" xfId="113" xr:uid="{D52AE888-FAD4-4581-90DA-096680BAA7D9}"/>
    <cellStyle name="20% - akcent 4" xfId="114" xr:uid="{FE518B84-8813-4DE3-8597-F9C177DCE98C}"/>
    <cellStyle name="20% - akcent 4 10" xfId="115" xr:uid="{578ED68C-47CE-4119-9267-6A20330FA8C1}"/>
    <cellStyle name="20% - akcent 4 10 2" xfId="116" xr:uid="{92D98719-FA64-4374-9139-2A5CC68D6D03}"/>
    <cellStyle name="20% - akcent 4 10 3" xfId="117" xr:uid="{FD6F23FB-CFBF-43F3-9ED2-3A5D3ACB5A0F}"/>
    <cellStyle name="20% - akcent 4 10_COM_BND" xfId="118" xr:uid="{446C470F-72E4-44AF-95DE-0532D27FBAB8}"/>
    <cellStyle name="20% - akcent 4 11" xfId="119" xr:uid="{58C39664-2FF2-4584-9F00-ABF452263795}"/>
    <cellStyle name="20% - akcent 4 11 2" xfId="120" xr:uid="{38863EA3-B5DE-4160-9E4D-90DFCEE5525C}"/>
    <cellStyle name="20% - akcent 4 12" xfId="121" xr:uid="{BF207338-695E-4948-9950-93908434B410}"/>
    <cellStyle name="20% - akcent 4 13" xfId="122" xr:uid="{8AB2AE5C-1FA5-4ABF-90C5-FB17C112ADE1}"/>
    <cellStyle name="20% - akcent 4 14" xfId="123" xr:uid="{D8632B51-01CA-4785-A121-B036258E5279}"/>
    <cellStyle name="20% - akcent 4 15" xfId="124" xr:uid="{69A97018-F6E1-416A-80C2-983B8B6DA8C3}"/>
    <cellStyle name="20% - akcent 4 2" xfId="125" xr:uid="{B8283BD2-F6CD-4A0F-AA2B-32AAB7E5A9BE}"/>
    <cellStyle name="20% - akcent 4 3" xfId="126" xr:uid="{A9F2EC74-E58F-4514-916B-6537A1943D92}"/>
    <cellStyle name="20% - akcent 4 4" xfId="127" xr:uid="{07547C9B-E39B-48F7-93D6-D97EB50AA69A}"/>
    <cellStyle name="20% - akcent 4 5" xfId="128" xr:uid="{A97344CB-6545-4251-9392-746A06B3BB1C}"/>
    <cellStyle name="20% - akcent 4 6" xfId="129" xr:uid="{DAF5E4A7-C8C9-4B21-8520-84AE525317F9}"/>
    <cellStyle name="20% - akcent 4 7" xfId="130" xr:uid="{B8229FA4-9F20-4FC5-BCC0-98103DB0ABDE}"/>
    <cellStyle name="20% - akcent 4 8" xfId="131" xr:uid="{F0317272-A45A-4B55-A6EF-89B9FF4D5537}"/>
    <cellStyle name="20% - akcent 4 9" xfId="132" xr:uid="{A6248DB9-C83F-49F0-96BD-B1ED41D91386}"/>
    <cellStyle name="20% - akcent 4 9 2" xfId="133" xr:uid="{0A185C0F-47DC-459F-B8AD-E6388F669DFF}"/>
    <cellStyle name="20% - akcent 4 9 3" xfId="134" xr:uid="{B56C91C0-9D32-47A0-A298-E516955771BA}"/>
    <cellStyle name="20% - akcent 4 9_COM_BND" xfId="135" xr:uid="{1A901AF0-BF3D-4EBE-AD6E-A57E019B7E49}"/>
    <cellStyle name="20% - akcent 4_CHP" xfId="136" xr:uid="{BA1AB12F-37ED-4426-9517-B74810C07BC7}"/>
    <cellStyle name="20% - akcent 5" xfId="137" xr:uid="{12BE3823-16F8-4B26-BA96-B224FA2B05BF}"/>
    <cellStyle name="20% - akcent 5 10" xfId="138" xr:uid="{3185DEA2-32B8-41CC-BBB1-768D050B65A6}"/>
    <cellStyle name="20% - akcent 5 10 2" xfId="139" xr:uid="{AA6FED31-8375-4287-A7F8-B219CC5E0D03}"/>
    <cellStyle name="20% - akcent 5 10 3" xfId="140" xr:uid="{CE428F8F-4187-4751-AB7F-AD2EEBF17D33}"/>
    <cellStyle name="20% - akcent 5 10_COM_BND" xfId="141" xr:uid="{8BBE215B-07F3-44F8-8165-AD8978E682A4}"/>
    <cellStyle name="20% - akcent 5 11" xfId="142" xr:uid="{8671A83E-5BD8-4298-9752-DC22614E28D6}"/>
    <cellStyle name="20% - akcent 5 11 2" xfId="143" xr:uid="{CC6CED47-837C-42D6-9655-499877343867}"/>
    <cellStyle name="20% - akcent 5 12" xfId="144" xr:uid="{2C3C8515-C984-4BFC-8A81-4E429B1A863E}"/>
    <cellStyle name="20% - akcent 5 13" xfId="145" xr:uid="{DB9D12D6-57E1-4086-BA34-2E3D1BEAB231}"/>
    <cellStyle name="20% - akcent 5 14" xfId="146" xr:uid="{5F1E68F7-84FE-4DBD-BA80-80511D7B693F}"/>
    <cellStyle name="20% - akcent 5 15" xfId="147" xr:uid="{422C56D1-11B2-4960-9457-344D1F055852}"/>
    <cellStyle name="20% - akcent 5 2" xfId="148" xr:uid="{C48B0894-FB13-4BF4-8E08-30BA56AF3C39}"/>
    <cellStyle name="20% - akcent 5 3" xfId="149" xr:uid="{63EBAA74-384B-4A89-ADD5-421C83ACB236}"/>
    <cellStyle name="20% - akcent 5 4" xfId="150" xr:uid="{C4A2DA29-036A-4372-BF29-C80D1DCE9BCD}"/>
    <cellStyle name="20% - akcent 5 5" xfId="151" xr:uid="{D84C7FFE-203B-4544-AC3C-6C3A3B5BB136}"/>
    <cellStyle name="20% - akcent 5 6" xfId="152" xr:uid="{6DF0AEE2-6DB6-4065-88E3-984AD68A65F2}"/>
    <cellStyle name="20% - akcent 5 7" xfId="153" xr:uid="{96C2A1CB-854B-4CDA-BAC4-C743229921D2}"/>
    <cellStyle name="20% - akcent 5 8" xfId="154" xr:uid="{847C6DEF-E1CB-46A3-961A-4F40401FEB5D}"/>
    <cellStyle name="20% - akcent 5 9" xfId="155" xr:uid="{9A35F6FB-C6BD-427F-AB22-19EE2111EED3}"/>
    <cellStyle name="20% - akcent 5 9 2" xfId="156" xr:uid="{2B0544A2-3CC0-408D-8A9E-56F3F71CA0C5}"/>
    <cellStyle name="20% - akcent 5 9 3" xfId="157" xr:uid="{F49416A2-1CCF-4D26-81AB-AD12DF1D2FAB}"/>
    <cellStyle name="20% - akcent 5 9_COM_BND" xfId="158" xr:uid="{08A9E3B5-A192-4AAA-9996-BF9B6E1A9B0C}"/>
    <cellStyle name="20% - akcent 5_CHP" xfId="159" xr:uid="{4B1D389B-8401-4151-9C29-33E1D5560E5D}"/>
    <cellStyle name="20% - akcent 6" xfId="160" xr:uid="{594D1A53-2CBE-4CCE-9881-69047567787F}"/>
    <cellStyle name="20% - akcent 6 10" xfId="161" xr:uid="{BDE730E4-34F5-4C24-8E33-14CC525DAC8A}"/>
    <cellStyle name="20% - akcent 6 10 2" xfId="162" xr:uid="{0026505D-D1C9-4514-AF75-C9FCFAB4E83D}"/>
    <cellStyle name="20% - akcent 6 10 3" xfId="163" xr:uid="{42657BD8-E4B2-4650-A586-4A5A7CDABB6D}"/>
    <cellStyle name="20% - akcent 6 10_COM_BND" xfId="164" xr:uid="{7444EBC2-8B8A-4371-8920-BF593A732D5B}"/>
    <cellStyle name="20% - akcent 6 11" xfId="165" xr:uid="{C155C80B-FAE9-462D-BA2E-1C51F6CA6AEF}"/>
    <cellStyle name="20% - akcent 6 11 2" xfId="166" xr:uid="{98D145CD-A469-4780-B16A-7D14851FC18C}"/>
    <cellStyle name="20% - akcent 6 12" xfId="167" xr:uid="{3AE2FEFF-AB69-4C9C-9DF8-0F9071A156EF}"/>
    <cellStyle name="20% - akcent 6 13" xfId="168" xr:uid="{051DF7C7-3D97-43F2-A8A6-F6DD0DBFE44D}"/>
    <cellStyle name="20% - akcent 6 14" xfId="169" xr:uid="{3E068D25-4D64-4F58-84AD-61CD0F928BDA}"/>
    <cellStyle name="20% - akcent 6 15" xfId="170" xr:uid="{FB069A98-2BBC-4CC3-9993-6811AE9BF1E9}"/>
    <cellStyle name="20% - akcent 6 2" xfId="171" xr:uid="{060C21B3-3E19-4A97-91E4-6528C949AB0F}"/>
    <cellStyle name="20% - akcent 6 3" xfId="172" xr:uid="{3C6E6C1C-2976-457C-84D2-1E13C12E6BE8}"/>
    <cellStyle name="20% - akcent 6 4" xfId="173" xr:uid="{922EF8C6-44C1-4410-AE9C-1E820033C65B}"/>
    <cellStyle name="20% - akcent 6 5" xfId="174" xr:uid="{CC342273-BE11-4628-BE2B-2B28FBD0B767}"/>
    <cellStyle name="20% - akcent 6 6" xfId="175" xr:uid="{F4817380-E8C9-44E3-A386-79DC6F14CF7B}"/>
    <cellStyle name="20% - akcent 6 7" xfId="176" xr:uid="{A4DE1A5B-E9AC-4E80-8516-B5C4879B9739}"/>
    <cellStyle name="20% - akcent 6 8" xfId="177" xr:uid="{C4742B78-1BB0-466E-B5CA-E95FB7965EC4}"/>
    <cellStyle name="20% - akcent 6 9" xfId="178" xr:uid="{35E8E02F-6C69-4FF4-8E98-41C6EB98A61C}"/>
    <cellStyle name="20% - akcent 6 9 2" xfId="179" xr:uid="{AF97F652-6388-4451-B696-DA54355CD1B7}"/>
    <cellStyle name="20% - akcent 6 9 3" xfId="180" xr:uid="{1B284B27-CAB4-4141-AF88-A2577481DFCD}"/>
    <cellStyle name="20% - akcent 6 9_COM_BND" xfId="181" xr:uid="{76953A8D-6FAA-432A-B4DD-1CCA4DF277B6}"/>
    <cellStyle name="20% - akcent 6_CHP" xfId="182" xr:uid="{863534D2-086D-45FF-A6DF-CF82B860ED60}"/>
    <cellStyle name="2x indented GHG Textfiels" xfId="183" xr:uid="{0F746E4B-D078-48C2-8457-BD462C66DE75}"/>
    <cellStyle name="2x indented GHG Textfiels 2" xfId="184" xr:uid="{16BE587C-0175-48F2-87B9-4770118E5885}"/>
    <cellStyle name="40 % - Akzent1 2" xfId="185" xr:uid="{FE4B04D7-A540-47E6-A2DD-09E451F3617F}"/>
    <cellStyle name="40 % - Akzent2 2" xfId="186" xr:uid="{5D5C31E9-E468-46BB-A36E-1E774FD2D6B1}"/>
    <cellStyle name="40 % - Akzent3 2" xfId="187" xr:uid="{ECD561F4-8D40-4C46-A219-97AD0C650D3D}"/>
    <cellStyle name="40 % - Akzent4 2" xfId="188" xr:uid="{70AC497A-6D6A-4BF9-A589-0AFA71EEC5C1}"/>
    <cellStyle name="40 % - Akzent5 2" xfId="189" xr:uid="{AAE4F660-754D-4EF6-9312-D56CBE27D772}"/>
    <cellStyle name="40 % - Akzent6 2" xfId="190" xr:uid="{808A351D-9218-4A72-95E6-D0DEA7D44AFB}"/>
    <cellStyle name="40% - Accent1 2" xfId="191" xr:uid="{1B49187A-DC38-4F2C-B857-EC4735896F30}"/>
    <cellStyle name="40% - Accent1 3" xfId="192" xr:uid="{FF5FBD3B-39F8-4651-842F-30A5386D9AAC}"/>
    <cellStyle name="40% - Accent2 2" xfId="193" xr:uid="{C6A53279-3D00-4A76-93AE-2FFD0DF85727}"/>
    <cellStyle name="40% - Accent2 3" xfId="194" xr:uid="{144AB975-7755-4DA8-AFE4-34A2C9AF32D8}"/>
    <cellStyle name="40% - Accent3 2" xfId="195" xr:uid="{81131F7F-F6EE-40ED-9243-C204042EF93B}"/>
    <cellStyle name="40% - Accent3 3" xfId="196" xr:uid="{19F65456-81E7-4944-B51F-7D52FA0AD601}"/>
    <cellStyle name="40% - Accent4 2" xfId="197" xr:uid="{2F1B54A8-1403-4BFB-B3A2-DFEFABE4BB48}"/>
    <cellStyle name="40% - Accent4 3" xfId="198" xr:uid="{15919CC8-0469-4819-A6DB-1E49DFD8E5F5}"/>
    <cellStyle name="40% - Accent5 2" xfId="199" xr:uid="{9B850F99-8FE5-43FC-AE30-08861A4CDECC}"/>
    <cellStyle name="40% - Accent5 3" xfId="200" xr:uid="{6B66DA6A-41A4-4DCD-A495-0912CFF28C5C}"/>
    <cellStyle name="40% - Accent6 2" xfId="201" xr:uid="{8387C06A-AE1A-4A45-8A18-5F9EE89CBBDB}"/>
    <cellStyle name="40% - Accent6 3" xfId="202" xr:uid="{D4A3AC72-5B97-4751-9279-14D5C75537CA}"/>
    <cellStyle name="40% - akcent 1" xfId="203" xr:uid="{DBD0E2F0-E6CC-4485-A020-DE5FF0BF4B35}"/>
    <cellStyle name="40% - akcent 1 10" xfId="204" xr:uid="{E93C6F84-E3CC-4BB5-8CC5-4DA603DE01ED}"/>
    <cellStyle name="40% - akcent 1 10 2" xfId="205" xr:uid="{56FC3F57-CAE8-4416-97BB-3496DD7D58FA}"/>
    <cellStyle name="40% - akcent 1 10 3" xfId="206" xr:uid="{00BF2B3A-097D-4089-B3F0-E201D651B787}"/>
    <cellStyle name="40% - akcent 1 10_COM_BND" xfId="207" xr:uid="{018702FB-C21D-42D1-871E-DB9479A718CE}"/>
    <cellStyle name="40% - akcent 1 11" xfId="208" xr:uid="{370F6C6D-CE5D-409F-9908-0EB26533D5CB}"/>
    <cellStyle name="40% - akcent 1 11 2" xfId="209" xr:uid="{5D1CD541-84F8-4444-965B-28997A505ED6}"/>
    <cellStyle name="40% - akcent 1 12" xfId="210" xr:uid="{3A1626A5-7AF3-44C0-AE7C-8485172537C9}"/>
    <cellStyle name="40% - akcent 1 13" xfId="211" xr:uid="{59215F82-492E-4E1A-8E6B-F159B3FE42DC}"/>
    <cellStyle name="40% - akcent 1 14" xfId="212" xr:uid="{D13746FA-1AE8-4FE7-914C-B8F583718CFC}"/>
    <cellStyle name="40% - akcent 1 15" xfId="213" xr:uid="{C774976E-24DC-4D3C-85CC-C07C3F7C0E29}"/>
    <cellStyle name="40% - akcent 1 2" xfId="214" xr:uid="{1138E5F4-506F-4097-BDED-7C9C7BBD3620}"/>
    <cellStyle name="40% - akcent 1 3" xfId="215" xr:uid="{7765163A-19E4-4745-9E56-7DC0373E7700}"/>
    <cellStyle name="40% - akcent 1 4" xfId="216" xr:uid="{CE06FF0D-5B8E-4386-83B3-DDEA18D46DC5}"/>
    <cellStyle name="40% - akcent 1 5" xfId="217" xr:uid="{2C7CAF7F-F255-4814-B338-909CE3A5FD74}"/>
    <cellStyle name="40% - akcent 1 6" xfId="218" xr:uid="{A8B60E1A-3790-43A1-8930-2D338ED771F8}"/>
    <cellStyle name="40% - akcent 1 7" xfId="219" xr:uid="{CFF3D6E2-0C77-47CC-BF33-0B112ECDE152}"/>
    <cellStyle name="40% - akcent 1 8" xfId="220" xr:uid="{591143CF-6C52-41BA-BB4B-1A278F47856B}"/>
    <cellStyle name="40% - akcent 1 9" xfId="221" xr:uid="{8B3D72BC-5BDD-48E0-ADC6-C1FA56D3A54F}"/>
    <cellStyle name="40% - akcent 1 9 2" xfId="222" xr:uid="{6A38CD15-3827-4D5B-9412-B27F06D15751}"/>
    <cellStyle name="40% - akcent 1 9 3" xfId="223" xr:uid="{2554D1D7-97E8-4F94-AB61-AF30E937F0FA}"/>
    <cellStyle name="40% - akcent 1 9_COM_BND" xfId="224" xr:uid="{8E69B746-0287-458F-970E-F1A3DE452AE1}"/>
    <cellStyle name="40% - akcent 1_CHP" xfId="225" xr:uid="{145C1529-1037-4776-8D5B-6ABA48479C1B}"/>
    <cellStyle name="40% - akcent 2" xfId="226" xr:uid="{298AC150-E16C-40A2-8E2A-AC0F6B8F6E56}"/>
    <cellStyle name="40% - akcent 2 10" xfId="227" xr:uid="{98E289B3-8415-47D1-AF4F-689B4F44C7C2}"/>
    <cellStyle name="40% - akcent 2 10 2" xfId="228" xr:uid="{FE87353B-458F-4139-BA79-CFAC8E9DFDA9}"/>
    <cellStyle name="40% - akcent 2 10 3" xfId="229" xr:uid="{02F13A09-284E-4333-9EFB-3CFB7155B3F2}"/>
    <cellStyle name="40% - akcent 2 10_COM_BND" xfId="230" xr:uid="{7A92FE9A-23E0-4FF4-8E32-775A01D67D1E}"/>
    <cellStyle name="40% - akcent 2 11" xfId="231" xr:uid="{7B2BFD8C-974E-48FE-BF3B-3DB6D9DF40D9}"/>
    <cellStyle name="40% - akcent 2 11 2" xfId="232" xr:uid="{A8C2AEBA-2054-401C-B2A2-C8865167FD65}"/>
    <cellStyle name="40% - akcent 2 12" xfId="233" xr:uid="{782F13EE-F5FB-46FC-A288-D14C370B836E}"/>
    <cellStyle name="40% - akcent 2 13" xfId="234" xr:uid="{C1846A5F-E451-4C83-8774-CEC4FDAF6400}"/>
    <cellStyle name="40% - akcent 2 14" xfId="235" xr:uid="{CB64C253-07C4-43FB-9EAF-C61941C44FD4}"/>
    <cellStyle name="40% - akcent 2 15" xfId="236" xr:uid="{CE33D337-AF23-47C8-A530-BB8112D295E1}"/>
    <cellStyle name="40% - akcent 2 2" xfId="237" xr:uid="{EE594BB7-8C7C-48D7-AC60-EB527EEF2E62}"/>
    <cellStyle name="40% - akcent 2 3" xfId="238" xr:uid="{F26362F5-F42B-4114-A204-3E36EE148EC7}"/>
    <cellStyle name="40% - akcent 2 4" xfId="239" xr:uid="{49650A7A-549C-4DFF-B898-187C41F7F017}"/>
    <cellStyle name="40% - akcent 2 5" xfId="240" xr:uid="{97B5F94E-B1EA-4A66-8B64-A9014E381C9C}"/>
    <cellStyle name="40% - akcent 2 6" xfId="241" xr:uid="{942EC9B6-23D2-43BE-A5CC-1DEC1B6C92B7}"/>
    <cellStyle name="40% - akcent 2 7" xfId="242" xr:uid="{5F646595-7522-4E0F-9578-5204768D9AD0}"/>
    <cellStyle name="40% - akcent 2 8" xfId="243" xr:uid="{701FEBB9-5D0B-4ADE-B7B4-938675EFC5F5}"/>
    <cellStyle name="40% - akcent 2 9" xfId="244" xr:uid="{52D0388B-F80D-464E-AC14-BBD419D03F76}"/>
    <cellStyle name="40% - akcent 2 9 2" xfId="245" xr:uid="{97ACFC9A-334E-4709-8713-A739F4EBC240}"/>
    <cellStyle name="40% - akcent 2 9 3" xfId="246" xr:uid="{D5DD3BA1-5B46-4320-B6C6-58F34E3A2F4B}"/>
    <cellStyle name="40% - akcent 2 9_COM_BND" xfId="247" xr:uid="{3C26E44F-AE9F-4955-8B6D-023FE8B72E3D}"/>
    <cellStyle name="40% - akcent 2_CHP" xfId="248" xr:uid="{81B6C553-9EC5-405B-92C7-A70733905DA6}"/>
    <cellStyle name="40% - akcent 3" xfId="249" xr:uid="{03E5CFE1-1A7D-4DF5-BB08-35450EFEC9A3}"/>
    <cellStyle name="40% - akcent 3 10" xfId="250" xr:uid="{F35379D6-F29F-4539-8D20-E1949CCE1FDE}"/>
    <cellStyle name="40% - akcent 3 10 2" xfId="251" xr:uid="{20171E48-2584-4FB7-8AD0-9C3C61A1A1B0}"/>
    <cellStyle name="40% - akcent 3 10 3" xfId="252" xr:uid="{EDE91CCC-7923-4258-AD2F-C738F1582953}"/>
    <cellStyle name="40% - akcent 3 10_COM_BND" xfId="253" xr:uid="{41E0770C-3991-4723-BAF0-10C0B002CC51}"/>
    <cellStyle name="40% - akcent 3 11" xfId="254" xr:uid="{254A1E72-F463-458E-9AE7-DBD5EF40357D}"/>
    <cellStyle name="40% - akcent 3 11 2" xfId="255" xr:uid="{E62A20C8-D075-45D9-A956-9A96AD1B1060}"/>
    <cellStyle name="40% - akcent 3 12" xfId="256" xr:uid="{7739773C-63B5-4732-AB45-50C505B9FDCB}"/>
    <cellStyle name="40% - akcent 3 13" xfId="257" xr:uid="{5581F7A1-8CD5-44DC-A92C-BA058A162611}"/>
    <cellStyle name="40% - akcent 3 14" xfId="258" xr:uid="{2839B008-C762-4531-A745-39E4E6557AE3}"/>
    <cellStyle name="40% - akcent 3 15" xfId="259" xr:uid="{19A5CD50-1BE9-4D8A-A977-9B07B28CFBA1}"/>
    <cellStyle name="40% - akcent 3 2" xfId="260" xr:uid="{F321294B-58DF-4CF6-BB21-05F01C8A6A8C}"/>
    <cellStyle name="40% - akcent 3 3" xfId="261" xr:uid="{BAC82E18-EE00-4AD4-9113-711B9B34FED3}"/>
    <cellStyle name="40% - akcent 3 4" xfId="262" xr:uid="{FB132108-668D-42EE-AAFA-8418F739BE41}"/>
    <cellStyle name="40% - akcent 3 5" xfId="263" xr:uid="{8B8F17B7-2F59-4E0A-AA21-0FE7CFAA25C5}"/>
    <cellStyle name="40% - akcent 3 6" xfId="264" xr:uid="{CBA92A69-C351-4A4C-ADD2-A88FE143858B}"/>
    <cellStyle name="40% - akcent 3 7" xfId="265" xr:uid="{1E4E2905-52F8-4786-B22C-038BCFFF496D}"/>
    <cellStyle name="40% - akcent 3 8" xfId="266" xr:uid="{BB8C9D81-5ECE-4681-B90D-E0F1C484B78F}"/>
    <cellStyle name="40% - akcent 3 9" xfId="267" xr:uid="{9049479E-66DA-4C2E-8CBB-3901A52A6254}"/>
    <cellStyle name="40% - akcent 3 9 2" xfId="268" xr:uid="{6D35A275-F3CA-4C59-9AD5-A7FCB13A2AB3}"/>
    <cellStyle name="40% - akcent 3 9 3" xfId="269" xr:uid="{4482AA7D-23E9-43E0-AFFA-25996A88846D}"/>
    <cellStyle name="40% - akcent 3 9_COM_BND" xfId="270" xr:uid="{465BA08C-2BE3-4C92-9716-19339BF11A9B}"/>
    <cellStyle name="40% - akcent 3_CHP" xfId="271" xr:uid="{50361274-1D74-4C56-B77E-1015DE889F29}"/>
    <cellStyle name="40% - akcent 4" xfId="272" xr:uid="{DF717024-4548-480E-A0C5-3D099474DBA4}"/>
    <cellStyle name="40% - akcent 4 10" xfId="273" xr:uid="{9D114B1E-E073-4E62-B37B-45EEF6715EBA}"/>
    <cellStyle name="40% - akcent 4 10 2" xfId="274" xr:uid="{F204CD6D-A55C-425B-9DE0-967B1FB2A27E}"/>
    <cellStyle name="40% - akcent 4 10 3" xfId="275" xr:uid="{21FFA6D4-8301-4065-A59F-5BB10A3BF755}"/>
    <cellStyle name="40% - akcent 4 10_COM_BND" xfId="276" xr:uid="{1701160F-B5E2-4128-95C7-62D1EDDF4F28}"/>
    <cellStyle name="40% - akcent 4 11" xfId="277" xr:uid="{482D235A-0EE6-475A-B565-12AD74CA3DED}"/>
    <cellStyle name="40% - akcent 4 11 2" xfId="278" xr:uid="{AF729C5D-0B35-4780-8A7C-01F1BAC8AC09}"/>
    <cellStyle name="40% - akcent 4 12" xfId="279" xr:uid="{86A1C98E-F345-43DB-8035-89A65025E6C5}"/>
    <cellStyle name="40% - akcent 4 13" xfId="280" xr:uid="{B8590DF5-1D98-4384-BA09-2EA0503B45A6}"/>
    <cellStyle name="40% - akcent 4 14" xfId="281" xr:uid="{DFB8616B-4ABD-4B41-9568-45AB31CFC0BE}"/>
    <cellStyle name="40% - akcent 4 15" xfId="282" xr:uid="{BE970544-9E08-4FEB-BB24-0928B0A8BE92}"/>
    <cellStyle name="40% - akcent 4 2" xfId="283" xr:uid="{5A9D3798-28EE-43A8-9B9E-0AD06585DD93}"/>
    <cellStyle name="40% - akcent 4 3" xfId="284" xr:uid="{7DF52DBB-4036-40D4-88A3-3C1C0061EF3C}"/>
    <cellStyle name="40% - akcent 4 4" xfId="285" xr:uid="{89A56809-E292-4106-8FBC-228977E1DC19}"/>
    <cellStyle name="40% - akcent 4 5" xfId="286" xr:uid="{4EF6C314-AA2A-412E-BC79-C527FDE5153D}"/>
    <cellStyle name="40% - akcent 4 6" xfId="287" xr:uid="{5B3E229B-A482-4D70-9C80-70FFB8078424}"/>
    <cellStyle name="40% - akcent 4 7" xfId="288" xr:uid="{59A8260E-98C0-4133-9E1D-E8583E81C9DD}"/>
    <cellStyle name="40% - akcent 4 8" xfId="289" xr:uid="{66501B8D-903F-4888-BA68-934A985138DD}"/>
    <cellStyle name="40% - akcent 4 9" xfId="290" xr:uid="{30685C61-702C-4E7A-BB13-BBFD6B52C573}"/>
    <cellStyle name="40% - akcent 4 9 2" xfId="291" xr:uid="{2F1CC8AE-6673-480E-81B4-5975ABFC6DAA}"/>
    <cellStyle name="40% - akcent 4 9 3" xfId="292" xr:uid="{A1EBAB57-14AC-4F5B-975D-5EA61936D747}"/>
    <cellStyle name="40% - akcent 4 9_COM_BND" xfId="293" xr:uid="{B2F3C462-B74B-4C46-98E6-F1F5AFD9FEF8}"/>
    <cellStyle name="40% - akcent 4_CHP" xfId="294" xr:uid="{B3608E26-75B2-4930-9782-8BA7A69CAB7D}"/>
    <cellStyle name="40% - akcent 5" xfId="295" xr:uid="{6F237BBE-1569-46A3-BBD0-BFF74D75414D}"/>
    <cellStyle name="40% - akcent 5 10" xfId="296" xr:uid="{9CE41283-AC06-44FB-9147-B3793EE18676}"/>
    <cellStyle name="40% - akcent 5 10 2" xfId="297" xr:uid="{D498C859-A77B-46AB-8B79-F2999C078138}"/>
    <cellStyle name="40% - akcent 5 10 3" xfId="298" xr:uid="{81BEC1A2-6FE7-40B6-ABB6-01AF1F98BA2B}"/>
    <cellStyle name="40% - akcent 5 10_COM_BND" xfId="299" xr:uid="{68E1D148-661E-470A-AB53-AE3AD7B4577E}"/>
    <cellStyle name="40% - akcent 5 11" xfId="300" xr:uid="{9E09A6FE-EC1A-4BF6-9F76-DD7655154AF4}"/>
    <cellStyle name="40% - akcent 5 11 2" xfId="301" xr:uid="{E52490AC-9494-4F36-88E1-BF83A52E1A4F}"/>
    <cellStyle name="40% - akcent 5 12" xfId="302" xr:uid="{85423564-81DE-4CBE-A524-AAA89386F33F}"/>
    <cellStyle name="40% - akcent 5 13" xfId="303" xr:uid="{B3A2D33B-F94E-4F18-BD59-5BEC44D6F19A}"/>
    <cellStyle name="40% - akcent 5 14" xfId="304" xr:uid="{AD2A3565-0334-4CE9-9F7A-613A9CF7B4D1}"/>
    <cellStyle name="40% - akcent 5 15" xfId="305" xr:uid="{90F2792F-CB1A-49F2-AF24-039565D28F77}"/>
    <cellStyle name="40% - akcent 5 2" xfId="306" xr:uid="{26122469-6B7D-4BC0-AD03-BCA2A2232C1B}"/>
    <cellStyle name="40% - akcent 5 3" xfId="307" xr:uid="{3631380D-DC43-449E-89A8-5236EEE930E1}"/>
    <cellStyle name="40% - akcent 5 4" xfId="308" xr:uid="{8D1065A8-5FA4-4726-9810-613E9B44BC91}"/>
    <cellStyle name="40% - akcent 5 5" xfId="309" xr:uid="{9ECDCE25-0B13-4044-BDF4-E1A3A7292378}"/>
    <cellStyle name="40% - akcent 5 6" xfId="310" xr:uid="{EC5782DB-3815-4380-94FC-3744269658AA}"/>
    <cellStyle name="40% - akcent 5 7" xfId="311" xr:uid="{AC08C3DA-FF22-42F8-BFE4-005B142174D5}"/>
    <cellStyle name="40% - akcent 5 8" xfId="312" xr:uid="{77693B86-BB3C-4D36-A355-91DD172DDF0F}"/>
    <cellStyle name="40% - akcent 5 9" xfId="313" xr:uid="{99D9EC60-B9E7-4155-AFEE-E53990BA6B29}"/>
    <cellStyle name="40% - akcent 5 9 2" xfId="314" xr:uid="{3C6D0AC8-4AFF-46A5-859B-F1B3FC22AE3F}"/>
    <cellStyle name="40% - akcent 5 9 3" xfId="315" xr:uid="{0DA8C6AD-C6E1-448F-999C-77E08ACCF4E8}"/>
    <cellStyle name="40% - akcent 5 9_COM_BND" xfId="316" xr:uid="{0B8F6851-5DAE-4459-810D-7EE10132467B}"/>
    <cellStyle name="40% - akcent 5_CHP" xfId="317" xr:uid="{824DA7D7-511B-47C8-842E-D4A613D9E7F4}"/>
    <cellStyle name="40% - akcent 6" xfId="318" xr:uid="{10F1AC52-ED44-4EA6-AB53-1EC771036464}"/>
    <cellStyle name="40% - akcent 6 10" xfId="319" xr:uid="{82E0F364-C8B3-4919-8BEB-5824F27AF6CA}"/>
    <cellStyle name="40% - akcent 6 10 2" xfId="320" xr:uid="{A8916F2E-648E-49D7-96C8-CBD02509F9DF}"/>
    <cellStyle name="40% - akcent 6 10 3" xfId="321" xr:uid="{2463CB59-CC13-48CC-A982-FE551219F85E}"/>
    <cellStyle name="40% - akcent 6 10_COM_BND" xfId="322" xr:uid="{FA238288-EE95-49B3-BDC4-E4B8EAD7C165}"/>
    <cellStyle name="40% - akcent 6 11" xfId="323" xr:uid="{9E1468FB-9946-410C-BC53-4D7D466A3105}"/>
    <cellStyle name="40% - akcent 6 11 2" xfId="324" xr:uid="{7E59D998-88F2-47A8-B65F-6FED2621AD37}"/>
    <cellStyle name="40% - akcent 6 12" xfId="325" xr:uid="{0512A837-9A1B-4486-8DE0-D4C96C9C9C19}"/>
    <cellStyle name="40% - akcent 6 13" xfId="326" xr:uid="{294D1EF9-D8A4-4186-9657-9B0293E3D781}"/>
    <cellStyle name="40% - akcent 6 14" xfId="327" xr:uid="{CD9278E2-BF4A-425A-A2F4-F90E8F5BF6D0}"/>
    <cellStyle name="40% - akcent 6 15" xfId="328" xr:uid="{AD98C537-55CE-429C-9298-BD59C08CF0E3}"/>
    <cellStyle name="40% - akcent 6 2" xfId="329" xr:uid="{8A8B12AD-E784-48D1-A258-021F84265753}"/>
    <cellStyle name="40% - akcent 6 3" xfId="330" xr:uid="{6F83FFAF-D111-48F1-93FD-A8827C7E731A}"/>
    <cellStyle name="40% - akcent 6 4" xfId="331" xr:uid="{086734AE-6FB4-44AE-A992-EC3D5B6D839B}"/>
    <cellStyle name="40% - akcent 6 5" xfId="332" xr:uid="{E977D2FD-3329-4F7F-8F06-136CF4B69D65}"/>
    <cellStyle name="40% - akcent 6 6" xfId="333" xr:uid="{2A521B2E-F268-4AFA-9B1A-F4240F51BFCD}"/>
    <cellStyle name="40% - akcent 6 7" xfId="334" xr:uid="{81488CF4-912E-430D-B659-B9A84C26F0B0}"/>
    <cellStyle name="40% - akcent 6 8" xfId="335" xr:uid="{8FBDA2F7-92FC-4B76-9A6A-3B301529AC6A}"/>
    <cellStyle name="40% - akcent 6 9" xfId="336" xr:uid="{7C84475E-44B4-47F8-B96C-D2A8000E73F6}"/>
    <cellStyle name="40% - akcent 6 9 2" xfId="337" xr:uid="{0A66DC7B-5285-44F4-B8F8-7E7C2557C1B1}"/>
    <cellStyle name="40% - akcent 6 9 3" xfId="338" xr:uid="{75A3A75E-F1F7-4B1A-B9A2-467FB2949594}"/>
    <cellStyle name="40% - akcent 6 9_COM_BND" xfId="339" xr:uid="{DE59727C-F424-4753-A6E1-116950790A61}"/>
    <cellStyle name="40% - akcent 6_CHP" xfId="340" xr:uid="{8C41C1C5-1D11-46F4-B288-040F7D949392}"/>
    <cellStyle name="5x indented GHG Textfiels" xfId="341" xr:uid="{E5645867-CC01-491B-A47D-C5EE5DD6B677}"/>
    <cellStyle name="5x indented GHG Textfiels 2" xfId="342" xr:uid="{A99F0D07-50AA-4214-BD93-6909B080FD81}"/>
    <cellStyle name="60 % - Akzent1 2" xfId="343" xr:uid="{7D8FF92B-F1D4-4E89-B764-020AAE9C3F02}"/>
    <cellStyle name="60 % - Akzent2 2" xfId="344" xr:uid="{655A3FC9-51F2-49B1-B58B-93EB4E51317A}"/>
    <cellStyle name="60 % - Akzent3 2" xfId="345" xr:uid="{EDD20695-210A-410C-9E80-D46864B727D6}"/>
    <cellStyle name="60 % - Akzent4 2" xfId="346" xr:uid="{7DF6CCF0-287A-4C52-A456-7C0B8034D78F}"/>
    <cellStyle name="60 % - Akzent5 2" xfId="347" xr:uid="{B7BB539F-D224-475E-A6BE-559543BF6F59}"/>
    <cellStyle name="60 % - Akzent6 2" xfId="348" xr:uid="{B57400C5-6C89-4938-8E39-5FC45B5005D3}"/>
    <cellStyle name="60% - Accent1 2" xfId="349" xr:uid="{CF5A0704-55C3-4A42-B633-D3EC87D4C2EF}"/>
    <cellStyle name="60% - Accent1 3" xfId="350" xr:uid="{C58F987C-96FD-4323-AEF4-BA2C6F8F9AD0}"/>
    <cellStyle name="60% - Accent2 2" xfId="351" xr:uid="{98E2DDDB-84D3-4E1D-AA37-F742A5CEC04B}"/>
    <cellStyle name="60% - Accent2 3" xfId="352" xr:uid="{40169446-E474-467E-98D8-CCF3D7F6494F}"/>
    <cellStyle name="60% - Accent3 2" xfId="353" xr:uid="{4B593229-A6ED-440A-AF3F-A117B11F6A89}"/>
    <cellStyle name="60% - Accent3 3" xfId="354" xr:uid="{1975E3D5-08A9-4DB2-91EE-3C45974CEF35}"/>
    <cellStyle name="60% - Accent4 2" xfId="355" xr:uid="{D8FCF096-1C3F-4722-84D6-B7B6CED9D7A0}"/>
    <cellStyle name="60% - Accent4 3" xfId="356" xr:uid="{AD64EF3A-EC90-465D-8FCF-7BDE19F1F057}"/>
    <cellStyle name="60% - Accent5 2" xfId="357" xr:uid="{9932A644-30E9-49A6-9EFD-C309DD97B594}"/>
    <cellStyle name="60% - Accent5 3" xfId="358" xr:uid="{DFDBBF27-061B-41B2-93A1-87F562A466BA}"/>
    <cellStyle name="60% - Accent6 2" xfId="359" xr:uid="{671060B4-A130-4BC3-BE1B-43F7BA80DF64}"/>
    <cellStyle name="60% - Accent6 3" xfId="360" xr:uid="{5FA0D4A0-47EA-47D4-8277-D2BAFE2D379E}"/>
    <cellStyle name="60% - akcent 1" xfId="361" xr:uid="{3CEC7B26-4C50-4587-865A-5C54F9D15184}"/>
    <cellStyle name="60% - akcent 1 10" xfId="362" xr:uid="{41BA58D4-5700-4B61-A6FA-822B7D6462F3}"/>
    <cellStyle name="60% - akcent 1 10 2" xfId="363" xr:uid="{EC58D837-5327-4E00-9D91-64BF6F65C180}"/>
    <cellStyle name="60% - akcent 1 10 3" xfId="364" xr:uid="{C2D93E6B-2BFE-46E9-ACE5-86EC67A2A414}"/>
    <cellStyle name="60% - akcent 1 10_COM_BND" xfId="365" xr:uid="{9233144F-8889-4B1F-AB8C-EBBAE44B2207}"/>
    <cellStyle name="60% - akcent 1 11" xfId="366" xr:uid="{5B2B8270-26AC-4600-97D7-747472ADDB8C}"/>
    <cellStyle name="60% - akcent 1 11 2" xfId="367" xr:uid="{B4B83A1D-81C1-40BD-A7B6-39DC1C7A79A9}"/>
    <cellStyle name="60% - akcent 1 12" xfId="368" xr:uid="{853BE101-2ABD-4C38-B2AC-52A7ADB01C31}"/>
    <cellStyle name="60% - akcent 1 13" xfId="369" xr:uid="{C3EEF553-7CA9-4793-86B4-D6C2BAFBE1FE}"/>
    <cellStyle name="60% - akcent 1 14" xfId="370" xr:uid="{284D423B-1AAD-47B5-B166-45039F1AD3B4}"/>
    <cellStyle name="60% - akcent 1 15" xfId="371" xr:uid="{5FA3DAF9-E34A-4865-9C01-21F6A2AEC1F8}"/>
    <cellStyle name="60% - akcent 1 2" xfId="372" xr:uid="{47CC98C7-8567-400A-9AAB-4DC3B988894C}"/>
    <cellStyle name="60% - akcent 1 3" xfId="373" xr:uid="{E1EEF8AA-9A91-4370-A5F1-A46BA61F6A7A}"/>
    <cellStyle name="60% - akcent 1 4" xfId="374" xr:uid="{0DB0F66B-1FDD-471F-9DC1-0EAE22FBEDFF}"/>
    <cellStyle name="60% - akcent 1 5" xfId="375" xr:uid="{ABBAB3B9-FC44-4613-A952-4BD48807BA25}"/>
    <cellStyle name="60% - akcent 1 6" xfId="376" xr:uid="{F14D16B9-0133-4308-86D5-CDC7CDD19CB3}"/>
    <cellStyle name="60% - akcent 1 7" xfId="377" xr:uid="{E343D19E-5848-4C3C-BDF3-0A713BE677CA}"/>
    <cellStyle name="60% - akcent 1 8" xfId="378" xr:uid="{A3CDD975-E70E-4FD4-BF8D-8FE0CA7A7212}"/>
    <cellStyle name="60% - akcent 1 9" xfId="379" xr:uid="{04F069FD-F844-4EFE-A951-7164023CB4AE}"/>
    <cellStyle name="60% - akcent 1 9 2" xfId="380" xr:uid="{C60D054A-2149-44A3-9654-DE1AF6098315}"/>
    <cellStyle name="60% - akcent 1 9 3" xfId="381" xr:uid="{B903036C-1E3B-4209-8722-1BEF859FB0BD}"/>
    <cellStyle name="60% - akcent 1 9_COM_BND" xfId="382" xr:uid="{DB7EA30E-9F19-4315-9D9C-40F6F52E1A25}"/>
    <cellStyle name="60% - akcent 1_CHP" xfId="383" xr:uid="{CB73A26D-E32F-4FC4-870D-7FA22C1888B1}"/>
    <cellStyle name="60% - akcent 2" xfId="384" xr:uid="{758E1458-1A08-4554-9E7C-D504627C7EC7}"/>
    <cellStyle name="60% - akcent 2 10" xfId="385" xr:uid="{FD0F2004-3471-4B58-8869-9D3835AF368F}"/>
    <cellStyle name="60% - akcent 2 10 2" xfId="386" xr:uid="{809D111C-5CCB-4AA6-BD23-98E252925CEC}"/>
    <cellStyle name="60% - akcent 2 10 3" xfId="387" xr:uid="{E02237AA-B912-4464-9057-08454B13B6BF}"/>
    <cellStyle name="60% - akcent 2 10_COM_BND" xfId="388" xr:uid="{54F9C125-2B68-4DBD-8263-0831B94E5F19}"/>
    <cellStyle name="60% - akcent 2 11" xfId="389" xr:uid="{68563596-3E2B-4034-A17E-EC5F36F11600}"/>
    <cellStyle name="60% - akcent 2 11 2" xfId="390" xr:uid="{54D607BB-14D1-4678-8A2B-027756256EC6}"/>
    <cellStyle name="60% - akcent 2 12" xfId="391" xr:uid="{5DDA2BD8-BF9C-4B7D-969A-6FEA634BD95A}"/>
    <cellStyle name="60% - akcent 2 13" xfId="392" xr:uid="{1CA84F94-D337-4AE4-9ED1-AEC66187C7B8}"/>
    <cellStyle name="60% - akcent 2 14" xfId="393" xr:uid="{7F7A10BE-4956-4B4A-B8B0-134A7AB4712A}"/>
    <cellStyle name="60% - akcent 2 15" xfId="394" xr:uid="{A9EDFBDD-86FA-4584-BE26-9043BAB8918E}"/>
    <cellStyle name="60% - akcent 2 2" xfId="395" xr:uid="{0516E91F-55A2-4614-959B-8F7EED389FCB}"/>
    <cellStyle name="60% - akcent 2 3" xfId="396" xr:uid="{405C09E1-2FE9-4FA0-9C44-D5F5726EAF00}"/>
    <cellStyle name="60% - akcent 2 4" xfId="397" xr:uid="{A8DBD901-FFE5-4C69-984B-A1B8D714C8E2}"/>
    <cellStyle name="60% - akcent 2 5" xfId="398" xr:uid="{835EA49D-1CD5-4BD7-8086-847ECB31F0BF}"/>
    <cellStyle name="60% - akcent 2 6" xfId="399" xr:uid="{A5DC2587-0930-4457-B475-980F5D79F515}"/>
    <cellStyle name="60% - akcent 2 7" xfId="400" xr:uid="{8E8830A7-6E8A-4790-873A-D9875CEC7259}"/>
    <cellStyle name="60% - akcent 2 8" xfId="401" xr:uid="{1B0ECBD2-DAA6-4897-9699-B16E862567DD}"/>
    <cellStyle name="60% - akcent 2 9" xfId="402" xr:uid="{095D4CEA-41D6-40FA-BFD6-8B0B2582455C}"/>
    <cellStyle name="60% - akcent 2 9 2" xfId="403" xr:uid="{E3F4EE08-9CFB-4AAD-8404-F860883F47C1}"/>
    <cellStyle name="60% - akcent 2 9 3" xfId="404" xr:uid="{4442EFFB-DD91-4ADA-9A8B-A982770B8133}"/>
    <cellStyle name="60% - akcent 2 9_COM_BND" xfId="405" xr:uid="{80DA3D40-DC33-4244-8ECF-22B34B97AF11}"/>
    <cellStyle name="60% - akcent 2_CHP" xfId="406" xr:uid="{2109D3B8-705F-4B56-AB9C-45A094868424}"/>
    <cellStyle name="60% - akcent 3" xfId="407" xr:uid="{6F574944-30D0-485B-A94D-3EE2F60487C1}"/>
    <cellStyle name="60% - akcent 3 10" xfId="408" xr:uid="{F5BA478B-C182-428E-8658-342156A02F46}"/>
    <cellStyle name="60% - akcent 3 10 2" xfId="409" xr:uid="{9141D99C-772B-4F05-8F0D-DD5ADFEA17FC}"/>
    <cellStyle name="60% - akcent 3 10 3" xfId="410" xr:uid="{6AD6ADFD-D456-4115-B6FF-71CFEDC16C17}"/>
    <cellStyle name="60% - akcent 3 10_COM_BND" xfId="411" xr:uid="{997B03E1-713A-48FB-9E88-33BFADDB87E8}"/>
    <cellStyle name="60% - akcent 3 11" xfId="412" xr:uid="{0FE49569-264B-4451-9085-0A971A15E8BF}"/>
    <cellStyle name="60% - akcent 3 11 2" xfId="413" xr:uid="{9E049B55-D8C2-424D-8711-E7F30A58E2B7}"/>
    <cellStyle name="60% - akcent 3 12" xfId="414" xr:uid="{A87CABB2-092A-4D9E-9D70-586FA048E6C7}"/>
    <cellStyle name="60% - akcent 3 13" xfId="415" xr:uid="{10187DF2-F32B-4D58-980D-61A433172C3E}"/>
    <cellStyle name="60% - akcent 3 14" xfId="416" xr:uid="{75DCC7E5-C0E5-4392-B20D-8ACE3441BCE7}"/>
    <cellStyle name="60% - akcent 3 15" xfId="417" xr:uid="{6560C016-D649-4E12-A18B-5FBE0C534132}"/>
    <cellStyle name="60% - akcent 3 2" xfId="418" xr:uid="{8F896148-0B29-4175-A958-3E51D4DF3346}"/>
    <cellStyle name="60% - akcent 3 3" xfId="419" xr:uid="{0573F0F9-CC9F-4846-95BF-339AAFFB04BB}"/>
    <cellStyle name="60% - akcent 3 4" xfId="420" xr:uid="{54E5B270-FFBB-4D42-B251-1973692FD283}"/>
    <cellStyle name="60% - akcent 3 5" xfId="421" xr:uid="{61B338CE-7392-48D9-83D3-F99634665C5D}"/>
    <cellStyle name="60% - akcent 3 6" xfId="422" xr:uid="{610E27DD-F477-43A9-96DF-63AAADA2D9A1}"/>
    <cellStyle name="60% - akcent 3 7" xfId="423" xr:uid="{39B620E2-D8EC-429A-9E06-0A43CA1BC396}"/>
    <cellStyle name="60% - akcent 3 8" xfId="424" xr:uid="{A9555AD2-7EF7-4AA7-9EB9-0E7CE6352AE8}"/>
    <cellStyle name="60% - akcent 3 9" xfId="425" xr:uid="{4410BB7F-869D-4DCE-8CF7-D95A4980F367}"/>
    <cellStyle name="60% - akcent 3 9 2" xfId="426" xr:uid="{89E91CCE-9902-461A-A2CC-F5F01FA9E20E}"/>
    <cellStyle name="60% - akcent 3 9 3" xfId="427" xr:uid="{65B06FBF-F354-4ED9-93E9-4CB4CB552F37}"/>
    <cellStyle name="60% - akcent 3 9_COM_BND" xfId="428" xr:uid="{FD066795-9C8E-4E89-9488-236D0887461A}"/>
    <cellStyle name="60% - akcent 3_CHP" xfId="429" xr:uid="{B2852A68-C906-413B-9B0C-AB52EEC1A097}"/>
    <cellStyle name="60% - akcent 4" xfId="430" xr:uid="{9F2CEC6C-086F-4683-AE79-76CB9F1B8814}"/>
    <cellStyle name="60% - akcent 4 10" xfId="431" xr:uid="{AC2C2975-76AD-431E-A719-89CED0AFE751}"/>
    <cellStyle name="60% - akcent 4 10 2" xfId="432" xr:uid="{9D2142F8-103C-49C9-8452-BEBC7084A35E}"/>
    <cellStyle name="60% - akcent 4 10 3" xfId="433" xr:uid="{AF946A26-A04A-4AA8-A3CF-9A82E38399CC}"/>
    <cellStyle name="60% - akcent 4 10_COM_BND" xfId="434" xr:uid="{E048F348-59E2-4BD0-8746-BB0C3F59ADA2}"/>
    <cellStyle name="60% - akcent 4 11" xfId="435" xr:uid="{5E513503-5F4D-42B3-8434-3558A27F7E4D}"/>
    <cellStyle name="60% - akcent 4 11 2" xfId="436" xr:uid="{7A9BC6DB-4E38-4BD4-B367-44EAEFCD7E34}"/>
    <cellStyle name="60% - akcent 4 12" xfId="437" xr:uid="{7D9401B2-E8F5-4AFC-BD62-53C455D84D2A}"/>
    <cellStyle name="60% - akcent 4 13" xfId="438" xr:uid="{1C4E5E77-D619-48A8-956C-6928F4BF9679}"/>
    <cellStyle name="60% - akcent 4 13 2" xfId="439" xr:uid="{1D67ABDF-B918-47BB-96F3-9C96B244DE1A}"/>
    <cellStyle name="60% - akcent 4 14" xfId="440" xr:uid="{25F49F5B-CCA0-482F-AF01-0506A7E6C041}"/>
    <cellStyle name="60% - akcent 4 15" xfId="441" xr:uid="{5EAC903D-A4F7-44A3-84B0-07D289BEFCB0}"/>
    <cellStyle name="60% - akcent 4 2" xfId="442" xr:uid="{CF329A81-A16D-4FBC-9B33-94AAA6EE4101}"/>
    <cellStyle name="60% - akcent 4 3" xfId="443" xr:uid="{E1F4DE62-F348-4A81-A6CD-5A4D014A1ECE}"/>
    <cellStyle name="60% - akcent 4 4" xfId="444" xr:uid="{754C489C-8C5E-4D48-8A03-133E1581FE70}"/>
    <cellStyle name="60% - akcent 4 5" xfId="445" xr:uid="{75D92BF9-9C4E-42BF-AD4C-6C746FA9D493}"/>
    <cellStyle name="60% - akcent 4 6" xfId="446" xr:uid="{E2BD92C5-81C7-45A5-AEF9-376101EFD89C}"/>
    <cellStyle name="60% - akcent 4 7" xfId="447" xr:uid="{73E85C33-DCE5-4433-A988-63D0FBFC05E0}"/>
    <cellStyle name="60% - akcent 4 8" xfId="448" xr:uid="{52D58F13-BE2E-4188-9C5C-0565F246F32E}"/>
    <cellStyle name="60% - akcent 4 9" xfId="449" xr:uid="{B036D805-8666-4AE3-B1B8-2D1865DC2AA9}"/>
    <cellStyle name="60% - akcent 4 9 2" xfId="450" xr:uid="{A7D49FEC-AC27-47AE-897E-D0291CB2FDF0}"/>
    <cellStyle name="60% - akcent 4 9 3" xfId="451" xr:uid="{967530DF-4278-448E-B436-AA08E6B559F0}"/>
    <cellStyle name="60% - akcent 4 9_COM_BND" xfId="452" xr:uid="{43612266-4C98-4DE8-AFBF-2E380CC0DD19}"/>
    <cellStyle name="60% - akcent 4_CHP" xfId="453" xr:uid="{87AB3861-0CC3-47BE-8381-0A5E2A149E3A}"/>
    <cellStyle name="60% - akcent 5" xfId="454" xr:uid="{630E5BBD-AE15-49FD-99CB-31C5299FA2B5}"/>
    <cellStyle name="60% - akcent 5 10" xfId="455" xr:uid="{FAD95545-4087-4BF7-8C0F-A4474C483EAB}"/>
    <cellStyle name="60% - akcent 5 10 2" xfId="456" xr:uid="{8E132609-AB68-435A-AF0D-10582BAE393B}"/>
    <cellStyle name="60% - akcent 5 10 3" xfId="457" xr:uid="{4653CCAF-B31D-4705-922E-95F849C7FC43}"/>
    <cellStyle name="60% - akcent 5 10_COM_BND" xfId="458" xr:uid="{7CA8EED2-D3A9-4257-A047-C61A348769C3}"/>
    <cellStyle name="60% - akcent 5 11" xfId="459" xr:uid="{0200F61D-2AFB-450E-8780-B556EDFD397F}"/>
    <cellStyle name="60% - akcent 5 11 2" xfId="460" xr:uid="{807A4C88-A33E-4438-92D0-C056CF2645AE}"/>
    <cellStyle name="60% - akcent 5 12" xfId="461" xr:uid="{0CD07CF3-2A03-4D26-B32D-1B0608BCBD0C}"/>
    <cellStyle name="60% - akcent 5 13" xfId="462" xr:uid="{61EAE5C7-3E16-468F-8A57-6ED569117A14}"/>
    <cellStyle name="60% - akcent 5 14" xfId="463" xr:uid="{67438BF3-CF66-493B-85E7-AE778D29D874}"/>
    <cellStyle name="60% - akcent 5 15" xfId="464" xr:uid="{91A53083-074A-4146-9D8C-4FFD26073186}"/>
    <cellStyle name="60% - akcent 5 2" xfId="465" xr:uid="{60036A11-4372-4689-8E6B-87EB3FA7DB7E}"/>
    <cellStyle name="60% - akcent 5 3" xfId="466" xr:uid="{8AB7C6AF-7AB5-41C5-9839-BC4FFCE08E7B}"/>
    <cellStyle name="60% - akcent 5 4" xfId="467" xr:uid="{8F0AF5D2-51CD-44AF-A8E3-76498CEA1593}"/>
    <cellStyle name="60% - akcent 5 5" xfId="468" xr:uid="{54DF15C5-48CB-4761-98FB-386459F723BC}"/>
    <cellStyle name="60% - akcent 5 6" xfId="469" xr:uid="{2D10F382-00A4-4A1C-BA48-7A546DFFF374}"/>
    <cellStyle name="60% - akcent 5 7" xfId="470" xr:uid="{EA878E44-82BB-469E-9EE4-552B037E61A8}"/>
    <cellStyle name="60% - akcent 5 8" xfId="471" xr:uid="{26D30F30-861F-43DA-974B-33601E85132B}"/>
    <cellStyle name="60% - akcent 5 9" xfId="472" xr:uid="{3ABA3F1C-948D-4A6C-941B-26CD3A82AC60}"/>
    <cellStyle name="60% - akcent 5 9 2" xfId="473" xr:uid="{CB052821-6B9B-4689-A478-72FAC93F8A56}"/>
    <cellStyle name="60% - akcent 5 9 3" xfId="474" xr:uid="{B33EB177-0531-4928-9C1D-738B6323ECAD}"/>
    <cellStyle name="60% - akcent 5 9_COM_BND" xfId="475" xr:uid="{5652D9CF-7EA2-4F79-B35C-FA985F91CEC1}"/>
    <cellStyle name="60% - akcent 5_CHP" xfId="476" xr:uid="{A056CE76-4F8A-46CD-BDC0-928CFFC2A489}"/>
    <cellStyle name="60% - akcent 6" xfId="477" xr:uid="{535DB5D2-EEDE-41E2-A187-B9C3E38424FE}"/>
    <cellStyle name="60% - akcent 6 10" xfId="478" xr:uid="{F0207E49-D87B-4E92-B4AF-0BF46E3632E3}"/>
    <cellStyle name="60% - akcent 6 10 2" xfId="479" xr:uid="{EB8C0FA4-9167-4D7F-BCF6-7ADC7550F6B7}"/>
    <cellStyle name="60% - akcent 6 10 3" xfId="480" xr:uid="{C2F567FA-CBC4-485A-B035-D71030185F1D}"/>
    <cellStyle name="60% - akcent 6 10_COM_BND" xfId="481" xr:uid="{38C03387-9081-42C2-B700-11FC30C2DD2D}"/>
    <cellStyle name="60% - akcent 6 11" xfId="482" xr:uid="{ED3DBC9E-23EF-417F-83BB-D7AB2D4021B1}"/>
    <cellStyle name="60% - akcent 6 11 2" xfId="483" xr:uid="{24ECF88A-DEAB-4D3D-B3AE-CB15C6205C0B}"/>
    <cellStyle name="60% - akcent 6 12" xfId="484" xr:uid="{883B550A-45B7-4382-916D-5C684AE27C57}"/>
    <cellStyle name="60% - akcent 6 13" xfId="485" xr:uid="{C283CAD7-9300-443C-A3E1-31314A009064}"/>
    <cellStyle name="60% - akcent 6 14" xfId="486" xr:uid="{FAB2A22E-8425-4415-B409-E58789A75A79}"/>
    <cellStyle name="60% - akcent 6 15" xfId="487" xr:uid="{C11FFFA5-B6EF-42A5-B931-8608AAE1355A}"/>
    <cellStyle name="60% - akcent 6 2" xfId="488" xr:uid="{50BBC263-4933-4E2D-9BBD-8B3BC5770E8A}"/>
    <cellStyle name="60% - akcent 6 3" xfId="489" xr:uid="{595E371D-447C-4F7A-ABBA-DEBEE35E7DD9}"/>
    <cellStyle name="60% - akcent 6 4" xfId="490" xr:uid="{058826BB-B3BF-4D17-AE74-CCDC923461F6}"/>
    <cellStyle name="60% - akcent 6 5" xfId="491" xr:uid="{C4A598A2-31A5-4CC6-92E6-0DA89A197C00}"/>
    <cellStyle name="60% - akcent 6 6" xfId="492" xr:uid="{C928D666-3112-4E91-9B93-67A4549BC8AC}"/>
    <cellStyle name="60% - akcent 6 7" xfId="493" xr:uid="{FBFCF22B-98FE-4354-89F9-8AEE88165F13}"/>
    <cellStyle name="60% - akcent 6 8" xfId="494" xr:uid="{0E732D6D-7E64-490B-BCBA-E64BA7B5D8F2}"/>
    <cellStyle name="60% - akcent 6 9" xfId="495" xr:uid="{4B57C027-5101-4310-A95F-6DB36C27548D}"/>
    <cellStyle name="60% - akcent 6 9 2" xfId="496" xr:uid="{F4BECE7C-0F41-4122-B92B-4A0E8ADE8599}"/>
    <cellStyle name="60% - akcent 6 9 3" xfId="497" xr:uid="{698A7A1F-5A98-4E22-A117-B5C64581223B}"/>
    <cellStyle name="60% - akcent 6 9_COM_BND" xfId="498" xr:uid="{F5A86F44-59CF-4D31-B36E-95C167E5441D}"/>
    <cellStyle name="60% - akcent 6_CHP" xfId="499" xr:uid="{091D6022-9BAB-4051-8906-0E67AAB88F17}"/>
    <cellStyle name="Accent1 2" xfId="500" xr:uid="{993AD747-9B42-4284-8314-E2263966388F}"/>
    <cellStyle name="Accent1 3" xfId="501" xr:uid="{DCB3908A-D6DA-4844-B8DB-EF0FEFDFDBF1}"/>
    <cellStyle name="Accent2 2" xfId="502" xr:uid="{850CF95B-9860-4E16-87A5-F6062B420B93}"/>
    <cellStyle name="Accent2 3" xfId="503" xr:uid="{7BB75932-3859-41CC-A1EA-F2C9DE89763A}"/>
    <cellStyle name="Accent3 2" xfId="504" xr:uid="{21389F34-524D-404F-B509-F3FC250C4E48}"/>
    <cellStyle name="Accent3 3" xfId="505" xr:uid="{F3F31B7B-9CEF-4DC7-8CB3-A4FC08B47E42}"/>
    <cellStyle name="Accent4 2" xfId="506" xr:uid="{87E06AA6-A31A-4E67-9764-B8A1EE595759}"/>
    <cellStyle name="Accent4 3" xfId="507" xr:uid="{AAD329C2-D948-4010-BEEA-FA521EBB0183}"/>
    <cellStyle name="Accent5 2" xfId="508" xr:uid="{8F2831D1-390F-4D9A-B950-C8599ED53FF8}"/>
    <cellStyle name="Accent5 3" xfId="509" xr:uid="{DAB2A139-C416-4B39-A592-547D4C106E2F}"/>
    <cellStyle name="Accent6 2" xfId="510" xr:uid="{2B26B6ED-BFCA-4E63-AB13-343858649274}"/>
    <cellStyle name="Accent6 3" xfId="511" xr:uid="{D1E4E4E3-B85B-4A9A-95C4-F5EDA429A02A}"/>
    <cellStyle name="Actual Date" xfId="512" xr:uid="{EDC36A0F-EB98-46C8-9FF9-A9B9FAEF4EE5}"/>
    <cellStyle name="Akcent 1" xfId="513" xr:uid="{0DF2AC9C-CEFA-495D-B1B6-8D15D20C3006}"/>
    <cellStyle name="Akcent 1 10" xfId="514" xr:uid="{5B126FA8-E869-4971-8754-91D3A950AA70}"/>
    <cellStyle name="Akcent 1 10 2" xfId="515" xr:uid="{A43A07E7-65ED-4F95-B028-44F50ACADAAD}"/>
    <cellStyle name="Akcent 1 10 3" xfId="516" xr:uid="{40550142-700D-4250-8D68-9EE13A70BCA5}"/>
    <cellStyle name="Akcent 1 10_COM_BND" xfId="517" xr:uid="{B2907479-4110-4232-83F0-19377C31127D}"/>
    <cellStyle name="Akcent 1 11" xfId="518" xr:uid="{3177913A-4667-498B-987C-4AF02F3B9807}"/>
    <cellStyle name="Akcent 1 11 2" xfId="519" xr:uid="{FB8A5C91-D78C-4E26-A400-8411AFF99C49}"/>
    <cellStyle name="Akcent 1 12" xfId="520" xr:uid="{DB7AEB96-6B2C-4003-99EA-D68BA8905A3A}"/>
    <cellStyle name="Akcent 1 13" xfId="521" xr:uid="{B60EC90E-6034-494D-86EE-6952E09E9D86}"/>
    <cellStyle name="Akcent 1 14" xfId="522" xr:uid="{6C4103EB-C9C0-4378-AE51-7BDA57D4126C}"/>
    <cellStyle name="Akcent 1 15" xfId="523" xr:uid="{BBD12B97-8EDD-4FDD-9886-2F57DE310049}"/>
    <cellStyle name="Akcent 1 2" xfId="524" xr:uid="{8AF73AFF-B970-4A87-9ADE-A287E6D4D42A}"/>
    <cellStyle name="Akcent 1 3" xfId="525" xr:uid="{A449411F-B557-4066-B92B-A6339D0BFA6E}"/>
    <cellStyle name="Akcent 1 4" xfId="526" xr:uid="{6189BB3F-9F23-4C69-A778-AAEFFCD03A96}"/>
    <cellStyle name="Akcent 1 5" xfId="527" xr:uid="{160FB3BB-5665-448B-8A94-A6F53BB34DD5}"/>
    <cellStyle name="Akcent 1 6" xfId="528" xr:uid="{07154E41-2DE3-4E33-A1AF-82512014972C}"/>
    <cellStyle name="Akcent 1 7" xfId="529" xr:uid="{9ACF4B0E-9D37-43E4-949B-4628EB4528B4}"/>
    <cellStyle name="Akcent 1 8" xfId="530" xr:uid="{5466C768-B3A9-470D-A7EC-1602465CE2D3}"/>
    <cellStyle name="Akcent 1 9" xfId="531" xr:uid="{F3BD4E9E-44E3-4ADA-AD87-54C934D1EBB2}"/>
    <cellStyle name="Akcent 1 9 2" xfId="532" xr:uid="{4104E1E0-4382-42B4-BB75-F2CF8DC7711E}"/>
    <cellStyle name="Akcent 1 9 3" xfId="533" xr:uid="{C9974CCD-F418-4203-8351-D84F8453F73C}"/>
    <cellStyle name="Akcent 1 9_COM_BND" xfId="534" xr:uid="{94189F46-FB1E-4EE8-A4EE-075938B31743}"/>
    <cellStyle name="Akcent 1_CHP" xfId="535" xr:uid="{19D7DCE8-C7CE-4B9A-A40E-418E64248A2F}"/>
    <cellStyle name="Akcent 2" xfId="536" xr:uid="{657B4C75-42B9-4999-8370-1F24FB3B98BE}"/>
    <cellStyle name="Akcent 2 10" xfId="537" xr:uid="{3ACB9B76-9704-4460-9A1F-5AF8156A7A0B}"/>
    <cellStyle name="Akcent 2 10 2" xfId="538" xr:uid="{7612A8C9-1345-48E5-AB4F-4F354DD1ADAA}"/>
    <cellStyle name="Akcent 2 10 3" xfId="539" xr:uid="{AAEFC1F5-7365-4F98-9CAF-761EE8E2FC4B}"/>
    <cellStyle name="Akcent 2 10_COM_BND" xfId="540" xr:uid="{A3CD821C-7D95-48BB-9407-AB2CBB278C37}"/>
    <cellStyle name="Akcent 2 11" xfId="541" xr:uid="{967CE7B6-B265-40CD-A134-A944A710D122}"/>
    <cellStyle name="Akcent 2 11 2" xfId="542" xr:uid="{2914A221-03B0-439E-8EAF-B989D09B08D9}"/>
    <cellStyle name="Akcent 2 12" xfId="543" xr:uid="{D7400C8B-23F3-4246-85DD-50A117AE5327}"/>
    <cellStyle name="Akcent 2 13" xfId="544" xr:uid="{88A87FB7-BC10-461C-A77F-7BAD08271E41}"/>
    <cellStyle name="Akcent 2 14" xfId="545" xr:uid="{53B71049-774B-4AC8-97CB-579152A812FA}"/>
    <cellStyle name="Akcent 2 15" xfId="546" xr:uid="{E393271D-395F-4528-9B6C-E80A075D6EF0}"/>
    <cellStyle name="Akcent 2 2" xfId="547" xr:uid="{7F034725-2BCE-440F-B0F4-3E7B9739F07A}"/>
    <cellStyle name="Akcent 2 3" xfId="548" xr:uid="{3FDFB530-0811-4AD6-BCD9-16965E2A3FC9}"/>
    <cellStyle name="Akcent 2 4" xfId="549" xr:uid="{EB5CCA1C-F25A-45F5-8B68-C6347B14326E}"/>
    <cellStyle name="Akcent 2 5" xfId="550" xr:uid="{739BB752-8FD3-45F7-926A-B2D02CAAB132}"/>
    <cellStyle name="Akcent 2 6" xfId="551" xr:uid="{4B9C5FAD-64A0-434D-9375-D8FE2B011742}"/>
    <cellStyle name="Akcent 2 7" xfId="552" xr:uid="{EE9808B9-8B41-406B-99BD-14E39BCD4B4B}"/>
    <cellStyle name="Akcent 2 8" xfId="553" xr:uid="{E9E43EAD-A44E-436B-B07E-C4CDCE2C735E}"/>
    <cellStyle name="Akcent 2 9" xfId="554" xr:uid="{3E279B7E-2EA0-433E-B34B-3F70F33FF059}"/>
    <cellStyle name="Akcent 2 9 2" xfId="555" xr:uid="{765E915A-5591-4BA8-8E0C-18269E317B1F}"/>
    <cellStyle name="Akcent 2 9 3" xfId="556" xr:uid="{CBB91744-CD07-4484-BE54-7EEB53B55228}"/>
    <cellStyle name="Akcent 2 9_COM_BND" xfId="557" xr:uid="{983A4BB9-194C-4DE4-8F8D-79AE5FA68138}"/>
    <cellStyle name="Akcent 2_CHP" xfId="558" xr:uid="{BD6401D5-DEEE-4392-916E-B881FE27F650}"/>
    <cellStyle name="Akcent 3" xfId="559" xr:uid="{A09B4E67-4E79-4052-AA1E-44DFB5E82BE4}"/>
    <cellStyle name="Akcent 3 10" xfId="560" xr:uid="{70B2DD99-1CCA-4A34-B405-F43932E8C2E1}"/>
    <cellStyle name="Akcent 3 10 2" xfId="561" xr:uid="{F7DC9E1D-6E0C-441B-9ACB-E88A82616550}"/>
    <cellStyle name="Akcent 3 10 3" xfId="562" xr:uid="{AEE6595D-3704-46CC-BEDE-B4DEA4972213}"/>
    <cellStyle name="Akcent 3 10_COM_BND" xfId="563" xr:uid="{09448AB8-B153-4650-8884-9FA8473974E2}"/>
    <cellStyle name="Akcent 3 11" xfId="564" xr:uid="{77CC3536-5C57-425B-B5C1-9EFE0E2A360B}"/>
    <cellStyle name="Akcent 3 11 2" xfId="565" xr:uid="{315817DA-A63E-47E0-9A04-FF4623DBFD8A}"/>
    <cellStyle name="Akcent 3 12" xfId="566" xr:uid="{CD5593C8-C6B8-4759-93BF-607437D3D8F5}"/>
    <cellStyle name="Akcent 3 13" xfId="567" xr:uid="{6AB9FC66-4DB6-4026-8426-5EFEAED95AC1}"/>
    <cellStyle name="Akcent 3 14" xfId="568" xr:uid="{0CD521C9-CCE3-48E0-949D-BCD7CF279416}"/>
    <cellStyle name="Akcent 3 15" xfId="569" xr:uid="{0F30A514-8258-435B-96D6-6D90E1D2451B}"/>
    <cellStyle name="Akcent 3 2" xfId="570" xr:uid="{61BC865C-24FE-4F7C-95D8-36CEEC953AD4}"/>
    <cellStyle name="Akcent 3 3" xfId="571" xr:uid="{738AC30E-D5B6-4581-9E3D-4F4E1ED4BDF5}"/>
    <cellStyle name="Akcent 3 4" xfId="572" xr:uid="{191A7FD1-1B8B-4D84-9387-58D2E11C8ACD}"/>
    <cellStyle name="Akcent 3 5" xfId="573" xr:uid="{31191B61-1FA9-4EB3-AECF-06A93E9BD2BA}"/>
    <cellStyle name="Akcent 3 6" xfId="574" xr:uid="{55D928B7-85E7-4080-AA31-6A47565AEA3A}"/>
    <cellStyle name="Akcent 3 7" xfId="575" xr:uid="{20E0CA93-578B-4F13-BE37-894E3C9554AB}"/>
    <cellStyle name="Akcent 3 8" xfId="576" xr:uid="{3B770332-DA5E-4EB0-9DBB-75AE8071C1A3}"/>
    <cellStyle name="Akcent 3 9" xfId="577" xr:uid="{E3786414-2075-499A-AF49-7709A05AC5C5}"/>
    <cellStyle name="Akcent 3 9 2" xfId="578" xr:uid="{0B61A53D-E7E7-4C88-BA0F-DC2927930520}"/>
    <cellStyle name="Akcent 3 9 3" xfId="579" xr:uid="{B290E4E4-924E-4786-87A4-7A6C0DEEE6F5}"/>
    <cellStyle name="Akcent 3 9_COM_BND" xfId="580" xr:uid="{82CA0EB3-C904-475D-8BA9-94ED71986836}"/>
    <cellStyle name="Akcent 3_CHP" xfId="581" xr:uid="{5F4B2525-EA91-4F49-BC93-A4DA4EA938AD}"/>
    <cellStyle name="Akcent 4" xfId="582" xr:uid="{1066D1AD-1994-4773-8F3A-22A2E560CC99}"/>
    <cellStyle name="Akcent 4 10" xfId="583" xr:uid="{B026C778-CB1E-4657-B257-162F10312A24}"/>
    <cellStyle name="Akcent 4 10 2" xfId="584" xr:uid="{CEDCD0B0-5014-4A96-8256-E1EF81F62193}"/>
    <cellStyle name="Akcent 4 10 3" xfId="585" xr:uid="{33CBEE1B-976E-4359-91DB-37DAB2181166}"/>
    <cellStyle name="Akcent 4 10_COM_BND" xfId="586" xr:uid="{813BE8DA-68F9-4BD0-BD61-007364CE1CF8}"/>
    <cellStyle name="Akcent 4 11" xfId="587" xr:uid="{15DCEE3A-084D-41BD-B0A7-644D2418FAD1}"/>
    <cellStyle name="Akcent 4 11 2" xfId="588" xr:uid="{3A7BC573-34FB-47B4-8CE9-B80C48DAAE1B}"/>
    <cellStyle name="Akcent 4 12" xfId="589" xr:uid="{4B107C45-62D5-4ACD-98C3-66E3E20718B5}"/>
    <cellStyle name="Akcent 4 13" xfId="590" xr:uid="{35EC8413-CD1F-4E69-AD39-6791BAA10E6A}"/>
    <cellStyle name="Akcent 4 14" xfId="591" xr:uid="{F2AAB80C-613A-4D8C-81E3-A505C4481884}"/>
    <cellStyle name="Akcent 4 15" xfId="592" xr:uid="{DB26FCE5-6471-4C32-ADBA-9A531DEB0BB0}"/>
    <cellStyle name="Akcent 4 2" xfId="593" xr:uid="{7B5C9B5F-4C19-416F-B1AE-52AA65E47BC4}"/>
    <cellStyle name="Akcent 4 3" xfId="594" xr:uid="{453E7E68-1149-4808-AC34-7EC026F0B9BB}"/>
    <cellStyle name="Akcent 4 4" xfId="595" xr:uid="{41E442B0-0D4B-43B5-9ECD-69FD9D41600C}"/>
    <cellStyle name="Akcent 4 5" xfId="596" xr:uid="{BE90B5D4-A42C-428D-AD41-BDFAD0F38072}"/>
    <cellStyle name="Akcent 4 6" xfId="597" xr:uid="{AE205742-CD02-4C29-8BB4-81894BED8E89}"/>
    <cellStyle name="Akcent 4 7" xfId="598" xr:uid="{18EBC2E9-8277-4779-B564-505AD605AD5B}"/>
    <cellStyle name="Akcent 4 8" xfId="599" xr:uid="{96DC1C47-7CCE-4D74-A808-266C9052B339}"/>
    <cellStyle name="Akcent 4 9" xfId="600" xr:uid="{800F6679-EC46-4C8D-B8A9-1E53773A3D74}"/>
    <cellStyle name="Akcent 4 9 2" xfId="601" xr:uid="{D0CA2530-0FD8-4622-9B85-80B5EBD0F632}"/>
    <cellStyle name="Akcent 4 9 3" xfId="602" xr:uid="{5079BD08-6C1B-4E4A-B664-FE15303B998B}"/>
    <cellStyle name="Akcent 4 9_COM_BND" xfId="603" xr:uid="{18E42F34-2AE6-4204-B226-56A4DF27D63F}"/>
    <cellStyle name="Akcent 4_CHP" xfId="604" xr:uid="{939D8D69-D8F2-4E17-98D0-CC015E59DBFA}"/>
    <cellStyle name="Akcent 5" xfId="605" xr:uid="{F2720F12-44AE-4427-A125-BD5131260FEC}"/>
    <cellStyle name="Akcent 5 10" xfId="606" xr:uid="{E26F13C5-7630-46BB-B1DB-E8FF91F097B7}"/>
    <cellStyle name="Akcent 5 10 2" xfId="607" xr:uid="{D3535B3D-70AE-45FB-8526-BD55797668A3}"/>
    <cellStyle name="Akcent 5 10 3" xfId="608" xr:uid="{CF18F713-4283-4F7F-A7B8-5EB16F25C297}"/>
    <cellStyle name="Akcent 5 10_COM_BND" xfId="609" xr:uid="{45D24AFF-1D03-4F1B-997C-2A088D6B71F9}"/>
    <cellStyle name="Akcent 5 11" xfId="610" xr:uid="{1B79C6F0-6529-4091-A2C4-FA9C0D4585DA}"/>
    <cellStyle name="Akcent 5 11 2" xfId="611" xr:uid="{4AB15B6E-2368-4978-A50D-7BB1A36A4DF5}"/>
    <cellStyle name="Akcent 5 12" xfId="612" xr:uid="{C2D090E7-7571-43EB-B471-EF55E74AD612}"/>
    <cellStyle name="Akcent 5 13" xfId="613" xr:uid="{90BEA2CC-F736-40DC-8B21-BFAD18957B00}"/>
    <cellStyle name="Akcent 5 14" xfId="614" xr:uid="{82A76849-BDC1-47A0-AB5C-DC9234A2CF80}"/>
    <cellStyle name="Akcent 5 15" xfId="615" xr:uid="{9A4812A7-74A4-4C75-AB46-B586A643864C}"/>
    <cellStyle name="Akcent 5 2" xfId="616" xr:uid="{E026B647-E224-4F20-B2CD-0D72DF328A07}"/>
    <cellStyle name="Akcent 5 3" xfId="617" xr:uid="{E6118906-A2BE-4E0D-BBEC-484D7F65D1A2}"/>
    <cellStyle name="Akcent 5 4" xfId="618" xr:uid="{2C46F551-058A-4268-B291-5587B1B85138}"/>
    <cellStyle name="Akcent 5 5" xfId="619" xr:uid="{314B8DEA-D7B3-4B64-9C09-2BDCDFB7274B}"/>
    <cellStyle name="Akcent 5 6" xfId="620" xr:uid="{5F603988-A589-45E3-8A92-F201FA93BC2D}"/>
    <cellStyle name="Akcent 5 7" xfId="621" xr:uid="{B1DAF7A0-3497-4975-BB21-81EA25BB9866}"/>
    <cellStyle name="Akcent 5 8" xfId="622" xr:uid="{9DC7A531-F479-4EE2-B5E5-44FD5CDE8F5F}"/>
    <cellStyle name="Akcent 5 9" xfId="623" xr:uid="{B54F65A6-89B9-4DDB-AA7C-E5A9AD59767C}"/>
    <cellStyle name="Akcent 5 9 2" xfId="624" xr:uid="{37A3A74D-E323-4F4E-B9A5-2BB04B49E8FC}"/>
    <cellStyle name="Akcent 5 9 3" xfId="625" xr:uid="{6EA2696C-EDC7-4D81-AE5C-D80F4192D5B0}"/>
    <cellStyle name="Akcent 5 9_COM_BND" xfId="626" xr:uid="{53309711-8698-4B64-B43A-A97740757CD5}"/>
    <cellStyle name="Akcent 5_CHP" xfId="627" xr:uid="{0B9DAC03-B722-49C8-B6A2-3182242B9992}"/>
    <cellStyle name="Akcent 6" xfId="628" xr:uid="{F37DAE67-2E94-49A1-984C-0B8AC80CFF86}"/>
    <cellStyle name="Akcent 6 10" xfId="629" xr:uid="{9B2DCC86-81EF-4009-AA38-61A7B158D6B6}"/>
    <cellStyle name="Akcent 6 10 2" xfId="630" xr:uid="{C75D1DC9-F942-4F60-9C34-7C2EFF8D1DA4}"/>
    <cellStyle name="Akcent 6 10 3" xfId="631" xr:uid="{296CB716-9529-4112-AF46-C8DC6098A961}"/>
    <cellStyle name="Akcent 6 10_COM_BND" xfId="632" xr:uid="{792D3D16-DDE1-496A-B0C5-B6F50681E8D2}"/>
    <cellStyle name="Akcent 6 11" xfId="633" xr:uid="{CC934152-9C52-447B-8561-108C46692263}"/>
    <cellStyle name="Akcent 6 11 2" xfId="634" xr:uid="{50E81CF4-8995-40B3-8AA9-32043BBE94C6}"/>
    <cellStyle name="Akcent 6 12" xfId="635" xr:uid="{5A4D993C-D701-4089-A1C7-A2248875F9F6}"/>
    <cellStyle name="Akcent 6 13" xfId="636" xr:uid="{5DF73FC7-3922-4969-89F7-6410E9D73E77}"/>
    <cellStyle name="Akcent 6 14" xfId="637" xr:uid="{A4D9F467-C98B-4B8C-A022-9196E4E9380C}"/>
    <cellStyle name="Akcent 6 15" xfId="638" xr:uid="{2561BFF8-D7F6-4DC0-9256-DE4BEDC8DDCF}"/>
    <cellStyle name="Akcent 6 2" xfId="639" xr:uid="{6B0E20E8-65DC-4F76-860F-557144E709D2}"/>
    <cellStyle name="Akcent 6 3" xfId="640" xr:uid="{1CB18CAD-C322-454A-9DFB-BDA3FC90AD47}"/>
    <cellStyle name="Akcent 6 4" xfId="641" xr:uid="{BCAAA024-A1E4-441C-B413-BF431D6D017C}"/>
    <cellStyle name="Akcent 6 5" xfId="642" xr:uid="{38F89CED-3028-47DB-A128-83991BF3E3BA}"/>
    <cellStyle name="Akcent 6 6" xfId="643" xr:uid="{F8AE0C59-14AF-47CA-AEF7-22A370D960B3}"/>
    <cellStyle name="Akcent 6 7" xfId="644" xr:uid="{2A2BEE58-3D38-4277-B8C7-4AD90F00B52E}"/>
    <cellStyle name="Akcent 6 8" xfId="645" xr:uid="{67E102E4-934B-4EB0-87E8-CA5D92C88D16}"/>
    <cellStyle name="Akcent 6 9" xfId="646" xr:uid="{9B87B0F5-26C8-4328-B983-25B5CB225B07}"/>
    <cellStyle name="Akcent 6 9 2" xfId="647" xr:uid="{6EE5E7BD-C9DB-4CB2-AC3B-67085B4290B6}"/>
    <cellStyle name="Akcent 6 9 3" xfId="648" xr:uid="{C87E0155-853A-4A5D-8429-47F927C81FC5}"/>
    <cellStyle name="Akcent 6 9_COM_BND" xfId="649" xr:uid="{D51CC070-B317-40ED-A8C9-4FE7CEABD2C7}"/>
    <cellStyle name="Akcent 6_CHP" xfId="650" xr:uid="{2378B307-D588-42F8-B2BF-29E768AB0E7A}"/>
    <cellStyle name="Akzent1 2" xfId="651" xr:uid="{9B655DE1-CD38-4C24-94DC-3F8BD13B384F}"/>
    <cellStyle name="Akzent2 2" xfId="652" xr:uid="{DB941E37-F923-41CC-BDF8-5B69AC95B524}"/>
    <cellStyle name="Akzent3 2" xfId="653" xr:uid="{0BF79D0A-F117-4832-B24A-BCB2B579D255}"/>
    <cellStyle name="Akzent4 2" xfId="654" xr:uid="{30B0E20A-828C-4C0C-BE7C-003FC043EDAD}"/>
    <cellStyle name="Akzent5 2" xfId="655" xr:uid="{D2D57057-50E2-410B-A176-8CF8EA6ADE5B}"/>
    <cellStyle name="Akzent6 2" xfId="656" xr:uid="{C07065C8-32BE-4941-AC3B-DFF14EBD75C1}"/>
    <cellStyle name="Ausgabe 2" xfId="657" xr:uid="{9871C0BA-8D79-4565-89D7-625CF03986B1}"/>
    <cellStyle name="Bad 2" xfId="658" xr:uid="{401FCB0E-6949-4365-B6F1-A37CFC34AC07}"/>
    <cellStyle name="Bad 3" xfId="659" xr:uid="{37ECC98C-9FE7-47EC-9250-F6A1AFB0F35E}"/>
    <cellStyle name="Berechnung 2" xfId="660" xr:uid="{954CA1DB-1FC2-4B7F-A29D-72BAAE683DD4}"/>
    <cellStyle name="Calculation 2" xfId="661" xr:uid="{81BE3249-381F-4D54-A365-B1B7B8FAFDF6}"/>
    <cellStyle name="Calculation 3" xfId="662" xr:uid="{8C8A7AC6-CA95-478E-BBDD-9F6441478E6C}"/>
    <cellStyle name="Check Cell 2" xfId="663" xr:uid="{978AE783-F04E-4BF8-96EB-0B7196A3F1B2}"/>
    <cellStyle name="Check Cell 3" xfId="664" xr:uid="{05E548DF-35B9-49EA-BA9D-3FA88565095A}"/>
    <cellStyle name="ColLevel_" xfId="665" xr:uid="{7202367E-A787-4758-9DD3-195FA3965CB7}"/>
    <cellStyle name="Comma" xfId="19" builtinId="3"/>
    <cellStyle name="Comma0" xfId="666" xr:uid="{95111D17-E12D-4EB7-9B39-3CE2099BDAB3}"/>
    <cellStyle name="Comma0 - Style1" xfId="667" xr:uid="{A3BABCC2-BEB1-45CB-B966-F3514A64B6DE}"/>
    <cellStyle name="Comma0 - Style2" xfId="668" xr:uid="{82B89B23-6429-4095-A316-8D7D8209DDDC}"/>
    <cellStyle name="Comma0_Input" xfId="669" xr:uid="{3FB8A15D-8767-48B9-8439-CF9DFBFCBAE1}"/>
    <cellStyle name="Currency0" xfId="670" xr:uid="{A69EEAC3-3250-48BA-96BA-1BC2D8984872}"/>
    <cellStyle name="Dane wejściowe" xfId="671" xr:uid="{FB7B9056-355E-4E6F-A073-D2262E8363ED}"/>
    <cellStyle name="Dane wejściowe 10" xfId="672" xr:uid="{D0DFA239-F7F7-40EF-A301-F8A89FF6D67F}"/>
    <cellStyle name="Dane wejściowe 10 2" xfId="673" xr:uid="{431B5921-7DBC-4774-81A1-B3E061508E50}"/>
    <cellStyle name="Dane wejściowe 10 3" xfId="674" xr:uid="{C41FBC71-3A9E-4963-BC78-2D66D04A2AAE}"/>
    <cellStyle name="Dane wejściowe 10_CHP" xfId="675" xr:uid="{CFF3E240-63FF-4B81-8396-9DA62CFA7B0E}"/>
    <cellStyle name="Dane wejściowe 11" xfId="676" xr:uid="{8EF2E1CD-7A92-468C-B114-63CBB717591E}"/>
    <cellStyle name="Dane wejściowe 11 2" xfId="677" xr:uid="{88910B2E-5328-4A69-A064-CA2DC48346B2}"/>
    <cellStyle name="Dane wejściowe 11_CHP" xfId="678" xr:uid="{099A21D6-394B-4124-9766-312FCE9AD5E7}"/>
    <cellStyle name="Dane wejściowe 12" xfId="679" xr:uid="{825070F8-7D49-4327-A88B-524AA1728B7E}"/>
    <cellStyle name="Dane wejściowe 13" xfId="680" xr:uid="{C995FF3D-691A-4EBE-8503-3B5A3613DD0A}"/>
    <cellStyle name="Dane wejściowe 14" xfId="681" xr:uid="{3A03F8CE-85BE-4A1E-9ACE-E85B3C74AE83}"/>
    <cellStyle name="Dane wejściowe 15" xfId="682" xr:uid="{DEF00FCA-D374-40ED-94D2-B7FF167D94E9}"/>
    <cellStyle name="Dane wejściowe 2" xfId="683" xr:uid="{32BE100B-374C-4534-A48C-806B92A22FB6}"/>
    <cellStyle name="Dane wejściowe 3" xfId="684" xr:uid="{97B4123E-4BED-4BB7-B29C-FAAA5CCEE93B}"/>
    <cellStyle name="Dane wejściowe 4" xfId="685" xr:uid="{13AD3416-7EC1-4B8E-A2EE-F906946D300D}"/>
    <cellStyle name="Dane wejściowe 5" xfId="686" xr:uid="{2D5E3C4F-3394-49DA-85B0-B69F15AFC6F9}"/>
    <cellStyle name="Dane wejściowe 6" xfId="687" xr:uid="{D8DDEF7D-BC9E-4FEA-BE87-09D18E1E7406}"/>
    <cellStyle name="Dane wejściowe 7" xfId="688" xr:uid="{E5DBF435-01BC-4167-8931-B52B5BEE65BF}"/>
    <cellStyle name="Dane wejściowe 8" xfId="689" xr:uid="{3C31A4AB-8E27-4343-BA19-369DA176E2F2}"/>
    <cellStyle name="Dane wejściowe 9" xfId="690" xr:uid="{8012671F-9A88-478F-BD8C-D415D9FC910C}"/>
    <cellStyle name="Dane wejściowe 9 2" xfId="691" xr:uid="{F6E3227A-D32F-4D20-8428-F19E9D92AAE4}"/>
    <cellStyle name="Dane wejściowe 9 3" xfId="692" xr:uid="{904F904C-8B01-45C1-8403-89ED17EE3D44}"/>
    <cellStyle name="Dane wejściowe 9_CHP" xfId="693" xr:uid="{3987FB2B-43A5-4CFE-B327-042A90951C00}"/>
    <cellStyle name="Dane wejściowe_CHP" xfId="694" xr:uid="{BDDB7F0A-3928-45B6-90BD-1B1A02AD7058}"/>
    <cellStyle name="Dane wyjściowe" xfId="695" xr:uid="{54BD5CDE-84CA-42F1-A08D-D09E6C24A612}"/>
    <cellStyle name="Dane wyjściowe 10" xfId="696" xr:uid="{14530A37-D522-45B4-9F74-275E4C5FB144}"/>
    <cellStyle name="Dane wyjściowe 10 2" xfId="697" xr:uid="{A061153D-E98A-48B1-A0DD-94AE54B47DC9}"/>
    <cellStyle name="Dane wyjściowe 10 3" xfId="698" xr:uid="{741B2EA4-5C36-4A1D-8D2C-CB0887BFB768}"/>
    <cellStyle name="Dane wyjściowe 10_CHP" xfId="699" xr:uid="{B644EFAA-711A-4E90-A4F5-25E05F2B44F6}"/>
    <cellStyle name="Dane wyjściowe 11" xfId="700" xr:uid="{205DD285-2472-4269-9138-B83C4D2EF958}"/>
    <cellStyle name="Dane wyjściowe 11 2" xfId="701" xr:uid="{C1BB3EC0-6271-4DEF-A8CC-3E05CA42130C}"/>
    <cellStyle name="Dane wyjściowe 11_CHP" xfId="702" xr:uid="{BAA15411-01B2-4EF3-9A0A-6103AB305F2D}"/>
    <cellStyle name="Dane wyjściowe 12" xfId="703" xr:uid="{285D8B9A-A119-43F0-BFD7-AB7B180241D9}"/>
    <cellStyle name="Dane wyjściowe 13" xfId="704" xr:uid="{7A06B533-37A3-41BD-95DD-F7F73A1187F6}"/>
    <cellStyle name="Dane wyjściowe 14" xfId="705" xr:uid="{60EE43D4-3FF4-4681-93EB-0C27FBC11770}"/>
    <cellStyle name="Dane wyjściowe 15" xfId="706" xr:uid="{749F5AE2-CF63-4D79-A856-E48F906FAE5E}"/>
    <cellStyle name="Dane wyjściowe 2" xfId="707" xr:uid="{247897E5-3410-4FEC-BF6C-885643C14822}"/>
    <cellStyle name="Dane wyjściowe 3" xfId="708" xr:uid="{F461A8DF-5CC5-4110-B358-270B721CA6B3}"/>
    <cellStyle name="Dane wyjściowe 4" xfId="709" xr:uid="{454F0D8D-3752-4E97-B65B-DD003A67C64D}"/>
    <cellStyle name="Dane wyjściowe 5" xfId="710" xr:uid="{DF484023-0407-41D5-A08B-9C5A160071F4}"/>
    <cellStyle name="Dane wyjściowe 6" xfId="711" xr:uid="{EC6665E4-3C79-4410-B33A-0A35C3931DAD}"/>
    <cellStyle name="Dane wyjściowe 7" xfId="712" xr:uid="{59A86047-28FF-4118-9F0A-A8CA161540C4}"/>
    <cellStyle name="Dane wyjściowe 8" xfId="713" xr:uid="{91D3FA3C-520C-4A2C-B8F2-D2C480136A5A}"/>
    <cellStyle name="Dane wyjściowe 9" xfId="714" xr:uid="{7AD74743-53C3-430E-BA2F-D65760DB96DD}"/>
    <cellStyle name="Dane wyjściowe 9 2" xfId="715" xr:uid="{BC91C3E3-42C9-44AC-9CB5-220AC786D63B}"/>
    <cellStyle name="Dane wyjściowe 9 3" xfId="716" xr:uid="{AE8C0806-E3B2-44F3-9F1D-63A0F83EC4C9}"/>
    <cellStyle name="Dane wyjściowe 9_CHP" xfId="717" xr:uid="{122F9C85-C531-4BC3-9F1F-D14C264F8D76}"/>
    <cellStyle name="Dane wyjściowe_CHP" xfId="718" xr:uid="{24E56A48-43B6-4CDD-A986-3B51E70D225D}"/>
    <cellStyle name="Date" xfId="719" xr:uid="{2C797141-851D-4F8A-8CC3-35682E1F0836}"/>
    <cellStyle name="DateTime" xfId="720" xr:uid="{CFC3553B-5A34-4C72-A2AC-6A774054810B}"/>
    <cellStyle name="Dezimal [0] 2" xfId="721" xr:uid="{C762C17F-ADDF-4DCF-A039-A10553782AF8}"/>
    <cellStyle name="Dezimal [0] 2 2" xfId="722" xr:uid="{24E8BF1C-A697-4E25-B5B1-FA808CD88ACD}"/>
    <cellStyle name="Dezimal 2" xfId="723" xr:uid="{819FAC9A-1A32-4C47-9BA4-1E15DD501339}"/>
    <cellStyle name="Dezimal 3" xfId="724" xr:uid="{7E21CE27-6EA7-40F0-8703-79B943EB03F8}"/>
    <cellStyle name="Dezimal 3 2" xfId="725" xr:uid="{C25246C6-2B77-4613-A62A-A73C6C402BF0}"/>
    <cellStyle name="Dezimal 3 3" xfId="726" xr:uid="{E19D03F3-E7B9-42F1-AD8B-0A0F0FFE86DE}"/>
    <cellStyle name="Dezimal_Results_Pan_EU_OLGA_NUC" xfId="727" xr:uid="{90F73F71-DE0D-4F88-8903-191FB75AF45D}"/>
    <cellStyle name="Dobre" xfId="728" xr:uid="{26426235-F115-43BA-9D65-B02F77723BFA}"/>
    <cellStyle name="Dobre 10" xfId="729" xr:uid="{40A269B6-E3DB-4818-AA2E-89E4D10372FE}"/>
    <cellStyle name="Dobre 10 2" xfId="730" xr:uid="{76EB952E-9B82-40DE-B3C6-3F5C9D6E58F6}"/>
    <cellStyle name="Dobre 10 3" xfId="731" xr:uid="{57E351B3-757B-4709-BBA6-F4D0E9BF8232}"/>
    <cellStyle name="Dobre 10_COM_BND" xfId="732" xr:uid="{D9936B82-F835-4E46-80B4-5E91BDC5CB62}"/>
    <cellStyle name="Dobre 11" xfId="733" xr:uid="{E3A28FB8-62C2-4697-8F79-95BE7692D467}"/>
    <cellStyle name="Dobre 11 2" xfId="734" xr:uid="{4F02AC9F-63E8-4A60-8FDE-6B8181748CC1}"/>
    <cellStyle name="Dobre 12" xfId="735" xr:uid="{A67F1E15-3248-48D5-8C86-4B23FE298DD4}"/>
    <cellStyle name="Dobre 13" xfId="736" xr:uid="{E4323890-D88E-478C-A91B-54547DE561EE}"/>
    <cellStyle name="Dobre 13 2" xfId="737" xr:uid="{4617B853-DF33-4E05-8FB0-1160381B1061}"/>
    <cellStyle name="Dobre 14" xfId="738" xr:uid="{B2DEBB98-DAE1-4461-9ACB-E7B1E6411505}"/>
    <cellStyle name="Dobre 15" xfId="739" xr:uid="{C9965C11-7965-4720-BB00-016D5C2F2329}"/>
    <cellStyle name="Dobre 2" xfId="740" xr:uid="{C083D78C-ECE3-4043-9CE6-706EAF63B55E}"/>
    <cellStyle name="Dobre 3" xfId="741" xr:uid="{5717B726-5D4B-48B3-9026-258F24876B48}"/>
    <cellStyle name="Dobre 4" xfId="742" xr:uid="{4DE2311D-4439-43AA-B722-D6E54112948D}"/>
    <cellStyle name="Dobre 5" xfId="743" xr:uid="{47AD3683-E443-4542-A6FC-C82EEAA2D924}"/>
    <cellStyle name="Dobre 6" xfId="744" xr:uid="{28E4D784-AB3E-4D18-B3AA-62303B1AD95D}"/>
    <cellStyle name="Dobre 7" xfId="745" xr:uid="{D661116C-9BB1-4716-8F3B-F2ABBDBD189E}"/>
    <cellStyle name="Dobre 8" xfId="746" xr:uid="{41A0B1DF-8666-45F8-93BB-5529864F6E8C}"/>
    <cellStyle name="Dobre 9" xfId="747" xr:uid="{E341122A-1E05-43FC-A190-E1F41AFFC8B5}"/>
    <cellStyle name="Dobre 9 2" xfId="748" xr:uid="{0B57B808-1271-4768-AF35-666AC1A96C7E}"/>
    <cellStyle name="Dobre 9 3" xfId="749" xr:uid="{1257EBE0-FB82-40B8-9FA1-E6794EBE3BA3}"/>
    <cellStyle name="Dobre 9_COM_BND" xfId="750" xr:uid="{6E7F8CC8-E429-4751-927F-137416DF5FED}"/>
    <cellStyle name="Dobre_CHP" xfId="751" xr:uid="{56B77F1F-7947-4A01-91E7-08521CF1131B}"/>
    <cellStyle name="Dziesiętny 2" xfId="752" xr:uid="{F3EEFBAD-377F-4C82-857F-B523E0933888}"/>
    <cellStyle name="Eingabe 2" xfId="753" xr:uid="{D1FAED14-665B-40EA-81B9-2BC51B300185}"/>
    <cellStyle name="Ergebnis 2" xfId="754" xr:uid="{C70655D2-4DA0-4CC5-BE27-5189E1DB8BF6}"/>
    <cellStyle name="Erklärender Text 2" xfId="755" xr:uid="{651F9D99-B248-461F-AC5F-1B103E802A10}"/>
    <cellStyle name="Euro" xfId="756" xr:uid="{0AB04486-0BD1-43BF-AEE0-983CA8643617}"/>
    <cellStyle name="Euro 2" xfId="757" xr:uid="{6BB857A6-8B6F-434D-BDB5-5C3C9A191588}"/>
    <cellStyle name="Euro 2 2" xfId="758" xr:uid="{8EF38575-E8FA-4F1F-A47E-1D80D181FBDF}"/>
    <cellStyle name="Euro 2 3" xfId="759" xr:uid="{875F1062-D7FE-4173-979A-D96FAF40A6C3}"/>
    <cellStyle name="Euro 2 4" xfId="760" xr:uid="{AFC10326-6966-42E4-9F0D-7A07A425DBC6}"/>
    <cellStyle name="Euro 2 5" xfId="761" xr:uid="{9B84A588-81CC-469B-B0D6-E876140054DE}"/>
    <cellStyle name="Euro 2 6" xfId="762" xr:uid="{6FE0019B-41D3-4206-A8C4-67F1F3ACC453}"/>
    <cellStyle name="Euro 3" xfId="763" xr:uid="{A08DF40E-918D-4C8E-A0CE-900917BF05BD}"/>
    <cellStyle name="Euro 3 2" xfId="764" xr:uid="{0B8685CB-BEF6-436C-B06C-739E035A9E8E}"/>
    <cellStyle name="Euro 3 3" xfId="765" xr:uid="{3E5D0908-0884-4C8D-8450-1C2849800EB3}"/>
    <cellStyle name="Euro 3_COM_BND" xfId="766" xr:uid="{BB48D9D8-1824-4E7C-8BCF-297AB5159C45}"/>
    <cellStyle name="Euro 4" xfId="767" xr:uid="{97A38048-2EFA-44C4-8B38-1191ED35BB0C}"/>
    <cellStyle name="Euro_COM_BND" xfId="768" xr:uid="{61E923D4-A9EC-4252-A007-2B17F5FCEE3D}"/>
    <cellStyle name="Explanatory Text 2" xfId="769" xr:uid="{DD48A847-C801-4309-952D-0E21693BE46C}"/>
    <cellStyle name="Explanatory Text 3" xfId="770" xr:uid="{D0146376-D3FE-4DEC-8F10-586C6BBEAAA8}"/>
    <cellStyle name="Fixed" xfId="771" xr:uid="{C74783B6-468A-446C-8981-E566B0BBFA60}"/>
    <cellStyle name="Fixed1 - Style1" xfId="772" xr:uid="{4AC5349F-8DE4-428C-AE46-7C8BFE6C6483}"/>
    <cellStyle name="Float" xfId="773" xr:uid="{CB814848-3CB6-4AB9-B5DC-48071C270F0D}"/>
    <cellStyle name="Float 2" xfId="774" xr:uid="{7743AC4D-EF03-4E5A-86D3-40E68EAB7C95}"/>
    <cellStyle name="Good 2" xfId="775" xr:uid="{030EC288-89C3-4261-BE39-8FC7F69BE515}"/>
    <cellStyle name="Good 3" xfId="776" xr:uid="{D77725A3-58FF-4B18-AA43-33A6BED462B8}"/>
    <cellStyle name="Grey" xfId="777" xr:uid="{A7C63742-6D85-4AA2-A6E5-811397A43077}"/>
    <cellStyle name="Gut 2" xfId="778" xr:uid="{854905BC-88C2-4C59-8AFF-E17DD441D582}"/>
    <cellStyle name="HEADER" xfId="779" xr:uid="{B1627007-DD9C-4462-B759-B03D33BA612B}"/>
    <cellStyle name="Heading 1 10" xfId="780" xr:uid="{E379EC5A-F91F-4D0E-83DE-4DE25A33CD25}"/>
    <cellStyle name="Heading 1 11" xfId="781" xr:uid="{9169755E-E1AF-4B86-B0BF-BD9C5C4CC243}"/>
    <cellStyle name="Heading 1 12" xfId="782" xr:uid="{74883CA8-5695-4590-8F76-7FBF52FEF7A6}"/>
    <cellStyle name="Heading 1 13" xfId="783" xr:uid="{9DDA1009-4B35-4D75-99CB-245348B6C131}"/>
    <cellStyle name="Heading 1 14" xfId="784" xr:uid="{3326ED02-80E9-4D75-AE3D-D1EEC8B8D357}"/>
    <cellStyle name="Heading 1 15" xfId="785" xr:uid="{639B4F2A-52D4-4E9A-95B7-C1F18B2DD170}"/>
    <cellStyle name="Heading 1 16" xfId="786" xr:uid="{E55E922A-BE11-4577-916D-8A17CC8DDC5F}"/>
    <cellStyle name="Heading 1 17" xfId="787" xr:uid="{264AD152-48C6-446E-9B9B-E5AD716121B4}"/>
    <cellStyle name="Heading 1 18" xfId="788" xr:uid="{F10A7EAE-2732-4FE7-B976-7CC868EAEBFD}"/>
    <cellStyle name="Heading 1 19" xfId="789" xr:uid="{286E3A6C-D938-474B-B49B-602FF49CC965}"/>
    <cellStyle name="Heading 1 2" xfId="790" xr:uid="{175548BF-3323-4EA1-B771-40BCE4582C57}"/>
    <cellStyle name="Heading 1 2 2" xfId="791" xr:uid="{D50D9BDD-24CD-44ED-B4A5-F7407377AFC8}"/>
    <cellStyle name="Heading 1 2_CHP" xfId="792" xr:uid="{DC25D7E8-01D2-4E87-8A21-44F5A4D4B549}"/>
    <cellStyle name="Heading 1 20" xfId="793" xr:uid="{B5CE3DEE-2E7F-450F-9453-F4F3CAFA7960}"/>
    <cellStyle name="Heading 1 3" xfId="794" xr:uid="{845142E0-3120-4CC8-AF92-BAFBA9368538}"/>
    <cellStyle name="Heading 1 4" xfId="795" xr:uid="{3D111528-9AAA-4A69-A8FD-F2C885DE8C6A}"/>
    <cellStyle name="Heading 1 5" xfId="796" xr:uid="{EC1C6D97-887A-424B-A9C0-20849249D268}"/>
    <cellStyle name="Heading 1 6" xfId="797" xr:uid="{D194DADC-1B2D-4C90-B92D-B9855EFABB2D}"/>
    <cellStyle name="Heading 1 7" xfId="798" xr:uid="{D0494858-93C6-4C9C-8311-269824C71225}"/>
    <cellStyle name="Heading 1 8" xfId="799" xr:uid="{C87CFD01-EC3F-4712-AE80-753A1A970CBE}"/>
    <cellStyle name="Heading 1 9" xfId="800" xr:uid="{19D82882-933D-4323-BD13-E6AB19650C4B}"/>
    <cellStyle name="Heading 2 10" xfId="801" xr:uid="{DF431A32-1B1D-4D93-8503-EB1731E974E0}"/>
    <cellStyle name="Heading 2 11" xfId="802" xr:uid="{C90F7327-1F86-45C7-8608-CCFBDCDD1A5D}"/>
    <cellStyle name="Heading 2 12" xfId="803" xr:uid="{19EE265D-BEB9-42DA-BFC2-B0CC3E6222DB}"/>
    <cellStyle name="Heading 2 13" xfId="804" xr:uid="{72EE629F-2A1C-46BE-994F-C01C66EC1284}"/>
    <cellStyle name="Heading 2 14" xfId="805" xr:uid="{D7BD01E8-D38B-46B0-8F7D-401EB6AC5D81}"/>
    <cellStyle name="Heading 2 15" xfId="806" xr:uid="{874955AD-5605-4216-B9D4-A3EA326B5C8F}"/>
    <cellStyle name="Heading 2 16" xfId="807" xr:uid="{2E58A4C0-8399-4286-AAB5-FC3888A05BD4}"/>
    <cellStyle name="Heading 2 17" xfId="808" xr:uid="{C90142A7-E88A-45D9-806C-25EC997078B8}"/>
    <cellStyle name="Heading 2 18" xfId="809" xr:uid="{AC23C1B6-E610-433D-AF89-4D35C01411FD}"/>
    <cellStyle name="Heading 2 19" xfId="810" xr:uid="{6613A78B-05EF-403A-A1A7-4A6AA1A9D034}"/>
    <cellStyle name="Heading 2 2" xfId="811" xr:uid="{B9DFDF75-93AB-4DF5-BE4F-717A1AC0F561}"/>
    <cellStyle name="Heading 2 2 2" xfId="812" xr:uid="{24515FF8-6EC8-4B59-B9D8-8CD198F85F53}"/>
    <cellStyle name="Heading 2 2_CHP" xfId="813" xr:uid="{C1D984AA-8FDD-4195-8312-B8A16815B632}"/>
    <cellStyle name="Heading 2 20" xfId="814" xr:uid="{18809B75-4099-4A9A-B93B-107BAD05349D}"/>
    <cellStyle name="Heading 2 3" xfId="815" xr:uid="{0438F7C8-A1EF-4437-9215-6FFF02753D48}"/>
    <cellStyle name="Heading 2 4" xfId="816" xr:uid="{AA00462C-4E28-49B2-8B3E-A6E2D7345FD0}"/>
    <cellStyle name="Heading 2 5" xfId="817" xr:uid="{4C053459-4700-4F49-95A3-CE6006BB6206}"/>
    <cellStyle name="Heading 2 6" xfId="818" xr:uid="{A699267F-95BA-408E-B08A-A5065036A558}"/>
    <cellStyle name="Heading 2 7" xfId="819" xr:uid="{0F091D15-F58C-4452-B8A3-EBD7EDAF4919}"/>
    <cellStyle name="Heading 2 8" xfId="820" xr:uid="{31C7F382-F02E-4F0E-93DB-E0D834B457D9}"/>
    <cellStyle name="Heading 2 9" xfId="821" xr:uid="{B4FFB796-04A3-4264-BD05-35753F9E1F11}"/>
    <cellStyle name="Heading 3 2" xfId="822" xr:uid="{D30B5261-04C6-404D-9B33-ED9039E7FCF7}"/>
    <cellStyle name="Heading 3 3" xfId="823" xr:uid="{5C38B249-60E7-4C1C-8429-7E169F72E1B0}"/>
    <cellStyle name="Heading 4 2" xfId="824" xr:uid="{696317F7-4146-43DA-BF53-D34C5DE5872B}"/>
    <cellStyle name="Heading 4 3" xfId="825" xr:uid="{04D26947-F7AE-40DB-AEB7-8154717F878B}"/>
    <cellStyle name="Heading1" xfId="826" xr:uid="{30718626-4C60-4960-9959-2E289A61A3C2}"/>
    <cellStyle name="Heading2" xfId="827" xr:uid="{2DBBAE09-105D-429C-8B92-8D0E5AD406A6}"/>
    <cellStyle name="Headline" xfId="828" xr:uid="{50AEC247-C99F-4C76-A8E1-149AE37CFE1A}"/>
    <cellStyle name="HIGHLIGHT" xfId="829" xr:uid="{7F814FAB-5ECC-422F-87B8-FF9535A6C8E7}"/>
    <cellStyle name="Hiperłącze 10" xfId="830" xr:uid="{6B2254D3-F410-48C6-9F72-FDC7990E510C}"/>
    <cellStyle name="Hiperłącze 11" xfId="25" xr:uid="{C9EB20C5-7342-4B4C-93A0-626F199B3C9D}"/>
    <cellStyle name="Hiperłącze 11 2" xfId="831" xr:uid="{7A03242E-14BF-4437-98C2-C64AB08AF6DA}"/>
    <cellStyle name="Hiperłącze 2" xfId="832" xr:uid="{D04F6B4D-A936-4DCE-926A-B8233A7BD2B1}"/>
    <cellStyle name="Hiperłącze 2 2" xfId="833" xr:uid="{0026AEE0-07BF-4AAC-A338-C817EDAFA2B6}"/>
    <cellStyle name="Hiperłącze 2 2 2" xfId="834" xr:uid="{688AFC93-7832-406E-8E48-A48A6B7BF640}"/>
    <cellStyle name="Hiperłącze 2 2 3" xfId="835" xr:uid="{91434DDF-8664-4A0B-A19F-F0DD4447805F}"/>
    <cellStyle name="Hiperłącze 2 3" xfId="836" xr:uid="{A6A63497-CB3E-41A4-91E2-7B6F93EB3CCD}"/>
    <cellStyle name="Hiperłącze 2 4" xfId="837" xr:uid="{4B7B4839-A249-42AD-85C2-1AD488C83856}"/>
    <cellStyle name="Hiperłącze 2_CHP" xfId="838" xr:uid="{A9E5A374-FDA1-4D38-8F10-EA4B5F6D438F}"/>
    <cellStyle name="Hiperłącze 3" xfId="839" xr:uid="{7F803FFA-F445-4140-89DC-680EB9CC8F20}"/>
    <cellStyle name="Hiperłącze 4" xfId="840" xr:uid="{243749FE-0678-47B7-ABBE-D33D96E80DEC}"/>
    <cellStyle name="Hiperłącze 5" xfId="841" xr:uid="{340A17EC-2A67-444E-8AE2-B4D70E090A67}"/>
    <cellStyle name="Hiperłącze 6" xfId="842" xr:uid="{7E0760CC-29AA-413E-B1FA-9672146E97CE}"/>
    <cellStyle name="Hiperłącze 7" xfId="843" xr:uid="{3A4854FC-47BA-425B-BF8D-67AE008577E9}"/>
    <cellStyle name="Hiperłącze 8" xfId="844" xr:uid="{C8C9E97A-D740-4161-A840-3339136F5B66}"/>
    <cellStyle name="Hiperłącze 9" xfId="845" xr:uid="{7C247058-F7F6-4A61-A3F6-449370478A02}"/>
    <cellStyle name="Hyperlink" xfId="18" builtinId="8"/>
    <cellStyle name="Hyperlink 2" xfId="846" xr:uid="{CBD062DD-8252-4139-9E15-C8F8D2459A5F}"/>
    <cellStyle name="Hyperlink 3" xfId="847" xr:uid="{1505717B-F7C1-4A02-BC23-E8E295BE6592}"/>
    <cellStyle name="Hyperlink 3 2" xfId="848" xr:uid="{FA060B66-3059-41D1-9177-32F18A6113D8}"/>
    <cellStyle name="Hyperlink 3 2 2" xfId="849" xr:uid="{BF414776-7F10-46D9-8C61-E6C8F637A4D9}"/>
    <cellStyle name="Hyperlink 3 2 3" xfId="850" xr:uid="{FD5E338F-4A72-437B-982C-E84E24444282}"/>
    <cellStyle name="Hyperlink 3 3" xfId="851" xr:uid="{DE454919-BFFB-4873-B09A-881FE4F214E2}"/>
    <cellStyle name="Hyperlink 3 4" xfId="852" xr:uid="{2D16F1AA-C555-401A-BDFB-57CF21EF1F14}"/>
    <cellStyle name="Hyperlink 3_CHP" xfId="853" xr:uid="{C76E4290-3C05-405A-94AD-8A5854535453}"/>
    <cellStyle name="Hyperlink 4" xfId="854" xr:uid="{970B8D20-B30D-4296-8AF9-5D4AF6866EFA}"/>
    <cellStyle name="Input [yellow]" xfId="855" xr:uid="{4F486BB0-FD4A-4646-88D3-3520FBA21E81}"/>
    <cellStyle name="Input 10" xfId="856" xr:uid="{3B0A39AA-4BE2-4D13-A68F-6D9C60978847}"/>
    <cellStyle name="Input 11" xfId="857" xr:uid="{66AEFE80-E97B-44F6-AEC1-580BFF6E3656}"/>
    <cellStyle name="Input 12" xfId="858" xr:uid="{70CEFF08-BEC0-4E9D-81F0-2753CB157CB1}"/>
    <cellStyle name="Input 13" xfId="859" xr:uid="{8F379640-F240-41A4-B074-D4DE6D75A597}"/>
    <cellStyle name="Input 14" xfId="860" xr:uid="{437E93CE-49AF-4F81-95A1-047C6C2F3566}"/>
    <cellStyle name="Input 15" xfId="861" xr:uid="{FE921F11-D466-4972-A59C-C83879019B2F}"/>
    <cellStyle name="Input 16" xfId="862" xr:uid="{F77A8DF7-EF89-46AB-A5CB-5BF4372AD44C}"/>
    <cellStyle name="Input 17" xfId="863" xr:uid="{284E89CE-19A6-4DED-9B63-79FB4B98FD32}"/>
    <cellStyle name="Input 18" xfId="864" xr:uid="{87CF083F-0E95-429C-B458-7A8AD90734AD}"/>
    <cellStyle name="Input 19" xfId="865" xr:uid="{F5ACCBDF-1C08-4341-BA6B-54FB6504A7BF}"/>
    <cellStyle name="Input 2" xfId="866" xr:uid="{D7CA6A43-2148-4F57-A74B-C31CAA34D01E}"/>
    <cellStyle name="Input 20" xfId="867" xr:uid="{3A8E7B59-A031-45F3-8594-3913E7C02D3F}"/>
    <cellStyle name="Input 21" xfId="868" xr:uid="{D014949D-6ECE-4761-81A5-0835371450D6}"/>
    <cellStyle name="Input 22" xfId="869" xr:uid="{C973FC50-E7AF-4640-8CE6-9A8F5AFFA739}"/>
    <cellStyle name="Input 23" xfId="870" xr:uid="{8547E6FD-F366-4590-BEBB-E2F6C05A40F2}"/>
    <cellStyle name="Input 24" xfId="871" xr:uid="{E3E99605-7EFF-4166-AADC-EF9D2E523795}"/>
    <cellStyle name="Input 25" xfId="872" xr:uid="{C5BD448A-67BD-45C7-B597-85D8FA66E07A}"/>
    <cellStyle name="Input 26" xfId="873" xr:uid="{DA15A8F0-8E8B-4D03-8726-6D9D0F8D5E68}"/>
    <cellStyle name="Input 27" xfId="874" xr:uid="{66B805CB-4F4C-4CDC-B749-E9BD82B344E9}"/>
    <cellStyle name="Input 28" xfId="875" xr:uid="{EF47813D-55AF-4ED7-AD1B-73406ABEC32D}"/>
    <cellStyle name="Input 29" xfId="876" xr:uid="{692338D7-7956-4C3B-AFCF-D0C14C7D5752}"/>
    <cellStyle name="Input 3" xfId="877" xr:uid="{ED0D90FA-5B02-4868-8260-3963FAAD6D13}"/>
    <cellStyle name="Input 30" xfId="878" xr:uid="{C05E7FCF-F82D-42F8-BC39-D3CC9C53AFD8}"/>
    <cellStyle name="Input 31" xfId="879" xr:uid="{64CB62D2-C0A0-42BC-938D-B99A8833E706}"/>
    <cellStyle name="Input 32" xfId="880" xr:uid="{A52D5B90-A3D7-48CB-B25B-1192148E19B7}"/>
    <cellStyle name="Input 33" xfId="881" xr:uid="{123BA4C9-65E9-47B6-8423-9F98B5E33194}"/>
    <cellStyle name="Input 34" xfId="882" xr:uid="{6F7CE600-D332-4E5B-8E76-A2E64D1A48AC}"/>
    <cellStyle name="Input 35" xfId="883" xr:uid="{778D7651-3A7A-4F60-A3C7-91D7216AFDAA}"/>
    <cellStyle name="Input 36" xfId="884" xr:uid="{0726F039-8254-4EE1-8600-D212918C6932}"/>
    <cellStyle name="Input 37" xfId="885" xr:uid="{141AACF3-9C7A-43FE-8B59-96854147EDE8}"/>
    <cellStyle name="Input 38" xfId="886" xr:uid="{2FACF982-ED0D-4ADA-A21A-5E5AD6ACF051}"/>
    <cellStyle name="Input 39" xfId="887" xr:uid="{1B44A420-56CB-4712-A4E7-5BFE2ADFF5BE}"/>
    <cellStyle name="Input 4" xfId="888" xr:uid="{9AFD92BE-F2C2-4CD7-BC03-89211054DB4A}"/>
    <cellStyle name="Input 40" xfId="889" xr:uid="{E55D68B9-97C4-4938-B2C7-19E667C582C4}"/>
    <cellStyle name="Input 41" xfId="890" xr:uid="{07755866-14E5-4974-A155-463D47EEA915}"/>
    <cellStyle name="Input 42" xfId="891" xr:uid="{5D2BBB65-25AE-41B4-87D8-66A2DD134CF9}"/>
    <cellStyle name="Input 43" xfId="892" xr:uid="{BEF2B7A9-A585-4774-B580-C4F242C51F42}"/>
    <cellStyle name="Input 44" xfId="893" xr:uid="{B5DC0221-4CCA-42CB-B16D-C18AFE57BE14}"/>
    <cellStyle name="Input 45" xfId="894" xr:uid="{E0C2DBC1-51A0-4A06-BE77-10DB38D96D19}"/>
    <cellStyle name="Input 46" xfId="895" xr:uid="{84A19FB6-59F4-407A-8366-9F0DB20F7079}"/>
    <cellStyle name="Input 47" xfId="896" xr:uid="{81F7172D-E6C2-49CA-B929-FDFA553A62E0}"/>
    <cellStyle name="Input 48" xfId="897" xr:uid="{5492FDD3-92BC-432E-8DA7-E0D575FA8B89}"/>
    <cellStyle name="Input 49" xfId="898" xr:uid="{5FA79D55-8AAA-43AA-B596-73808390DE7E}"/>
    <cellStyle name="Input 5" xfId="899" xr:uid="{90A25004-DD7F-4BA7-BA0A-9281317F5B69}"/>
    <cellStyle name="Input 50" xfId="900" xr:uid="{E1BC4D19-9C2F-4937-9938-4362B2D74D57}"/>
    <cellStyle name="Input 51" xfId="901" xr:uid="{A61CF847-A191-4ECB-BF4F-6F79D7FD4DFA}"/>
    <cellStyle name="Input 6" xfId="902" xr:uid="{70A4A2E5-C81F-4F93-B94D-8F096A6A9857}"/>
    <cellStyle name="Input 7" xfId="903" xr:uid="{49E7A559-ADE6-4D68-8A2B-E6DECA2CE29D}"/>
    <cellStyle name="Input 8" xfId="904" xr:uid="{E39471C9-D77E-41FB-B200-48EF04BB670D}"/>
    <cellStyle name="Input 9" xfId="905" xr:uid="{2962D892-466F-464D-8F1B-6B8F70F8DAFF}"/>
    <cellStyle name="InputCells" xfId="906" xr:uid="{504C1310-4805-4E0E-8E50-3A5EFF297C9A}"/>
    <cellStyle name="InputCells12_BBorder_CRFReport-template" xfId="907" xr:uid="{CAEDE03F-ABB2-4790-9809-4CB57DA14D05}"/>
    <cellStyle name="Komma 2" xfId="908" xr:uid="{B7BD4464-7E20-4F63-A5FF-E1133C111CD4}"/>
    <cellStyle name="Komma 3" xfId="909" xr:uid="{677C9075-7AE7-4A2C-A977-0290B92D3620}"/>
    <cellStyle name="Komma 4" xfId="910" xr:uid="{D9B43BB8-C7DC-440A-A440-E325A3889DE4}"/>
    <cellStyle name="Komórka połączona" xfId="911" xr:uid="{933F0B69-F7E6-4811-B5A0-ACFD6A740EFD}"/>
    <cellStyle name="Komórka połączona 10" xfId="912" xr:uid="{0FEB32F3-0225-4A5F-95C4-26B621FF85A7}"/>
    <cellStyle name="Komórka połączona 10 2" xfId="913" xr:uid="{4E0718D2-5CB2-4236-90C8-792645802C2A}"/>
    <cellStyle name="Komórka połączona 10 3" xfId="914" xr:uid="{6E2D04E2-A069-4294-978C-C3694644D8CD}"/>
    <cellStyle name="Komórka połączona 10_CHP" xfId="915" xr:uid="{8DC7541D-2CF7-4FB1-A012-5267AACFD2C6}"/>
    <cellStyle name="Komórka połączona 11" xfId="916" xr:uid="{74EB790A-7F3C-40FB-BC73-CDEDA7BF8786}"/>
    <cellStyle name="Komórka połączona 11 2" xfId="917" xr:uid="{053AA3B0-3975-4897-8DE7-1AD6A96959C8}"/>
    <cellStyle name="Komórka połączona 11_CHP" xfId="918" xr:uid="{C322C168-8F99-43F0-8068-FCC08A2FFABF}"/>
    <cellStyle name="Komórka połączona 12" xfId="919" xr:uid="{6DC53033-8316-4F7A-9139-B0992865A04E}"/>
    <cellStyle name="Komórka połączona 13" xfId="920" xr:uid="{6BE73108-2DCF-4939-92B0-AA3A3E5AB771}"/>
    <cellStyle name="Komórka połączona 14" xfId="921" xr:uid="{0EB1C905-364B-49E9-A7C6-6D6644ECEB9F}"/>
    <cellStyle name="Komórka połączona 15" xfId="922" xr:uid="{6C0B22EA-E6F6-4561-968A-A7172AB03667}"/>
    <cellStyle name="Komórka połączona 2" xfId="923" xr:uid="{127AA317-4706-40ED-BACD-69E54444E8A4}"/>
    <cellStyle name="Komórka połączona 3" xfId="924" xr:uid="{26770EB3-4AF1-4EA7-A15C-A0CDD179F95B}"/>
    <cellStyle name="Komórka połączona 4" xfId="925" xr:uid="{892FBB02-9152-4442-871E-BCCE3DB0818D}"/>
    <cellStyle name="Komórka połączona 5" xfId="926" xr:uid="{C7200B2C-1AE1-4FB0-BF79-2026409AA9ED}"/>
    <cellStyle name="Komórka połączona 6" xfId="927" xr:uid="{E6C414E4-56CD-49F7-8F62-17C94EBE1248}"/>
    <cellStyle name="Komórka połączona 7" xfId="928" xr:uid="{2317184B-5390-4CAC-9D8F-79B1CEA226E1}"/>
    <cellStyle name="Komórka połączona 8" xfId="929" xr:uid="{757C75DC-9EBC-4525-B23C-BF11E90B0F4B}"/>
    <cellStyle name="Komórka połączona 9" xfId="930" xr:uid="{394E2A7C-79C7-4A18-BADE-099C2F3EB784}"/>
    <cellStyle name="Komórka połączona 9 2" xfId="931" xr:uid="{DF386721-8697-41BF-A1A3-CE92EB98292B}"/>
    <cellStyle name="Komórka połączona 9 3" xfId="932" xr:uid="{1FF28A47-CB5E-4CDE-AABB-488FD87D817A}"/>
    <cellStyle name="Komórka połączona 9_CHP" xfId="933" xr:uid="{A5F2A7F5-E961-4EFD-94C9-B3EA55E2E3AF}"/>
    <cellStyle name="Komórka połączona_CHP" xfId="934" xr:uid="{9D88E8C8-C182-4CEA-87EE-D8ABCFCE8D07}"/>
    <cellStyle name="Komórka zaznaczona" xfId="935" xr:uid="{95101AD1-4BF0-420F-85EE-AD47E768BAF6}"/>
    <cellStyle name="Komórka zaznaczona 10" xfId="936" xr:uid="{1D7E674D-DC00-49FA-936E-4FD34FD2477C}"/>
    <cellStyle name="Komórka zaznaczona 10 2" xfId="937" xr:uid="{985DDF0D-148F-42FF-807A-49CDA620078F}"/>
    <cellStyle name="Komórka zaznaczona 10 3" xfId="938" xr:uid="{57DC84DE-1427-4815-9862-DEFBCBC59D0B}"/>
    <cellStyle name="Komórka zaznaczona 10_CHP" xfId="939" xr:uid="{4CC85094-FA45-41B2-8108-26FE220C0A68}"/>
    <cellStyle name="Komórka zaznaczona 11" xfId="940" xr:uid="{02024766-603F-447F-BB08-17784B34A5F6}"/>
    <cellStyle name="Komórka zaznaczona 11 2" xfId="941" xr:uid="{1D40C2F2-EC4B-4730-8AF6-F7A0613B9B9D}"/>
    <cellStyle name="Komórka zaznaczona 11_CHP" xfId="942" xr:uid="{AA58FF8F-0E1A-4D71-8539-5E5562C9A88E}"/>
    <cellStyle name="Komórka zaznaczona 12" xfId="943" xr:uid="{D3D28E91-8448-4268-BEDD-CD8F8847CED9}"/>
    <cellStyle name="Komórka zaznaczona 13" xfId="944" xr:uid="{4CB76795-EEC2-4B5D-BA31-91C01F870F44}"/>
    <cellStyle name="Komórka zaznaczona 14" xfId="945" xr:uid="{24EB20BA-E17F-4458-A772-88C51E32E0C6}"/>
    <cellStyle name="Komórka zaznaczona 15" xfId="946" xr:uid="{07D2F937-4BEB-4BE5-BC56-C4D366ACBEBF}"/>
    <cellStyle name="Komórka zaznaczona 2" xfId="947" xr:uid="{CF740973-9062-4DFD-AF40-15F631EB555B}"/>
    <cellStyle name="Komórka zaznaczona 3" xfId="948" xr:uid="{2412A5E1-CDB5-4E7F-862A-F8905003BCF8}"/>
    <cellStyle name="Komórka zaznaczona 4" xfId="949" xr:uid="{75534C7E-5816-4528-9CF5-24E3D5384E16}"/>
    <cellStyle name="Komórka zaznaczona 5" xfId="950" xr:uid="{6874B7E2-1953-457A-A0C1-2533DFF028EC}"/>
    <cellStyle name="Komórka zaznaczona 6" xfId="951" xr:uid="{EF577657-5CC0-474C-8859-B663CC122098}"/>
    <cellStyle name="Komórka zaznaczona 7" xfId="952" xr:uid="{B4896144-A65B-47D4-9F52-7B09C35A9B08}"/>
    <cellStyle name="Komórka zaznaczona 8" xfId="953" xr:uid="{7FB82D10-ECB2-4687-856B-D11F08ADE95B}"/>
    <cellStyle name="Komórka zaznaczona 9" xfId="954" xr:uid="{B515FF10-D198-447B-95C2-F81764875248}"/>
    <cellStyle name="Komórka zaznaczona 9 2" xfId="955" xr:uid="{9527C87D-FCD4-4D41-A2D3-6B2720291944}"/>
    <cellStyle name="Komórka zaznaczona 9 3" xfId="956" xr:uid="{9CDF1BB0-F035-4953-AD1C-071E6C56F264}"/>
    <cellStyle name="Komórka zaznaczona 9_CHP" xfId="957" xr:uid="{62777BB8-6656-4C26-906B-21817C6F6AA4}"/>
    <cellStyle name="Komórka zaznaczona_CHP" xfId="958" xr:uid="{F3A391C2-7DA0-4A2F-BCF7-210A2E25F74B}"/>
    <cellStyle name="Linked Cell 2" xfId="959" xr:uid="{8FB590B8-3713-40A4-9E81-56226C59DEE0}"/>
    <cellStyle name="Linked Cell 3" xfId="960" xr:uid="{9AAB439D-E122-4ABC-BF49-DA585B380264}"/>
    <cellStyle name="Nagłówek 1" xfId="961" xr:uid="{1E48A516-00DE-40D9-A37C-0BD3E5E98E56}"/>
    <cellStyle name="Nagłówek 1 10" xfId="962" xr:uid="{FCF602D3-B444-4143-8CB7-2D5DBD177EEA}"/>
    <cellStyle name="Nagłówek 1 10 2" xfId="963" xr:uid="{B4F3357F-3881-48F3-AE76-45253288794C}"/>
    <cellStyle name="Nagłówek 1 10 3" xfId="964" xr:uid="{E807FED7-FDEB-46B0-BBF9-1D44539C5FD6}"/>
    <cellStyle name="Nagłówek 1 10_CHP" xfId="965" xr:uid="{5C9F0F3E-0321-4736-9914-AB716E7A503E}"/>
    <cellStyle name="Nagłówek 1 11" xfId="966" xr:uid="{AB2FBE2D-E543-45E1-A441-3EE328B526B0}"/>
    <cellStyle name="Nagłówek 1 11 2" xfId="967" xr:uid="{52341573-7225-4C71-AD59-7525515E2B85}"/>
    <cellStyle name="Nagłówek 1 11_CHP" xfId="968" xr:uid="{8F48B3C8-5979-4AF8-AD11-11F2022342DB}"/>
    <cellStyle name="Nagłówek 1 12" xfId="969" xr:uid="{191AF850-DA7C-433B-862D-1558D08EFDEC}"/>
    <cellStyle name="Nagłówek 1 13" xfId="970" xr:uid="{BA93AA07-E15B-4EA8-9DC6-54E31C09EE53}"/>
    <cellStyle name="Nagłówek 1 14" xfId="971" xr:uid="{AE96CAAB-7FF8-4BCD-BD62-F846155F2E7C}"/>
    <cellStyle name="Nagłówek 1 15" xfId="972" xr:uid="{AC78AA77-1D74-4EC8-A985-612328543E44}"/>
    <cellStyle name="Nagłówek 1 2" xfId="973" xr:uid="{14D52D43-402D-448D-8E72-14E8AC6B9870}"/>
    <cellStyle name="Nagłówek 1 3" xfId="974" xr:uid="{FCF23F41-E068-442B-9FF7-3161461BEF88}"/>
    <cellStyle name="Nagłówek 1 4" xfId="975" xr:uid="{0173645B-1D94-4767-B838-58CC5E1B0C71}"/>
    <cellStyle name="Nagłówek 1 5" xfId="976" xr:uid="{46DB97DA-2D1D-4007-BB89-B20084E769B2}"/>
    <cellStyle name="Nagłówek 1 6" xfId="977" xr:uid="{0EEA9B96-5C68-4902-BAF2-8CB1A1D5A880}"/>
    <cellStyle name="Nagłówek 1 7" xfId="978" xr:uid="{6059B8F5-C92E-40FE-8AE8-E9600CC0B029}"/>
    <cellStyle name="Nagłówek 1 8" xfId="979" xr:uid="{6528C905-2848-412B-8577-51FDE72791EA}"/>
    <cellStyle name="Nagłówek 1 9" xfId="980" xr:uid="{C90BF1AE-D4F8-413B-B641-07DD7A7C62AD}"/>
    <cellStyle name="Nagłówek 1 9 2" xfId="981" xr:uid="{79E6C911-3A2E-4845-B5C8-A0D145E99E7A}"/>
    <cellStyle name="Nagłówek 1 9 3" xfId="982" xr:uid="{452706C8-07F3-4345-AF7C-E5F6E489C568}"/>
    <cellStyle name="Nagłówek 1 9_CHP" xfId="983" xr:uid="{EB00A45D-CC9A-4322-86C2-E3E76E70F49F}"/>
    <cellStyle name="Nagłówek 1_CHP" xfId="984" xr:uid="{0B59DED8-19E9-46E6-8622-27F2F1DE7058}"/>
    <cellStyle name="Nagłówek 2" xfId="985" xr:uid="{DCB5B44C-2171-4D6D-8936-8ADB52631813}"/>
    <cellStyle name="Nagłówek 2 10" xfId="986" xr:uid="{AFE88688-5D1A-47C5-AA90-5FC67F2A35BD}"/>
    <cellStyle name="Nagłówek 2 10 2" xfId="987" xr:uid="{D7B92DA5-C4FA-4884-B669-5C179E2BDA2B}"/>
    <cellStyle name="Nagłówek 2 10 3" xfId="988" xr:uid="{7829A205-2693-4E2A-9BD8-1B6407EC1B04}"/>
    <cellStyle name="Nagłówek 2 10_CHP" xfId="989" xr:uid="{6D983A7A-8C2E-48B4-929E-FC32D22E9903}"/>
    <cellStyle name="Nagłówek 2 11" xfId="990" xr:uid="{91F9F098-27BD-4806-8786-9D118E0DE1E6}"/>
    <cellStyle name="Nagłówek 2 11 2" xfId="991" xr:uid="{FBEA63F1-F23E-4D36-A98F-FFF8FA04F047}"/>
    <cellStyle name="Nagłówek 2 11_CHP" xfId="992" xr:uid="{1C532D32-F9C4-49FF-8C6E-801DD3451224}"/>
    <cellStyle name="Nagłówek 2 12" xfId="993" xr:uid="{A951DA97-E281-4F21-8A1D-C86E9F15F7EA}"/>
    <cellStyle name="Nagłówek 2 13" xfId="994" xr:uid="{4CDB7E2D-F57B-4A12-9678-BD0168995FCA}"/>
    <cellStyle name="Nagłówek 2 14" xfId="995" xr:uid="{ACA32C5A-CCCF-432F-895A-87C420D3F8B8}"/>
    <cellStyle name="Nagłówek 2 15" xfId="996" xr:uid="{C77FF16F-D91B-44B8-BAB2-F0F095CC8563}"/>
    <cellStyle name="Nagłówek 2 2" xfId="997" xr:uid="{81A5CBE1-1C38-43E0-8468-4F9853ED33C2}"/>
    <cellStyle name="Nagłówek 2 3" xfId="998" xr:uid="{40D86DE2-8178-4F93-AF44-8E30EDAFB75F}"/>
    <cellStyle name="Nagłówek 2 4" xfId="999" xr:uid="{371660B9-7B99-4AD0-BB17-ECDCD4ADBE43}"/>
    <cellStyle name="Nagłówek 2 5" xfId="1000" xr:uid="{DB84F69B-00D0-4ADF-ACAA-48AAE6CE6F10}"/>
    <cellStyle name="Nagłówek 2 6" xfId="1001" xr:uid="{7966C136-9068-48EB-B9F5-79F38CC46C7F}"/>
    <cellStyle name="Nagłówek 2 7" xfId="1002" xr:uid="{0A8DDE1F-200F-4BA0-BD35-AD31DD12A790}"/>
    <cellStyle name="Nagłówek 2 8" xfId="1003" xr:uid="{0B59587D-03EF-4CD8-9FA4-61E5E177D666}"/>
    <cellStyle name="Nagłówek 2 9" xfId="1004" xr:uid="{55F9C0DC-7D37-436D-AE9E-B3D42E99D9AE}"/>
    <cellStyle name="Nagłówek 2 9 2" xfId="1005" xr:uid="{1115F36B-35FF-4BD6-A6FD-7A46E8271EA0}"/>
    <cellStyle name="Nagłówek 2 9 3" xfId="1006" xr:uid="{0DB59E1B-7C1F-41C8-AB87-C644495ABD03}"/>
    <cellStyle name="Nagłówek 2 9_CHP" xfId="1007" xr:uid="{92C23B4F-0183-45D7-95A2-7A18E570B76D}"/>
    <cellStyle name="Nagłówek 2_CHP" xfId="1008" xr:uid="{1772DF9A-23EB-430C-8A06-ED9EBBBF8826}"/>
    <cellStyle name="Nagłówek 3" xfId="1009" xr:uid="{AA5989C5-1767-4C46-ADE4-CAEA3F5555C7}"/>
    <cellStyle name="Nagłówek 3 10" xfId="1010" xr:uid="{D8A5588D-C628-475C-B37B-00F20F037276}"/>
    <cellStyle name="Nagłówek 3 10 2" xfId="1011" xr:uid="{30DCDFDE-5C21-48DE-9A0C-7E187BAE7A47}"/>
    <cellStyle name="Nagłówek 3 10 3" xfId="1012" xr:uid="{B5792158-5AF7-48AC-8804-A58A90CD1931}"/>
    <cellStyle name="Nagłówek 3 10_CHP" xfId="1013" xr:uid="{A49D9295-0FFE-4427-96CD-01D3FA500025}"/>
    <cellStyle name="Nagłówek 3 11" xfId="1014" xr:uid="{1772B1B9-AB7F-4403-ACA5-0C8EABC1CEA6}"/>
    <cellStyle name="Nagłówek 3 11 2" xfId="1015" xr:uid="{DB646963-FAC0-4058-9C79-6300C3A1F69D}"/>
    <cellStyle name="Nagłówek 3 11_CHP" xfId="1016" xr:uid="{57C6A51F-AB72-4793-B505-60BD6A2B8D3A}"/>
    <cellStyle name="Nagłówek 3 12" xfId="1017" xr:uid="{CDD4420B-00B9-4E78-BA7B-F8B2F426284E}"/>
    <cellStyle name="Nagłówek 3 13" xfId="1018" xr:uid="{428F95CF-E67E-4832-BB95-FF0404F70FA0}"/>
    <cellStyle name="Nagłówek 3 14" xfId="1019" xr:uid="{05D1CF63-AEB0-47B1-AB16-88FDBE0BD5D6}"/>
    <cellStyle name="Nagłówek 3 15" xfId="1020" xr:uid="{E8EFCDB3-763B-425E-84F6-3C31EE0D3F49}"/>
    <cellStyle name="Nagłówek 3 2" xfId="1021" xr:uid="{D0E5D8E0-1068-4ED8-973B-735F840CB1C7}"/>
    <cellStyle name="Nagłówek 3 3" xfId="1022" xr:uid="{9792CF64-9327-4FE4-8BC2-6558B6641B1C}"/>
    <cellStyle name="Nagłówek 3 4" xfId="1023" xr:uid="{B0075BE0-3344-45C2-8524-AADDD5BA3C62}"/>
    <cellStyle name="Nagłówek 3 5" xfId="1024" xr:uid="{F95ED4BB-215A-4FB1-B3C9-AAA8A446E2D9}"/>
    <cellStyle name="Nagłówek 3 6" xfId="1025" xr:uid="{E661A800-E144-4861-AF33-F5E9138A3361}"/>
    <cellStyle name="Nagłówek 3 7" xfId="1026" xr:uid="{EF80A69F-9F0E-428A-937D-BEF2778220CD}"/>
    <cellStyle name="Nagłówek 3 8" xfId="1027" xr:uid="{B4434B77-F473-4300-80E5-84FA8BA1D2C3}"/>
    <cellStyle name="Nagłówek 3 9" xfId="1028" xr:uid="{1C1AD5D0-2FF9-4D00-A6E3-6390326A9FA1}"/>
    <cellStyle name="Nagłówek 3 9 2" xfId="1029" xr:uid="{0BA82B95-10CD-4BBB-8B3A-78D0FE698D26}"/>
    <cellStyle name="Nagłówek 3 9 3" xfId="1030" xr:uid="{FCEB5757-AF57-43E3-827F-628F53B896B3}"/>
    <cellStyle name="Nagłówek 3 9_CHP" xfId="1031" xr:uid="{3313E1FE-71E9-4868-A89E-5DB7C500FA1E}"/>
    <cellStyle name="Nagłówek 3_CHP" xfId="1032" xr:uid="{7070AF9E-3871-454A-957A-D63A56873E5E}"/>
    <cellStyle name="Nagłówek 4" xfId="1033" xr:uid="{1C744AD6-B943-48AC-9B96-1DF14346DF70}"/>
    <cellStyle name="Nagłówek 4 10" xfId="1034" xr:uid="{C82EC2CE-B7B4-443E-BDCD-0785A6FE943F}"/>
    <cellStyle name="Nagłówek 4 10 2" xfId="1035" xr:uid="{0DE0A798-5D57-459E-9A2B-783679399054}"/>
    <cellStyle name="Nagłówek 4 10 3" xfId="1036" xr:uid="{0083A58C-D9BF-4C4D-A07E-4AB87B36CA4B}"/>
    <cellStyle name="Nagłówek 4 10_COM_BND" xfId="1037" xr:uid="{6263B8A0-87C3-4862-B94D-1F0819719281}"/>
    <cellStyle name="Nagłówek 4 11" xfId="1038" xr:uid="{2BF2EEE3-97F7-4173-B9EB-A2DF0573AB3B}"/>
    <cellStyle name="Nagłówek 4 11 2" xfId="1039" xr:uid="{8835CAD5-C4BD-49FB-AB51-BF39318B6359}"/>
    <cellStyle name="Nagłówek 4 12" xfId="1040" xr:uid="{DEB37CAE-C7CC-4535-B1CC-796BAC4B3469}"/>
    <cellStyle name="Nagłówek 4 13" xfId="1041" xr:uid="{CC3C30DB-01B3-4E4F-AF3E-97A61A421A6D}"/>
    <cellStyle name="Nagłówek 4 14" xfId="1042" xr:uid="{3E86339B-5CDC-4629-BD97-B03EE18B39EB}"/>
    <cellStyle name="Nagłówek 4 15" xfId="1043" xr:uid="{F504B0A6-BE91-42D2-8CE9-217C034407D8}"/>
    <cellStyle name="Nagłówek 4 2" xfId="1044" xr:uid="{D4B741FE-E4D0-4677-A445-06C4822CAA0A}"/>
    <cellStyle name="Nagłówek 4 3" xfId="1045" xr:uid="{6BE021CD-0A01-45C4-891E-D50B7FC4F094}"/>
    <cellStyle name="Nagłówek 4 4" xfId="1046" xr:uid="{B83972D8-0BB0-4F4B-A5A1-2043B5AD7650}"/>
    <cellStyle name="Nagłówek 4 5" xfId="1047" xr:uid="{7AF388AB-1614-429C-8125-02C586287202}"/>
    <cellStyle name="Nagłówek 4 6" xfId="1048" xr:uid="{92B31E87-8558-4017-97AE-9812995946AF}"/>
    <cellStyle name="Nagłówek 4 7" xfId="1049" xr:uid="{58BA374E-5D8C-4541-9889-C73205329B2A}"/>
    <cellStyle name="Nagłówek 4 8" xfId="1050" xr:uid="{4F93D637-AB97-4B02-895C-BD06BE5E743A}"/>
    <cellStyle name="Nagłówek 4 9" xfId="1051" xr:uid="{542F300D-C360-41BF-9042-260BD31AADA0}"/>
    <cellStyle name="Nagłówek 4 9 2" xfId="1052" xr:uid="{C560EB90-8213-48D6-9317-CAD9BF9520DF}"/>
    <cellStyle name="Nagłówek 4 9 3" xfId="1053" xr:uid="{9A942E60-741E-4356-A7E9-827C41A8002D}"/>
    <cellStyle name="Nagłówek 4 9_COM_BND" xfId="1054" xr:uid="{75EF51D2-B3C8-41D5-97BB-9349B538BB31}"/>
    <cellStyle name="Nagłówek 4_CHP" xfId="1055" xr:uid="{13919A5C-AE89-482F-8E6B-480E7F8CAE1A}"/>
    <cellStyle name="Neutral 2" xfId="1056" xr:uid="{42C11978-E47B-4E14-B7B9-22B89458CD0D}"/>
    <cellStyle name="Neutral 3" xfId="1057" xr:uid="{BC830AB4-3C6B-4BCB-BBE7-AEC3ED8F5EAC}"/>
    <cellStyle name="Neutralne" xfId="1058" xr:uid="{F9842AB5-5D61-4CB6-A795-F92837756DBC}"/>
    <cellStyle name="Neutralne 10" xfId="1059" xr:uid="{02A56489-95D4-4D6C-AC70-7DD0685ABF1D}"/>
    <cellStyle name="Neutralne 10 2" xfId="1060" xr:uid="{B69A3267-AEEA-486C-8AB3-A81D20690CA6}"/>
    <cellStyle name="Neutralne 10 3" xfId="1061" xr:uid="{01AB31F7-CF56-4A8A-B7C4-B004B5D62C96}"/>
    <cellStyle name="Neutralne 10_COM_BND" xfId="1062" xr:uid="{99980B3C-6D98-4D39-8800-96DE7B669C6E}"/>
    <cellStyle name="Neutralne 11" xfId="1063" xr:uid="{D79ABDFC-750E-41A3-8C35-9E01B2D2C9D2}"/>
    <cellStyle name="Neutralne 11 2" xfId="1064" xr:uid="{9981D0D8-9276-43A5-B773-6A7633336420}"/>
    <cellStyle name="Neutralne 12" xfId="1065" xr:uid="{102FE40E-A4B0-4D22-9835-355B857D3F09}"/>
    <cellStyle name="Neutralne 13" xfId="1066" xr:uid="{BAAF6D58-BBCC-4B04-AD34-08B401030A96}"/>
    <cellStyle name="Neutralne 13 2" xfId="1067" xr:uid="{BDD2520D-01F7-4764-9759-122FDAE7FC2F}"/>
    <cellStyle name="Neutralne 13 3" xfId="1068" xr:uid="{8EA117B9-609A-406D-8F6D-BA1918DFB906}"/>
    <cellStyle name="Neutralne 14" xfId="1069" xr:uid="{27E96F72-004C-4210-81C1-CA2F40D85E07}"/>
    <cellStyle name="Neutralne 15" xfId="1070" xr:uid="{A53BBDD4-F75A-4860-87D7-DFF30D50D793}"/>
    <cellStyle name="Neutralne 16" xfId="1071" xr:uid="{B78C5905-F996-48CB-AEFB-4D3388DF0AC3}"/>
    <cellStyle name="Neutralne 2" xfId="1072" xr:uid="{D05170D2-93BB-44E8-A6FB-C9708019A499}"/>
    <cellStyle name="Neutralne 3" xfId="1073" xr:uid="{0CF7065D-FCAE-4F48-A2E2-9868C07970B7}"/>
    <cellStyle name="Neutralne 4" xfId="1074" xr:uid="{5092D403-F713-47E5-A146-2B99608DCDA2}"/>
    <cellStyle name="Neutralne 5" xfId="1075" xr:uid="{2022ECFD-3EA3-4759-BEDB-DBB77A7E3730}"/>
    <cellStyle name="Neutralne 6" xfId="1076" xr:uid="{C82B04F3-2E4E-4F83-AE2C-99BDBB8019B5}"/>
    <cellStyle name="Neutralne 7" xfId="1077" xr:uid="{0D4763FD-B451-4DFA-B068-3412DAFB4742}"/>
    <cellStyle name="Neutralne 8" xfId="1078" xr:uid="{D5DB1164-347F-4FF2-9420-6B66516C93C8}"/>
    <cellStyle name="Neutralne 9" xfId="1079" xr:uid="{3AAA1CFE-8EAA-4EF6-80C3-36C52444F0C6}"/>
    <cellStyle name="Neutralne 9 2" xfId="1080" xr:uid="{F4E92AD5-14BA-4C0E-ACF6-3A15EFD7B46E}"/>
    <cellStyle name="Neutralne 9 3" xfId="1081" xr:uid="{BEB3D2D6-FF5B-43BB-A4C8-A53253A33EF1}"/>
    <cellStyle name="Neutralne 9_COM_BND" xfId="1082" xr:uid="{55D47ECF-A5A1-44FC-A689-6886366481D0}"/>
    <cellStyle name="Neutralne_CHP" xfId="1083" xr:uid="{A9550FF1-24FA-4DE6-9C98-CACD38321787}"/>
    <cellStyle name="no dec" xfId="1084" xr:uid="{68CBEDB1-29AF-4CA5-A3FB-F26FAA2A2A6E}"/>
    <cellStyle name="Normal" xfId="0" builtinId="0"/>
    <cellStyle name="Normal - Style1" xfId="1085" xr:uid="{1044354E-1BCD-4ED3-A6E3-96E11ED5BA8B}"/>
    <cellStyle name="Normal - Style1 2 2 3" xfId="8" xr:uid="{E2F36FED-50FC-4053-9868-9ECE60249B00}"/>
    <cellStyle name="Normal 10" xfId="1086" xr:uid="{C36ABECF-A66A-4DA4-B371-BDD0C736641C}"/>
    <cellStyle name="Normal 10 15 2" xfId="7" xr:uid="{45AADCF1-2590-4D64-A19B-D2A6F3886052}"/>
    <cellStyle name="Normal 11" xfId="1087" xr:uid="{24D804EA-6362-430C-9DA2-D7EB1F293232}"/>
    <cellStyle name="Normal 12" xfId="1088" xr:uid="{D55B8016-87E2-4762-934B-7063C29317D9}"/>
    <cellStyle name="Normal 13" xfId="1089" xr:uid="{4D43C40E-B4CB-4FD1-927B-55E0D3A6F5A9}"/>
    <cellStyle name="Normal 14" xfId="1090" xr:uid="{98F9AA08-2F41-4078-9C46-E3E89042D0F7}"/>
    <cellStyle name="Normal 15" xfId="26" xr:uid="{B8111225-0BA6-482B-B5A5-0EAF01A9BA8A}"/>
    <cellStyle name="Normal 2" xfId="1" xr:uid="{00000000-0005-0000-0000-00009A0B0000}"/>
    <cellStyle name="Normal 2 2" xfId="2" xr:uid="{00000000-0005-0000-0000-0000AA0B0000}"/>
    <cellStyle name="Normal 2 2 2" xfId="1093" xr:uid="{BB7C713C-2F6F-4EEC-9304-05E821CEE30A}"/>
    <cellStyle name="Normal 2 2 3" xfId="1094" xr:uid="{45465DF7-F1C1-4850-BD44-291FE7BF66F4}"/>
    <cellStyle name="Normal 2 2 4" xfId="1092" xr:uid="{33854FD8-75BD-4BD8-B16E-A7067759DAC9}"/>
    <cellStyle name="Normal 2 3" xfId="22" xr:uid="{954076AA-7337-49C4-AB41-CC262F960079}"/>
    <cellStyle name="Normal 2 3 2" xfId="1095" xr:uid="{0BF4FEAD-582B-4848-BC33-DCCD5DDFE528}"/>
    <cellStyle name="Normal 2 4" xfId="1091" xr:uid="{37A5254D-703C-41D3-98B2-42B90477E639}"/>
    <cellStyle name="Normal 2 7" xfId="1096" xr:uid="{5250D10C-1883-43A2-A032-AF7AD4B79A80}"/>
    <cellStyle name="Normal 2 7 2" xfId="1097" xr:uid="{7BD228BC-D44F-44D9-A0C8-FF55C502077E}"/>
    <cellStyle name="Normal 2 7 2 2" xfId="1098" xr:uid="{8300802A-46F8-45CF-8921-070ADEDC5E40}"/>
    <cellStyle name="Normal 2 7 2 3" xfId="1099" xr:uid="{1FA65B43-68A3-475B-A88C-8E8EB78CBD6E}"/>
    <cellStyle name="Normal 2 7 2_CHP" xfId="1100" xr:uid="{EB3E6787-150E-4930-A9C8-DDDA3BCE8B7C}"/>
    <cellStyle name="Normal 2 7 3" xfId="1101" xr:uid="{6F1B7FA1-8224-4A1C-8915-AA83688DAF0A}"/>
    <cellStyle name="Normal 2 7 4" xfId="1102" xr:uid="{0EB77C39-AD40-4992-98D8-92457B443E41}"/>
    <cellStyle name="Normal 2 7_CHP" xfId="1103" xr:uid="{7D5B9E4F-D412-4E06-BC00-32D40E7E4F0A}"/>
    <cellStyle name="Normal 20" xfId="1104" xr:uid="{284FD08D-148D-41D5-B94B-3CA7F19DF70E}"/>
    <cellStyle name="Normal 21" xfId="1105" xr:uid="{CEEC5189-F626-4962-BC1A-2AB96463650E}"/>
    <cellStyle name="Normal 3" xfId="1106" xr:uid="{379FDEDB-DB28-447D-B397-EBB3402F17FD}"/>
    <cellStyle name="Normal 3 2" xfId="1107" xr:uid="{86D1336C-4FCF-4CF9-9DA0-29009ECA56DA}"/>
    <cellStyle name="Normal 3 2 2" xfId="1108" xr:uid="{34FC0526-7D6A-455D-9498-25686805DA7E}"/>
    <cellStyle name="Normal 3 2 2 2" xfId="1109" xr:uid="{50C71362-A82A-40EF-8C41-DFE536B32843}"/>
    <cellStyle name="Normal 3 2 2 3" xfId="1110" xr:uid="{994D67A8-E6A6-4393-942F-409DF72E4A38}"/>
    <cellStyle name="Normal 3 2 3" xfId="1111" xr:uid="{BDE20CD5-325D-4DAE-A8C4-A1C7EEDFEF28}"/>
    <cellStyle name="Normal 3 2 4" xfId="1112" xr:uid="{9A505BA4-95E1-4974-9579-7C982DA785E0}"/>
    <cellStyle name="Normal 3 2 4 2" xfId="1113" xr:uid="{DB886C47-8F52-41E8-A606-A0BF8CA31667}"/>
    <cellStyle name="Normal 3 2 4 3" xfId="1114" xr:uid="{6A234BFE-FD79-4C13-9677-B03F88EE73D8}"/>
    <cellStyle name="Normal 3 3" xfId="1115" xr:uid="{F82F13ED-84B6-4972-AB38-A1FB6F3CB70F}"/>
    <cellStyle name="Normal 3 4" xfId="1116" xr:uid="{9684CF1F-55CD-48DF-8A7C-82E1C9E5ED99}"/>
    <cellStyle name="Normal 39 2 2" xfId="6" xr:uid="{8DED54F3-B734-4359-9039-896AE37355C2}"/>
    <cellStyle name="Normal 4" xfId="1117" xr:uid="{0C000E2B-6EF0-4207-BE7C-CCC6616B974E}"/>
    <cellStyle name="Normal 4 2" xfId="1118" xr:uid="{36D710F5-1BC3-465E-B7DC-486A773E3379}"/>
    <cellStyle name="Normal 4 2 2" xfId="1119" xr:uid="{FEA12BF2-6286-42FE-970D-EE20510A3B7A}"/>
    <cellStyle name="Normal 4 2 2 2" xfId="1120" xr:uid="{F508A178-51B0-47EC-BF9D-07E931DB1C5C}"/>
    <cellStyle name="Normal 4 2 2 3" xfId="1121" xr:uid="{CE73E8BE-37C7-4ACA-A5D7-4C03340508F8}"/>
    <cellStyle name="Normal 4 2 3" xfId="1122" xr:uid="{46E34AD9-626E-43CB-A800-F2815CD6E2AF}"/>
    <cellStyle name="Normal 4 2 4" xfId="1123" xr:uid="{0A457C3E-9AAF-4676-B8FB-7D5B9B849F83}"/>
    <cellStyle name="Normal 4 2 4 2" xfId="1124" xr:uid="{85AD2D0B-16A7-4211-970B-FB783D13639F}"/>
    <cellStyle name="Normal 4 2 4 3" xfId="1125" xr:uid="{268D6199-D6B5-4D25-A14F-31CD252B825D}"/>
    <cellStyle name="Normal 41" xfId="5" xr:uid="{40454A57-179B-43F7-B603-70FE9F42E735}"/>
    <cellStyle name="Normal 47" xfId="15" xr:uid="{1DFD0694-6C2D-4744-A0BE-8F7A3D86D917}"/>
    <cellStyle name="Normal 5" xfId="1126" xr:uid="{F6E4FA76-1270-46D8-8C88-A302DE248776}"/>
    <cellStyle name="Normal 5 2" xfId="1127" xr:uid="{092E23B8-0E64-4D96-8953-6C672F6E1D9D}"/>
    <cellStyle name="Normal 56" xfId="16" xr:uid="{BB5EF987-BBB6-446B-BF49-299F042A3860}"/>
    <cellStyle name="Normal 58" xfId="17" xr:uid="{787DDAF0-62AB-4DA9-A640-72331E261D09}"/>
    <cellStyle name="Normal 6" xfId="1128" xr:uid="{C9774317-81B6-4C77-9A40-EE7A508D5940}"/>
    <cellStyle name="Normal 6 2" xfId="1129" xr:uid="{4C1019AE-FA4E-45E6-9430-3286CEDE3616}"/>
    <cellStyle name="Normal 7" xfId="1130" xr:uid="{9442171F-B595-40E0-8EFE-F66974E71124}"/>
    <cellStyle name="Normal 7 2" xfId="1131" xr:uid="{340A1BC1-410F-4015-AAA0-4A4103846222}"/>
    <cellStyle name="Normal 74" xfId="23" xr:uid="{955FB58D-7AA4-48E8-9EFB-4DB80C42C516}"/>
    <cellStyle name="Normal 8" xfId="1132" xr:uid="{B4C8ADD0-FCD8-4631-AAF6-97AB435DC64F}"/>
    <cellStyle name="Normal 8 2" xfId="1133" xr:uid="{6C47EE03-E174-48C8-AC5F-A5BEAFB1C3F2}"/>
    <cellStyle name="Normal 9" xfId="1134" xr:uid="{A39DA02F-9BF5-4F6F-9A42-A9EBE5875D1E}"/>
    <cellStyle name="Normal GHG Textfiels Bold" xfId="1135" xr:uid="{2F0B4A15-6646-4764-81F7-EFD851CB9DF7}"/>
    <cellStyle name="Normal GHG-Shade" xfId="1136" xr:uid="{0F42931A-548B-46E9-9F76-BA3C52AD702E}"/>
    <cellStyle name="Normal GHG-Shade 2" xfId="1137" xr:uid="{AA34AA51-B161-4C49-A1A2-12B029D151DE}"/>
    <cellStyle name="Normal_Oilques" xfId="12" xr:uid="{94670089-4DF4-46B9-8D46-C9660A96EC6C}"/>
    <cellStyle name="Normale_B2020" xfId="1138" xr:uid="{B598500F-29AC-4AF3-A86C-90BEA5CE9254}"/>
    <cellStyle name="Normalny 10" xfId="1139" xr:uid="{E5C7B5B7-2C88-4187-83E2-C34859037587}"/>
    <cellStyle name="Normalny 10 10" xfId="9" xr:uid="{BEFFF4AF-9D45-44E0-AF4D-AE47717E8555}"/>
    <cellStyle name="Normalny 10 2" xfId="1140" xr:uid="{E9E253D0-0453-43C9-9F07-C17E8BE3A6BA}"/>
    <cellStyle name="Normalny 10 2 2" xfId="1141" xr:uid="{DADD9C1F-941E-400A-BC72-861C9E9FAE64}"/>
    <cellStyle name="Normalny 10 2 2 2" xfId="1142" xr:uid="{E68AC9E4-E570-4FE1-88A0-59C17D8DE526}"/>
    <cellStyle name="Normalny 10 2 2 3" xfId="1143" xr:uid="{93E5DB57-770E-4F1F-A3B2-9EEB8E79081D}"/>
    <cellStyle name="Normalny 10 2 3" xfId="1144" xr:uid="{56E34165-A2F0-4D45-8BB7-207C1ECC8DD0}"/>
    <cellStyle name="Normalny 10 2 3 2" xfId="1145" xr:uid="{D62E9340-D2DC-430A-8F15-C49CECF04909}"/>
    <cellStyle name="Normalny 10 2 3 3" xfId="1146" xr:uid="{52B22CA4-0399-4058-BF57-137A1B43E9E7}"/>
    <cellStyle name="Normalny 10 2 4" xfId="1147" xr:uid="{A1F63BAE-B816-463C-9564-539A0122B315}"/>
    <cellStyle name="Normalny 10 2 4 2" xfId="1148" xr:uid="{3083D027-A795-4EEA-A897-A60576ADF596}"/>
    <cellStyle name="Normalny 10 2 5" xfId="1149" xr:uid="{CAAFE5B3-C6E1-4850-97D2-3110BCF63CF9}"/>
    <cellStyle name="Normalny 10 2 5 2" xfId="1150" xr:uid="{6B4F8647-8194-40B5-A87C-0E5C57A0F312}"/>
    <cellStyle name="Normalny 10 2 6" xfId="1151" xr:uid="{5D819827-8CCD-46EC-AA9C-3A27F7D20733}"/>
    <cellStyle name="Normalny 10 2_CHP" xfId="1152" xr:uid="{BD3E827A-8C6D-405E-BC63-D9D243075D50}"/>
    <cellStyle name="Normalny 10 3" xfId="1153" xr:uid="{EDC63915-C8ED-47BB-8CE6-9280E86B18B1}"/>
    <cellStyle name="Normalny 10 3 2" xfId="1154" xr:uid="{27023935-14E4-4481-879A-296D94E40841}"/>
    <cellStyle name="Normalny 10 3 2 2" xfId="1155" xr:uid="{73AA4921-5CC2-4A7C-961D-161DD769874A}"/>
    <cellStyle name="Normalny 10 3 2 3" xfId="1156" xr:uid="{135281D0-C6CF-4EFA-A8E1-BA4FB98C1DCC}"/>
    <cellStyle name="Normalny 10 3 3" xfId="1157" xr:uid="{4D20D4B6-ED77-4555-926D-9D37661F7242}"/>
    <cellStyle name="Normalny 10 3 4" xfId="1158" xr:uid="{6EDF79F5-F2F6-4B1D-B5C4-58F5D29172BD}"/>
    <cellStyle name="Normalny 10 3 4 2" xfId="1159" xr:uid="{332E0827-4D18-444F-9764-C9F941959F7E}"/>
    <cellStyle name="Normalny 10 3_CHP" xfId="1160" xr:uid="{39B4FB2D-1A8C-4659-AF56-111902242FFD}"/>
    <cellStyle name="Normalny 10 4" xfId="1161" xr:uid="{68E47A3B-988B-4A1E-A88F-643B93424290}"/>
    <cellStyle name="Normalny 11" xfId="1162" xr:uid="{436D6D9D-1A4D-49EB-911F-D41722DE0D6D}"/>
    <cellStyle name="Normalny 11 2" xfId="1163" xr:uid="{306A4FF3-5CAF-4683-B6E0-FF5D85AA40C0}"/>
    <cellStyle name="Normalny 11 2 2" xfId="1164" xr:uid="{9D6A1652-3E98-4517-9270-54A63A51A3D7}"/>
    <cellStyle name="Normalny 11 2 2 2" xfId="1165" xr:uid="{E66D5D8F-23C4-4B43-8E95-BD843A7E26E7}"/>
    <cellStyle name="Normalny 11 2 2 3" xfId="1166" xr:uid="{0AA93655-5EA0-4E5B-851E-F30494B63B46}"/>
    <cellStyle name="Normalny 11 2 3" xfId="1167" xr:uid="{7710CF3C-599A-4970-BFEF-033DD9522D34}"/>
    <cellStyle name="Normalny 11 2 3 2" xfId="1168" xr:uid="{31D29062-7D43-4752-9C9F-C3F6D30B826E}"/>
    <cellStyle name="Normalny 11 2 3 3" xfId="1169" xr:uid="{91D89373-00ED-480F-B3BB-4D1EDA84A225}"/>
    <cellStyle name="Normalny 11 2 4" xfId="1170" xr:uid="{41676793-4AD2-4227-ABB9-9FC2756E098F}"/>
    <cellStyle name="Normalny 11 2 5" xfId="1171" xr:uid="{3BE21429-02B7-4B79-86EE-33036D381BCA}"/>
    <cellStyle name="Normalny 11 2_COM_BND" xfId="1172" xr:uid="{38D8895F-CBF8-473B-AE0B-7011AE73307F}"/>
    <cellStyle name="Normalny 11 3" xfId="1173" xr:uid="{71BA5433-F766-409A-9677-D10538D908EB}"/>
    <cellStyle name="Normalny 11 3 2" xfId="1174" xr:uid="{14A7FE1B-1FF6-4BFA-9713-84528CAC9FE9}"/>
    <cellStyle name="Normalny 11 3 2 2" xfId="1175" xr:uid="{CAB3FA6E-4E70-4EA8-8C8E-0EE765595E61}"/>
    <cellStyle name="Normalny 11 3 2 2 2" xfId="1176" xr:uid="{0190ADC6-B433-4D6A-A95C-D2F76698363B}"/>
    <cellStyle name="Normalny 11 3 2 2 3" xfId="1177" xr:uid="{3665F1A7-BD5E-4E91-BF40-2EB60C28E9DB}"/>
    <cellStyle name="Normalny 11 3 2 3" xfId="1178" xr:uid="{0D8686DF-1ADD-4152-97F5-EA5809A953DB}"/>
    <cellStyle name="Normalny 11 3 2 3 2" xfId="1179" xr:uid="{969CBE36-72FD-439A-8E28-F336010CCAEB}"/>
    <cellStyle name="Normalny 11 3 2 4" xfId="1180" xr:uid="{6E48719A-FCA1-47B8-B0C9-62BD73F54BA5}"/>
    <cellStyle name="Normalny 11 3 2 4 2" xfId="1181" xr:uid="{A7E1DA5D-1B62-4D68-9BA4-BCD591C1A803}"/>
    <cellStyle name="Normalny 11 3 2 5" xfId="1182" xr:uid="{B05B2B76-2F56-406D-A134-9A5C652D63B0}"/>
    <cellStyle name="Normalny 11 3 2_CHP" xfId="1183" xr:uid="{808FA620-CD04-4B63-9C73-497DE10AC030}"/>
    <cellStyle name="Normalny 11 3 3" xfId="1184" xr:uid="{11EA4ED9-D555-47DA-BBD9-6DA8DAB6E70E}"/>
    <cellStyle name="Normalny 11 3 3 2" xfId="1185" xr:uid="{AB330EE2-75C9-4121-A882-D9DFB6A56E09}"/>
    <cellStyle name="Normalny 11 3 3 3" xfId="1186" xr:uid="{526C0DD5-9887-4D70-964D-C248FACE6A09}"/>
    <cellStyle name="Normalny 11 3 4" xfId="1187" xr:uid="{137B6243-51EB-4A71-9427-7ACD9B5A3F4E}"/>
    <cellStyle name="Normalny 11 3_COM_BND" xfId="1188" xr:uid="{922B41F8-565E-4A8B-B4F7-FD35A1E97138}"/>
    <cellStyle name="Normalny 11 4" xfId="1189" xr:uid="{DDC497B9-BB8E-4ADF-83A7-A3FD1403C4F8}"/>
    <cellStyle name="Normalny 11 4 2" xfId="1190" xr:uid="{86A43F63-0F5E-4C07-95E0-7967B91AD3E0}"/>
    <cellStyle name="Normalny 11 4 2 2" xfId="1191" xr:uid="{F8B3B8B3-4E5B-42AF-B837-48E7D05F3B0F}"/>
    <cellStyle name="Normalny 11 4 2 3" xfId="1192" xr:uid="{1CCF7B2E-259D-4B28-83A9-31397CD4EB76}"/>
    <cellStyle name="Normalny 11 4 3" xfId="1193" xr:uid="{6C507B80-D611-4AF9-B3BE-C50353905373}"/>
    <cellStyle name="Normalny 11 4 3 2" xfId="1194" xr:uid="{A646C1B2-9B04-4551-9ECF-5C509B1ED51E}"/>
    <cellStyle name="Normalny 11 4 4" xfId="1195" xr:uid="{B8EB48F0-6A9F-4851-A030-D748AB0C7AF5}"/>
    <cellStyle name="Normalny 11 4 4 2" xfId="1196" xr:uid="{4C1D0BBD-1AD1-40FB-8479-A16C89C1F8F1}"/>
    <cellStyle name="Normalny 11 4 5" xfId="1197" xr:uid="{D01BC3D7-F53F-4CB1-BFDC-2A40E120AF25}"/>
    <cellStyle name="Normalny 11 4_CHP" xfId="1198" xr:uid="{3A5AD69E-9B1C-493B-A0B2-5601BF743E5F}"/>
    <cellStyle name="Normalny 11 5" xfId="1199" xr:uid="{940FB12E-A277-4977-B6C0-F18F64DE8A4D}"/>
    <cellStyle name="Normalny 11 5 2" xfId="1200" xr:uid="{26671D27-9CCC-4812-A48C-F93BF85A9E10}"/>
    <cellStyle name="Normalny 11 5 2 2" xfId="1201" xr:uid="{062DAF5F-9BA1-4FA2-8E50-41C2C72530E4}"/>
    <cellStyle name="Normalny 11 5 2 3" xfId="1202" xr:uid="{5633E4B0-6CD7-45ED-B024-071C680D300A}"/>
    <cellStyle name="Normalny 11 5 3" xfId="1203" xr:uid="{8D2C06CA-53A6-4098-9467-9722C4F33DC6}"/>
    <cellStyle name="Normalny 11 5 3 2" xfId="1204" xr:uid="{401B0D58-80AD-444F-8AFA-36CC2F9A4732}"/>
    <cellStyle name="Normalny 11 5 4" xfId="1205" xr:uid="{1E2FBF6D-14CB-41B8-A9A0-26E4622676F4}"/>
    <cellStyle name="Normalny 11 5 4 2" xfId="1206" xr:uid="{64E7A9A6-D934-4193-81AA-D3A2E34AD3DA}"/>
    <cellStyle name="Normalny 11 5 5" xfId="1207" xr:uid="{E9861D6E-0F63-4D02-9012-C63C9AB1A9CF}"/>
    <cellStyle name="Normalny 11 5 6" xfId="1208" xr:uid="{B3B72E7F-DF98-4DAB-A10C-4E957234DFE7}"/>
    <cellStyle name="Normalny 11 5_CHP" xfId="1209" xr:uid="{5C88EA64-8715-4A8A-A347-C3BB482FE315}"/>
    <cellStyle name="Normalny 11 6" xfId="1210" xr:uid="{4273AB7A-2F24-4CA9-8F11-52D31188211E}"/>
    <cellStyle name="Normalny 11 6 2" xfId="1211" xr:uid="{71687659-15EE-4AC3-8F43-095F6D50B318}"/>
    <cellStyle name="Normalny 11 6 2 2" xfId="1212" xr:uid="{331703F5-B357-4526-9861-ACE385D7A516}"/>
    <cellStyle name="Normalny 11 6 3" xfId="1213" xr:uid="{DBBAF5C0-7F9A-4D71-8A66-E9B58FAB52D9}"/>
    <cellStyle name="Normalny 11 6 3 2" xfId="1214" xr:uid="{0DCA3EA7-1C5C-44CE-8300-60853EFBDE63}"/>
    <cellStyle name="Normalny 11 6 4" xfId="1215" xr:uid="{8D85E3DD-F811-45C4-BADA-3EE51EA8AF2C}"/>
    <cellStyle name="Normalny 11 6_CHP" xfId="1216" xr:uid="{83E9A778-6061-40A9-8D5C-03F9FB4B8F98}"/>
    <cellStyle name="Normalny 11 7" xfId="1217" xr:uid="{639C8AFA-10B1-4098-A5D2-A933E6EC65A5}"/>
    <cellStyle name="Normalny 11 7 2" xfId="1218" xr:uid="{9EB73F28-60C9-449D-AD87-9E4BE44CFE1B}"/>
    <cellStyle name="Normalny 11 8" xfId="1219" xr:uid="{34ACF29E-0995-4A82-8A7E-49F689D97745}"/>
    <cellStyle name="Normalny 11 8 2" xfId="1220" xr:uid="{7F9D0A02-EC4D-43C9-832D-E56C363B1AE7}"/>
    <cellStyle name="Normalny 11 9" xfId="1221" xr:uid="{193D12FA-1E04-40EE-83D7-D6430B2C74EE}"/>
    <cellStyle name="Normalny 11_CHP" xfId="1222" xr:uid="{77DA48F4-EBCF-4DAE-A873-ABE37F88D206}"/>
    <cellStyle name="Normalny 12" xfId="1223" xr:uid="{3325DFD3-CE63-4F2E-AFAD-2731D2701675}"/>
    <cellStyle name="Normalny 12 2" xfId="1224" xr:uid="{83172728-079C-46F1-BF1A-21AAE6AECFAA}"/>
    <cellStyle name="Normalny 12 3" xfId="1225" xr:uid="{5FFD63BB-5459-4092-AAB5-AAA542F043B6}"/>
    <cellStyle name="Normalny 13" xfId="1226" xr:uid="{943383DF-C8F1-46F1-9656-407B48A49F98}"/>
    <cellStyle name="Normalny 13 10" xfId="1227" xr:uid="{0B69CEB5-AE8C-4A8C-B149-88C64A1004AE}"/>
    <cellStyle name="Normalny 13 10 2" xfId="1228" xr:uid="{5FA6098F-18DC-4550-9E6E-B680A39AF7BB}"/>
    <cellStyle name="Normalny 13 10 3" xfId="1229" xr:uid="{C24A954B-325A-4A7B-90CB-025EA6B7C0AC}"/>
    <cellStyle name="Normalny 13 10 3 2" xfId="1230" xr:uid="{39663A5A-AF4D-4108-A697-8D78ADD2BBE3}"/>
    <cellStyle name="Normalny 13 10 4" xfId="1231" xr:uid="{73AE969A-B283-4D84-9CC1-78525A47B2E2}"/>
    <cellStyle name="Normalny 13 10_CHP" xfId="1232" xr:uid="{38E6700A-9B0C-4C49-9E9A-05A5ABC5053E}"/>
    <cellStyle name="Normalny 13 11" xfId="1233" xr:uid="{5F954536-6BB2-4254-9BF4-1CED5902B9B0}"/>
    <cellStyle name="Normalny 13 12" xfId="1234" xr:uid="{FC8683D1-4E94-4781-9D70-FECCA9FC20F9}"/>
    <cellStyle name="Normalny 13 12 2" xfId="1235" xr:uid="{8445160A-2FF3-4C2D-BE56-2F1F7B60A69D}"/>
    <cellStyle name="Normalny 13 12 3" xfId="1236" xr:uid="{834E9105-D366-4B2F-A008-75222533BCD3}"/>
    <cellStyle name="Normalny 13 13" xfId="1237" xr:uid="{007727BD-5A2F-40A3-9439-567F0EE56A93}"/>
    <cellStyle name="Normalny 13 13 2" xfId="1238" xr:uid="{2EBDE976-A174-4FF6-B244-53C541AF7ADD}"/>
    <cellStyle name="Normalny 13 13 3" xfId="1239" xr:uid="{0E1C6FE7-08D4-4D26-ABB3-F37E615BB58E}"/>
    <cellStyle name="Normalny 13 14" xfId="1240" xr:uid="{B7052581-2CEF-4C35-804D-C17C34585100}"/>
    <cellStyle name="Normalny 13 15" xfId="1241" xr:uid="{F400EEC0-F07F-452C-881A-CDC46839EA1C}"/>
    <cellStyle name="Normalny 13 15 2" xfId="1242" xr:uid="{80304922-8008-4291-8455-9BD052EE96F1}"/>
    <cellStyle name="Normalny 13 15 3" xfId="1243" xr:uid="{5BC3EC88-67B4-4746-99B4-5CD0C91EB705}"/>
    <cellStyle name="Normalny 13 16" xfId="1244" xr:uid="{6CD112CC-2B40-471C-8A04-1EDC119AB4B1}"/>
    <cellStyle name="Normalny 13 16 2" xfId="1245" xr:uid="{A857572D-4850-4564-8C37-E10C84D1E918}"/>
    <cellStyle name="Normalny 13 16 3" xfId="1246" xr:uid="{CBF859FD-52AD-4C5F-B8E7-A5D5474EDB95}"/>
    <cellStyle name="Normalny 13 17" xfId="1247" xr:uid="{310CC807-E382-4748-AB8C-986C55D5F541}"/>
    <cellStyle name="Normalny 13 17 2" xfId="1248" xr:uid="{0C98EAA0-984C-45AD-AC89-240B38C53EA6}"/>
    <cellStyle name="Normalny 13 17 3" xfId="1249" xr:uid="{A9071575-4E7D-4243-B363-7A4B8ADC0179}"/>
    <cellStyle name="Normalny 13 18" xfId="1250" xr:uid="{A161CF78-12D5-4330-B372-84C9B372C3C2}"/>
    <cellStyle name="Normalny 13 18 2" xfId="1251" xr:uid="{8C65C13E-8F5F-40AC-9E74-BE26D5CFFE71}"/>
    <cellStyle name="Normalny 13 18 3" xfId="1252" xr:uid="{C37FA868-15A2-4806-A49A-E5946217D562}"/>
    <cellStyle name="Normalny 13 19" xfId="1253" xr:uid="{B2F8A0C1-D0E9-4A30-A762-E6EF4CDC58FA}"/>
    <cellStyle name="Normalny 13 2" xfId="1254" xr:uid="{F2B5A6FA-9D35-49C6-BCFA-DA7FA1691B73}"/>
    <cellStyle name="Normalny 13 2 2" xfId="1255" xr:uid="{D4CE3EAC-D33E-4541-8DB0-CD612B0EF276}"/>
    <cellStyle name="Normalny 13 2 2 2" xfId="1256" xr:uid="{92FF1621-5B2F-4813-91D8-B218CFAA5D88}"/>
    <cellStyle name="Normalny 13 2 2 2 2" xfId="1257" xr:uid="{4EA54050-9D7C-46B2-B99F-8124FA5B8B84}"/>
    <cellStyle name="Normalny 13 2 2 2 2 2" xfId="1258" xr:uid="{B443492F-9627-4FB6-9449-303A338D69F5}"/>
    <cellStyle name="Normalny 13 2 2 2 2 2 2" xfId="1259" xr:uid="{F1DAB725-D0BC-4D00-8A10-F5B8390A2496}"/>
    <cellStyle name="Normalny 13 2 2 2 2 2 2 2" xfId="1260" xr:uid="{908A6C2B-BFCE-47F0-BF99-D2E5B96E2A4C}"/>
    <cellStyle name="Normalny 13 2 2 2 2 2 2 3" xfId="1261" xr:uid="{F00236FA-CEFF-4278-9C40-7605B5D2B54A}"/>
    <cellStyle name="Normalny 13 2 2 2 2 2 3" xfId="1262" xr:uid="{16CF5C27-420C-46DB-84F9-B3F7DC5F8BD6}"/>
    <cellStyle name="Normalny 13 2 2 2 2 3" xfId="1263" xr:uid="{1B3CD8F4-CF28-4D4D-87D6-4601E7756C4F}"/>
    <cellStyle name="Normalny 13 2 2 2 2 4" xfId="1264" xr:uid="{0836C15E-634D-4A10-A91D-836C4DD84B9C}"/>
    <cellStyle name="Normalny 13 2 2 2 2_CHP" xfId="1265" xr:uid="{60B0E9CA-D752-4265-970B-F197177D19E1}"/>
    <cellStyle name="Normalny 13 2 2 2 3" xfId="1266" xr:uid="{F1A652FE-F8BA-40E9-AF75-DFD26EB7DA02}"/>
    <cellStyle name="Normalny 13 2 2 2 3 2" xfId="1267" xr:uid="{7F03BEE6-2D4A-4CC7-BD4B-5B00AB6C3097}"/>
    <cellStyle name="Normalny 13 2 2 2 3 2 2" xfId="1268" xr:uid="{174C9EB4-C4C4-4416-B546-C226A76CC343}"/>
    <cellStyle name="Normalny 13 2 2 2 3 2 2 2" xfId="1269" xr:uid="{1E544B2C-5580-4B4E-854F-F5708068BF8B}"/>
    <cellStyle name="Normalny 13 2 2 2 3 2 2 3" xfId="1270" xr:uid="{0E10CD0F-6120-4EBA-81B6-2C8017E39DC7}"/>
    <cellStyle name="Normalny 13 2 2 2 3 2 3" xfId="1271" xr:uid="{1343F011-C7CE-4672-8836-9C697AA82511}"/>
    <cellStyle name="Normalny 13 2 2 2 3 3" xfId="1272" xr:uid="{19C2E39D-B24F-419B-AF5F-C649F5301DE8}"/>
    <cellStyle name="Normalny 13 2 2 2 3 4" xfId="1273" xr:uid="{17CC9FDF-97AA-43AE-9786-B6735FA69368}"/>
    <cellStyle name="Normalny 13 2 2 2 3_CHP" xfId="1274" xr:uid="{0C3C2761-22A0-428E-8D51-E1C55EC1D7A3}"/>
    <cellStyle name="Normalny 13 2 2 2 4" xfId="1275" xr:uid="{466BBB12-B717-441B-B10C-AC6137AA8FA7}"/>
    <cellStyle name="Normalny 13 2 2 2 4 2" xfId="1276" xr:uid="{979EFB09-8956-4DF6-A7A1-10248AF8A41F}"/>
    <cellStyle name="Normalny 13 2 2 2 4 2 2" xfId="1277" xr:uid="{F067E5C1-27FD-4A25-9CC9-1ED8356E86CB}"/>
    <cellStyle name="Normalny 13 2 2 2 4 2 3" xfId="1278" xr:uid="{0DB0F8CC-06C1-4F34-9B36-5C0A86ACA1DB}"/>
    <cellStyle name="Normalny 13 2 2 2 4 3" xfId="1279" xr:uid="{8E3C1B79-D823-4AAF-8A89-586960DFF91A}"/>
    <cellStyle name="Normalny 13 2 2 2 5" xfId="1280" xr:uid="{EAC412FF-8A29-467C-9E9C-FA243B54B04C}"/>
    <cellStyle name="Normalny 13 2 2 2 5 2" xfId="1281" xr:uid="{AFCE21AB-CAEC-4172-9D38-4CA8BAA701F1}"/>
    <cellStyle name="Normalny 13 2 2 2 5 2 2" xfId="1282" xr:uid="{01195D19-0D57-4D8A-B197-8D977212BCD9}"/>
    <cellStyle name="Normalny 13 2 2 2 5 2 3" xfId="1283" xr:uid="{43CC0170-8BBC-4821-95CA-5549E0E6DB21}"/>
    <cellStyle name="Normalny 13 2 2 2 5 3" xfId="1284" xr:uid="{9B4DD04E-A9F8-4E35-BA33-885B2118D01C}"/>
    <cellStyle name="Normalny 13 2 2 2 6" xfId="1285" xr:uid="{2DB02551-1123-41F6-AA65-D6532F61CEEB}"/>
    <cellStyle name="Normalny 13 2 2 2 7" xfId="1286" xr:uid="{EA0705A2-C1C9-4C34-B6E9-974A139C6D7D}"/>
    <cellStyle name="Normalny 13 2 2 2_CHP" xfId="1287" xr:uid="{963C9CA4-F44A-4A66-AE45-18D0C36B00DA}"/>
    <cellStyle name="Normalny 13 2 2 3" xfId="1288" xr:uid="{B6102E18-279E-4D2A-8524-5082403A4253}"/>
    <cellStyle name="Normalny 13 2 2 3 2" xfId="1289" xr:uid="{958D95DD-CFC9-4B97-8406-E85F0BDA6A7F}"/>
    <cellStyle name="Normalny 13 2 2 3 2 2" xfId="1290" xr:uid="{8F4F22FD-37A4-4654-8DA2-A86C8A7CB520}"/>
    <cellStyle name="Normalny 13 2 2 3 2 2 2" xfId="1291" xr:uid="{EFB2EF28-B5E6-43ED-9107-E056BFDE811F}"/>
    <cellStyle name="Normalny 13 2 2 3 2 2 3" xfId="1292" xr:uid="{01D82F6C-C258-4699-9D24-0F8F878FD3D4}"/>
    <cellStyle name="Normalny 13 2 2 3 2 3" xfId="1293" xr:uid="{F412828D-997F-46B7-BD66-8685EB5CA5FD}"/>
    <cellStyle name="Normalny 13 2 2 3 3" xfId="1294" xr:uid="{DE72D6C5-4209-4860-8FFB-8427DA038C15}"/>
    <cellStyle name="Normalny 13 2 2 3 4" xfId="1295" xr:uid="{D87A124A-CED0-42CA-AADE-182FF5194059}"/>
    <cellStyle name="Normalny 13 2 2 3_CHP" xfId="1296" xr:uid="{F405AE16-EF74-4045-9296-ED4E80EDA165}"/>
    <cellStyle name="Normalny 13 2 2 4" xfId="1297" xr:uid="{E3C8FEC0-4DDB-4825-A2DA-BEF0D06A7389}"/>
    <cellStyle name="Normalny 13 2 2 4 2" xfId="1298" xr:uid="{7942E053-C376-49A9-945D-1ED24DEFA283}"/>
    <cellStyle name="Normalny 13 2 2 4 2 2" xfId="1299" xr:uid="{F07BC25E-4F36-48AC-A30C-C28765C246EB}"/>
    <cellStyle name="Normalny 13 2 2 4 2 2 2" xfId="1300" xr:uid="{751CC058-DF57-4DBF-9822-B8645B87179C}"/>
    <cellStyle name="Normalny 13 2 2 4 2 2 3" xfId="1301" xr:uid="{D36FBA0F-82A8-4566-8A1B-FB38094CC770}"/>
    <cellStyle name="Normalny 13 2 2 4 2 3" xfId="1302" xr:uid="{4BF9C283-18EF-48AD-988E-419AB734D590}"/>
    <cellStyle name="Normalny 13 2 2 4 3" xfId="1303" xr:uid="{0E6592CB-9974-41F4-858C-A729FA90BBB6}"/>
    <cellStyle name="Normalny 13 2 2 4 4" xfId="1304" xr:uid="{295811D0-D753-4758-9E5E-29492DD2E393}"/>
    <cellStyle name="Normalny 13 2 2 4_CHP" xfId="1305" xr:uid="{E6BF634B-CD23-4690-BD32-109285C4E0D5}"/>
    <cellStyle name="Normalny 13 2 2 5" xfId="1306" xr:uid="{24E4B39F-97A4-4394-B68C-9B73746D38B2}"/>
    <cellStyle name="Normalny 13 2 2 5 2" xfId="1307" xr:uid="{71318CFA-6196-451F-9C2D-3566734605A3}"/>
    <cellStyle name="Normalny 13 2 2 5 2 2" xfId="1308" xr:uid="{4C45D599-2789-481A-8EE6-8370D5679BE9}"/>
    <cellStyle name="Normalny 13 2 2 5 2 3" xfId="1309" xr:uid="{C0DD1F94-CC31-49AE-932F-C0F3C8AA2A09}"/>
    <cellStyle name="Normalny 13 2 2 5 3" xfId="1310" xr:uid="{1CA1D6C3-A60E-4604-A25C-D6F34C956E2E}"/>
    <cellStyle name="Normalny 13 2 2 6" xfId="1311" xr:uid="{74AB11EB-B04C-42ED-A218-9CCCFB5DA43F}"/>
    <cellStyle name="Normalny 13 2 2 6 2" xfId="1312" xr:uid="{0A1F37ED-8C11-4A7D-A3F0-041718373A7A}"/>
    <cellStyle name="Normalny 13 2 2 6 2 2" xfId="1313" xr:uid="{90E5B968-B4F5-4742-893E-3FEA3A99E3E3}"/>
    <cellStyle name="Normalny 13 2 2 6 2 3" xfId="1314" xr:uid="{C5E28D8F-709D-44C6-8A37-7BEDBB8F42EF}"/>
    <cellStyle name="Normalny 13 2 2 6 3" xfId="1315" xr:uid="{E9BC9C34-6FA4-4A52-99EF-814DE672B027}"/>
    <cellStyle name="Normalny 13 2 2 7" xfId="1316" xr:uid="{7F1238E5-AD3D-4E73-9296-86AA2A3B51E8}"/>
    <cellStyle name="Normalny 13 2 2 8" xfId="1317" xr:uid="{BDE80F96-77C5-4613-9A2C-B8A962A22F9B}"/>
    <cellStyle name="Normalny 13 2 2_CHP" xfId="1318" xr:uid="{9EB37E81-3C2F-4838-A2EC-6061A66599C6}"/>
    <cellStyle name="Normalny 13 2 3" xfId="1319" xr:uid="{1EC6D8A1-8E13-489C-9C61-8B9026170AB9}"/>
    <cellStyle name="Normalny 13 2 3 2" xfId="1320" xr:uid="{3590126A-B96F-4851-A52D-CDD53A111CCA}"/>
    <cellStyle name="Normalny 13 2 3 2 2" xfId="1321" xr:uid="{A5E22257-9738-4CF6-B477-5253771187C7}"/>
    <cellStyle name="Normalny 13 2 3 2 2 2" xfId="1322" xr:uid="{2DC2E0C2-1860-4030-B5AB-016FAAD5D206}"/>
    <cellStyle name="Normalny 13 2 3 2 2 2 2" xfId="1323" xr:uid="{DE7937D2-8D46-41F1-BE31-ACE9D9A960C1}"/>
    <cellStyle name="Normalny 13 2 3 2 2 2 3" xfId="1324" xr:uid="{A2C981AC-1741-4E5E-80B9-F76F88E103B7}"/>
    <cellStyle name="Normalny 13 2 3 2 2 3" xfId="1325" xr:uid="{0F16F2BB-67D0-4B5B-8433-CD87940691EA}"/>
    <cellStyle name="Normalny 13 2 3 2 3" xfId="1326" xr:uid="{2AFC77E1-278F-4B50-931F-5360602ABAB0}"/>
    <cellStyle name="Normalny 13 2 3 2 4" xfId="1327" xr:uid="{9B078370-ADE2-4AA2-AABA-FE9FE9156C89}"/>
    <cellStyle name="Normalny 13 2 3 2_CHP" xfId="1328" xr:uid="{A21BDA1D-7C20-4EF1-BF1B-5B64C0A5CD5E}"/>
    <cellStyle name="Normalny 13 2 3 3" xfId="1329" xr:uid="{7E40BAB5-0F1E-4384-B1FE-1ECCE4490D80}"/>
    <cellStyle name="Normalny 13 2 3 3 2" xfId="1330" xr:uid="{74EDBB83-454D-4F6D-90AC-921998918F8C}"/>
    <cellStyle name="Normalny 13 2 3 3 2 2" xfId="1331" xr:uid="{65AA8714-4A4B-4345-BC2B-51C90011736C}"/>
    <cellStyle name="Normalny 13 2 3 3 2 2 2" xfId="1332" xr:uid="{A64EFB88-E402-441A-A725-9072A78CB922}"/>
    <cellStyle name="Normalny 13 2 3 3 2 2 3" xfId="1333" xr:uid="{FE6A505D-6B0D-403C-BCF9-4D049FA5D4F6}"/>
    <cellStyle name="Normalny 13 2 3 3 2 3" xfId="1334" xr:uid="{F014F784-C8A2-49E0-ABCA-877EEEA8874B}"/>
    <cellStyle name="Normalny 13 2 3 3 3" xfId="1335" xr:uid="{FB2FB4CD-7645-4CAD-80CA-95B07B2B5BD1}"/>
    <cellStyle name="Normalny 13 2 3 3 4" xfId="1336" xr:uid="{8F65E5BA-C68D-4A4C-AABB-242E18AABC93}"/>
    <cellStyle name="Normalny 13 2 3 3_CHP" xfId="1337" xr:uid="{73F8DF8A-0700-4F11-836C-0EC23BBD418F}"/>
    <cellStyle name="Normalny 13 2 3 4" xfId="1338" xr:uid="{1F8DCA1E-62A0-422B-A500-E408E55836F1}"/>
    <cellStyle name="Normalny 13 2 3 4 2" xfId="1339" xr:uid="{8659F081-3CB1-46AF-93BF-B4831028DFCA}"/>
    <cellStyle name="Normalny 13 2 3 4 2 2" xfId="1340" xr:uid="{ECC87F43-EC5E-4364-80D4-F90A5EA742A5}"/>
    <cellStyle name="Normalny 13 2 3 4 2 3" xfId="1341" xr:uid="{A493191A-3285-4965-A83F-47715A2E9AED}"/>
    <cellStyle name="Normalny 13 2 3 4 3" xfId="1342" xr:uid="{2E9CD7B7-1BCB-4CF1-A5B3-66675BD426E3}"/>
    <cellStyle name="Normalny 13 2 3 5" xfId="1343" xr:uid="{578BF896-4E37-48DA-929F-0282833EA475}"/>
    <cellStyle name="Normalny 13 2 3 5 2" xfId="1344" xr:uid="{B17C252C-F8D1-4886-9595-A04AEBFAEF1E}"/>
    <cellStyle name="Normalny 13 2 3 5 2 2" xfId="1345" xr:uid="{6D6EAE52-D2CD-4C6E-858A-91B428CF030F}"/>
    <cellStyle name="Normalny 13 2 3 5 2 3" xfId="1346" xr:uid="{791A3F0F-9AE9-468B-93E6-A2687A27BF03}"/>
    <cellStyle name="Normalny 13 2 3 5 3" xfId="1347" xr:uid="{A540BFFB-3970-4CE8-89BA-7D4EE01CD795}"/>
    <cellStyle name="Normalny 13 2 3 6" xfId="1348" xr:uid="{20A9B721-8984-4E15-94BC-9F504A20419D}"/>
    <cellStyle name="Normalny 13 2 3 7" xfId="1349" xr:uid="{B41C8E2F-E6C0-482C-A86B-AFF909AE9C35}"/>
    <cellStyle name="Normalny 13 2 3_CHP" xfId="1350" xr:uid="{66B69F13-46E2-4F5C-B140-73019ED91F53}"/>
    <cellStyle name="Normalny 13 2 4" xfId="1351" xr:uid="{170555AC-11C2-47B9-ACFF-6CBF2A07F0A4}"/>
    <cellStyle name="Normalny 13 2 4 2" xfId="1352" xr:uid="{AE1B1E58-D763-43E9-B190-7FE5958711AF}"/>
    <cellStyle name="Normalny 13 2 4 2 2" xfId="1353" xr:uid="{E461F3EA-84F0-4E5B-9346-870ACCCB89DF}"/>
    <cellStyle name="Normalny 13 2 4 2 2 2" xfId="1354" xr:uid="{EC4D0D3D-AD73-424A-8ECB-74D17FD3CA40}"/>
    <cellStyle name="Normalny 13 2 4 2 2 3" xfId="1355" xr:uid="{0C7B5739-FD68-4672-9696-056A466315BF}"/>
    <cellStyle name="Normalny 13 2 4 2 3" xfId="1356" xr:uid="{7483C042-5E7B-4AB4-9A4B-660FBAB8C33B}"/>
    <cellStyle name="Normalny 13 2 4 3" xfId="1357" xr:uid="{E0185668-9F31-4E90-ABAD-416EEA82CCC9}"/>
    <cellStyle name="Normalny 13 2 4 4" xfId="1358" xr:uid="{D4A04443-D8E1-49C0-A37F-67221E8A2719}"/>
    <cellStyle name="Normalny 13 2 4_CHP" xfId="1359" xr:uid="{35EE3BFA-9F52-4C74-92A6-68E526735EA0}"/>
    <cellStyle name="Normalny 13 2 5" xfId="1360" xr:uid="{9E6D6057-0883-471C-815A-75A49BAAC6E9}"/>
    <cellStyle name="Normalny 13 2 5 2" xfId="1361" xr:uid="{E14FCA6F-6DF0-4606-B3FA-E116148D63D0}"/>
    <cellStyle name="Normalny 13 2 5 2 2" xfId="1362" xr:uid="{12C9C555-6990-4BC6-BD6A-2AD7CF69603B}"/>
    <cellStyle name="Normalny 13 2 5 2 2 2" xfId="1363" xr:uid="{DE78B29F-85AD-4A12-8F15-D5FDFE10E1DB}"/>
    <cellStyle name="Normalny 13 2 5 2 2 3" xfId="1364" xr:uid="{5D695E39-04F2-46BD-90B4-0256CA3E6512}"/>
    <cellStyle name="Normalny 13 2 5 2 3" xfId="1365" xr:uid="{B134EC5F-68D5-42BF-A48A-6FEEBE4D7803}"/>
    <cellStyle name="Normalny 13 2 5 3" xfId="1366" xr:uid="{74D0A468-747C-4A96-B71C-1257A9C17A31}"/>
    <cellStyle name="Normalny 13 2 5 4" xfId="1367" xr:uid="{E2CDA39D-0136-4C7E-8FB9-260B60E9611D}"/>
    <cellStyle name="Normalny 13 2 5_CHP" xfId="1368" xr:uid="{84E67C4A-5A41-4D2F-B833-DEF2CB9FD401}"/>
    <cellStyle name="Normalny 13 2 6" xfId="1369" xr:uid="{62CD407C-A483-45F1-8373-2BF2EEB38B6A}"/>
    <cellStyle name="Normalny 13 2 6 2" xfId="1370" xr:uid="{416F0FAE-A539-4CB1-AFF0-E962254B32B5}"/>
    <cellStyle name="Normalny 13 2 6 2 2" xfId="1371" xr:uid="{6405242B-82F1-4205-B7D1-339CFCCA4557}"/>
    <cellStyle name="Normalny 13 2 6 2 3" xfId="1372" xr:uid="{2BB99555-04DC-4247-94F9-30EACD385E09}"/>
    <cellStyle name="Normalny 13 2 6 3" xfId="1373" xr:uid="{3C3337A9-82AF-431A-AC11-0FF4528F122A}"/>
    <cellStyle name="Normalny 13 2 7" xfId="1374" xr:uid="{32F44E7F-6D5D-456A-8B67-CA6A354C1B45}"/>
    <cellStyle name="Normalny 13 2 7 2" xfId="1375" xr:uid="{A81BBC0B-FBA3-4641-A6FE-32F1ADC866F5}"/>
    <cellStyle name="Normalny 13 2 7 2 2" xfId="1376" xr:uid="{3F337E1B-8A18-4FD0-9527-679CE1EAC582}"/>
    <cellStyle name="Normalny 13 2 7 2 3" xfId="1377" xr:uid="{92E11CF7-FC70-4FDF-B287-B6BDB409A39E}"/>
    <cellStyle name="Normalny 13 2 7 3" xfId="1378" xr:uid="{CAE00A79-D12A-4AA3-AE2D-5B896DD3309A}"/>
    <cellStyle name="Normalny 13 2 8" xfId="1379" xr:uid="{F3483FD2-17BA-4167-A3DE-8EFA27CC48C2}"/>
    <cellStyle name="Normalny 13 2 9" xfId="1380" xr:uid="{919C21D8-DEBC-49CA-86CE-CA89AF785EC7}"/>
    <cellStyle name="Normalny 13 2_CHP" xfId="1381" xr:uid="{C1108256-50AA-4FB5-B02C-9EA9568D9A1B}"/>
    <cellStyle name="Normalny 13 20" xfId="1382" xr:uid="{3DA6673D-81F1-4203-B7D2-F2C4822F4D4B}"/>
    <cellStyle name="Normalny 13 21" xfId="1383" xr:uid="{2395D39E-0424-4461-957F-0B20EA3674F8}"/>
    <cellStyle name="Normalny 13 22" xfId="1384" xr:uid="{018285B9-58FA-44AB-B803-5FD694F2B755}"/>
    <cellStyle name="Normalny 13 23" xfId="1385" xr:uid="{77C37CEE-0718-4469-B210-076347C11FD3}"/>
    <cellStyle name="Normalny 13 24" xfId="1386" xr:uid="{03AF3DAD-FE10-4EDD-AFEF-5B3EB6F9D5B3}"/>
    <cellStyle name="Normalny 13 25" xfId="1387" xr:uid="{EA4D0D6C-DC25-4C3F-91C6-89375A1136D9}"/>
    <cellStyle name="Normalny 13 3" xfId="1388" xr:uid="{1E7A4A16-BF06-4A6F-8119-A5F5B073FC4C}"/>
    <cellStyle name="Normalny 13 3 2" xfId="1389" xr:uid="{06B99E2D-1DD3-45BB-889E-9F08C3A4DB6B}"/>
    <cellStyle name="Normalny 13 3 2 2" xfId="1390" xr:uid="{01B00368-4290-4A92-B4C8-790E32D4AD98}"/>
    <cellStyle name="Normalny 13 3 2 2 2" xfId="1391" xr:uid="{E09247FF-B2E4-4A15-A93F-0E8F1EEB8AD1}"/>
    <cellStyle name="Normalny 13 3 2 2 2 2" xfId="1392" xr:uid="{96442DBA-39E6-45F0-A1E7-BA443F48D558}"/>
    <cellStyle name="Normalny 13 3 2 2 2 3" xfId="1393" xr:uid="{407F2295-F341-4244-9620-87EC5EE51F9E}"/>
    <cellStyle name="Normalny 13 3 2 2 3" xfId="1394" xr:uid="{0801E681-6AB3-4C68-9A1A-C6606B6BB71D}"/>
    <cellStyle name="Normalny 13 3 2 2 4" xfId="1395" xr:uid="{4AC7D372-3AD2-4F0C-B5DD-A524F72EE593}"/>
    <cellStyle name="Normalny 13 3 2 2 4 2" xfId="1396" xr:uid="{14107928-9C8F-42F3-89E9-0393789D021B}"/>
    <cellStyle name="Normalny 13 3 2 2_CHP" xfId="1397" xr:uid="{FBF1ECCE-CBBA-4707-9656-B158D5E011EE}"/>
    <cellStyle name="Normalny 13 3 2 3" xfId="1398" xr:uid="{3F2A9888-8EB0-4F6B-A016-32927A369DA1}"/>
    <cellStyle name="Normalny 13 3 2 3 2" xfId="1399" xr:uid="{1560549F-77AF-475D-97C1-3E20C978BC58}"/>
    <cellStyle name="Normalny 13 3 2 3 3" xfId="1400" xr:uid="{CE453B1A-5D0A-4880-B6F8-C0C9188E2AB4}"/>
    <cellStyle name="Normalny 13 3 2 4" xfId="1401" xr:uid="{25BAF09C-2DFD-48C3-B064-B94149EC3A98}"/>
    <cellStyle name="Normalny 13 3 2 4 2" xfId="1402" xr:uid="{42A35F49-0125-4B11-9F3F-E945AE7621C4}"/>
    <cellStyle name="Normalny 13 3 2 4 3" xfId="1403" xr:uid="{6EE55D6A-5797-494A-90F1-E88A4FFC3504}"/>
    <cellStyle name="Normalny 13 3 3" xfId="1404" xr:uid="{695DDF15-E116-4A1C-AE22-9024D003DE92}"/>
    <cellStyle name="Normalny 13 3 3 2" xfId="1405" xr:uid="{55F455CE-63F0-4B00-B441-8BFBEF80EFC2}"/>
    <cellStyle name="Normalny 13 3 3 3" xfId="1406" xr:uid="{8BECEE16-201B-43D2-8965-1C1DA29F3EFE}"/>
    <cellStyle name="Normalny 13 3 4" xfId="1407" xr:uid="{F3EB3393-2017-4123-B9E0-417245E044B1}"/>
    <cellStyle name="Normalny 13 3 4 2" xfId="1408" xr:uid="{B017F641-1CC9-42C8-A860-4272DDA266FF}"/>
    <cellStyle name="Normalny 13 3 4 3" xfId="1409" xr:uid="{F193CFE0-CDB2-4187-908D-CDCC988A8B04}"/>
    <cellStyle name="Normalny 13 3 5" xfId="1410" xr:uid="{F53E9221-CB19-4B07-9F79-873169FCA819}"/>
    <cellStyle name="Normalny 13 3 5 2" xfId="1411" xr:uid="{4BC16807-9D6F-45FF-BD14-46355A5E7C63}"/>
    <cellStyle name="Normalny 13 3 5 3" xfId="1412" xr:uid="{6B20B068-A71F-4394-B4FB-191558781075}"/>
    <cellStyle name="Normalny 13 3 5 3 2" xfId="1413" xr:uid="{E1759E4C-59D8-4B41-A5E1-EC9CA546D153}"/>
    <cellStyle name="Normalny 13 3 5 4" xfId="1414" xr:uid="{EE94BFEE-AED3-4A3C-9F17-DD91FFC8AE56}"/>
    <cellStyle name="Normalny 13 3 5_CHP" xfId="1415" xr:uid="{CE050F98-0C4E-4E27-AF3E-50D83AEDAD03}"/>
    <cellStyle name="Normalny 13 3 6" xfId="1416" xr:uid="{E9B43FA9-FBEC-49F9-BB53-9909555527DA}"/>
    <cellStyle name="Normalny 13 3 6 2" xfId="1417" xr:uid="{E2C1DB79-ED2F-4D53-BDBD-E46F1DC199A2}"/>
    <cellStyle name="Normalny 13 3 7" xfId="1418" xr:uid="{9BD86AFF-3ACB-4FD3-AB8D-3C263C3B879B}"/>
    <cellStyle name="Normalny 13 3 7 2" xfId="1419" xr:uid="{A8B783C3-18F0-4FAA-A2EB-4B638B4141CE}"/>
    <cellStyle name="Normalny 13 3_CHP" xfId="1420" xr:uid="{9B39E060-87AD-4577-AA2F-6783E30088A5}"/>
    <cellStyle name="Normalny 13 4" xfId="1421" xr:uid="{86AACE46-18AA-4746-9AD0-975FC46961C0}"/>
    <cellStyle name="Normalny 13 4 2" xfId="1422" xr:uid="{4B8D22F9-E8C9-4AAF-9759-E8980A65D5C2}"/>
    <cellStyle name="Normalny 13 4 2 2" xfId="1423" xr:uid="{ACB24A9A-4E10-4A3D-9352-4EE04B5CB195}"/>
    <cellStyle name="Normalny 13 4 2 3" xfId="1424" xr:uid="{A05EED32-D1D5-4EAF-B3D0-D5AAA65185A8}"/>
    <cellStyle name="Normalny 13 4 3" xfId="1425" xr:uid="{185EADC9-5E8D-4CA9-A71F-4D5BB3D9F009}"/>
    <cellStyle name="Normalny 13 4 4" xfId="1426" xr:uid="{4A1B5DC9-F0E1-4D71-BF8F-21E65A57DCA5}"/>
    <cellStyle name="Normalny 13 4 4 2" xfId="1427" xr:uid="{F0ACE6D2-9264-40A2-B151-8D18B2A7748E}"/>
    <cellStyle name="Normalny 13 4_CHP" xfId="1428" xr:uid="{4BE8D725-6041-4885-AFB6-045340E9B6F5}"/>
    <cellStyle name="Normalny 13 5" xfId="1429" xr:uid="{BDD3C124-3628-49D3-B2D5-D8D0C47BB142}"/>
    <cellStyle name="Normalny 13 5 2" xfId="1430" xr:uid="{D0D2F3AB-0DC7-4A4D-9272-B78A31226CD8}"/>
    <cellStyle name="Normalny 13 5 2 2" xfId="1431" xr:uid="{550BF882-C875-4591-ADCE-99500E63D6E9}"/>
    <cellStyle name="Normalny 13 5 2 3" xfId="1432" xr:uid="{C99E6FE3-0CBD-428E-867A-248FCDD3EED3}"/>
    <cellStyle name="Normalny 13 5 3" xfId="1433" xr:uid="{A8556952-5DFB-4941-AEAA-38D67BF4E8E8}"/>
    <cellStyle name="Normalny 13 5 4" xfId="1434" xr:uid="{166DD85A-1D92-48C3-9C30-C16B0D71246A}"/>
    <cellStyle name="Normalny 13 5 4 2" xfId="1435" xr:uid="{FD2A9147-A608-4EA2-BB5D-538490697BD8}"/>
    <cellStyle name="Normalny 13 5_CHP" xfId="1436" xr:uid="{81A64CA6-752A-469F-BA00-48ECE9A82C4B}"/>
    <cellStyle name="Normalny 13 6" xfId="1437" xr:uid="{F903A0D6-E18B-4C14-8499-D51F33E1CB30}"/>
    <cellStyle name="Normalny 13 6 2" xfId="1438" xr:uid="{7101F46D-0DA5-4DEF-83EA-39198CD805C4}"/>
    <cellStyle name="Normalny 13 6 2 2" xfId="1439" xr:uid="{F1E2FDD3-D7C4-474F-988C-0B89C0291035}"/>
    <cellStyle name="Normalny 13 6 2 2 2" xfId="1440" xr:uid="{E085189D-47C6-48A7-A0BF-C2716E73E49C}"/>
    <cellStyle name="Normalny 13 6 2 2 2 2" xfId="1441" xr:uid="{9860BB45-484A-4D26-BDF5-44DA52B9D6B4}"/>
    <cellStyle name="Normalny 13 6 2 2 2 3" xfId="1442" xr:uid="{495CB139-6655-43F5-9F5B-02F1B1657444}"/>
    <cellStyle name="Normalny 13 6 2 2 3" xfId="1443" xr:uid="{2218D0DF-C324-434A-8E8D-EA746CF9DF84}"/>
    <cellStyle name="Normalny 13 6 2 3" xfId="1444" xr:uid="{26979CC6-72B7-4EEB-9521-FF7A13FEBD9D}"/>
    <cellStyle name="Normalny 13 6 2 4" xfId="1445" xr:uid="{47EB047F-9D07-488B-BAF2-47FA6905A0CF}"/>
    <cellStyle name="Normalny 13 6 2_CHP" xfId="1446" xr:uid="{D3AB1C72-BAF0-4CF9-87CE-DF8BCA8D1F4F}"/>
    <cellStyle name="Normalny 13 6 3" xfId="1447" xr:uid="{5CBAD1DE-B97D-4653-915D-45BEDD4CB443}"/>
    <cellStyle name="Normalny 13 6 3 2" xfId="1448" xr:uid="{4F3FE78F-756D-46DA-87CE-56589CBB68CA}"/>
    <cellStyle name="Normalny 13 6 3 2 2" xfId="1449" xr:uid="{7F6FD58F-CD95-41D0-B86E-05EFF22311C6}"/>
    <cellStyle name="Normalny 13 6 3 2 2 2" xfId="1450" xr:uid="{3B6245CB-7EA9-425C-944E-1246A4CBA2E7}"/>
    <cellStyle name="Normalny 13 6 3 2 2 3" xfId="1451" xr:uid="{ADECDD66-F6AC-4DBC-9935-D4089DCC5450}"/>
    <cellStyle name="Normalny 13 6 3 2 3" xfId="1452" xr:uid="{F6C14F2F-EE0A-4FB1-A3CB-6CC748F22A47}"/>
    <cellStyle name="Normalny 13 6 3 3" xfId="1453" xr:uid="{98D60AF1-86B9-4753-B24C-41A40F0B4A6B}"/>
    <cellStyle name="Normalny 13 6 3 4" xfId="1454" xr:uid="{6F34F1D8-32AA-4FF0-9CC5-0164303D23AB}"/>
    <cellStyle name="Normalny 13 6 3_CHP" xfId="1455" xr:uid="{2728DDC3-2E04-4A68-9BD7-A694BFA0BDDA}"/>
    <cellStyle name="Normalny 13 6 4" xfId="1456" xr:uid="{C1470ED7-D24F-430C-A8C4-B48A253FC879}"/>
    <cellStyle name="Normalny 13 6 4 2" xfId="1457" xr:uid="{0B3A6438-B664-4FB7-8755-115066DBCEDA}"/>
    <cellStyle name="Normalny 13 6 4 2 2" xfId="1458" xr:uid="{3611A5BF-1BB0-416D-8A83-16839DC4A711}"/>
    <cellStyle name="Normalny 13 6 4 2 3" xfId="1459" xr:uid="{0B111FE8-E053-49D0-99C7-B36061FBF042}"/>
    <cellStyle name="Normalny 13 6 4 3" xfId="1460" xr:uid="{5D1459CE-ED99-483E-A04C-CCEF230E98D5}"/>
    <cellStyle name="Normalny 13 6 5" xfId="1461" xr:uid="{7C5D335C-0125-403D-BF72-8E755240EEBD}"/>
    <cellStyle name="Normalny 13 6 5 2" xfId="1462" xr:uid="{B153A950-FF08-4A34-ABC6-F329026BC48B}"/>
    <cellStyle name="Normalny 13 6 5 2 2" xfId="1463" xr:uid="{6CBFD7C4-C237-4B5C-AF72-FEAC097499AD}"/>
    <cellStyle name="Normalny 13 6 5 2 3" xfId="1464" xr:uid="{69D6BF78-4CC1-41FA-A74A-C496C8FD698B}"/>
    <cellStyle name="Normalny 13 6 5 3" xfId="1465" xr:uid="{4F21D6F0-2F6B-4167-BF00-50DDEB2EEE9E}"/>
    <cellStyle name="Normalny 13 6 6" xfId="1466" xr:uid="{9B4B6548-FF97-4CDA-9EC0-E1B94B31E31C}"/>
    <cellStyle name="Normalny 13 6 7" xfId="1467" xr:uid="{B2AEC301-AF5C-4EF9-B6FA-C77C2B2AC182}"/>
    <cellStyle name="Normalny 13 6_CHP" xfId="1468" xr:uid="{EAFB0685-FA55-4BE3-8CA5-7C9A9A24D19C}"/>
    <cellStyle name="Normalny 13 7" xfId="1469" xr:uid="{AAAA50D9-0E61-4D13-A45B-230CEE73A678}"/>
    <cellStyle name="Normalny 13 7 2" xfId="1470" xr:uid="{6885F180-F6BB-41CF-AC46-BD5CDAF48B26}"/>
    <cellStyle name="Normalny 13 7 2 2" xfId="1471" xr:uid="{244773A1-13A5-40F3-8DAE-0E40B577CB0F}"/>
    <cellStyle name="Normalny 13 7 2 2 2" xfId="1472" xr:uid="{079AA265-147C-4910-BEB5-CD1AB106C8E9}"/>
    <cellStyle name="Normalny 13 7 2 2 3" xfId="1473" xr:uid="{71EE12E7-0E7E-4B4A-90D5-AD0060282360}"/>
    <cellStyle name="Normalny 13 7 2 3" xfId="1474" xr:uid="{24CAA0D2-CA31-4737-9F6E-BE4FFDDD2FA2}"/>
    <cellStyle name="Normalny 13 7 3" xfId="1475" xr:uid="{741FEE6B-2116-4BBC-824A-CBD9907D6967}"/>
    <cellStyle name="Normalny 13 7 4" xfId="1476" xr:uid="{2EC18C13-30A0-4320-A173-3B329A173687}"/>
    <cellStyle name="Normalny 13 7_CHP" xfId="1477" xr:uid="{CB0E6415-1174-438E-B3E2-15A45D371B27}"/>
    <cellStyle name="Normalny 13 8" xfId="1478" xr:uid="{4FB95A90-2D17-4087-9DFB-42B54931011D}"/>
    <cellStyle name="Normalny 13 8 2" xfId="1479" xr:uid="{A7CCAD2C-6A10-4181-95D0-E8954D7ADC66}"/>
    <cellStyle name="Normalny 13 8 2 2" xfId="1480" xr:uid="{A3EB4138-B8A6-410C-B361-9F0F3CB78357}"/>
    <cellStyle name="Normalny 13 8 2 2 2" xfId="1481" xr:uid="{12A4D93B-53A0-4883-ACD0-875183123DE3}"/>
    <cellStyle name="Normalny 13 8 2 2 3" xfId="1482" xr:uid="{4B29BF24-5BCD-47F3-89C2-B74F4945D9DA}"/>
    <cellStyle name="Normalny 13 8 2 3" xfId="1483" xr:uid="{2DBF727D-360B-414D-8A3A-E596B1AA54A6}"/>
    <cellStyle name="Normalny 13 8 3" xfId="1484" xr:uid="{066782B3-5A0D-462B-BB9B-B383DC38C406}"/>
    <cellStyle name="Normalny 13 8 4" xfId="1485" xr:uid="{3F0933CB-D34C-4407-B1BC-362C606E504A}"/>
    <cellStyle name="Normalny 13 8_CHP" xfId="1486" xr:uid="{6BE2CDC5-966C-4CAB-8C0A-97F88B8C5361}"/>
    <cellStyle name="Normalny 13 9" xfId="1487" xr:uid="{DDC9D745-9998-40BD-8F0D-CF3A73ACA487}"/>
    <cellStyle name="Normalny 13 9 2" xfId="1488" xr:uid="{9DED80C4-3563-4DFC-9D8F-9BC6C09C7192}"/>
    <cellStyle name="Normalny 13 9 2 2" xfId="1489" xr:uid="{7074F4FA-0704-44E2-A4CE-D1317A14F1C1}"/>
    <cellStyle name="Normalny 13 9 2 3" xfId="1490" xr:uid="{E0B876D1-473F-4C51-9620-0F787486C871}"/>
    <cellStyle name="Normalny 13 9 3" xfId="1491" xr:uid="{A9636386-E918-4067-BE03-FFEC7FEBB12F}"/>
    <cellStyle name="Normalny 13_CHP" xfId="1492" xr:uid="{CA2CA0C0-D72D-412E-8DE1-4A35931C8CD7}"/>
    <cellStyle name="Normalny 14" xfId="1493" xr:uid="{86AF876C-7487-4B8C-8D66-40BBBC0B4D28}"/>
    <cellStyle name="Normalny 14 2" xfId="1494" xr:uid="{164EC2BB-6A5F-4722-8FAF-4AB54A82B26D}"/>
    <cellStyle name="Normalny 14 2 2" xfId="1495" xr:uid="{3E4EF0FE-4C91-4D21-B250-569BDC319AED}"/>
    <cellStyle name="Normalny 14 2 2 2" xfId="1496" xr:uid="{7BF31D14-4730-4D50-A5F8-1C010B316376}"/>
    <cellStyle name="Normalny 14 2 2 2 2" xfId="1497" xr:uid="{B58DA870-049A-430E-BAA8-CBD4858FC4E0}"/>
    <cellStyle name="Normalny 14 2 2 2 3" xfId="1498" xr:uid="{EB928DAF-6E43-4ED5-A980-4D66A1835A48}"/>
    <cellStyle name="Normalny 14 2 2 3" xfId="1499" xr:uid="{334932C3-ADA3-4A03-BC6B-E57696C67E4E}"/>
    <cellStyle name="Normalny 14 2 2 3 2" xfId="1500" xr:uid="{CC362DF3-225F-489A-8314-FC1C3D559EE3}"/>
    <cellStyle name="Normalny 14 2 2 4" xfId="1501" xr:uid="{3933467E-C26A-40FD-BAF9-FFC072042305}"/>
    <cellStyle name="Normalny 14 2 2 4 2" xfId="1502" xr:uid="{3D36CB32-75DD-4216-A055-7177C9109D7A}"/>
    <cellStyle name="Normalny 14 2 2 5" xfId="1503" xr:uid="{9C68551F-5A2A-4EE8-9A83-638334F620F9}"/>
    <cellStyle name="Normalny 14 2 2_CHP" xfId="1504" xr:uid="{336293AF-56CC-4B5A-9540-D80E0FC89D10}"/>
    <cellStyle name="Normalny 14 2 3" xfId="1505" xr:uid="{384BAB1B-6142-41FB-959E-0640063586B6}"/>
    <cellStyle name="Normalny 14 2 3 2" xfId="1506" xr:uid="{BA4477DF-DC64-44AB-88F2-F0456597534C}"/>
    <cellStyle name="Normalny 14 2 3 3" xfId="1507" xr:uid="{94996740-A544-4D62-8632-4B2D69679E5B}"/>
    <cellStyle name="Normalny 14 2 4" xfId="1508" xr:uid="{41209DD7-C78A-4BFA-98E2-CA1319417BDA}"/>
    <cellStyle name="Normalny 14 2 4 2" xfId="1509" xr:uid="{5C938789-5740-4E96-8583-C31BBE2F49AA}"/>
    <cellStyle name="Normalny 14 2 4 3" xfId="1510" xr:uid="{00A6B0CE-ED7D-44A9-8360-040B27A138C0}"/>
    <cellStyle name="Normalny 14 2 5" xfId="1511" xr:uid="{E190E55F-C644-4F01-95AF-59993AF9382B}"/>
    <cellStyle name="Normalny 14 2_MocNettoER" xfId="1512" xr:uid="{D83C6C22-EBD7-476F-ABE1-9C3065E5C76B}"/>
    <cellStyle name="Normalny 14 3" xfId="1513" xr:uid="{63D59F8C-6C62-480B-BB0B-C3284252A88D}"/>
    <cellStyle name="Normalny 14 3 2" xfId="1514" xr:uid="{DE06E0F2-DC91-4EAA-AC1B-9A8C90101FBE}"/>
    <cellStyle name="Normalny 14 3 3" xfId="1515" xr:uid="{F958906F-9BC5-4737-8DCD-58056335878F}"/>
    <cellStyle name="Normalny 14 4" xfId="1516" xr:uid="{60770CEC-3B98-4D1D-B055-E5130D860029}"/>
    <cellStyle name="Normalny 14 4 2" xfId="1517" xr:uid="{E447EB06-84AF-42C0-BF1F-CA1A4085917D}"/>
    <cellStyle name="Normalny 14 4 3" xfId="1518" xr:uid="{17C57ABF-9DBF-47B8-A59A-4AA12B2F92B8}"/>
    <cellStyle name="Normalny 14 5" xfId="1519" xr:uid="{AA3E1ADB-FF14-470D-89CF-6374DF134F78}"/>
    <cellStyle name="Normalny 14 5 2" xfId="1520" xr:uid="{4FC46D5F-52F9-4257-863E-8272024FDCAA}"/>
    <cellStyle name="Normalny 14 6" xfId="1521" xr:uid="{EB6E9F97-8D4B-4BA0-8F59-C38E627608D0}"/>
    <cellStyle name="Normalny 14 6 2" xfId="1522" xr:uid="{AB0B7E0E-C402-4ED9-BB5C-9EE7FC4BE4BB}"/>
    <cellStyle name="Normalny 14 7" xfId="1523" xr:uid="{A1A0A079-9003-4275-A69F-956F4DBAE83C}"/>
    <cellStyle name="Normalny 14_CHP" xfId="1524" xr:uid="{D3CCAE58-ACFF-4972-AA09-90B32E02F041}"/>
    <cellStyle name="Normalny 15" xfId="1525" xr:uid="{5D7D6654-168A-4F6C-A9DF-D78F67C9831A}"/>
    <cellStyle name="Normalny 15 2" xfId="1526" xr:uid="{E6529F84-DCD5-4DCC-9F39-B3D4AAC4B4A7}"/>
    <cellStyle name="Normalny 15 2 2" xfId="1527" xr:uid="{44CA845E-C22F-4B6A-87D4-C7E70D950203}"/>
    <cellStyle name="Normalny 15 2 3" xfId="1528" xr:uid="{CDE13CAE-1D1B-4925-AC05-71FA4521D775}"/>
    <cellStyle name="Normalny 15 3" xfId="1529" xr:uid="{12010448-2C6D-43E3-89BA-7BD347915169}"/>
    <cellStyle name="Normalny 15 4" xfId="1530" xr:uid="{34DC7154-B735-4810-AA17-B3A3B86769CC}"/>
    <cellStyle name="Normalny 15_COM_BND" xfId="1531" xr:uid="{7746A4E5-2D3F-4BB4-A111-3DDB4E84BDB7}"/>
    <cellStyle name="Normalny 16" xfId="1532" xr:uid="{4F070C03-7652-446B-89EB-AA18A2DCA2FE}"/>
    <cellStyle name="Normalny 16 2" xfId="1533" xr:uid="{B5166131-FBF0-4A3A-9225-4C97AEF439C2}"/>
    <cellStyle name="Normalny 16 2 2" xfId="1534" xr:uid="{F49A2F6B-4FE7-44BA-8497-2B04F893F808}"/>
    <cellStyle name="Normalny 16 2 3" xfId="1535" xr:uid="{FB01A60F-21E9-40BA-A46B-31EF6C2489D5}"/>
    <cellStyle name="Normalny 16 3" xfId="1536" xr:uid="{C36E6BCD-282B-4723-A5F6-7B636414D6AD}"/>
    <cellStyle name="Normalny 16 3 2" xfId="1537" xr:uid="{7853B742-9A86-4B87-8CA6-2F8636A94819}"/>
    <cellStyle name="Normalny 16 4" xfId="1538" xr:uid="{995DB089-0950-47CC-93FE-10C50B49255A}"/>
    <cellStyle name="Normalny 16 4 2" xfId="1539" xr:uid="{2B62C5E4-5151-4BBE-8807-61A2C9867E9C}"/>
    <cellStyle name="Normalny 16 5" xfId="1540" xr:uid="{CCB66C26-7909-4308-B6E6-357F6206AA95}"/>
    <cellStyle name="Normalny 16_CHP" xfId="1541" xr:uid="{61DE575D-8EA4-4D72-BCF9-5C56C97E410F}"/>
    <cellStyle name="Normalny 17" xfId="1542" xr:uid="{E673DD90-8DE8-4E6B-9C4F-7331E189FEA4}"/>
    <cellStyle name="Normalny 17 2" xfId="1543" xr:uid="{68DFF1C2-A3AC-4542-9206-2E2D64291BDE}"/>
    <cellStyle name="Normalny 18" xfId="1544" xr:uid="{5194284D-CA01-4AEB-9903-8673E8BA545B}"/>
    <cellStyle name="Normalny 18 2" xfId="1545" xr:uid="{91D32C5F-8D56-4A21-A49B-28D4487B0E90}"/>
    <cellStyle name="Normalny 18 2 2" xfId="1546" xr:uid="{7EDC5B41-25FD-4345-AEB0-C0441E88B3AD}"/>
    <cellStyle name="Normalny 18 3" xfId="1547" xr:uid="{41D1F78F-3544-4788-821E-9865028A0628}"/>
    <cellStyle name="Normalny 18 3 2" xfId="1548" xr:uid="{4E7ACE1F-1650-4988-971F-74473C04B7C1}"/>
    <cellStyle name="Normalny 18 4" xfId="1549" xr:uid="{2E35107E-B04B-4DF4-91D6-D22F56B87151}"/>
    <cellStyle name="Normalny 18_CHP" xfId="1550" xr:uid="{76B68363-1950-40D1-99A1-8DE61CBA2C83}"/>
    <cellStyle name="Normalny 19" xfId="1551" xr:uid="{475A32E8-841C-4883-9DFD-A1ECF837B467}"/>
    <cellStyle name="Normalny 2" xfId="1552" xr:uid="{D927FE20-4D1B-4BDE-AF58-2B87B2FDA78D}"/>
    <cellStyle name="Normalny 2 10" xfId="10" xr:uid="{B89E35C5-EC40-4BA2-9392-04A29D634471}"/>
    <cellStyle name="Normalny 2 2" xfId="1553" xr:uid="{EAB6587C-3650-4CC0-B2E6-2FA3B100183E}"/>
    <cellStyle name="Normalny 2 2 2" xfId="1554" xr:uid="{FACBF906-8A88-4F46-84D6-9BCC12152E69}"/>
    <cellStyle name="Normalny 2 2 3" xfId="1555" xr:uid="{2A5C3E8A-BDE9-4DB0-AA5C-A8CF9F01822D}"/>
    <cellStyle name="Normalny 2 3" xfId="1556" xr:uid="{57FED033-C867-4AE8-9D7A-2C86E249C6D5}"/>
    <cellStyle name="Normalny 2 3 2" xfId="1557" xr:uid="{B0596560-D4F9-4C80-8240-67E7ED1C4AAD}"/>
    <cellStyle name="Normalny 2 3 3" xfId="1558" xr:uid="{89A104C1-8411-4926-B2CB-71727EAB12A5}"/>
    <cellStyle name="Normalny 2 4" xfId="1559" xr:uid="{EFA1857F-2CB2-46E4-8819-10AC257B4872}"/>
    <cellStyle name="Normalny 2 5" xfId="1560" xr:uid="{8E7EE517-92AA-423B-BB73-84DF8F839542}"/>
    <cellStyle name="Normalny 2_COM_BND" xfId="1561" xr:uid="{546C6365-9B01-4BA3-9A07-693DE79D6285}"/>
    <cellStyle name="Normalny 20" xfId="1562" xr:uid="{481AFCBA-34F4-484E-9CF7-1F4AED1B6DF6}"/>
    <cellStyle name="Normalny 20 2" xfId="1563" xr:uid="{4B5B8910-170D-4557-BE5A-D1CEA3EC8760}"/>
    <cellStyle name="Normalny 20 3" xfId="1564" xr:uid="{6434E5D2-B756-4CD6-89CA-D38E90643C78}"/>
    <cellStyle name="Normalny 20 4" xfId="1565" xr:uid="{3BDF109F-AF52-4175-A7CD-159B9A4FAE6B}"/>
    <cellStyle name="Normalny 20_CHP" xfId="1566" xr:uid="{E4F4726D-4CA0-4E1E-B1AE-BD25ACE27C4F}"/>
    <cellStyle name="Normalny 21" xfId="1567" xr:uid="{401457E7-33AE-43F1-B0CB-765E404103EA}"/>
    <cellStyle name="Normalny 21 2" xfId="1568" xr:uid="{AD2440FA-CC50-42FF-83A3-B0BA3707728A}"/>
    <cellStyle name="Normalny 21 3" xfId="1569" xr:uid="{CA9B7BC3-E3E6-4887-8B6F-71764A8042FA}"/>
    <cellStyle name="Normalny 22" xfId="1570" xr:uid="{5968D8C1-FDC7-41B5-898B-708A954FDCEB}"/>
    <cellStyle name="Normalny 23" xfId="1571" xr:uid="{5248B6FE-7BA7-4B42-BF88-2B5F39EA0D38}"/>
    <cellStyle name="Normalny 24" xfId="1572" xr:uid="{6CAC7BE1-157D-4159-8528-4781D783A075}"/>
    <cellStyle name="Normalny 24 2" xfId="1573" xr:uid="{2C2D4C95-B15D-49DE-8121-DA4492DFD4CA}"/>
    <cellStyle name="Normalny 25" xfId="1574" xr:uid="{63E3DCA3-5322-42E1-BBA3-57223B1A7C66}"/>
    <cellStyle name="Normalny 26" xfId="1575" xr:uid="{59707B89-ADCC-49D2-95F0-6A3EAC6A6B26}"/>
    <cellStyle name="Normalny 26 2" xfId="1576" xr:uid="{CE712C5E-534B-4CAD-AC5F-4B0B52358F0A}"/>
    <cellStyle name="Normalny 26 3" xfId="1577" xr:uid="{5675FECF-0F60-4A71-9F65-CC596BEA0558}"/>
    <cellStyle name="Normalny 27" xfId="1578" xr:uid="{E481B02C-DB2F-40DD-83AC-EFB2ADBD41FF}"/>
    <cellStyle name="Normalny 28" xfId="1579" xr:uid="{8DE3628A-F5F7-4C3A-BB23-119DC1D8D4C8}"/>
    <cellStyle name="Normalny 29" xfId="1580" xr:uid="{D4513C7F-C08D-4264-9EF1-8539A974701B}"/>
    <cellStyle name="Normalny 3" xfId="11" xr:uid="{CB2814E5-9532-489A-A71D-10D87E336236}"/>
    <cellStyle name="Normalny 3 2" xfId="13" xr:uid="{3FF9DE4D-F8D7-4555-B3FD-B43A32855172}"/>
    <cellStyle name="Normalny 30" xfId="1581" xr:uid="{7EAA47FD-F4F0-4B8D-B3D0-9461D21E2740}"/>
    <cellStyle name="Normalny 31" xfId="1582" xr:uid="{1245725E-8BAC-45CE-B4CB-FE4B503620A5}"/>
    <cellStyle name="Normalny 32" xfId="1583" xr:uid="{2A6584F8-A0DF-4794-82FA-E9859A1502C5}"/>
    <cellStyle name="Normalny 33" xfId="1584" xr:uid="{E9F4DA8C-ED13-4B04-86F1-E228A2A1CED5}"/>
    <cellStyle name="Normalny 34" xfId="1585" xr:uid="{5D60DFE8-277F-4255-9EA1-24097715A11A}"/>
    <cellStyle name="Normalny 4" xfId="1586" xr:uid="{792139F6-949D-4399-A71A-67316582D972}"/>
    <cellStyle name="Normalny 43 2" xfId="24" xr:uid="{BA4AC8AC-680A-436B-882C-550F9A548579}"/>
    <cellStyle name="Normalny 5" xfId="1587" xr:uid="{45B4CB5A-588F-4EAC-9DE1-DD27756E4ADC}"/>
    <cellStyle name="Normalny 6" xfId="1588" xr:uid="{6459AEC4-1572-465B-BD37-5ED7F20C0FA1}"/>
    <cellStyle name="Normalny 7" xfId="1589" xr:uid="{F0BF4795-55F5-4578-BDCD-46449E5289EA}"/>
    <cellStyle name="Normalny 8" xfId="1590" xr:uid="{E03D14DD-6C70-4CA4-921A-EC343A4F05C1}"/>
    <cellStyle name="Normalny 9" xfId="1591" xr:uid="{E5EEC39C-0633-4D42-9E09-408B21C6436C}"/>
    <cellStyle name="Normalny_moce" xfId="20" xr:uid="{4EF65234-3D7D-4B40-846D-F0FA9DD24CE7}"/>
    <cellStyle name="Normalny_S301-339-05" xfId="21" xr:uid="{84399062-68C8-4555-B9BB-7E86E4ADE3B6}"/>
    <cellStyle name="Note 2" xfId="1592" xr:uid="{F6BA9B1E-D4E1-4428-8CD4-5E45E5F8A614}"/>
    <cellStyle name="Note 2 2" xfId="1593" xr:uid="{60E2FBDE-73BE-4816-B473-D19C6F70EA45}"/>
    <cellStyle name="Note 2 3" xfId="1594" xr:uid="{A547C51E-C93D-4819-AEC9-D3217D7A41CF}"/>
    <cellStyle name="Note 2 4" xfId="1595" xr:uid="{738C8BF8-1B95-49DB-B0A7-6E1BE1314D42}"/>
    <cellStyle name="Note 2_CHP" xfId="1596" xr:uid="{45E30FE5-22B9-4E1D-B7BA-E4BEF489EFF7}"/>
    <cellStyle name="Note 3" xfId="1597" xr:uid="{BA133B1D-782F-473A-82D5-3DE82F3EB33D}"/>
    <cellStyle name="Notiz 2" xfId="1598" xr:uid="{7D77B8E6-27FC-4C29-8A00-4CEF34447376}"/>
    <cellStyle name="NumberCellStyle" xfId="3" xr:uid="{00000000-0005-0000-0000-0000540F0000}"/>
    <cellStyle name="NumberCellStyle 2" xfId="14" xr:uid="{ECF2D384-6996-4145-AA66-363FC848CF6E}"/>
    <cellStyle name="Obliczenia" xfId="1599" xr:uid="{F6CA7CDD-AB86-489F-9128-06964455946C}"/>
    <cellStyle name="Obliczenia 10" xfId="1600" xr:uid="{D062BB66-91FB-40F1-8ED7-BEFBD7DDE4EB}"/>
    <cellStyle name="Obliczenia 10 2" xfId="1601" xr:uid="{454BE9C4-8151-4871-B14E-9AC42A84AE80}"/>
    <cellStyle name="Obliczenia 10 3" xfId="1602" xr:uid="{B71A82C3-A90C-4DAC-8381-01805AE6E3B5}"/>
    <cellStyle name="Obliczenia 10_CHP" xfId="1603" xr:uid="{039D357A-6162-4482-AA28-C168565BD828}"/>
    <cellStyle name="Obliczenia 11" xfId="1604" xr:uid="{E5EBEAE3-9277-4C9E-9FD0-A1CC42907155}"/>
    <cellStyle name="Obliczenia 11 2" xfId="1605" xr:uid="{231C19EE-2431-458D-8E86-48863EFC8D67}"/>
    <cellStyle name="Obliczenia 11_CHP" xfId="1606" xr:uid="{9776E920-0927-4259-A158-569BD5BD4313}"/>
    <cellStyle name="Obliczenia 12" xfId="1607" xr:uid="{51B2B27C-A0C8-49E6-B7E4-BB1B3DE69467}"/>
    <cellStyle name="Obliczenia 13" xfId="1608" xr:uid="{E30CD3FA-28CA-4DB1-B949-9E67BD5558FE}"/>
    <cellStyle name="Obliczenia 14" xfId="1609" xr:uid="{5E3CE329-6E67-4AE0-BBC3-7E29992A119F}"/>
    <cellStyle name="Obliczenia 15" xfId="1610" xr:uid="{374D6035-D974-42BF-8BA8-93FED8E24FEC}"/>
    <cellStyle name="Obliczenia 2" xfId="1611" xr:uid="{46766475-3CAB-4558-B9F1-6A5C6FEAB2F5}"/>
    <cellStyle name="Obliczenia 3" xfId="1612" xr:uid="{913448F3-5EE2-4B4F-8E8F-18E283CDBB84}"/>
    <cellStyle name="Obliczenia 4" xfId="1613" xr:uid="{F757C9E1-27F8-4376-9749-0196E4AE9C19}"/>
    <cellStyle name="Obliczenia 5" xfId="1614" xr:uid="{3FD3750F-6A6B-4688-AF9E-B342B3E41564}"/>
    <cellStyle name="Obliczenia 6" xfId="1615" xr:uid="{1BE59508-808E-4BED-96DE-7386B9B94EA1}"/>
    <cellStyle name="Obliczenia 7" xfId="1616" xr:uid="{3176A5A7-59D4-4B14-9EEC-4C3EBC9A75CB}"/>
    <cellStyle name="Obliczenia 8" xfId="1617" xr:uid="{96CBC8EB-1F66-4FB1-BB8E-2E4D2FF2DEB6}"/>
    <cellStyle name="Obliczenia 9" xfId="1618" xr:uid="{865C21BE-5DF3-4AA3-8EF0-7D47640E23B5}"/>
    <cellStyle name="Obliczenia 9 2" xfId="1619" xr:uid="{427E437A-02EC-4C72-8F05-AFEFF72ABEE7}"/>
    <cellStyle name="Obliczenia 9 3" xfId="1620" xr:uid="{6C99A4C9-8BCF-448C-9443-584EDFD5C889}"/>
    <cellStyle name="Obliczenia 9_CHP" xfId="1621" xr:uid="{7CC9BDC2-5F59-4E06-BE40-CF63C338197C}"/>
    <cellStyle name="Obliczenia_CHP" xfId="1622" xr:uid="{751F8675-8C72-4471-878A-381ED6E73467}"/>
    <cellStyle name="Output 2" xfId="1623" xr:uid="{CD838D2F-B26F-40FC-8377-A372538EEE99}"/>
    <cellStyle name="Output 3" xfId="1624" xr:uid="{AED7C861-5703-4E0B-A1C1-1DB5E718493B}"/>
    <cellStyle name="Percent" xfId="4" builtinId="5"/>
    <cellStyle name="Percent [2]" xfId="1625" xr:uid="{8EE0861A-E6D6-4EBB-9789-D7DC9CF4845B}"/>
    <cellStyle name="Percent 2" xfId="1626" xr:uid="{675E362A-2ACD-4709-9D2C-5F3E2D6596FC}"/>
    <cellStyle name="Percent 2 2" xfId="1627" xr:uid="{BEB1E38F-40F5-4F38-B9FD-006A76F203ED}"/>
    <cellStyle name="Percent 2 3" xfId="1628" xr:uid="{BFB10360-626A-4AB6-A0F8-37A4CDDA881A}"/>
    <cellStyle name="Percent 2 4" xfId="1629" xr:uid="{57994E14-4966-4F93-BF83-D154F1E1F9BF}"/>
    <cellStyle name="Percent 3 2" xfId="1630" xr:uid="{D6CD2335-AEAC-43BA-9447-D7BFFAF5336F}"/>
    <cellStyle name="Pilkku_Layo9704" xfId="1631" xr:uid="{63AA9253-3427-4359-9FCE-7152B7C037B2}"/>
    <cellStyle name="Procentowy 2" xfId="1632" xr:uid="{4E056E86-9E19-4265-8611-C03CA9FCE284}"/>
    <cellStyle name="Procentowy 2 10" xfId="1633" xr:uid="{1BDFF0C4-7685-4B67-83C2-4F3BE5F511CD}"/>
    <cellStyle name="Procentowy 2 2" xfId="1634" xr:uid="{B27F3B9E-067A-417D-B7A8-8AAE461607CF}"/>
    <cellStyle name="Procentowy 2 2 2" xfId="1635" xr:uid="{83F389E7-AF9E-46F0-A490-4EA419205F77}"/>
    <cellStyle name="Procentowy 2 2 2 2" xfId="1636" xr:uid="{43642430-2AAA-4436-8780-B30956F09839}"/>
    <cellStyle name="Procentowy 2 2 2 3" xfId="1637" xr:uid="{A0265FAF-F2AB-448B-88A2-813AE61BD977}"/>
    <cellStyle name="Procentowy 2 2 3" xfId="1638" xr:uid="{74D0A946-8CA8-4654-994F-870E5D0CC534}"/>
    <cellStyle name="Procentowy 2 2 3 2" xfId="1639" xr:uid="{7A27A204-489A-4170-ADDD-502032CD87FD}"/>
    <cellStyle name="Procentowy 2 2 3 3" xfId="1640" xr:uid="{0235AB5E-57E4-45EA-8C90-7615272B5A9F}"/>
    <cellStyle name="Procentowy 2 2 4" xfId="1641" xr:uid="{4A05D987-E9C8-47BA-84DA-4FCC0DF24519}"/>
    <cellStyle name="Procentowy 2 2 5" xfId="1642" xr:uid="{5CB548FB-7B04-4C54-902E-7635A094C92F}"/>
    <cellStyle name="Procentowy 2 3" xfId="1643" xr:uid="{081AB1A4-73A3-41BB-8508-D81CAE0759C5}"/>
    <cellStyle name="Procentowy 2 3 2" xfId="1644" xr:uid="{08645D2D-A5CD-4216-A175-0C7162E49D00}"/>
    <cellStyle name="Procentowy 2 3 2 2" xfId="1645" xr:uid="{D2836E0D-C9FA-493B-9B03-9C7DC370ED90}"/>
    <cellStyle name="Procentowy 2 3 2 2 2" xfId="1646" xr:uid="{EF02EB78-D712-47FB-BA81-6D940D2E7AB8}"/>
    <cellStyle name="Procentowy 2 3 2 2 3" xfId="1647" xr:uid="{C6394EF6-1056-47D7-9F3E-A6DC6EBFE4DF}"/>
    <cellStyle name="Procentowy 2 3 2 3" xfId="1648" xr:uid="{90E9992D-FBC7-4984-B03A-32A593733440}"/>
    <cellStyle name="Procentowy 2 3 2 3 2" xfId="1649" xr:uid="{981FCDFB-8089-45BA-AD5C-BD2547389B19}"/>
    <cellStyle name="Procentowy 2 3 2 4" xfId="1650" xr:uid="{35D4AD69-A93D-418B-A6B7-8D2B341877BC}"/>
    <cellStyle name="Procentowy 2 3 2 4 2" xfId="1651" xr:uid="{3ACD190F-E9CE-4BAC-A2F7-825E729E0F12}"/>
    <cellStyle name="Procentowy 2 3 2 5" xfId="1652" xr:uid="{13BD62FE-F322-4917-9BD0-0829C6B66705}"/>
    <cellStyle name="Procentowy 2 3 3" xfId="1653" xr:uid="{F16D3951-E812-453E-8AE8-9E31E2FE857C}"/>
    <cellStyle name="Procentowy 2 3 3 2" xfId="1654" xr:uid="{BA4B8385-4294-4B1C-9DD0-2418453576A8}"/>
    <cellStyle name="Procentowy 2 3 3 3" xfId="1655" xr:uid="{54EFDC9E-AD06-4CD9-A164-97BB449A8B3D}"/>
    <cellStyle name="Procentowy 2 3 4" xfId="1656" xr:uid="{F230B15D-199D-4DB4-B27D-4E15C62C1F1B}"/>
    <cellStyle name="Procentowy 2 4" xfId="1657" xr:uid="{B0E9BE26-67DA-4918-97FE-283050CA012A}"/>
    <cellStyle name="Procentowy 2 4 2" xfId="1658" xr:uid="{8BC45BE0-2FF5-485E-8D76-E722874E73BC}"/>
    <cellStyle name="Procentowy 2 4 2 2" xfId="1659" xr:uid="{8298E8D7-C3B3-4A9A-8511-5BEFA445DF78}"/>
    <cellStyle name="Procentowy 2 4 2 3" xfId="1660" xr:uid="{AD1EE7BA-DC3F-4CEA-B4B6-490390478484}"/>
    <cellStyle name="Procentowy 2 4 3" xfId="1661" xr:uid="{28238BFB-A672-46DC-BFD8-81138A396D83}"/>
    <cellStyle name="Procentowy 2 4 3 2" xfId="1662" xr:uid="{1B6F230B-AFF4-4903-8F3B-C54667AAEE73}"/>
    <cellStyle name="Procentowy 2 4 4" xfId="1663" xr:uid="{A2467DC4-5E39-45B1-AF0E-821DDB40F550}"/>
    <cellStyle name="Procentowy 2 4 4 2" xfId="1664" xr:uid="{B6D43792-CEB9-4A2C-B9A8-8B7D2CA384A5}"/>
    <cellStyle name="Procentowy 2 4 5" xfId="1665" xr:uid="{E9710181-0E72-46A8-B066-C1AD5FD7D0E8}"/>
    <cellStyle name="Procentowy 2 5" xfId="1666" xr:uid="{115C18C9-3E65-4066-9349-7CFEACB27001}"/>
    <cellStyle name="Procentowy 2 6" xfId="1667" xr:uid="{B58E4577-F1E2-4A6A-973C-D88760F5B515}"/>
    <cellStyle name="Procentowy 2 6 2" xfId="1668" xr:uid="{60AD042D-9E44-4852-BB94-6FACFC5B1258}"/>
    <cellStyle name="Procentowy 2 6 2 2" xfId="1669" xr:uid="{2463A86E-2EBD-49A9-BC7D-8800F29F2B74}"/>
    <cellStyle name="Procentowy 2 6 3" xfId="1670" xr:uid="{ED2B76D6-D1BD-497A-AF6C-20D01187768A}"/>
    <cellStyle name="Procentowy 2 6 3 2" xfId="1671" xr:uid="{C01C4C8F-3A08-45DD-B090-0D6504150C01}"/>
    <cellStyle name="Procentowy 2 6 4" xfId="1672" xr:uid="{EC04BD60-0361-4392-8CD9-27C9287D5B0E}"/>
    <cellStyle name="Procentowy 2 7" xfId="1673" xr:uid="{29AE6428-880A-4DF9-B89E-829DF99246F6}"/>
    <cellStyle name="Procentowy 2 7 2" xfId="1674" xr:uid="{91421543-D187-413E-BC7E-C864E2131A0A}"/>
    <cellStyle name="Procentowy 2 8" xfId="1675" xr:uid="{E5CC7D72-2A97-458B-9B37-FC0CBB4024EA}"/>
    <cellStyle name="Procentowy 2 8 2" xfId="1676" xr:uid="{D08061F8-3F2B-4DF7-AE93-E316A76414C9}"/>
    <cellStyle name="Procentowy 2 8 3" xfId="1677" xr:uid="{5F67BA33-C00F-437E-8A93-34EF3D5A959B}"/>
    <cellStyle name="Procentowy 2 9" xfId="1678" xr:uid="{DAEC51B9-A8AC-4183-8A3D-D8E5FAFC4AD3}"/>
    <cellStyle name="Procentowy 2 9 2" xfId="1679" xr:uid="{7A6B049B-0C7D-46E0-A9E2-30ED0972D15D}"/>
    <cellStyle name="Procentowy 3" xfId="1680" xr:uid="{FBE2A431-498A-49EB-BECC-BE4B04D077C0}"/>
    <cellStyle name="Procentowy 4" xfId="1681" xr:uid="{988F511D-FFFF-42D8-B327-27A47669D0E7}"/>
    <cellStyle name="Procentowy 4 2" xfId="1682" xr:uid="{7518EC29-A7B2-4EE8-BBF0-83B25C3BE02C}"/>
    <cellStyle name="Procentowy 4 3" xfId="1683" xr:uid="{B022922B-311D-4099-A655-577EF78579F1}"/>
    <cellStyle name="Procentowy 4 4" xfId="1684" xr:uid="{BF13A312-2181-4B5F-8816-8B098CD4A6DD}"/>
    <cellStyle name="Procentowy 5" xfId="1685" xr:uid="{27FAD8BA-0360-4CB2-8571-6C4DD2A343FE}"/>
    <cellStyle name="Procentowy 5 2" xfId="1686" xr:uid="{30859FEE-97D6-435F-9724-4C8132679FA2}"/>
    <cellStyle name="Prozent 2" xfId="1687" xr:uid="{13F2FD23-BDA9-4C4B-A268-4D3CACD219A3}"/>
    <cellStyle name="Prozent 2 2" xfId="1688" xr:uid="{9A065588-FBB7-4238-B9FC-49D743933169}"/>
    <cellStyle name="Prozent 3" xfId="1689" xr:uid="{4C89E457-B908-49B4-9D2F-C0C465813E1A}"/>
    <cellStyle name="Prozent 4" xfId="1690" xr:uid="{21C448E1-8421-4F54-B9A5-C90D5B882A3E}"/>
    <cellStyle name="Prozent 5" xfId="1691" xr:uid="{1A48FF10-2800-4D67-A283-064E35B8484F}"/>
    <cellStyle name="Prozent 5 2" xfId="1692" xr:uid="{CA3CE3E8-889D-449A-8E74-8688D59AEE21}"/>
    <cellStyle name="Prozent 5 2 2" xfId="1693" xr:uid="{36046C8B-E6F9-4989-B626-11562E8DC93B}"/>
    <cellStyle name="Prozent 5 2 3" xfId="1694" xr:uid="{12F04586-31F1-4709-BA37-85EE90FD8DD8}"/>
    <cellStyle name="Prozent 5 2 3 2" xfId="1695" xr:uid="{8C1364C8-95F4-43B5-B3F6-BC2DB37FBA2B}"/>
    <cellStyle name="Prozent 5 2 3 3" xfId="1696" xr:uid="{D136420A-846B-4D4C-835F-FB9D59154C8C}"/>
    <cellStyle name="Prozent 5 2 3 4" xfId="1697" xr:uid="{FFBDA0D5-ACAF-4848-98DC-9E62B9388A73}"/>
    <cellStyle name="Prozent 5 3" xfId="1698" xr:uid="{784D48E0-2527-48B6-9C45-B0D4D543D830}"/>
    <cellStyle name="Prozent 5 3 2" xfId="1699" xr:uid="{F529DBF0-78E5-4FE0-A373-CEDB0BFBEBAC}"/>
    <cellStyle name="Prozent 5 3 3" xfId="1700" xr:uid="{785DB332-C2B9-4090-B908-7ECBF95A0DE5}"/>
    <cellStyle name="Prozent 5 3 4" xfId="1701" xr:uid="{17EA5050-31B1-4090-B9BD-148AACECFAF4}"/>
    <cellStyle name="Prozent 5 4" xfId="1702" xr:uid="{DE18D3FD-D5AE-420A-AD03-2F2A305D0F2E}"/>
    <cellStyle name="Prozent 6" xfId="1703" xr:uid="{4C662F1C-EF10-4004-A23E-355751F8529B}"/>
    <cellStyle name="Prozent 6 2" xfId="1704" xr:uid="{06D39427-045E-4799-B452-E4762BECCF89}"/>
    <cellStyle name="Prozent 6 2 2" xfId="1705" xr:uid="{B88A0EA2-C3C0-49B5-B188-D7E54BA0C30F}"/>
    <cellStyle name="Prozent 6 2 3" xfId="1706" xr:uid="{BECA5BE6-F621-46B8-959D-35FC07D074F8}"/>
    <cellStyle name="Prozent 6 2 3 2" xfId="1707" xr:uid="{4A1EDBC1-B8F5-4E43-886E-49255EAC36F7}"/>
    <cellStyle name="Prozent 6 2 3 3" xfId="1708" xr:uid="{9C64FAB0-24C3-43C7-ABE2-EB8585D9A386}"/>
    <cellStyle name="Prozent 6 2 3 4" xfId="1709" xr:uid="{BCC10EC8-FFCF-440D-8613-86EE9CCB4933}"/>
    <cellStyle name="Prozent 6 3" xfId="1710" xr:uid="{A06CAB47-D145-47A4-A847-653AD43776FD}"/>
    <cellStyle name="Prozent 6 3 2" xfId="1711" xr:uid="{1049BBB4-3AA1-4952-A0EB-D6DBA301DDED}"/>
    <cellStyle name="Prozent 6 3 3" xfId="1712" xr:uid="{A357FD90-5741-4657-B367-1371E9268D96}"/>
    <cellStyle name="Prozent 6 3 4" xfId="1713" xr:uid="{0124B2C0-E22D-4405-A44C-1F7A324B6889}"/>
    <cellStyle name="Prozent 6 4" xfId="1714" xr:uid="{6DA26619-196A-43FF-8737-03F77EEB8FF5}"/>
    <cellStyle name="Prozent 7" xfId="1715" xr:uid="{74B35BE2-8453-4AED-ABAE-DF4F6CE7852A}"/>
    <cellStyle name="Prozent 8" xfId="1716" xr:uid="{BD61CB82-327B-4580-900C-AA5F25C3F0A3}"/>
    <cellStyle name="Prozent 8 2" xfId="1717" xr:uid="{6864EBAB-198B-4644-AEF0-BFEAB6E2E194}"/>
    <cellStyle name="Prozent 8 2 2" xfId="1718" xr:uid="{5DD91B00-047F-42A4-91C4-25D1D36E9B79}"/>
    <cellStyle name="Prozent 8 2 3" xfId="1719" xr:uid="{9398F965-038E-4E28-9274-615F8D77A42D}"/>
    <cellStyle name="Prozent 8 3" xfId="1720" xr:uid="{B2D14588-0BEE-4D55-9D38-978B79FD5FA3}"/>
    <cellStyle name="Prozent 8 4" xfId="1721" xr:uid="{0E49B93C-57BF-4F85-9861-5F62B2FAF856}"/>
    <cellStyle name="Pyör. luku_Layo9704" xfId="1722" xr:uid="{D1EF9A42-144C-48D8-B193-4962B9A76F33}"/>
    <cellStyle name="Pyör. valuutta_Layo9704" xfId="1723" xr:uid="{5727A846-9EA6-4546-8AAA-0B0B0CE64BD4}"/>
    <cellStyle name="RangeName" xfId="1724" xr:uid="{0BCBE551-7E5A-4EF0-8645-52B2694BA40C}"/>
    <cellStyle name="SAPBEXaggData" xfId="1725" xr:uid="{3FBD59F0-BACD-41C7-8E90-802D291D9B63}"/>
    <cellStyle name="SAPBEXaggDataEmph" xfId="1726" xr:uid="{B4ACB670-6413-4D10-88F8-7437636E64ED}"/>
    <cellStyle name="SAPBEXaggItem" xfId="1727" xr:uid="{A2463C2F-C3A7-4EE4-93DD-D44E5800BDD2}"/>
    <cellStyle name="SAPBEXaggItemX" xfId="1728" xr:uid="{C57D1F0D-1B05-43D4-B452-7814AF68BF6E}"/>
    <cellStyle name="SAPBEXchaText" xfId="1729" xr:uid="{8576B469-5630-4CC8-9DD7-10A14CD10F48}"/>
    <cellStyle name="SAPBEXexcBad7" xfId="1730" xr:uid="{DD7460E2-BF2D-4461-9051-5BC3CDB6A55B}"/>
    <cellStyle name="SAPBEXexcBad8" xfId="1731" xr:uid="{0C2A2538-CDBE-4225-AC54-CD9A6D976440}"/>
    <cellStyle name="SAPBEXexcBad9" xfId="1732" xr:uid="{C610680B-5643-4B96-ABB1-1874A8E49F44}"/>
    <cellStyle name="SAPBEXexcCritical4" xfId="1733" xr:uid="{9F13A724-D78A-4631-946F-C4DC08890661}"/>
    <cellStyle name="SAPBEXexcCritical5" xfId="1734" xr:uid="{7322387D-1DCC-4BD8-BA40-BC820D18646E}"/>
    <cellStyle name="SAPBEXexcCritical6" xfId="1735" xr:uid="{8D6768AA-A450-4AE4-ADEE-5052E6846025}"/>
    <cellStyle name="SAPBEXexcGood1" xfId="1736" xr:uid="{4CAE9A20-55D1-4F37-AB9F-466BEAE1EA30}"/>
    <cellStyle name="SAPBEXexcGood2" xfId="1737" xr:uid="{94C66EC8-8075-4D59-9C64-0BEA0BB0A9E0}"/>
    <cellStyle name="SAPBEXexcGood3" xfId="1738" xr:uid="{0F972A0F-B9A9-4EB7-8F98-CA879C02C962}"/>
    <cellStyle name="SAPBEXfilterDrill" xfId="1739" xr:uid="{FC8AFCA1-B976-4562-A1B1-DE36D535815C}"/>
    <cellStyle name="SAPBEXfilterItem" xfId="1740" xr:uid="{8B40E94E-15C2-412C-BD9D-A077A12B0936}"/>
    <cellStyle name="SAPBEXfilterText" xfId="1741" xr:uid="{863CB075-6076-40F6-AC01-ED1438B67C31}"/>
    <cellStyle name="SAPBEXformats" xfId="1742" xr:uid="{8D06DB87-103A-4D64-B65D-039CEEBF0B53}"/>
    <cellStyle name="SAPBEXheaderItem" xfId="1743" xr:uid="{F6EAB3A2-4F27-4659-83CF-7E9F92B247B6}"/>
    <cellStyle name="SAPBEXheaderText" xfId="1744" xr:uid="{92F9F910-C0EB-4FD6-AE62-4B085D5044EC}"/>
    <cellStyle name="SAPBEXHLevel0" xfId="1745" xr:uid="{63AD1C44-428B-4614-9E88-0BDBF1803D61}"/>
    <cellStyle name="SAPBEXHLevel0X" xfId="1746" xr:uid="{5E39597E-1527-4497-A1F1-EB40530305B8}"/>
    <cellStyle name="SAPBEXHLevel1" xfId="1747" xr:uid="{31A525B0-6207-449B-A3E1-00FE651CFBDB}"/>
    <cellStyle name="SAPBEXHLevel1X" xfId="1748" xr:uid="{CCA27B78-815E-403E-8350-A6392C5688D0}"/>
    <cellStyle name="SAPBEXHLevel2" xfId="1749" xr:uid="{AAC95431-220E-4376-9912-C2C18DAACF1C}"/>
    <cellStyle name="SAPBEXHLevel2X" xfId="1750" xr:uid="{E0C7D249-FE14-4DBF-B9EB-C4ACF95C601D}"/>
    <cellStyle name="SAPBEXHLevel3" xfId="1751" xr:uid="{2D904055-6BA4-4BA8-96CE-66C93CD2FA90}"/>
    <cellStyle name="SAPBEXHLevel3X" xfId="1752" xr:uid="{45EAC6E4-B2F0-400D-93D4-80B393E0F280}"/>
    <cellStyle name="SAPBEXresData" xfId="1753" xr:uid="{126C3EDB-8D6F-4367-8915-E41BBBF8A566}"/>
    <cellStyle name="SAPBEXresDataEmph" xfId="1754" xr:uid="{81C210D4-3901-4EA8-A252-8157F92BBE04}"/>
    <cellStyle name="SAPBEXresItem" xfId="1755" xr:uid="{BD786BC0-2341-48DB-889A-3845BFC3EF74}"/>
    <cellStyle name="SAPBEXresItemX" xfId="1756" xr:uid="{ECB44582-96FD-4D19-AEF0-C14511922E6C}"/>
    <cellStyle name="SAPBEXstdData" xfId="1757" xr:uid="{51DCE387-16CA-41E4-90C1-4413FA006B1F}"/>
    <cellStyle name="SAPBEXstdDataEmph" xfId="1758" xr:uid="{37B74FDA-94B4-4B43-9C11-100672284482}"/>
    <cellStyle name="SAPBEXstdItem" xfId="1759" xr:uid="{34E136C9-3C6E-4E5A-AC52-58B97F85CCE2}"/>
    <cellStyle name="SAPBEXstdItemX" xfId="1760" xr:uid="{BABB48C6-E1D3-4900-AF61-C5630289FED7}"/>
    <cellStyle name="SAPBEXtitle" xfId="1761" xr:uid="{C2E0EC5E-8F55-4281-BCA3-BE098CCAB6F8}"/>
    <cellStyle name="SAPBEXundefined" xfId="1762" xr:uid="{A66927FF-2EC6-4E4C-A8B9-315CDD9607C8}"/>
    <cellStyle name="Schlecht 2" xfId="1763" xr:uid="{6228E5F6-9353-45E5-B21E-C90A3FA83037}"/>
    <cellStyle name="Shade" xfId="1764" xr:uid="{B9A6A72B-49F1-4E83-A322-F35D74E3C627}"/>
    <cellStyle name="Standaard_Blad1" xfId="1765" xr:uid="{F30F6F42-3934-49B3-86FC-CB2346E1C114}"/>
    <cellStyle name="Standard 10" xfId="1766" xr:uid="{ECE65AEC-7238-4341-908B-37CC68C48AEA}"/>
    <cellStyle name="Standard 10 2" xfId="1767" xr:uid="{90799B80-D4AD-485B-8850-7E48B79EA22B}"/>
    <cellStyle name="Standard 11" xfId="1768" xr:uid="{1204584B-DDAF-4EAF-90E2-4005E0187595}"/>
    <cellStyle name="Standard 11 2" xfId="1769" xr:uid="{AC9E438F-6C94-4CEC-97D2-F78B2AF41777}"/>
    <cellStyle name="Standard 11 2 2" xfId="1770" xr:uid="{A93179B9-6BE1-4032-9F29-6BE41ABB3EC1}"/>
    <cellStyle name="Standard 11 2 3" xfId="1771" xr:uid="{A67B6403-FC92-445B-A590-3C6D534A1778}"/>
    <cellStyle name="Standard 11 2 4" xfId="1772" xr:uid="{18EC6B0A-280A-45D7-ACD5-706B047A551E}"/>
    <cellStyle name="Standard 11 2_CHP" xfId="1773" xr:uid="{7FBCF066-8A31-4D2F-B07D-35E0222AB2DF}"/>
    <cellStyle name="Standard 11 3" xfId="1774" xr:uid="{956065D4-D850-407D-9406-B1DDF2DCD771}"/>
    <cellStyle name="Standard 11 3 2" xfId="1775" xr:uid="{8527C8FE-8453-4E46-95A7-04853D043993}"/>
    <cellStyle name="Standard 11 3 3" xfId="1776" xr:uid="{070194BF-2D76-4F17-812E-2BD511687493}"/>
    <cellStyle name="Standard 11 3 4" xfId="1777" xr:uid="{66CC24EB-C797-4F80-86C5-FCD0A59F375B}"/>
    <cellStyle name="Standard 11 3_CHP" xfId="1778" xr:uid="{1291CD30-EBE9-4292-9B21-A4231E638104}"/>
    <cellStyle name="Standard 11 4" xfId="1779" xr:uid="{54CA10C7-B818-4EEB-A329-7BE2E3063874}"/>
    <cellStyle name="Standard 11 4 2" xfId="1780" xr:uid="{717718BA-AB24-43C9-9B24-D6EBBD2A820B}"/>
    <cellStyle name="Standard 11 5" xfId="1781" xr:uid="{8B67C8E0-E27B-4790-AD6E-A748A8641FAF}"/>
    <cellStyle name="Standard 11 5 2" xfId="1782" xr:uid="{D09FE844-79A7-4F22-9D10-2560C77A5C45}"/>
    <cellStyle name="Standard 11 5 3" xfId="1783" xr:uid="{F9C3785E-CF99-4CE5-82C5-438DFDA1C3A1}"/>
    <cellStyle name="Standard 11 6" xfId="1784" xr:uid="{ADA774E1-9354-4EFB-9316-18238AE11DEB}"/>
    <cellStyle name="Standard 12" xfId="1785" xr:uid="{EF910FB6-F979-4F3B-8CCD-4F97A1A3537C}"/>
    <cellStyle name="Standard 12 10" xfId="1786" xr:uid="{EB54F102-F378-4CE2-AF0C-AC7503E6C130}"/>
    <cellStyle name="Standard 12 10 2" xfId="1787" xr:uid="{48D41983-677B-431F-9393-056FEB250BCB}"/>
    <cellStyle name="Standard 12 10 3" xfId="1788" xr:uid="{EF71D5D6-8AA2-4993-9D4C-D97ED9257FC5}"/>
    <cellStyle name="Standard 12 2" xfId="1789" xr:uid="{71D068E3-F747-47C1-9D6E-901BE3AA9773}"/>
    <cellStyle name="Standard 12 2 2" xfId="1790" xr:uid="{AD45BC2E-D4D3-4D44-AA80-7F003202198A}"/>
    <cellStyle name="Standard 12 2 2 2" xfId="1791" xr:uid="{0809555D-F4EB-4764-9143-C9104F500295}"/>
    <cellStyle name="Standard 12 2 2 2 2" xfId="1792" xr:uid="{AA48E442-E3D8-4B87-A80F-E7A6FFFD8DAE}"/>
    <cellStyle name="Standard 12 2 2 2 2 2" xfId="1793" xr:uid="{5EE41C25-2D3C-4A5A-BE1F-72E502A28C24}"/>
    <cellStyle name="Standard 12 2 2 2 2 3" xfId="1794" xr:uid="{8F5D1E82-9D1D-40E8-B378-7519590EA1BD}"/>
    <cellStyle name="Standard 12 2 2 2 3" xfId="1795" xr:uid="{777D89ED-3EBB-4A60-9650-4D32520886AB}"/>
    <cellStyle name="Standard 12 2 2 3" xfId="1796" xr:uid="{B5C3FC63-2EC2-4322-BA4C-F51E2BA4692B}"/>
    <cellStyle name="Standard 12 2 2 4" xfId="1797" xr:uid="{A684BE27-8672-4BD1-978B-244C27A476FC}"/>
    <cellStyle name="Standard 12 2 2_CHP" xfId="1798" xr:uid="{A79F44EB-B3CE-438E-BA48-9E30F3BA8227}"/>
    <cellStyle name="Standard 12 2 3" xfId="1799" xr:uid="{ECE69376-0F7C-4227-9078-CC88F0FA9572}"/>
    <cellStyle name="Standard 12 2 3 2" xfId="1800" xr:uid="{503E29E4-DE54-4B33-93CC-BD9F99E41F53}"/>
    <cellStyle name="Standard 12 2 4" xfId="1801" xr:uid="{DED6379B-F681-4852-A3FE-2610ECCC4A3C}"/>
    <cellStyle name="Standard 12 2 4 2" xfId="1802" xr:uid="{E970676E-EE42-4858-BE7E-FF0B73892913}"/>
    <cellStyle name="Standard 12 2 5" xfId="1803" xr:uid="{DF88AD06-AF1C-4F94-BEB9-323B42AE4C97}"/>
    <cellStyle name="Standard 12 2 6" xfId="1804" xr:uid="{2CC585B9-341F-490D-B828-D691E840F64D}"/>
    <cellStyle name="Standard 12 2_CHP" xfId="1805" xr:uid="{FCDE9F57-FF5F-4EA6-80E6-3E194B4A29E6}"/>
    <cellStyle name="Standard 12 3" xfId="1806" xr:uid="{B1799183-C61A-49AF-9A61-31A0AC7D67EF}"/>
    <cellStyle name="Standard 12 3 2" xfId="1807" xr:uid="{68F965E6-C56A-4116-8386-E9495AACA90C}"/>
    <cellStyle name="Standard 12 3 3" xfId="1808" xr:uid="{8AAF084D-447C-4685-9DD6-2F6CE7405812}"/>
    <cellStyle name="Standard 12 4" xfId="1809" xr:uid="{9FA2CF11-167A-4D49-AD3E-9718983C2B97}"/>
    <cellStyle name="Standard 12 4 2" xfId="1810" xr:uid="{5C908405-6FB7-4FE2-B2D9-BB8E8F622D01}"/>
    <cellStyle name="Standard 12 4 3" xfId="1811" xr:uid="{6DC1B404-AA3F-4A25-8C9A-FC0BC6D62207}"/>
    <cellStyle name="Standard 12 5" xfId="1812" xr:uid="{2F96F8DF-C3A4-432E-84BF-C5868D0C24F1}"/>
    <cellStyle name="Standard 12 6" xfId="1813" xr:uid="{7AA65152-0628-4506-B11F-3185089F5151}"/>
    <cellStyle name="Standard 12 6 2" xfId="1814" xr:uid="{537E8A6F-C66D-448A-BCC6-59DC1A673776}"/>
    <cellStyle name="Standard 12 6 3" xfId="1815" xr:uid="{17FB307D-E093-4206-8C85-538CF31E85F0}"/>
    <cellStyle name="Standard 12 7" xfId="1816" xr:uid="{36D9EDDC-D4EA-4258-B3A8-FA61E05F98A3}"/>
    <cellStyle name="Standard 12 7 2" xfId="1817" xr:uid="{408BF004-9C04-44BE-8467-082091BB8013}"/>
    <cellStyle name="Standard 12 7 3" xfId="1818" xr:uid="{296DEFF8-6AD0-4D0D-88B4-84180164BAD0}"/>
    <cellStyle name="Standard 12 8" xfId="1819" xr:uid="{B8E7585F-08EC-40DD-B243-2FDCECE7BA5D}"/>
    <cellStyle name="Standard 12 9" xfId="1820" xr:uid="{8659FEE8-7335-44F5-9896-7A0D63BCDDB5}"/>
    <cellStyle name="Standard 12 9 2" xfId="1821" xr:uid="{6EA236FF-E58F-42A2-A149-925248B989D8}"/>
    <cellStyle name="Standard 12 9 3" xfId="1822" xr:uid="{1F460809-38D5-4719-B238-3F032697DC9D}"/>
    <cellStyle name="Standard 12_CHP" xfId="1823" xr:uid="{E1151793-69DC-4085-ABD1-19744F87EAFE}"/>
    <cellStyle name="Standard 13" xfId="1824" xr:uid="{28BCCFB1-83DA-4FDE-BE4E-074394F6ACD4}"/>
    <cellStyle name="Standard 13 2" xfId="1825" xr:uid="{7AFA9498-FB01-40A4-88FF-4A0DC0211D27}"/>
    <cellStyle name="Standard 13 3" xfId="1826" xr:uid="{0788849F-E7AB-44AE-A180-B4CB16B342B7}"/>
    <cellStyle name="Standard 13 4" xfId="1827" xr:uid="{D4B5C34D-F083-4C8A-AF69-4A2C8421D2AE}"/>
    <cellStyle name="Standard 13_CHP" xfId="1828" xr:uid="{DEDC9715-4560-498E-ADEA-3B6779FC06C7}"/>
    <cellStyle name="Standard 14" xfId="1829" xr:uid="{104FA597-0D97-4699-817A-91C6FE426982}"/>
    <cellStyle name="Standard 15" xfId="1830" xr:uid="{07F2003D-C186-4672-90A6-8958D97F130C}"/>
    <cellStyle name="Standard 2" xfId="1831" xr:uid="{C0316390-09C7-402D-A87B-A266EEADE137}"/>
    <cellStyle name="Standard 2 2" xfId="1832" xr:uid="{F3579DFD-13E7-4790-9B62-0A36571364B8}"/>
    <cellStyle name="Standard 2 3" xfId="1833" xr:uid="{F547885C-4150-4243-AD0C-DDEFA8F21B87}"/>
    <cellStyle name="Standard 2 3 2" xfId="1834" xr:uid="{854E2B77-A09F-46EF-9C96-6415E2BB79D1}"/>
    <cellStyle name="Standard 2 3 2 2" xfId="1835" xr:uid="{4570E143-F31F-4683-9F88-D4B29D8836E0}"/>
    <cellStyle name="Standard 2 3 2 3" xfId="1836" xr:uid="{DA0C95C3-7E98-41F6-8C53-1F861A31EF57}"/>
    <cellStyle name="Standard 2 3 2_CHP" xfId="1837" xr:uid="{57CDA5F7-80A9-41BB-B7FA-1120D04F2868}"/>
    <cellStyle name="Standard 2 3 3" xfId="1838" xr:uid="{610912B8-FF90-4842-BB8C-700C16A0E2B3}"/>
    <cellStyle name="Standard 2 3 4" xfId="1839" xr:uid="{0F95023E-4100-48E8-A473-64F3F41AA470}"/>
    <cellStyle name="Standard 2 3_CHP" xfId="1840" xr:uid="{4C6DED57-D762-4492-B75A-092C1BE52046}"/>
    <cellStyle name="Standard 2 4" xfId="1841" xr:uid="{6071A81C-C558-48DA-A4BC-84326B754B99}"/>
    <cellStyle name="Standard 2 4 2" xfId="1842" xr:uid="{825B9FA1-9D82-42AE-875A-D09DD06E461E}"/>
    <cellStyle name="Standard 2 4 2 2" xfId="1843" xr:uid="{1EEB848D-FB03-45FE-BD9B-0FFE28103915}"/>
    <cellStyle name="Standard 2 4 2 3" xfId="1844" xr:uid="{D6A0C2DA-14BD-4E5F-BC59-41ADD80CAB4E}"/>
    <cellStyle name="Standard 2 4 2_CHP" xfId="1845" xr:uid="{D8C55C11-BD3A-459E-901B-6BF9990C5AD2}"/>
    <cellStyle name="Standard 2 4 3" xfId="1846" xr:uid="{9E23F23C-C396-4A1B-A8E7-DFC9594E98A7}"/>
    <cellStyle name="Standard 2 4 4" xfId="1847" xr:uid="{3A0CE1D0-334A-4AA7-9192-F2E4B38CEB7E}"/>
    <cellStyle name="Standard 2 4_CHP" xfId="1848" xr:uid="{4E81F165-C33D-4304-8B5D-3594973B1694}"/>
    <cellStyle name="Standard 2 5" xfId="1849" xr:uid="{381C986B-05F3-4B10-9031-86C020157CBE}"/>
    <cellStyle name="Standard 3" xfId="1850" xr:uid="{8A2DA3F1-A9D1-48B7-903F-C5F4A3715BE2}"/>
    <cellStyle name="Standard 3 2" xfId="1851" xr:uid="{D6B158FD-7755-45CD-817F-B87C4F403F03}"/>
    <cellStyle name="Standard 3_PL" xfId="1852" xr:uid="{89C187A9-8AE4-4E25-B289-4DCE3E815D6D}"/>
    <cellStyle name="Standard 4" xfId="1853" xr:uid="{16C815B5-B721-4472-9EA1-3D8BABB34923}"/>
    <cellStyle name="Standard 4 2" xfId="1854" xr:uid="{D2EF47C9-EF79-4A64-BC69-BE5602D47115}"/>
    <cellStyle name="Standard 4_PL" xfId="1855" xr:uid="{B2091B55-7975-41A7-A094-94730FF7B819}"/>
    <cellStyle name="Standard 5" xfId="1856" xr:uid="{1F6D3C66-8751-4355-BF54-9CCDDE2A82BB}"/>
    <cellStyle name="Standard 5 2" xfId="1857" xr:uid="{22C11361-5E6A-47B0-8B18-12CB64B21F80}"/>
    <cellStyle name="Standard 5 2 2" xfId="1858" xr:uid="{277483A0-B495-44BA-AA67-356301C69030}"/>
    <cellStyle name="Standard 5 2 2 2" xfId="1859" xr:uid="{E79F7A5A-624F-4376-B3A9-6BCF36208E83}"/>
    <cellStyle name="Standard 5 2 2 2 2" xfId="1860" xr:uid="{3FBC8716-6291-423B-8E72-769024C9805D}"/>
    <cellStyle name="Standard 5 2 2 2 3" xfId="1861" xr:uid="{53CA43BF-553B-48C0-AC51-08C661CB1A0C}"/>
    <cellStyle name="Standard 5 2 2 2_CHP" xfId="1862" xr:uid="{9FCDED41-1634-4341-AED4-ED97FF24B846}"/>
    <cellStyle name="Standard 5 2 2 3" xfId="1863" xr:uid="{EE58E61D-9F70-4E42-8D55-67EC49392508}"/>
    <cellStyle name="Standard 5 2 2 4" xfId="1864" xr:uid="{3A324FA4-139C-4DE1-B481-304F512D46AB}"/>
    <cellStyle name="Standard 5 2 2_CHP" xfId="1865" xr:uid="{93B379F1-A463-4CEB-B78D-EC5AD76D3462}"/>
    <cellStyle name="Standard 5 2 3" xfId="1866" xr:uid="{3DF47E22-D13D-4E9D-9AFE-EC001F2BA831}"/>
    <cellStyle name="Standard 5 2 3 2" xfId="1867" xr:uid="{4E874A54-91B3-499D-A406-A9985D78AEF9}"/>
    <cellStyle name="Standard 5 2 3 2 2" xfId="1868" xr:uid="{9FBC93FF-78D1-4C6F-9747-CDF4AD8E26E5}"/>
    <cellStyle name="Standard 5 2 3 2 3" xfId="1869" xr:uid="{5D449ADC-9924-421C-9BA7-B678DBB5B56F}"/>
    <cellStyle name="Standard 5 2 3 2_CHP" xfId="1870" xr:uid="{C5F43800-00F4-491A-861B-CADE9691471F}"/>
    <cellStyle name="Standard 5 2 3 3" xfId="1871" xr:uid="{BF7F2353-3A72-4A08-AE91-E44DCB04DBC0}"/>
    <cellStyle name="Standard 5 2 3 4" xfId="1872" xr:uid="{9BC7F5DC-AC6A-46D3-AD8C-D075496F608A}"/>
    <cellStyle name="Standard 5 2 3_CHP" xfId="1873" xr:uid="{696685AE-D60E-4968-A290-6231675E27DA}"/>
    <cellStyle name="Standard 5 2 4" xfId="1874" xr:uid="{5DFEB10A-DFBB-4364-9ABA-148A64BF2D47}"/>
    <cellStyle name="Standard 5 2 4 2" xfId="1875" xr:uid="{445F3CC3-630D-40EA-900F-C8F7102B6175}"/>
    <cellStyle name="Standard 5 2 4 3" xfId="1876" xr:uid="{C1D61F39-B1B7-4633-ACFE-8DC2D097FE98}"/>
    <cellStyle name="Standard 5 2 4_CHP" xfId="1877" xr:uid="{137FC55C-E808-414E-99C4-E03CFB826419}"/>
    <cellStyle name="Standard 5 2 5" xfId="1878" xr:uid="{80DC8299-EAE2-4FDF-8318-6F727A0C8773}"/>
    <cellStyle name="Standard 5 2 6" xfId="1879" xr:uid="{9776A04F-CD14-45F3-82F9-9F325CFD397F}"/>
    <cellStyle name="Standard 5 2_CHP" xfId="1880" xr:uid="{BB3F490C-37BB-406F-AB44-06EFE87C489B}"/>
    <cellStyle name="Standard 5 3" xfId="1881" xr:uid="{AB6039C9-0987-43FF-ACA4-EEA7C3AB201A}"/>
    <cellStyle name="Standard 5 3 2" xfId="1882" xr:uid="{FC50E3FA-E4A8-4775-82AD-1D0679BAE94F}"/>
    <cellStyle name="Standard 5 3 2 2" xfId="1883" xr:uid="{F26F897B-BAB4-477C-B86E-F601A0FA5333}"/>
    <cellStyle name="Standard 5 3 2 3" xfId="1884" xr:uid="{18743C00-E635-4AD3-B725-9ED16A886BFB}"/>
    <cellStyle name="Standard 5 3 2_CHP" xfId="1885" xr:uid="{6564771B-D996-47BE-B20A-BA1A587F8FBA}"/>
    <cellStyle name="Standard 5 3 3" xfId="1886" xr:uid="{59B418AC-B8A8-4A99-9BE9-9130C67E13A7}"/>
    <cellStyle name="Standard 5 3 4" xfId="1887" xr:uid="{8E109D4A-8ED0-41E4-B3F3-D48D89599E30}"/>
    <cellStyle name="Standard 5 3_CHP" xfId="1888" xr:uid="{C4C01425-EC64-4B75-96CC-4596E92D9D9E}"/>
    <cellStyle name="Standard 5 4" xfId="1889" xr:uid="{62EAB184-4B4C-49AB-B331-3BA58C7DC822}"/>
    <cellStyle name="Standard 5 4 2" xfId="1890" xr:uid="{BC5639E2-3A70-4B0F-BB96-2E25F0DD2434}"/>
    <cellStyle name="Standard 5 4 2 2" xfId="1891" xr:uid="{C0FEF84A-A719-425A-952F-E1990EFCC00A}"/>
    <cellStyle name="Standard 5 4 2 3" xfId="1892" xr:uid="{F245F728-A43D-4633-A141-BB05ABD8019B}"/>
    <cellStyle name="Standard 5 4 2_CHP" xfId="1893" xr:uid="{03DEE246-3BF0-4856-9624-D6E2BC3ACDB4}"/>
    <cellStyle name="Standard 5 4 3" xfId="1894" xr:uid="{A3030F23-02F9-4ED9-A67F-F1DCB388E1EB}"/>
    <cellStyle name="Standard 5 4 4" xfId="1895" xr:uid="{6A9FE536-A522-494C-8BE8-462D1A39986D}"/>
    <cellStyle name="Standard 5 4_CHP" xfId="1896" xr:uid="{6E8DC386-08EF-4E2A-A2D5-CBBAE9249D74}"/>
    <cellStyle name="Standard 5 5" xfId="1897" xr:uid="{E3FFF8E6-4B41-42E0-947C-EAD2949FF1C0}"/>
    <cellStyle name="Standard 5 5 2" xfId="1898" xr:uid="{BFAC3CA5-3863-4FA0-B3C1-996936D70D04}"/>
    <cellStyle name="Standard 5 5 2 2" xfId="1899" xr:uid="{4BB0309E-96AF-4375-A4AC-0315F4AA307D}"/>
    <cellStyle name="Standard 5 5 2 3" xfId="1900" xr:uid="{8FFE43C4-BC0A-40CA-93D6-0B70D424752D}"/>
    <cellStyle name="Standard 5 5 2_CHP" xfId="1901" xr:uid="{9360601C-361D-4C5A-A1B2-AE9720F7C6B5}"/>
    <cellStyle name="Standard 5 5 3" xfId="1902" xr:uid="{90D049FE-C7E1-4332-BEF6-7D9F388DE9B8}"/>
    <cellStyle name="Standard 5 5 4" xfId="1903" xr:uid="{18D1B8E7-B44A-47E0-86C6-11417BAE94FE}"/>
    <cellStyle name="Standard 5 5_CHP" xfId="1904" xr:uid="{E94DCA03-1FAB-4DDB-8E51-A9E1F0641D56}"/>
    <cellStyle name="Standard 5 6" xfId="1905" xr:uid="{2C5DCC43-2A0A-42DE-B4E2-4AC201CB1D27}"/>
    <cellStyle name="Standard 5 6 2" xfId="1906" xr:uid="{2612CE5A-5651-41E3-97B7-80567039B19D}"/>
    <cellStyle name="Standard 5 6 3" xfId="1907" xr:uid="{2D2F9232-265F-4627-B306-82C79A85D4C5}"/>
    <cellStyle name="Standard 5 6_CHP" xfId="1908" xr:uid="{4C35F5BD-9C10-4900-BE57-CBAE506E88A1}"/>
    <cellStyle name="Standard 5 7" xfId="1909" xr:uid="{B916F051-5EC1-4BF5-9560-CB00B520FD2B}"/>
    <cellStyle name="Standard 5 8" xfId="1910" xr:uid="{3402FFED-0CAD-40AE-AE41-DDEAF9F4EDE2}"/>
    <cellStyle name="Standard 5_CHP" xfId="1911" xr:uid="{EE60A9A5-F186-452E-9152-FBBF55913D72}"/>
    <cellStyle name="Standard 6" xfId="1912" xr:uid="{86915F9D-92EE-47C1-8ABA-2B6D96691675}"/>
    <cellStyle name="Standard 6 2" xfId="1913" xr:uid="{9CEFE246-9CD5-4363-9C5B-B23013D166DB}"/>
    <cellStyle name="Standard 6 2 2" xfId="1914" xr:uid="{486A84EB-4616-4E78-9D6F-A848EB23A257}"/>
    <cellStyle name="Standard 6 2 3" xfId="1915" xr:uid="{03001F05-BB7D-43E2-81F8-925AE6DB392C}"/>
    <cellStyle name="Standard 6 2 4" xfId="1916" xr:uid="{99DC0A63-B49D-49F5-BFF1-538B2F9D061F}"/>
    <cellStyle name="Standard 6 2_CHP" xfId="1917" xr:uid="{5B597B49-9E67-478A-A7E5-BA60338D74A3}"/>
    <cellStyle name="Standard 7" xfId="1918" xr:uid="{3B7C974D-280D-47C9-999C-F87C5AF216A3}"/>
    <cellStyle name="Standard 8" xfId="1919" xr:uid="{429429AC-46DC-428E-82A1-DF263F14C16C}"/>
    <cellStyle name="Standard 8 2" xfId="1920" xr:uid="{40C12343-0D50-4F8C-B5BB-1EE9A9FCD2C0}"/>
    <cellStyle name="Standard 8 2 2" xfId="1921" xr:uid="{873A738E-4078-4FE7-BECA-5DFE130EFDB9}"/>
    <cellStyle name="Standard 8 2 3" xfId="1922" xr:uid="{3E6EE224-5B32-4EB8-8070-DB72480BAC4A}"/>
    <cellStyle name="Standard 8 2_CHP" xfId="1923" xr:uid="{5D7BFB9E-50C3-45F8-8E8D-B2A626CB83B6}"/>
    <cellStyle name="Standard 8 3" xfId="1924" xr:uid="{E6FBFE1A-8F46-4185-9081-469E2EC3E9E0}"/>
    <cellStyle name="Standard 8 4" xfId="1925" xr:uid="{44FE5C1D-9933-40EF-BC78-4E4C506FF1A6}"/>
    <cellStyle name="Standard 8_CHP" xfId="1926" xr:uid="{2AD7BC49-2E05-4B29-8D53-A97DC311F168}"/>
    <cellStyle name="Standard 9" xfId="1927" xr:uid="{42591884-CE59-4D43-B3A2-9E043641FF2A}"/>
    <cellStyle name="Standard 9 2" xfId="1928" xr:uid="{28FCE8E9-6566-428F-999C-2C9E5D1DDFE2}"/>
    <cellStyle name="Standard 9 2 2" xfId="1929" xr:uid="{5A281FD2-1A58-48E8-B49C-A90BC80DC506}"/>
    <cellStyle name="Standard 9 2 3" xfId="1930" xr:uid="{038464B3-FD43-4286-953E-06D7387A8596}"/>
    <cellStyle name="Standard 9 2_CHP" xfId="1931" xr:uid="{C1418779-B0B3-402F-90D7-25493F20E6E5}"/>
    <cellStyle name="Standard 9 3" xfId="1932" xr:uid="{7828AEBD-5FA0-4843-8615-CDF0974FE139}"/>
    <cellStyle name="Standard 9 4" xfId="1933" xr:uid="{7DEF255E-DEE1-46CC-9F10-D9005C8FD3E9}"/>
    <cellStyle name="Standard 9_CHP" xfId="1934" xr:uid="{F6A90F77-F755-43B5-8267-A630AE9F0F8D}"/>
    <cellStyle name="Standard_Results_Pan_EU_OLGA_NUC" xfId="1935" xr:uid="{60C89298-EA40-4B9C-9B1D-EC91979AE72D}"/>
    <cellStyle name="Style 21" xfId="1936" xr:uid="{1C1A4F9D-FCB2-43E1-B41B-4015B468183E}"/>
    <cellStyle name="Style 21 2" xfId="1937" xr:uid="{663ED7EE-22BD-416A-92DC-47E9679C1A86}"/>
    <cellStyle name="Style 21 3" xfId="1938" xr:uid="{19BCEDA6-11B3-4822-AAC6-B0A3AD00535E}"/>
    <cellStyle name="Style 21 4" xfId="1939" xr:uid="{275BB675-E633-4ADC-AD12-95C08BE4C54C}"/>
    <cellStyle name="Style 21 5" xfId="1940" xr:uid="{B7390CEF-4D04-449B-AA6A-D38665FEFA74}"/>
    <cellStyle name="Style 22" xfId="1941" xr:uid="{A812BC17-004C-48DB-A07B-E7B13EB80D01}"/>
    <cellStyle name="Style 22 2" xfId="1942" xr:uid="{56CD43EA-32B4-4521-BD2E-D00C8D879D97}"/>
    <cellStyle name="Style 22 3" xfId="1943" xr:uid="{B1EAC3AE-8358-4BFE-974B-EEE470BEF927}"/>
    <cellStyle name="Style 22 4" xfId="1944" xr:uid="{D94398A2-56F2-421B-9245-F8F232EE6870}"/>
    <cellStyle name="Style 23" xfId="1945" xr:uid="{F9FB37A7-FF76-4623-9C25-F91C9C174340}"/>
    <cellStyle name="Style 23 2" xfId="1946" xr:uid="{1CF04D79-069D-42FA-BBA3-F7645A029FDE}"/>
    <cellStyle name="Style 23 3" xfId="1947" xr:uid="{9BF41C4B-3301-4A3E-A597-E2AF86E0B73F}"/>
    <cellStyle name="Style 23 4" xfId="1948" xr:uid="{E027FAEB-1798-480A-95D1-7303A01C1A60}"/>
    <cellStyle name="Style 24" xfId="1949" xr:uid="{976A3A19-DC07-49E3-9A28-A39547E08135}"/>
    <cellStyle name="Style 24 2" xfId="1950" xr:uid="{95AD3D19-145C-4BD2-9628-285D44E1D9D9}"/>
    <cellStyle name="Style 24 3" xfId="1951" xr:uid="{E313E9A9-FC73-4D73-A28E-ECC27CDABEA3}"/>
    <cellStyle name="Style 24 4" xfId="1952" xr:uid="{898C3BDE-6CB2-4C38-B65A-CC114DCC2AAB}"/>
    <cellStyle name="Style 25" xfId="1953" xr:uid="{6D58EF27-1292-40C2-B3B2-351259C36357}"/>
    <cellStyle name="Style 25 2" xfId="1954" xr:uid="{F6046427-F9D3-4890-BE70-1774C2707FF9}"/>
    <cellStyle name="Style 25 3" xfId="1955" xr:uid="{375488FA-1444-45F8-B8B6-CACF35163F6C}"/>
    <cellStyle name="Style 25 4" xfId="1956" xr:uid="{FE654E33-1A57-43FC-B9D1-CE3D2672583B}"/>
    <cellStyle name="Style 25 5" xfId="1957" xr:uid="{9BB47DB4-F714-4AC0-AF23-06C1DB28FB9D}"/>
    <cellStyle name="Style 26" xfId="1958" xr:uid="{A475E952-5819-4C0A-B0E9-E2F8A44A7C4C}"/>
    <cellStyle name="Style 26 2" xfId="1959" xr:uid="{FB2A8101-31CD-4897-B065-5D653D9AA535}"/>
    <cellStyle name="Style 26 3" xfId="1960" xr:uid="{AD8765FF-0185-4E98-8B83-EC7BDED31279}"/>
    <cellStyle name="Style 26 4" xfId="1961" xr:uid="{1DF4717D-DCED-45FD-9C31-DD9D8F19D0D6}"/>
    <cellStyle name="Style 27" xfId="1962" xr:uid="{6914DEAF-CA77-4C18-896D-B639052ED41A}"/>
    <cellStyle name="Style 28" xfId="1963" xr:uid="{C3689970-FEAE-4722-9437-011E0FD44CF1}"/>
    <cellStyle name="Style 29" xfId="1964" xr:uid="{B7E8E7F1-D0D1-4B75-9769-ACF5975D9048}"/>
    <cellStyle name="Style 30" xfId="1965" xr:uid="{22FA94EA-731A-46B5-BD3F-7E6CDC03B0CD}"/>
    <cellStyle name="Style 31" xfId="1966" xr:uid="{E7470C04-052B-4262-8015-2BA22870B5CB}"/>
    <cellStyle name="Style 32" xfId="1967" xr:uid="{1F5DA6B2-BB57-4C3C-8884-3ED183723999}"/>
    <cellStyle name="Style 33" xfId="1968" xr:uid="{C530A585-0240-4970-8404-614FA55C1DC7}"/>
    <cellStyle name="Style 34" xfId="1969" xr:uid="{D0D34E49-B457-4900-AEFD-24815E03C5A9}"/>
    <cellStyle name="Style 35" xfId="1970" xr:uid="{153F1DC6-FC3D-4263-9EF9-D17C58112158}"/>
    <cellStyle name="Suma" xfId="1971" xr:uid="{9F2257D8-A2C6-4D37-86EE-E8F54FF4DDF3}"/>
    <cellStyle name="Suma 10" xfId="1972" xr:uid="{5CD301A9-023A-4F5C-94CF-78FF5591A02D}"/>
    <cellStyle name="Suma 10 2" xfId="1973" xr:uid="{21E2B4B5-32B3-4DAE-9B1D-A23A83BA3238}"/>
    <cellStyle name="Suma 10 3" xfId="1974" xr:uid="{2EC7DDD5-C80C-42F8-90F3-F4DEAF958021}"/>
    <cellStyle name="Suma 10_CHP" xfId="1975" xr:uid="{EB32604E-82C4-4595-87BD-2F4E8DF44318}"/>
    <cellStyle name="Suma 11" xfId="1976" xr:uid="{28A97057-8E2D-4443-8D53-2BA5DF9A4DC6}"/>
    <cellStyle name="Suma 11 2" xfId="1977" xr:uid="{C3E48B21-281B-4619-9C16-789B0FFBB3E5}"/>
    <cellStyle name="Suma 11_CHP" xfId="1978" xr:uid="{C6BFAEDB-92AA-4563-BD74-19C00345D20A}"/>
    <cellStyle name="Suma 12" xfId="1979" xr:uid="{63F70B7C-519B-4201-A4AF-EFD4942A91F1}"/>
    <cellStyle name="Suma 13" xfId="1980" xr:uid="{A4A1C3D1-422E-4D19-92B6-4560C17DB915}"/>
    <cellStyle name="Suma 14" xfId="1981" xr:uid="{F70BBA69-ACBC-42DD-9711-4398B1A163E1}"/>
    <cellStyle name="Suma 15" xfId="1982" xr:uid="{1B35C5F3-44C6-4FC0-97AD-B06EA7FC9337}"/>
    <cellStyle name="Suma 2" xfId="1983" xr:uid="{FE73B95F-2ED0-45CA-91B7-C90C2E897B23}"/>
    <cellStyle name="Suma 3" xfId="1984" xr:uid="{9266B173-6E5A-4235-B490-ABBCBCFF0262}"/>
    <cellStyle name="Suma 4" xfId="1985" xr:uid="{926C27BB-FDB1-407B-A461-4EC342C217A4}"/>
    <cellStyle name="Suma 5" xfId="1986" xr:uid="{3BB5A711-33F3-42FF-9A47-C3909CB9B739}"/>
    <cellStyle name="Suma 6" xfId="1987" xr:uid="{56FB7195-5849-499B-BF90-1BE38F84D3F5}"/>
    <cellStyle name="Suma 7" xfId="1988" xr:uid="{5ACC33BD-B870-4598-920F-FB10EC080C13}"/>
    <cellStyle name="Suma 8" xfId="1989" xr:uid="{67DCFC66-5A28-4918-91E8-072F4658C8D7}"/>
    <cellStyle name="Suma 9" xfId="1990" xr:uid="{9350FC75-60A9-4F4F-8AE3-1C99DB494CD2}"/>
    <cellStyle name="Suma 9 2" xfId="1991" xr:uid="{78097D97-786D-4F45-B462-0A8C76A74491}"/>
    <cellStyle name="Suma 9 3" xfId="1992" xr:uid="{F07A1C71-B8E5-4794-950B-8682F676DB11}"/>
    <cellStyle name="Suma 9_CHP" xfId="1993" xr:uid="{E929C1BD-36E5-4D2E-B7DD-CD1CA45FA46B}"/>
    <cellStyle name="Suma_CHP" xfId="1994" xr:uid="{99480F05-A279-4BFE-A1DE-67F45CA5E34C}"/>
    <cellStyle name="Tekst objaśnienia" xfId="1995" xr:uid="{70418C34-E26A-4607-94DC-4C2CB5BD0CC0}"/>
    <cellStyle name="Tekst objaśnienia 10" xfId="1996" xr:uid="{3714594B-9640-48E1-A25E-EC402C44E05B}"/>
    <cellStyle name="Tekst objaśnienia 10 2" xfId="1997" xr:uid="{33E38BEB-4F38-42BF-8696-9CD0CBC5B16A}"/>
    <cellStyle name="Tekst objaśnienia 10 3" xfId="1998" xr:uid="{25AEEF1E-635A-4425-A2D0-EB7A577FCBAC}"/>
    <cellStyle name="Tekst objaśnienia 10_COM_BND" xfId="1999" xr:uid="{4D94D545-625C-4046-9A91-2E661798C9F3}"/>
    <cellStyle name="Tekst objaśnienia 11" xfId="2000" xr:uid="{C4777687-BFFA-4D64-851F-498000A3D57B}"/>
    <cellStyle name="Tekst objaśnienia 11 2" xfId="2001" xr:uid="{993135D4-83D9-4C0F-93AD-30F5F5CF2F32}"/>
    <cellStyle name="Tekst objaśnienia 12" xfId="2002" xr:uid="{C57FFA08-51FB-41DB-AE81-8739B74673E8}"/>
    <cellStyle name="Tekst objaśnienia 13" xfId="2003" xr:uid="{924B123E-3E2E-4605-B609-902E18ED75F5}"/>
    <cellStyle name="Tekst objaśnienia 14" xfId="2004" xr:uid="{22766F39-05C3-4671-BC69-740398EE82D5}"/>
    <cellStyle name="Tekst objaśnienia 15" xfId="2005" xr:uid="{03746C05-5F39-4523-AB83-E419F1B0F545}"/>
    <cellStyle name="Tekst objaśnienia 2" xfId="2006" xr:uid="{AECD372B-8616-4F80-B3B0-E3243886412F}"/>
    <cellStyle name="Tekst objaśnienia 3" xfId="2007" xr:uid="{C3B285ED-F108-40E6-91D3-0F7AB8EBB465}"/>
    <cellStyle name="Tekst objaśnienia 4" xfId="2008" xr:uid="{9D06E974-4EC5-4931-8D2D-8261530DDA05}"/>
    <cellStyle name="Tekst objaśnienia 5" xfId="2009" xr:uid="{FCD0C0CE-4FFB-446B-BDF1-1ABDD48B4889}"/>
    <cellStyle name="Tekst objaśnienia 6" xfId="2010" xr:uid="{5D1225B1-B739-4AEB-BD69-60B1D33E4D84}"/>
    <cellStyle name="Tekst objaśnienia 7" xfId="2011" xr:uid="{40BFC1C9-F313-4937-8DFF-CCAF8DF21528}"/>
    <cellStyle name="Tekst objaśnienia 8" xfId="2012" xr:uid="{D46FA54D-00BF-4667-8AC0-3F8E2AECB353}"/>
    <cellStyle name="Tekst objaśnienia 9" xfId="2013" xr:uid="{CCC5CCC4-E20D-4FEF-AD45-1A49B94EE8F9}"/>
    <cellStyle name="Tekst objaśnienia 9 2" xfId="2014" xr:uid="{4537A710-EF4D-48D4-B3C7-03C8CA3B301A}"/>
    <cellStyle name="Tekst objaśnienia 9 3" xfId="2015" xr:uid="{DD2D8E01-5032-49AA-962D-0B8C0FC3DAF4}"/>
    <cellStyle name="Tekst objaśnienia 9_COM_BND" xfId="2016" xr:uid="{1C1D61AC-A08B-424E-AF27-861A0AEB1FDA}"/>
    <cellStyle name="Tekst objaśnienia_CHP" xfId="2017" xr:uid="{6CF1FF60-4271-4E63-8A0E-3109FE0A2CC4}"/>
    <cellStyle name="Tekst ostrzeżenia" xfId="2018" xr:uid="{510402F3-66D2-4392-B87D-77D4054E8149}"/>
    <cellStyle name="Tekst ostrzeżenia 10" xfId="2019" xr:uid="{9EDD0035-51B1-4A3D-92BA-2064E002BB06}"/>
    <cellStyle name="Tekst ostrzeżenia 10 2" xfId="2020" xr:uid="{1B075490-4867-44F2-A9A9-1BC9DEC3EF60}"/>
    <cellStyle name="Tekst ostrzeżenia 10 3" xfId="2021" xr:uid="{06717B94-1921-4DD9-858E-A9748F34006E}"/>
    <cellStyle name="Tekst ostrzeżenia 10_COM_BND" xfId="2022" xr:uid="{9F6880C4-FB0B-4B5D-873D-1B63B9683D58}"/>
    <cellStyle name="Tekst ostrzeżenia 11" xfId="2023" xr:uid="{95E53F47-75DE-4686-A19E-3E0974E7AB0F}"/>
    <cellStyle name="Tekst ostrzeżenia 11 2" xfId="2024" xr:uid="{7EF749A7-C49A-4479-8393-1110DCA1C2EF}"/>
    <cellStyle name="Tekst ostrzeżenia 12" xfId="2025" xr:uid="{ACAC10CA-097B-4CB3-89D0-2B218CC785C9}"/>
    <cellStyle name="Tekst ostrzeżenia 13" xfId="2026" xr:uid="{8007ED00-6601-4DD9-940A-8C33F6EDDFE6}"/>
    <cellStyle name="Tekst ostrzeżenia 14" xfId="2027" xr:uid="{048E0BB0-DB4E-422D-AA9E-A08AC484A8B3}"/>
    <cellStyle name="Tekst ostrzeżenia 15" xfId="2028" xr:uid="{FBDF074E-AC1D-4FAB-92BB-93F6D9F75731}"/>
    <cellStyle name="Tekst ostrzeżenia 2" xfId="2029" xr:uid="{68A4E5DB-81F3-4F74-888B-E20908BE7F3C}"/>
    <cellStyle name="Tekst ostrzeżenia 3" xfId="2030" xr:uid="{4AE937E2-E3DF-420E-8AA8-4B7EAAE596D0}"/>
    <cellStyle name="Tekst ostrzeżenia 4" xfId="2031" xr:uid="{3D2885CD-EB4B-45EC-8EB3-5BC24AE3CF10}"/>
    <cellStyle name="Tekst ostrzeżenia 5" xfId="2032" xr:uid="{9A1B1248-C428-46E2-A958-C5CF6136EA0C}"/>
    <cellStyle name="Tekst ostrzeżenia 6" xfId="2033" xr:uid="{FD4E18F4-4BCF-40DD-848F-A6776D9AC78C}"/>
    <cellStyle name="Tekst ostrzeżenia 7" xfId="2034" xr:uid="{3A3649A6-9837-418E-A5B0-87C91493F41A}"/>
    <cellStyle name="Tekst ostrzeżenia 8" xfId="2035" xr:uid="{9DE493FF-67F5-491D-A7F5-2C173F3397C5}"/>
    <cellStyle name="Tekst ostrzeżenia 9" xfId="2036" xr:uid="{24E0B2F1-C41F-4C6F-99EF-630DC7C4CBB2}"/>
    <cellStyle name="Tekst ostrzeżenia 9 2" xfId="2037" xr:uid="{56E74DDF-3C65-4319-BFF7-698E9C3E662D}"/>
    <cellStyle name="Tekst ostrzeżenia 9 3" xfId="2038" xr:uid="{52A6E7A9-8650-4E78-86E4-61003F465982}"/>
    <cellStyle name="Tekst ostrzeżenia 9_COM_BND" xfId="2039" xr:uid="{A68BF172-9672-4C85-9D74-761053C00EDE}"/>
    <cellStyle name="Tekst ostrzeżenia_CHP" xfId="2040" xr:uid="{46D6F671-1167-4B58-8D64-94F4EA726F13}"/>
    <cellStyle name="Title 2" xfId="2041" xr:uid="{3DD2EFC0-DB24-4B6E-ABB8-F02C76BAA457}"/>
    <cellStyle name="Title 3" xfId="2042" xr:uid="{36293060-7AF4-473B-98B5-C59CE816B44A}"/>
    <cellStyle name="Total 10" xfId="2043" xr:uid="{AE5171EF-8634-4594-AD43-82D0BDCD432E}"/>
    <cellStyle name="Total 11" xfId="2044" xr:uid="{769C452B-37E1-465B-A83F-9B83475AAB39}"/>
    <cellStyle name="Total 12" xfId="2045" xr:uid="{3F4DF25C-45C5-415B-9B20-C8B10C6EE95E}"/>
    <cellStyle name="Total 13" xfId="2046" xr:uid="{EAC09F74-D258-4846-9619-750A646BDA2B}"/>
    <cellStyle name="Total 14" xfId="2047" xr:uid="{97B0F092-FB01-4EDE-A253-477DA87B1ED7}"/>
    <cellStyle name="Total 15" xfId="2048" xr:uid="{23E766D4-E699-4A9F-844A-0B603C8E12D6}"/>
    <cellStyle name="Total 16" xfId="2049" xr:uid="{64F8D203-1EC2-410A-A83D-32C3C3851CAF}"/>
    <cellStyle name="Total 17" xfId="2050" xr:uid="{DD0BC18F-DF89-486F-BC0B-6E122C43D72F}"/>
    <cellStyle name="Total 18" xfId="2051" xr:uid="{70A10FED-4421-44A3-BCCE-D2DC0FBAD0FC}"/>
    <cellStyle name="Total 19" xfId="2052" xr:uid="{AB49E525-588B-4B45-B0AC-F1D196777FB8}"/>
    <cellStyle name="Total 2" xfId="2053" xr:uid="{1B70C3A3-C645-4FC6-90AC-3336D4C77410}"/>
    <cellStyle name="Total 2 2" xfId="2054" xr:uid="{C3F03E78-687E-4BAE-9F47-60BE93A44E96}"/>
    <cellStyle name="Total 2_CHP" xfId="2055" xr:uid="{59B38DC2-D232-465A-9975-7344B3FD7ACD}"/>
    <cellStyle name="Total 20" xfId="2056" xr:uid="{7982F1D4-4528-414B-AB1D-3102F35AB148}"/>
    <cellStyle name="Total 3" xfId="2057" xr:uid="{10D2F2D1-8299-429E-BC18-797C6461EAB8}"/>
    <cellStyle name="Total 4" xfId="2058" xr:uid="{7FE1F8C6-93E7-4248-B865-72605A90D4B0}"/>
    <cellStyle name="Total 5" xfId="2059" xr:uid="{E3B79E37-FB85-4A8D-9D41-849788C9835C}"/>
    <cellStyle name="Total 6" xfId="2060" xr:uid="{C11032C5-A413-49DC-BEEE-4C5B5C97DC9D}"/>
    <cellStyle name="Total 7" xfId="2061" xr:uid="{5F19AEAD-93A1-464B-AC01-539A84C00DEA}"/>
    <cellStyle name="Total 8" xfId="2062" xr:uid="{919F6DDA-D10C-455B-96ED-44A7062B6555}"/>
    <cellStyle name="Total 9" xfId="2063" xr:uid="{C6045C90-2E83-4371-A07F-F3BDA32A0B00}"/>
    <cellStyle name="Tytuł" xfId="2064" xr:uid="{5F212144-3B46-4E4C-BF8C-15F82D8295AC}"/>
    <cellStyle name="Tytuł 2" xfId="2065" xr:uid="{C9A7D5E5-12D4-4832-89B5-BBD9263622C7}"/>
    <cellStyle name="Tytuł 2 2" xfId="2066" xr:uid="{03C6FDFC-D9E5-4FA4-A844-9F7C5B58B68A}"/>
    <cellStyle name="Tytuł 2 3" xfId="2067" xr:uid="{10E73B81-399D-4048-9B5C-38695193DA80}"/>
    <cellStyle name="Tytuł 2_COM_BND" xfId="2068" xr:uid="{C455AEF3-54F2-45EC-949F-3E9638F8DC05}"/>
    <cellStyle name="Tytuł 3" xfId="2069" xr:uid="{CDAFB14E-3317-41CB-B593-B52A99227D35}"/>
    <cellStyle name="Tytuł 3 2" xfId="2070" xr:uid="{F4F759C0-E959-4AA6-9146-F13FE43ABCC9}"/>
    <cellStyle name="Tytuł 3 3" xfId="2071" xr:uid="{C956AC4C-2FFD-4667-A3E9-769B76736316}"/>
    <cellStyle name="Tytuł 3_COM_BND" xfId="2072" xr:uid="{2EA68BA2-9917-4CD2-90D3-090620D30F89}"/>
    <cellStyle name="Tytuł 4" xfId="2073" xr:uid="{3C81987D-4AE3-4071-B8CC-0F9EC136F5E8}"/>
    <cellStyle name="Tytuł 4 2" xfId="2074" xr:uid="{D155B8ED-0919-4ECE-9221-D235E3A68747}"/>
    <cellStyle name="Tytuł 5" xfId="2075" xr:uid="{B9F5AF8B-74C5-45B6-9466-373CB9291328}"/>
    <cellStyle name="Tytuł 6" xfId="2076" xr:uid="{44034769-1FA5-4718-85CF-5ABC134498AA}"/>
    <cellStyle name="Tytuł 7" xfId="2077" xr:uid="{54714426-5141-476F-AD3E-1B7464045F2B}"/>
    <cellStyle name="Tytuł 8" xfId="2078" xr:uid="{1B71A4C0-B2E1-4968-8AE3-758F24FB80FF}"/>
    <cellStyle name="Tytuł_CHP" xfId="2079" xr:uid="{6F0B1FF7-3411-4784-B4BC-41FB436C5627}"/>
    <cellStyle name="Überschrift 1 2" xfId="2080" xr:uid="{9445A91F-2C2D-449B-AF8C-62606A889F05}"/>
    <cellStyle name="Überschrift 2 2" xfId="2081" xr:uid="{17B8D80C-80A4-46D8-BFC8-D2DD1F5ECC8B}"/>
    <cellStyle name="Überschrift 3 2" xfId="2082" xr:uid="{4D4C05CC-2A3B-4127-991C-2A845486D75C}"/>
    <cellStyle name="Überschrift 4 2" xfId="2083" xr:uid="{DB40560A-1B15-40CF-ACBA-A640DCFEDC69}"/>
    <cellStyle name="Überschrift 5" xfId="2084" xr:uid="{15C5490E-F163-46AF-92BE-2BADCF250CD2}"/>
    <cellStyle name="Unprot" xfId="2085" xr:uid="{973EFBAE-9F73-45C1-9269-6C1AF2F74341}"/>
    <cellStyle name="Unprot$" xfId="2086" xr:uid="{0BBACA7C-BC1C-4266-AA50-622C38D2DD71}"/>
    <cellStyle name="Unprot_2010-09-24_LTP 2010_assumptions" xfId="2087" xr:uid="{209DBF46-E471-47D6-9473-84C337884ABC}"/>
    <cellStyle name="Unprotect" xfId="2088" xr:uid="{58EBFF28-8DFE-44CF-9210-46010BD65CAD}"/>
    <cellStyle name="Uwaga" xfId="2089" xr:uid="{E920EF77-5630-47D6-9B62-0E8425DB2850}"/>
    <cellStyle name="Uwaga 10" xfId="2090" xr:uid="{1C2D8135-40BF-4891-AC90-2DF31826B5AB}"/>
    <cellStyle name="Uwaga 10 2" xfId="2091" xr:uid="{6E464CEB-C0DB-4761-845D-93CECCD6254A}"/>
    <cellStyle name="Uwaga 10 3" xfId="2092" xr:uid="{07448B9F-EC4E-4D2B-ADA8-55435879844A}"/>
    <cellStyle name="Uwaga 10 3 2" xfId="2093" xr:uid="{3F67EF3E-A8F3-4E9D-803D-E30B0CA58BA5}"/>
    <cellStyle name="Uwaga 10 3 2 2" xfId="2094" xr:uid="{64D05156-83BA-4F8C-A907-A98F8544E622}"/>
    <cellStyle name="Uwaga 10 3 2 3" xfId="2095" xr:uid="{EB3A9082-A7D0-4B87-96D2-99E170EDEAF6}"/>
    <cellStyle name="Uwaga 10 3 3" xfId="2096" xr:uid="{582564B9-F53B-40A3-8232-CAFE84CFCC5E}"/>
    <cellStyle name="Uwaga 10 3 4" xfId="2097" xr:uid="{6FFE7A38-E1BD-4BDE-A0BC-8B67C76929A3}"/>
    <cellStyle name="Uwaga 10 3 4 2" xfId="2098" xr:uid="{413F8A3D-1404-47D9-84D2-B310334AFF54}"/>
    <cellStyle name="Uwaga 10 3_CHP" xfId="2099" xr:uid="{52CEC008-D26E-4293-B62A-D827B29BB0E3}"/>
    <cellStyle name="Uwaga 10_CHP" xfId="2100" xr:uid="{A03679F2-FB56-4E62-8F9C-9291A7A237D3}"/>
    <cellStyle name="Uwaga 11" xfId="2101" xr:uid="{ABA946A2-9096-40C4-8699-71BB8AF7105A}"/>
    <cellStyle name="Uwaga 11 2" xfId="2102" xr:uid="{14B4B927-4D6B-44BE-8083-3C62B9DD3FC3}"/>
    <cellStyle name="Uwaga 11 2 2" xfId="2103" xr:uid="{3D7761F9-0A4B-4F5B-8829-F278C061DE67}"/>
    <cellStyle name="Uwaga 11 2 3" xfId="2104" xr:uid="{C7A199BF-CA29-43FA-9BDC-7019CDE0A9EC}"/>
    <cellStyle name="Uwaga 11 3" xfId="2105" xr:uid="{80CA6380-0D4C-48B7-BF58-7C0BC0F83DF0}"/>
    <cellStyle name="Uwaga 11 4" xfId="2106" xr:uid="{97FC2425-825D-49E3-9A22-A0B3E6DEB938}"/>
    <cellStyle name="Uwaga 11 5" xfId="2107" xr:uid="{6022EDF4-61A9-463D-AE6A-3A2441E1A6A5}"/>
    <cellStyle name="Uwaga 11 5 2" xfId="2108" xr:uid="{184B2EAB-D0D9-45A5-8BFB-3D05D3F90E1B}"/>
    <cellStyle name="Uwaga 11_CHP" xfId="2109" xr:uid="{580EC431-C5C0-4AB7-B55F-880602B51F3B}"/>
    <cellStyle name="Uwaga 12" xfId="2110" xr:uid="{50D124F7-0EE4-41FB-B346-CB87DC2C17A2}"/>
    <cellStyle name="Uwaga 13" xfId="2111" xr:uid="{D5F9BD1F-5051-47C3-BFF6-561D6D7E5E30}"/>
    <cellStyle name="Uwaga 14" xfId="2112" xr:uid="{9E14D0CF-8BFD-4082-BEC7-2AF56DA35074}"/>
    <cellStyle name="Uwaga 15" xfId="2113" xr:uid="{BFB54785-C219-49DF-9C5F-59160EB02FAA}"/>
    <cellStyle name="Uwaga 2" xfId="2114" xr:uid="{C26757AA-9F13-4749-A5C0-D75BB127BB1A}"/>
    <cellStyle name="Uwaga 3" xfId="2115" xr:uid="{5677CA43-E06B-4CC9-AB67-3F68B4199A0A}"/>
    <cellStyle name="Uwaga 4" xfId="2116" xr:uid="{0E005033-8CBE-4539-89C6-48D7C9444545}"/>
    <cellStyle name="Uwaga 5" xfId="2117" xr:uid="{EA7F66EF-8EA8-4745-902D-DF90AA0AC9FF}"/>
    <cellStyle name="Uwaga 6" xfId="2118" xr:uid="{295D7A3C-D701-493C-BD82-434D6005CA36}"/>
    <cellStyle name="Uwaga 7" xfId="2119" xr:uid="{25A96646-8093-453D-800A-C79B6DA740E3}"/>
    <cellStyle name="Uwaga 8" xfId="2120" xr:uid="{BDF6DC71-4D6D-4908-87F1-681E4CB6D104}"/>
    <cellStyle name="Uwaga 9" xfId="2121" xr:uid="{4AC4E071-9491-42A6-AECC-9D07E2223B22}"/>
    <cellStyle name="Uwaga 9 2" xfId="2122" xr:uid="{D8E52567-1BF8-4F8E-9B74-06D30D983B22}"/>
    <cellStyle name="Uwaga 9 3" xfId="2123" xr:uid="{1D8031FF-D4EC-462E-B04F-FE5B82D387EC}"/>
    <cellStyle name="Uwaga 9 3 2" xfId="2124" xr:uid="{1E91E27C-E072-4B5D-B36A-DFF5EB057AFA}"/>
    <cellStyle name="Uwaga 9 3 2 2" xfId="2125" xr:uid="{ABF875C0-FFEA-429C-B8EF-0730B2EC942F}"/>
    <cellStyle name="Uwaga 9 3 2 3" xfId="2126" xr:uid="{D1E11FB9-DAA1-4249-AA09-1B5C6941B367}"/>
    <cellStyle name="Uwaga 9 3 3" xfId="2127" xr:uid="{2E570068-3393-4281-B1A0-1AF90766E1CB}"/>
    <cellStyle name="Uwaga 9 3 4" xfId="2128" xr:uid="{99B7703E-8870-49FA-8F66-41D3116CA234}"/>
    <cellStyle name="Uwaga 9 3 4 2" xfId="2129" xr:uid="{BEF8C171-E54E-4DA3-9EF9-A7AA1D270001}"/>
    <cellStyle name="Uwaga 9 3_CHP" xfId="2130" xr:uid="{449F26A4-0425-4B95-8E65-278BB48287BB}"/>
    <cellStyle name="Uwaga 9_CHP" xfId="2131" xr:uid="{6FAFB337-4978-4826-AD85-29F1697BE6E6}"/>
    <cellStyle name="Uwaga_Demand" xfId="2132" xr:uid="{34413F10-8909-4AF7-91A3-FEEA867771A3}"/>
    <cellStyle name="Valuutta_Layo9704" xfId="2133" xr:uid="{A9965AC3-A803-4D21-9AA2-72CEF87B34CB}"/>
    <cellStyle name="Verknüpfte Zelle 2" xfId="2134" xr:uid="{C6F20302-A461-4D3C-986F-C5F79B881A7A}"/>
    <cellStyle name="Währung 2" xfId="2135" xr:uid="{B8BF330D-88D3-4C50-9E64-48702A927784}"/>
    <cellStyle name="Währung 2 2" xfId="2136" xr:uid="{4BE20A22-74EE-45EF-92E1-4771C7A1D49B}"/>
    <cellStyle name="Warnender Text 2" xfId="2137" xr:uid="{9D13A19B-4479-48BB-9856-951A81661BA0}"/>
    <cellStyle name="Warning Text 2" xfId="2138" xr:uid="{DEA782A7-8B3C-45E1-A861-16243D677F95}"/>
    <cellStyle name="Warning Text 3" xfId="2139" xr:uid="{00AA0210-383F-49E9-B160-E24B9BE79917}"/>
    <cellStyle name="X10_Figs 21 dec" xfId="2140" xr:uid="{692DCC81-D91A-4903-AF62-2062020ADDF2}"/>
    <cellStyle name="Zelle überprüfen 2" xfId="2141" xr:uid="{10C2966E-6DD2-4C28-A231-29CDF304CA51}"/>
    <cellStyle name="Złe" xfId="2142" xr:uid="{8ADA0D69-DF79-40D5-B3C4-FC0577DA1626}"/>
    <cellStyle name="Złe 10" xfId="2143" xr:uid="{47AD330D-31E8-4BA9-9EAC-E8A876C70A84}"/>
    <cellStyle name="Złe 10 2" xfId="2144" xr:uid="{7DA17EA3-62AD-4930-9277-B5D13A979AAC}"/>
    <cellStyle name="Złe 10 3" xfId="2145" xr:uid="{A0929143-E93A-4C6D-AFC3-D439B73F7585}"/>
    <cellStyle name="Złe 10_COM_BND" xfId="2146" xr:uid="{6EFCA7CD-0577-4B6E-840F-5561013C3BC3}"/>
    <cellStyle name="Złe 11" xfId="2147" xr:uid="{BAE9D15E-B65A-4541-B8DF-4291D5D86AC4}"/>
    <cellStyle name="Złe 11 2" xfId="2148" xr:uid="{BCF59B46-71B4-4DFF-BB56-EFED2B3546CA}"/>
    <cellStyle name="Złe 12" xfId="2149" xr:uid="{5DEFDD3A-4BE3-4C50-8BB7-0A8F3C00E71C}"/>
    <cellStyle name="Złe 13" xfId="2150" xr:uid="{17223DB3-495A-4673-96FD-252F16F240B4}"/>
    <cellStyle name="Złe 14" xfId="2151" xr:uid="{50AFAAAD-EF4E-4E95-8B0B-3D07598194AD}"/>
    <cellStyle name="Złe 15" xfId="2152" xr:uid="{076F486B-58A8-4139-8E2E-2860FF20940A}"/>
    <cellStyle name="Złe 2" xfId="2153" xr:uid="{8A110136-CF66-4BDA-A3BF-5AAFEBB042C8}"/>
    <cellStyle name="Złe 3" xfId="2154" xr:uid="{224126DB-F8FA-4F96-AB3C-86A997858C29}"/>
    <cellStyle name="Złe 4" xfId="2155" xr:uid="{688F72DF-2835-41BA-8457-DE070F72ECC8}"/>
    <cellStyle name="Złe 5" xfId="2156" xr:uid="{7A6AF113-18C9-4572-A761-6E34ECEA1E66}"/>
    <cellStyle name="Złe 6" xfId="2157" xr:uid="{290E2649-035B-4158-AA64-C3C5F79A6906}"/>
    <cellStyle name="Złe 7" xfId="2158" xr:uid="{4F46DCB9-9EB6-4F58-B1DB-B2E63B914C3B}"/>
    <cellStyle name="Złe 8" xfId="2159" xr:uid="{34CD0845-B30D-4231-91F7-17016661F875}"/>
    <cellStyle name="Złe 9" xfId="2160" xr:uid="{9F2BD286-48EE-49A1-BA9C-C4F9264BBE2B}"/>
    <cellStyle name="Złe 9 2" xfId="2161" xr:uid="{2CA51688-3B14-44C0-B45F-8ADE75DC5826}"/>
    <cellStyle name="Złe 9 3" xfId="2162" xr:uid="{9F479769-3F60-40A2-BDF9-DC5B745A16EA}"/>
    <cellStyle name="Złe 9_COM_BND" xfId="2163" xr:uid="{7861B4A6-4D94-4CB7-AB68-7D8D849EF7D2}"/>
    <cellStyle name="Złe_CHP" xfId="2164" xr:uid="{CF0504B0-420F-4DAE-A9D0-C2428BE322B6}"/>
    <cellStyle name="Обычный_2++_CRFReport-template" xfId="2165" xr:uid="{C06F3FC3-1694-4717-A3C3-F1C2A151474B}"/>
    <cellStyle name="已访问的超链接" xfId="2166" xr:uid="{7CA83EE3-6366-4963-B349-35D0E5DB1506}"/>
  </cellStyles>
  <dxfs count="7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C59EE2"/>
      <color rgb="FF969696"/>
      <color rgb="FF9A57CD"/>
      <color rgb="FFECDFF5"/>
      <color rgb="FFEBFEE6"/>
      <color rgb="FF6F4711"/>
      <color rgb="FFFFCC66"/>
      <color rgb="FFE5992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28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2.xml"/><Relationship Id="rId27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323850</xdr:colOff>
      <xdr:row>4</xdr:row>
      <xdr:rowOff>200025</xdr:rowOff>
    </xdr:from>
    <xdr:to>
      <xdr:col>7</xdr:col>
      <xdr:colOff>508635</xdr:colOff>
      <xdr:row>7</xdr:row>
      <xdr:rowOff>10160</xdr:rowOff>
    </xdr:to>
    <xdr:pic>
      <xdr:nvPicPr>
        <xdr:cNvPr id="2" name="Picture 1" descr="Shape&#10;&#10;Description automatically generated with medium confidence">
          <a:extLst>
            <a:ext uri="{FF2B5EF4-FFF2-40B4-BE49-F238E27FC236}">
              <a16:creationId xmlns:a16="http://schemas.microsoft.com/office/drawing/2014/main" id="{89A82DED-E2A3-487E-B6A3-DBCF03370CEB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22170" y="1274445"/>
          <a:ext cx="3110865" cy="495935"/>
        </a:xfrm>
        <a:prstGeom prst="rect">
          <a:avLst/>
        </a:prstGeom>
      </xdr:spPr>
    </xdr:pic>
    <xdr:clientData/>
  </xdr:twoCellAnchor>
  <xdr:twoCellAnchor editAs="oneCell">
    <xdr:from>
      <xdr:col>3</xdr:col>
      <xdr:colOff>9525</xdr:colOff>
      <xdr:row>2</xdr:row>
      <xdr:rowOff>47625</xdr:rowOff>
    </xdr:from>
    <xdr:to>
      <xdr:col>4</xdr:col>
      <xdr:colOff>227330</xdr:colOff>
      <xdr:row>7</xdr:row>
      <xdr:rowOff>113030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4DE38A8D-C44C-4AEB-A45E-9653E1C2FC1D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2485" y="611505"/>
          <a:ext cx="1193165" cy="1261745"/>
        </a:xfrm>
        <a:prstGeom prst="rect">
          <a:avLst/>
        </a:prstGeom>
      </xdr:spPr>
    </xdr:pic>
    <xdr:clientData/>
  </xdr:twoCellAnchor>
  <xdr:twoCellAnchor>
    <xdr:from>
      <xdr:col>4</xdr:col>
      <xdr:colOff>123825</xdr:colOff>
      <xdr:row>8</xdr:row>
      <xdr:rowOff>209550</xdr:rowOff>
    </xdr:from>
    <xdr:to>
      <xdr:col>7</xdr:col>
      <xdr:colOff>581025</xdr:colOff>
      <xdr:row>11</xdr:row>
      <xdr:rowOff>38100</xdr:rowOff>
    </xdr:to>
    <xdr:pic>
      <xdr:nvPicPr>
        <xdr:cNvPr id="4" name="Picture 2" descr="https://dewey.tailorbrands.com/production/brand_version_mockup_image/174/4193022174_05130606-e8a1-4145-bba0-4e99e62f6d85.png?cb=1606377865">
          <a:extLst>
            <a:ext uri="{FF2B5EF4-FFF2-40B4-BE49-F238E27FC236}">
              <a16:creationId xmlns:a16="http://schemas.microsoft.com/office/drawing/2014/main" id="{228E777B-CA15-4D77-8A05-89DDE5BCE9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345" t="55701" r="2339" b="9772"/>
        <a:stretch>
          <a:fillRect/>
        </a:stretch>
      </xdr:blipFill>
      <xdr:spPr bwMode="auto">
        <a:xfrm>
          <a:off x="1922145" y="2198370"/>
          <a:ext cx="3383280" cy="514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800100</xdr:colOff>
      <xdr:row>2</xdr:row>
      <xdr:rowOff>274320</xdr:rowOff>
    </xdr:from>
    <xdr:to>
      <xdr:col>9</xdr:col>
      <xdr:colOff>91440</xdr:colOff>
      <xdr:row>6</xdr:row>
      <xdr:rowOff>213360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3409FAC-D432-4616-802E-31741A8635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0" y="838200"/>
          <a:ext cx="1242060" cy="906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Users\Sajnaga\Desktop\Po%20korektach%20P16_11_I%20P_16_11_W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rkusz1"/>
      <sheetName val="1"/>
    </sheetNames>
    <sheetDataSet>
      <sheetData sheetId="0" refreshError="1"/>
      <sheetData sheetId="1">
        <row r="2">
          <cell r="U2">
            <v>0</v>
          </cell>
        </row>
        <row r="638">
          <cell r="K638" t="str">
            <v>14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kracz@agh.edu.pl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0ED6A-865A-40EC-AEDC-C02D5B86A04F}">
  <dimension ref="A1:O49"/>
  <sheetViews>
    <sheetView workbookViewId="0">
      <selection activeCell="P13" sqref="P13"/>
    </sheetView>
  </sheetViews>
  <sheetFormatPr defaultColWidth="9.140625" defaultRowHeight="18.75"/>
  <cols>
    <col min="1" max="3" width="4" style="490" customWidth="1"/>
    <col min="4" max="9" width="14.28515625" style="490" customWidth="1"/>
    <col min="10" max="12" width="4" style="490" customWidth="1"/>
    <col min="13" max="16384" width="9.140625" style="490"/>
  </cols>
  <sheetData>
    <row r="1" spans="1:15" ht="22.5" customHeight="1">
      <c r="A1" s="491"/>
      <c r="B1" s="491"/>
      <c r="C1" s="491"/>
      <c r="D1" s="491"/>
      <c r="E1" s="491"/>
      <c r="F1" s="491"/>
      <c r="G1" s="491"/>
      <c r="H1" s="491"/>
      <c r="I1" s="491"/>
      <c r="J1" s="491"/>
      <c r="K1" s="491"/>
      <c r="L1" s="491"/>
    </row>
    <row r="2" spans="1:15" ht="22.5" customHeight="1">
      <c r="A2" s="491"/>
      <c r="B2" s="507"/>
      <c r="C2" s="18"/>
      <c r="D2" s="18"/>
      <c r="E2" s="18"/>
      <c r="F2" s="18"/>
      <c r="G2" s="18"/>
      <c r="H2" s="18"/>
      <c r="I2" s="18"/>
      <c r="J2" s="18"/>
      <c r="K2" s="506"/>
      <c r="L2" s="491"/>
    </row>
    <row r="3" spans="1:15" ht="22.5" customHeight="1">
      <c r="A3" s="491"/>
      <c r="B3" s="499"/>
      <c r="C3" s="505"/>
      <c r="D3" s="17"/>
      <c r="E3" s="17"/>
      <c r="F3" s="17"/>
      <c r="G3" s="17"/>
      <c r="H3" s="17"/>
      <c r="I3" s="17"/>
      <c r="J3" s="504"/>
      <c r="K3" s="495"/>
      <c r="L3" s="491"/>
    </row>
    <row r="4" spans="1:15">
      <c r="A4" s="491"/>
      <c r="B4" s="499"/>
      <c r="C4" s="501"/>
      <c r="J4" s="500"/>
      <c r="K4" s="495"/>
      <c r="L4" s="491"/>
    </row>
    <row r="5" spans="1:15">
      <c r="A5" s="491"/>
      <c r="B5" s="499"/>
      <c r="C5" s="501"/>
      <c r="J5" s="500"/>
      <c r="K5" s="495"/>
      <c r="L5" s="491"/>
    </row>
    <row r="6" spans="1:15">
      <c r="A6" s="491"/>
      <c r="B6" s="499"/>
      <c r="C6" s="501"/>
      <c r="J6" s="500"/>
      <c r="K6" s="495"/>
      <c r="L6" s="491"/>
      <c r="O6" s="16"/>
    </row>
    <row r="7" spans="1:15">
      <c r="A7" s="491"/>
      <c r="B7" s="499"/>
      <c r="C7" s="501"/>
      <c r="J7" s="500"/>
      <c r="K7" s="495"/>
      <c r="L7" s="491"/>
    </row>
    <row r="8" spans="1:15">
      <c r="A8" s="491"/>
      <c r="B8" s="499"/>
      <c r="C8" s="501"/>
      <c r="J8" s="500"/>
      <c r="K8" s="495"/>
      <c r="L8" s="491"/>
    </row>
    <row r="9" spans="1:15">
      <c r="A9" s="491"/>
      <c r="B9" s="499"/>
      <c r="C9" s="501"/>
      <c r="J9" s="500"/>
      <c r="K9" s="495"/>
      <c r="L9" s="491"/>
    </row>
    <row r="10" spans="1:15">
      <c r="A10" s="491"/>
      <c r="B10" s="499"/>
      <c r="C10" s="501"/>
      <c r="J10" s="500"/>
      <c r="K10" s="495"/>
      <c r="L10" s="491"/>
    </row>
    <row r="11" spans="1:15">
      <c r="A11" s="491"/>
      <c r="B11" s="499"/>
      <c r="C11" s="501"/>
      <c r="J11" s="500"/>
      <c r="K11" s="495"/>
      <c r="L11" s="491"/>
    </row>
    <row r="12" spans="1:15">
      <c r="A12" s="491"/>
      <c r="B12" s="499"/>
      <c r="C12" s="501"/>
      <c r="J12" s="500"/>
      <c r="K12" s="495"/>
      <c r="L12" s="491"/>
    </row>
    <row r="13" spans="1:15">
      <c r="A13" s="491"/>
      <c r="B13" s="499"/>
      <c r="C13" s="501"/>
      <c r="J13" s="500"/>
      <c r="K13" s="495"/>
      <c r="L13" s="491"/>
    </row>
    <row r="14" spans="1:15">
      <c r="A14" s="491"/>
      <c r="B14" s="499"/>
      <c r="C14" s="501"/>
      <c r="D14" s="711" t="s">
        <v>527</v>
      </c>
      <c r="E14" s="711"/>
      <c r="F14" s="712" t="s">
        <v>526</v>
      </c>
      <c r="G14" s="712"/>
      <c r="H14" s="712"/>
      <c r="J14" s="500"/>
      <c r="K14" s="495"/>
      <c r="L14" s="491"/>
    </row>
    <row r="15" spans="1:15">
      <c r="A15" s="491"/>
      <c r="B15" s="499"/>
      <c r="C15" s="501"/>
      <c r="D15" s="24"/>
      <c r="E15" s="24"/>
      <c r="F15" s="712"/>
      <c r="G15" s="712"/>
      <c r="H15" s="712"/>
      <c r="J15" s="500"/>
      <c r="K15" s="495"/>
      <c r="L15" s="491"/>
    </row>
    <row r="16" spans="1:15">
      <c r="A16" s="491"/>
      <c r="B16" s="499"/>
      <c r="C16" s="501"/>
      <c r="J16" s="500"/>
      <c r="K16" s="495"/>
      <c r="L16" s="491"/>
    </row>
    <row r="17" spans="1:12">
      <c r="A17" s="491"/>
      <c r="B17" s="499"/>
      <c r="C17" s="501"/>
      <c r="J17" s="500"/>
      <c r="K17" s="495"/>
      <c r="L17" s="491"/>
    </row>
    <row r="18" spans="1:12" ht="18.75" customHeight="1">
      <c r="A18" s="491"/>
      <c r="B18" s="499"/>
      <c r="C18" s="501"/>
      <c r="D18" s="711" t="s">
        <v>525</v>
      </c>
      <c r="E18" s="711"/>
      <c r="F18" s="712" t="s">
        <v>646</v>
      </c>
      <c r="G18" s="712"/>
      <c r="H18" s="712"/>
      <c r="I18" s="712"/>
      <c r="J18" s="500"/>
      <c r="K18" s="495"/>
      <c r="L18" s="491"/>
    </row>
    <row r="19" spans="1:12">
      <c r="A19" s="491"/>
      <c r="B19" s="499"/>
      <c r="C19" s="501"/>
      <c r="D19" s="24"/>
      <c r="E19" s="24"/>
      <c r="F19" s="712"/>
      <c r="G19" s="712"/>
      <c r="H19" s="712"/>
      <c r="I19" s="712"/>
      <c r="J19" s="500"/>
      <c r="K19" s="495"/>
      <c r="L19" s="491"/>
    </row>
    <row r="20" spans="1:12">
      <c r="A20" s="491"/>
      <c r="B20" s="499"/>
      <c r="C20" s="501"/>
      <c r="D20" s="24"/>
      <c r="E20" s="24"/>
      <c r="F20" s="712"/>
      <c r="G20" s="712"/>
      <c r="H20" s="712"/>
      <c r="I20" s="712"/>
      <c r="J20" s="500"/>
      <c r="K20" s="495"/>
      <c r="L20" s="491"/>
    </row>
    <row r="21" spans="1:12">
      <c r="A21" s="491"/>
      <c r="B21" s="499"/>
      <c r="C21" s="501"/>
      <c r="F21" s="503"/>
      <c r="G21" s="503"/>
      <c r="H21" s="503"/>
      <c r="J21" s="500"/>
      <c r="K21" s="495"/>
      <c r="L21" s="491"/>
    </row>
    <row r="22" spans="1:12">
      <c r="A22" s="491"/>
      <c r="B22" s="499"/>
      <c r="C22" s="501"/>
      <c r="D22" s="711" t="s">
        <v>524</v>
      </c>
      <c r="E22" s="711"/>
      <c r="F22" s="502">
        <v>45173</v>
      </c>
      <c r="G22" s="13"/>
      <c r="H22" s="13"/>
      <c r="J22" s="500"/>
      <c r="K22" s="495"/>
      <c r="L22" s="491"/>
    </row>
    <row r="23" spans="1:12">
      <c r="A23" s="491"/>
      <c r="B23" s="499"/>
      <c r="C23" s="501"/>
      <c r="D23" s="24"/>
      <c r="E23" s="24"/>
      <c r="F23" s="502"/>
      <c r="G23" s="13"/>
      <c r="H23" s="13"/>
      <c r="J23" s="500"/>
      <c r="K23" s="495"/>
      <c r="L23" s="491"/>
    </row>
    <row r="24" spans="1:12">
      <c r="A24" s="491"/>
      <c r="B24" s="499"/>
      <c r="C24" s="501"/>
      <c r="D24" s="24"/>
      <c r="E24" s="24"/>
      <c r="F24" s="502"/>
      <c r="G24" s="13"/>
      <c r="H24" s="13"/>
      <c r="J24" s="500"/>
      <c r="K24" s="495"/>
      <c r="L24" s="491"/>
    </row>
    <row r="25" spans="1:12">
      <c r="A25" s="491"/>
      <c r="B25" s="499"/>
      <c r="C25" s="501"/>
      <c r="D25" s="24" t="s">
        <v>523</v>
      </c>
      <c r="E25" s="24"/>
      <c r="F25" s="502">
        <v>45289</v>
      </c>
      <c r="G25" s="13"/>
      <c r="H25" s="13"/>
      <c r="J25" s="500"/>
      <c r="K25" s="495"/>
      <c r="L25" s="491"/>
    </row>
    <row r="26" spans="1:12">
      <c r="A26" s="491"/>
      <c r="B26" s="499"/>
      <c r="C26" s="501"/>
      <c r="D26" s="24"/>
      <c r="E26" s="24"/>
      <c r="F26" s="502"/>
      <c r="G26" s="13"/>
      <c r="H26" s="13"/>
      <c r="J26" s="500"/>
      <c r="K26" s="495"/>
      <c r="L26" s="491"/>
    </row>
    <row r="27" spans="1:12">
      <c r="A27" s="491"/>
      <c r="B27" s="499"/>
      <c r="C27" s="501"/>
      <c r="J27" s="500"/>
      <c r="K27" s="495"/>
      <c r="L27" s="491"/>
    </row>
    <row r="28" spans="1:12">
      <c r="A28" s="491"/>
      <c r="B28" s="499"/>
      <c r="C28" s="501"/>
      <c r="D28" s="711" t="s">
        <v>522</v>
      </c>
      <c r="E28" s="711"/>
      <c r="F28" s="490" t="s">
        <v>519</v>
      </c>
      <c r="J28" s="500"/>
      <c r="K28" s="495"/>
      <c r="L28" s="491"/>
    </row>
    <row r="29" spans="1:12">
      <c r="A29" s="491"/>
      <c r="B29" s="499"/>
      <c r="C29" s="501"/>
      <c r="F29" s="490" t="s">
        <v>521</v>
      </c>
      <c r="J29" s="500"/>
      <c r="K29" s="495"/>
      <c r="L29" s="491"/>
    </row>
    <row r="30" spans="1:12">
      <c r="A30" s="491"/>
      <c r="B30" s="499"/>
      <c r="C30" s="501"/>
      <c r="J30" s="500"/>
      <c r="K30" s="495"/>
      <c r="L30" s="491"/>
    </row>
    <row r="31" spans="1:12">
      <c r="A31" s="491"/>
      <c r="B31" s="499"/>
      <c r="C31" s="501"/>
      <c r="J31" s="500"/>
      <c r="K31" s="495"/>
      <c r="L31" s="491"/>
    </row>
    <row r="32" spans="1:12">
      <c r="A32" s="491"/>
      <c r="B32" s="499"/>
      <c r="C32" s="501"/>
      <c r="D32" s="711" t="s">
        <v>520</v>
      </c>
      <c r="E32" s="711"/>
      <c r="F32" s="490" t="s">
        <v>519</v>
      </c>
      <c r="J32" s="500"/>
      <c r="K32" s="495"/>
      <c r="L32" s="491"/>
    </row>
    <row r="33" spans="1:12">
      <c r="A33" s="491"/>
      <c r="B33" s="499"/>
      <c r="C33" s="501"/>
      <c r="F33" s="15" t="s">
        <v>518</v>
      </c>
      <c r="J33" s="500"/>
      <c r="K33" s="495"/>
      <c r="L33" s="491"/>
    </row>
    <row r="34" spans="1:12">
      <c r="A34" s="491"/>
      <c r="B34" s="499"/>
      <c r="C34" s="501"/>
      <c r="J34" s="500"/>
      <c r="K34" s="495"/>
      <c r="L34" s="491"/>
    </row>
    <row r="35" spans="1:12">
      <c r="A35" s="491"/>
      <c r="B35" s="499"/>
      <c r="C35" s="501"/>
      <c r="J35" s="500"/>
      <c r="K35" s="495"/>
      <c r="L35" s="491"/>
    </row>
    <row r="36" spans="1:12">
      <c r="A36" s="491"/>
      <c r="B36" s="499"/>
      <c r="C36" s="501"/>
      <c r="J36" s="500"/>
      <c r="K36" s="495"/>
      <c r="L36" s="491"/>
    </row>
    <row r="37" spans="1:12">
      <c r="A37" s="491"/>
      <c r="B37" s="499"/>
      <c r="C37" s="501"/>
      <c r="J37" s="500"/>
      <c r="K37" s="495"/>
      <c r="L37" s="491"/>
    </row>
    <row r="38" spans="1:12">
      <c r="A38" s="491"/>
      <c r="B38" s="499"/>
      <c r="C38" s="498"/>
      <c r="D38" s="497"/>
      <c r="E38" s="497"/>
      <c r="F38" s="497"/>
      <c r="G38" s="497"/>
      <c r="H38" s="497"/>
      <c r="I38" s="497"/>
      <c r="J38" s="496"/>
      <c r="K38" s="495"/>
      <c r="L38" s="491"/>
    </row>
    <row r="39" spans="1:12" ht="22.5" customHeight="1">
      <c r="A39" s="491"/>
      <c r="B39" s="494"/>
      <c r="C39" s="493"/>
      <c r="D39" s="493"/>
      <c r="E39" s="493"/>
      <c r="F39" s="493"/>
      <c r="G39" s="493"/>
      <c r="H39" s="493"/>
      <c r="I39" s="493"/>
      <c r="J39" s="493"/>
      <c r="K39" s="492"/>
      <c r="L39" s="491"/>
    </row>
    <row r="40" spans="1:12" ht="22.5" customHeight="1">
      <c r="A40" s="491"/>
      <c r="B40" s="491"/>
      <c r="C40" s="491"/>
      <c r="D40" s="491"/>
      <c r="E40" s="491"/>
      <c r="F40" s="491"/>
      <c r="G40" s="491"/>
      <c r="H40" s="491"/>
      <c r="I40" s="491"/>
      <c r="J40" s="491"/>
      <c r="K40" s="491"/>
      <c r="L40" s="491"/>
    </row>
    <row r="48" spans="1:12" ht="59.45" customHeight="1"/>
    <row r="49" ht="64.150000000000006" customHeight="1"/>
  </sheetData>
  <mergeCells count="7">
    <mergeCell ref="D32:E32"/>
    <mergeCell ref="D14:E14"/>
    <mergeCell ref="F14:H15"/>
    <mergeCell ref="D18:E18"/>
    <mergeCell ref="F18:I20"/>
    <mergeCell ref="D22:E22"/>
    <mergeCell ref="D28:E28"/>
  </mergeCells>
  <hyperlinks>
    <hyperlink ref="F33" r:id="rId1" display="makracz@agh.edu.pl" xr:uid="{8A77B1A1-74ED-4D83-B6A4-3E3DCE710BDE}"/>
  </hyperlinks>
  <pageMargins left="0.7" right="0.7" top="0.75" bottom="0.75" header="0.3" footer="0.3"/>
  <pageSetup paperSize="9" orientation="portrait" r:id="rId2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0"/>
  </sheetPr>
  <dimension ref="A1:AF282"/>
  <sheetViews>
    <sheetView zoomScaleNormal="100" workbookViewId="0">
      <selection activeCell="I6" sqref="I6"/>
    </sheetView>
  </sheetViews>
  <sheetFormatPr defaultColWidth="13.5703125" defaultRowHeight="15"/>
  <cols>
    <col min="1" max="1" width="25.85546875" style="25" customWidth="1"/>
    <col min="2" max="2" width="19.85546875" style="25" customWidth="1"/>
    <col min="3" max="4" width="17.42578125" style="25" customWidth="1"/>
    <col min="5" max="5" width="9.42578125" style="25" customWidth="1"/>
    <col min="6" max="12" width="12.85546875" style="25" customWidth="1"/>
    <col min="13" max="13" width="6.7109375" style="25" customWidth="1"/>
    <col min="14" max="20" width="11.140625" style="25" customWidth="1"/>
    <col min="21" max="21" width="9.5703125" style="25" customWidth="1"/>
    <col min="22" max="22" width="10.85546875" style="25" customWidth="1"/>
    <col min="23" max="26" width="9.5703125" style="25" customWidth="1"/>
    <col min="27" max="27" width="22.28515625" style="25" customWidth="1"/>
    <col min="28" max="53" width="9.5703125" style="25" customWidth="1"/>
    <col min="54" max="54" width="8.42578125" style="25" bestFit="1" customWidth="1"/>
    <col min="55" max="16384" width="13.5703125" style="25"/>
  </cols>
  <sheetData>
    <row r="1" spans="1:32" ht="21">
      <c r="A1" s="26" t="s">
        <v>295</v>
      </c>
    </row>
    <row r="2" spans="1:32">
      <c r="A2" s="117" t="s">
        <v>5</v>
      </c>
      <c r="B2" s="37"/>
    </row>
    <row r="3" spans="1:32">
      <c r="A3" s="118" t="s">
        <v>296</v>
      </c>
      <c r="B3" s="119">
        <v>15015.333000000001</v>
      </c>
    </row>
    <row r="5" spans="1:32" ht="21">
      <c r="A5" s="26" t="s">
        <v>297</v>
      </c>
    </row>
    <row r="6" spans="1:32" ht="75">
      <c r="A6" s="109" t="s">
        <v>298</v>
      </c>
      <c r="B6" s="110" t="s">
        <v>299</v>
      </c>
      <c r="C6" s="111" t="s">
        <v>300</v>
      </c>
    </row>
    <row r="7" spans="1:32">
      <c r="A7" s="108">
        <v>0.54945067910379997</v>
      </c>
      <c r="B7" s="108">
        <v>0.39357305455149999</v>
      </c>
      <c r="C7" s="108">
        <v>5.6976266344700002E-2</v>
      </c>
    </row>
    <row r="8" spans="1:32">
      <c r="A8" s="107"/>
      <c r="B8" s="107"/>
      <c r="C8" s="107"/>
    </row>
    <row r="9" spans="1:32" ht="21">
      <c r="A9" s="26" t="s">
        <v>301</v>
      </c>
      <c r="B9" s="107"/>
      <c r="C9" s="107"/>
    </row>
    <row r="10" spans="1:32" ht="75">
      <c r="A10" s="109" t="s">
        <v>298</v>
      </c>
      <c r="B10" s="110" t="s">
        <v>299</v>
      </c>
      <c r="C10" s="111" t="s">
        <v>300</v>
      </c>
      <c r="G10" s="149"/>
      <c r="H10" s="149"/>
      <c r="I10" s="149"/>
      <c r="J10" s="149"/>
      <c r="K10" s="149"/>
      <c r="L10" s="149"/>
    </row>
    <row r="11" spans="1:32">
      <c r="A11" s="112">
        <v>52.2</v>
      </c>
      <c r="B11" s="112">
        <v>120.3</v>
      </c>
      <c r="C11" s="112">
        <v>79.2</v>
      </c>
    </row>
    <row r="12" spans="1:32">
      <c r="A12" s="107"/>
      <c r="B12" s="107"/>
      <c r="C12" s="107"/>
    </row>
    <row r="14" spans="1:32" ht="21">
      <c r="A14" s="26" t="s">
        <v>302</v>
      </c>
      <c r="W14" s="150"/>
      <c r="X14" s="150"/>
      <c r="Y14" s="150"/>
      <c r="Z14" s="150"/>
      <c r="AA14" s="150"/>
      <c r="AB14" s="150"/>
      <c r="AC14" s="150"/>
      <c r="AD14" s="150"/>
      <c r="AE14" s="150"/>
      <c r="AF14" s="150"/>
    </row>
    <row r="15" spans="1:32">
      <c r="A15" s="25" t="s">
        <v>303</v>
      </c>
    </row>
    <row r="17" spans="1:32" ht="30">
      <c r="A17" s="35" t="s">
        <v>5</v>
      </c>
      <c r="B17" s="31" t="s">
        <v>304</v>
      </c>
      <c r="C17" s="30" t="s">
        <v>305</v>
      </c>
      <c r="D17" s="30" t="s">
        <v>306</v>
      </c>
      <c r="E17" s="30" t="s">
        <v>307</v>
      </c>
    </row>
    <row r="18" spans="1:32" ht="21.75">
      <c r="A18" s="25" t="s">
        <v>546</v>
      </c>
      <c r="B18" s="522">
        <v>0.18058778867142158</v>
      </c>
      <c r="C18" s="94">
        <f>$B$3*$B$7*B18</f>
        <v>1067.2070991500857</v>
      </c>
      <c r="D18" s="94">
        <f>$B$3*$C$7*B18</f>
        <v>154.49603376791487</v>
      </c>
      <c r="E18" s="94">
        <f>$B$3*$A$7*B18</f>
        <v>1489.8826497170221</v>
      </c>
      <c r="V18" s="330"/>
      <c r="AF18" s="151"/>
    </row>
    <row r="19" spans="1:32">
      <c r="A19" s="25" t="s">
        <v>547</v>
      </c>
      <c r="B19" s="522">
        <v>0.10693475766896275</v>
      </c>
      <c r="C19" s="94">
        <f t="shared" ref="C19:C23" si="0">$B$3*$B$7*B19</f>
        <v>631.94490264153228</v>
      </c>
      <c r="D19" s="94">
        <f t="shared" ref="D19:D23" si="1">$B$3*$C$7*B19</f>
        <v>91.48456854880547</v>
      </c>
      <c r="E19" s="94">
        <f t="shared" ref="E19:E23" si="2">$B$3*$A$7*B19</f>
        <v>882.23152448344172</v>
      </c>
    </row>
    <row r="20" spans="1:32">
      <c r="A20" s="25" t="s">
        <v>548</v>
      </c>
      <c r="B20" s="522">
        <v>0.3177479148375853</v>
      </c>
      <c r="C20" s="94">
        <f t="shared" si="0"/>
        <v>1877.7727605480761</v>
      </c>
      <c r="D20" s="94">
        <f t="shared" si="1"/>
        <v>271.83893740319576</v>
      </c>
      <c r="E20" s="94">
        <f t="shared" si="2"/>
        <v>2621.4790533907121</v>
      </c>
    </row>
    <row r="21" spans="1:32">
      <c r="A21" s="25" t="s">
        <v>549</v>
      </c>
      <c r="B21" s="522">
        <v>0.2021021881199937</v>
      </c>
      <c r="C21" s="94">
        <f t="shared" si="0"/>
        <v>1194.3492497594107</v>
      </c>
      <c r="D21" s="94">
        <f t="shared" si="1"/>
        <v>172.901981413416</v>
      </c>
      <c r="E21" s="94">
        <f t="shared" si="2"/>
        <v>1667.3804234775225</v>
      </c>
    </row>
    <row r="22" spans="1:32">
      <c r="A22" s="25" t="s">
        <v>550</v>
      </c>
      <c r="B22" s="522">
        <v>0.12101345139438417</v>
      </c>
      <c r="C22" s="94">
        <f t="shared" si="0"/>
        <v>715.14478011424001</v>
      </c>
      <c r="D22" s="94">
        <f t="shared" si="1"/>
        <v>103.52913898855111</v>
      </c>
      <c r="E22" s="94">
        <f t="shared" si="2"/>
        <v>998.38335106320153</v>
      </c>
    </row>
    <row r="23" spans="1:32">
      <c r="A23" s="331" t="s">
        <v>551</v>
      </c>
      <c r="B23" s="523">
        <v>7.1613899307652343E-2</v>
      </c>
      <c r="C23" s="332">
        <f t="shared" si="0"/>
        <v>423.21168170459305</v>
      </c>
      <c r="D23" s="332">
        <f t="shared" si="1"/>
        <v>61.266952140480051</v>
      </c>
      <c r="E23" s="332">
        <f t="shared" si="2"/>
        <v>590.82791168779625</v>
      </c>
    </row>
    <row r="24" spans="1:32" ht="37.5" customHeight="1">
      <c r="B24" s="94"/>
      <c r="C24" s="94"/>
      <c r="D24" s="94"/>
      <c r="E24" s="94"/>
    </row>
    <row r="25" spans="1:32" ht="12.75" customHeight="1">
      <c r="B25" s="305"/>
      <c r="C25" s="310" t="s">
        <v>314</v>
      </c>
      <c r="D25" s="305"/>
      <c r="E25" s="305"/>
      <c r="F25" s="305"/>
      <c r="G25" s="305"/>
      <c r="H25" s="305"/>
      <c r="I25" s="305"/>
      <c r="J25" s="305"/>
      <c r="K25" s="305"/>
      <c r="L25" s="305"/>
      <c r="M25" s="305"/>
      <c r="N25" s="305"/>
      <c r="O25" s="305"/>
      <c r="P25" s="305"/>
      <c r="Q25" s="305"/>
      <c r="R25" s="305"/>
      <c r="S25" s="305"/>
    </row>
    <row r="26" spans="1:32">
      <c r="B26" s="305"/>
      <c r="C26" s="305"/>
      <c r="D26" s="305"/>
      <c r="E26" s="305"/>
      <c r="F26" s="305"/>
      <c r="G26" s="305"/>
      <c r="H26" s="305"/>
      <c r="I26" s="305"/>
      <c r="J26" s="305"/>
      <c r="K26" s="305"/>
      <c r="L26" s="305"/>
      <c r="M26" s="305"/>
      <c r="N26" s="305"/>
      <c r="O26" s="305"/>
      <c r="P26" s="305"/>
      <c r="Q26" s="305"/>
      <c r="R26" s="305"/>
      <c r="S26" s="305"/>
    </row>
    <row r="27" spans="1:32">
      <c r="B27" s="305"/>
      <c r="C27" s="306"/>
      <c r="D27" s="306"/>
      <c r="E27" s="126" t="s">
        <v>516</v>
      </c>
      <c r="F27" s="306"/>
      <c r="G27" s="306"/>
      <c r="H27" s="306"/>
      <c r="I27" s="306"/>
      <c r="J27" s="306"/>
      <c r="K27" s="306"/>
      <c r="L27" s="306"/>
      <c r="M27" s="306"/>
      <c r="N27" s="306"/>
      <c r="O27" s="305"/>
      <c r="P27" s="305"/>
      <c r="Q27" s="305"/>
      <c r="R27" s="305"/>
      <c r="S27" s="305"/>
    </row>
    <row r="28" spans="1:32" ht="15.75" customHeight="1">
      <c r="A28" s="113"/>
      <c r="B28" s="305"/>
      <c r="C28" s="159" t="s">
        <v>82</v>
      </c>
      <c r="D28" s="159" t="s">
        <v>215</v>
      </c>
      <c r="E28" s="329" t="s">
        <v>315</v>
      </c>
      <c r="F28" s="321" t="s">
        <v>316</v>
      </c>
      <c r="G28" s="321" t="s">
        <v>647</v>
      </c>
      <c r="H28" s="321" t="s">
        <v>571</v>
      </c>
      <c r="I28" s="321" t="s">
        <v>648</v>
      </c>
      <c r="J28" s="321" t="s">
        <v>572</v>
      </c>
      <c r="K28" s="321" t="s">
        <v>643</v>
      </c>
      <c r="L28" s="321" t="s">
        <v>317</v>
      </c>
      <c r="M28" s="159" t="s">
        <v>318</v>
      </c>
      <c r="N28" s="159" t="s">
        <v>319</v>
      </c>
      <c r="O28" s="305"/>
      <c r="P28" s="305"/>
      <c r="Q28" s="305"/>
      <c r="R28" s="305"/>
      <c r="S28" s="305"/>
    </row>
    <row r="29" spans="1:32" ht="15.75" customHeight="1">
      <c r="A29" s="25" t="s">
        <v>546</v>
      </c>
      <c r="B29" s="305"/>
      <c r="C29" s="322" t="str">
        <f>RSD_Procesess!D5</f>
        <v>RSD_DTH_1945</v>
      </c>
      <c r="D29" s="323" t="str">
        <f>RSD_Comm!D22</f>
        <v>DMD_RSD_DTH</v>
      </c>
      <c r="E29" s="323">
        <v>1945</v>
      </c>
      <c r="F29" s="324">
        <f t="shared" ref="F29:F34" si="3">C18</f>
        <v>1067.2070991500857</v>
      </c>
      <c r="G29" s="324">
        <f t="shared" ref="G29:G46" si="4">F29</f>
        <v>1067.2070991500857</v>
      </c>
      <c r="H29" s="324">
        <f t="shared" ref="H29:L29" si="5">G29</f>
        <v>1067.2070991500857</v>
      </c>
      <c r="I29" s="324">
        <f t="shared" si="5"/>
        <v>1067.2070991500857</v>
      </c>
      <c r="J29" s="324">
        <f t="shared" si="5"/>
        <v>1067.2070991500857</v>
      </c>
      <c r="K29" s="324">
        <f t="shared" si="5"/>
        <v>1067.2070991500857</v>
      </c>
      <c r="L29" s="324">
        <f t="shared" si="5"/>
        <v>1067.2070991500857</v>
      </c>
      <c r="M29" s="323">
        <v>1</v>
      </c>
      <c r="N29" s="323">
        <v>3</v>
      </c>
      <c r="O29" s="305"/>
      <c r="P29" s="305"/>
      <c r="Q29" s="305"/>
      <c r="R29" s="305"/>
      <c r="S29" s="305"/>
    </row>
    <row r="30" spans="1:32" ht="15.75" customHeight="1">
      <c r="A30" s="25" t="s">
        <v>547</v>
      </c>
      <c r="B30" s="305"/>
      <c r="C30" s="202" t="str">
        <f>RSD_Procesess!D6</f>
        <v>RSD_DTH_1960</v>
      </c>
      <c r="D30" s="204" t="str">
        <f>D29</f>
        <v>DMD_RSD_DTH</v>
      </c>
      <c r="E30" s="204">
        <v>1960</v>
      </c>
      <c r="F30" s="325">
        <f t="shared" si="3"/>
        <v>631.94490264153228</v>
      </c>
      <c r="G30" s="325">
        <f t="shared" si="4"/>
        <v>631.94490264153228</v>
      </c>
      <c r="H30" s="325">
        <f t="shared" ref="H30:L30" si="6">G30</f>
        <v>631.94490264153228</v>
      </c>
      <c r="I30" s="325">
        <f t="shared" si="6"/>
        <v>631.94490264153228</v>
      </c>
      <c r="J30" s="325">
        <f t="shared" si="6"/>
        <v>631.94490264153228</v>
      </c>
      <c r="K30" s="325">
        <f t="shared" si="6"/>
        <v>631.94490264153228</v>
      </c>
      <c r="L30" s="325">
        <f t="shared" si="6"/>
        <v>631.94490264153228</v>
      </c>
      <c r="M30" s="204">
        <v>1</v>
      </c>
      <c r="N30" s="204">
        <v>3</v>
      </c>
      <c r="O30" s="305"/>
      <c r="P30" s="305"/>
      <c r="Q30" s="305"/>
      <c r="R30" s="305"/>
      <c r="S30" s="305"/>
    </row>
    <row r="31" spans="1:32" ht="15.75" customHeight="1">
      <c r="A31" s="25" t="s">
        <v>548</v>
      </c>
      <c r="B31" s="305"/>
      <c r="C31" s="195" t="str">
        <f>RSD_Procesess!D7</f>
        <v>RSD_DTH_1980</v>
      </c>
      <c r="D31" s="196" t="str">
        <f t="shared" ref="D31:D34" si="7">D30</f>
        <v>DMD_RSD_DTH</v>
      </c>
      <c r="E31" s="196">
        <v>1980</v>
      </c>
      <c r="F31" s="326">
        <f t="shared" si="3"/>
        <v>1877.7727605480761</v>
      </c>
      <c r="G31" s="326">
        <f t="shared" si="4"/>
        <v>1877.7727605480761</v>
      </c>
      <c r="H31" s="326">
        <f t="shared" ref="H31:L31" si="8">G31</f>
        <v>1877.7727605480761</v>
      </c>
      <c r="I31" s="326">
        <f t="shared" si="8"/>
        <v>1877.7727605480761</v>
      </c>
      <c r="J31" s="326">
        <f t="shared" si="8"/>
        <v>1877.7727605480761</v>
      </c>
      <c r="K31" s="326">
        <f t="shared" si="8"/>
        <v>1877.7727605480761</v>
      </c>
      <c r="L31" s="326">
        <f t="shared" si="8"/>
        <v>1877.7727605480761</v>
      </c>
      <c r="M31" s="196">
        <v>1</v>
      </c>
      <c r="N31" s="196">
        <v>3</v>
      </c>
      <c r="O31" s="305"/>
      <c r="P31" s="305"/>
      <c r="Q31" s="305"/>
      <c r="R31" s="305"/>
      <c r="S31" s="305"/>
    </row>
    <row r="32" spans="1:32" ht="15.75" customHeight="1">
      <c r="A32" s="25" t="s">
        <v>549</v>
      </c>
      <c r="B32" s="305"/>
      <c r="C32" s="202" t="str">
        <f>RSD_Procesess!D8</f>
        <v>RSD_DTH_1995</v>
      </c>
      <c r="D32" s="204" t="str">
        <f t="shared" si="7"/>
        <v>DMD_RSD_DTH</v>
      </c>
      <c r="E32" s="204">
        <v>1995</v>
      </c>
      <c r="F32" s="325">
        <f t="shared" si="3"/>
        <v>1194.3492497594107</v>
      </c>
      <c r="G32" s="325">
        <f t="shared" si="4"/>
        <v>1194.3492497594107</v>
      </c>
      <c r="H32" s="325">
        <f t="shared" ref="H32:L32" si="9">G32</f>
        <v>1194.3492497594107</v>
      </c>
      <c r="I32" s="325">
        <f t="shared" si="9"/>
        <v>1194.3492497594107</v>
      </c>
      <c r="J32" s="325">
        <f t="shared" si="9"/>
        <v>1194.3492497594107</v>
      </c>
      <c r="K32" s="325">
        <f t="shared" si="9"/>
        <v>1194.3492497594107</v>
      </c>
      <c r="L32" s="325">
        <f t="shared" si="9"/>
        <v>1194.3492497594107</v>
      </c>
      <c r="M32" s="204">
        <v>1</v>
      </c>
      <c r="N32" s="204">
        <v>3</v>
      </c>
      <c r="O32" s="305"/>
      <c r="P32" s="305"/>
      <c r="Q32" s="305"/>
      <c r="R32" s="305"/>
      <c r="S32" s="305"/>
    </row>
    <row r="33" spans="1:19" ht="15.75" customHeight="1">
      <c r="A33" s="25" t="s">
        <v>550</v>
      </c>
      <c r="B33" s="305"/>
      <c r="C33" s="195" t="str">
        <f>RSD_Procesess!D9</f>
        <v>RSD_DTH_2011</v>
      </c>
      <c r="D33" s="196" t="str">
        <f t="shared" si="7"/>
        <v>DMD_RSD_DTH</v>
      </c>
      <c r="E33" s="196">
        <v>2011</v>
      </c>
      <c r="F33" s="326">
        <f t="shared" si="3"/>
        <v>715.14478011424001</v>
      </c>
      <c r="G33" s="326">
        <f t="shared" si="4"/>
        <v>715.14478011424001</v>
      </c>
      <c r="H33" s="326">
        <f t="shared" ref="H33:L33" si="10">G33</f>
        <v>715.14478011424001</v>
      </c>
      <c r="I33" s="326">
        <f t="shared" si="10"/>
        <v>715.14478011424001</v>
      </c>
      <c r="J33" s="326">
        <f t="shared" si="10"/>
        <v>715.14478011424001</v>
      </c>
      <c r="K33" s="326">
        <f t="shared" si="10"/>
        <v>715.14478011424001</v>
      </c>
      <c r="L33" s="326">
        <f t="shared" si="10"/>
        <v>715.14478011424001</v>
      </c>
      <c r="M33" s="196">
        <v>1</v>
      </c>
      <c r="N33" s="196">
        <v>3</v>
      </c>
      <c r="O33" s="305"/>
      <c r="P33" s="305"/>
      <c r="Q33" s="305"/>
      <c r="R33" s="305"/>
      <c r="S33" s="305"/>
    </row>
    <row r="34" spans="1:19" ht="15.75" customHeight="1" thickBot="1">
      <c r="A34" s="331" t="s">
        <v>551</v>
      </c>
      <c r="B34" s="305"/>
      <c r="C34" s="205" t="str">
        <f>RSD_Procesess!D10</f>
        <v>RSD_DTH_2020</v>
      </c>
      <c r="D34" s="206" t="str">
        <f t="shared" si="7"/>
        <v>DMD_RSD_DTH</v>
      </c>
      <c r="E34" s="206">
        <v>2020</v>
      </c>
      <c r="F34" s="327">
        <f t="shared" si="3"/>
        <v>423.21168170459305</v>
      </c>
      <c r="G34" s="327">
        <f t="shared" si="4"/>
        <v>423.21168170459305</v>
      </c>
      <c r="H34" s="327">
        <f t="shared" ref="H34:L34" si="11">G34</f>
        <v>423.21168170459305</v>
      </c>
      <c r="I34" s="327">
        <f t="shared" si="11"/>
        <v>423.21168170459305</v>
      </c>
      <c r="J34" s="327">
        <f t="shared" si="11"/>
        <v>423.21168170459305</v>
      </c>
      <c r="K34" s="327">
        <f t="shared" si="11"/>
        <v>423.21168170459305</v>
      </c>
      <c r="L34" s="327">
        <f t="shared" si="11"/>
        <v>423.21168170459305</v>
      </c>
      <c r="M34" s="206">
        <v>1</v>
      </c>
      <c r="N34" s="206">
        <v>3</v>
      </c>
      <c r="O34" s="305"/>
      <c r="P34" s="305"/>
      <c r="Q34" s="305"/>
      <c r="R34" s="305"/>
      <c r="S34" s="305"/>
    </row>
    <row r="35" spans="1:19" ht="15.75" customHeight="1">
      <c r="A35" s="25" t="s">
        <v>546</v>
      </c>
      <c r="B35" s="305"/>
      <c r="C35" s="198" t="str">
        <f>RSD_Procesess!D11</f>
        <v>RSD_SDTH_1945</v>
      </c>
      <c r="D35" s="200" t="str">
        <f>RSD_Comm!D23</f>
        <v>DMD_RSD_SDTH</v>
      </c>
      <c r="E35" s="323">
        <v>1945</v>
      </c>
      <c r="F35" s="328">
        <f t="shared" ref="F35:F40" si="12">D18</f>
        <v>154.49603376791487</v>
      </c>
      <c r="G35" s="328">
        <f t="shared" si="4"/>
        <v>154.49603376791487</v>
      </c>
      <c r="H35" s="328">
        <f t="shared" ref="H35:L35" si="13">G35</f>
        <v>154.49603376791487</v>
      </c>
      <c r="I35" s="328">
        <f t="shared" si="13"/>
        <v>154.49603376791487</v>
      </c>
      <c r="J35" s="328">
        <f t="shared" si="13"/>
        <v>154.49603376791487</v>
      </c>
      <c r="K35" s="328">
        <f t="shared" si="13"/>
        <v>154.49603376791487</v>
      </c>
      <c r="L35" s="328">
        <f t="shared" si="13"/>
        <v>154.49603376791487</v>
      </c>
      <c r="M35" s="200">
        <v>1</v>
      </c>
      <c r="N35" s="200">
        <v>3</v>
      </c>
      <c r="O35" s="305"/>
      <c r="P35" s="305"/>
      <c r="Q35" s="305"/>
      <c r="R35" s="305"/>
      <c r="S35" s="305"/>
    </row>
    <row r="36" spans="1:19" ht="15.75" customHeight="1">
      <c r="A36" s="25" t="s">
        <v>547</v>
      </c>
      <c r="B36" s="305"/>
      <c r="C36" s="202" t="str">
        <f>RSD_Procesess!D12</f>
        <v>RSD_SDTH_1960</v>
      </c>
      <c r="D36" s="204" t="str">
        <f>D35</f>
        <v>DMD_RSD_SDTH</v>
      </c>
      <c r="E36" s="204">
        <v>1960</v>
      </c>
      <c r="F36" s="325">
        <f t="shared" si="12"/>
        <v>91.48456854880547</v>
      </c>
      <c r="G36" s="325">
        <f t="shared" si="4"/>
        <v>91.48456854880547</v>
      </c>
      <c r="H36" s="325">
        <f t="shared" ref="H36:L36" si="14">G36</f>
        <v>91.48456854880547</v>
      </c>
      <c r="I36" s="325">
        <f t="shared" si="14"/>
        <v>91.48456854880547</v>
      </c>
      <c r="J36" s="325">
        <f t="shared" si="14"/>
        <v>91.48456854880547</v>
      </c>
      <c r="K36" s="325">
        <f t="shared" si="14"/>
        <v>91.48456854880547</v>
      </c>
      <c r="L36" s="325">
        <f t="shared" si="14"/>
        <v>91.48456854880547</v>
      </c>
      <c r="M36" s="204">
        <v>1</v>
      </c>
      <c r="N36" s="204">
        <v>3</v>
      </c>
      <c r="O36" s="305"/>
      <c r="P36" s="305"/>
      <c r="Q36" s="305"/>
      <c r="R36" s="305"/>
      <c r="S36" s="305"/>
    </row>
    <row r="37" spans="1:19" ht="15.75" customHeight="1">
      <c r="A37" s="25" t="s">
        <v>548</v>
      </c>
      <c r="B37" s="305"/>
      <c r="C37" s="195" t="str">
        <f>RSD_Procesess!D13</f>
        <v>RSD_SDTH_1980</v>
      </c>
      <c r="D37" s="196" t="str">
        <f t="shared" ref="D37:D40" si="15">D36</f>
        <v>DMD_RSD_SDTH</v>
      </c>
      <c r="E37" s="196">
        <v>1980</v>
      </c>
      <c r="F37" s="326">
        <f t="shared" si="12"/>
        <v>271.83893740319576</v>
      </c>
      <c r="G37" s="326">
        <f t="shared" si="4"/>
        <v>271.83893740319576</v>
      </c>
      <c r="H37" s="326">
        <f t="shared" ref="H37:L37" si="16">G37</f>
        <v>271.83893740319576</v>
      </c>
      <c r="I37" s="326">
        <f t="shared" si="16"/>
        <v>271.83893740319576</v>
      </c>
      <c r="J37" s="326">
        <f t="shared" si="16"/>
        <v>271.83893740319576</v>
      </c>
      <c r="K37" s="326">
        <f t="shared" si="16"/>
        <v>271.83893740319576</v>
      </c>
      <c r="L37" s="326">
        <f t="shared" si="16"/>
        <v>271.83893740319576</v>
      </c>
      <c r="M37" s="196">
        <v>1</v>
      </c>
      <c r="N37" s="196">
        <v>3</v>
      </c>
      <c r="O37" s="305"/>
      <c r="P37" s="305"/>
      <c r="Q37" s="305"/>
      <c r="R37" s="305"/>
      <c r="S37" s="305"/>
    </row>
    <row r="38" spans="1:19" ht="15.75" customHeight="1">
      <c r="A38" s="25" t="s">
        <v>549</v>
      </c>
      <c r="B38" s="305"/>
      <c r="C38" s="202" t="str">
        <f>RSD_Procesess!D14</f>
        <v>RSD_SDTH_1995</v>
      </c>
      <c r="D38" s="204" t="str">
        <f t="shared" si="15"/>
        <v>DMD_RSD_SDTH</v>
      </c>
      <c r="E38" s="204">
        <v>1995</v>
      </c>
      <c r="F38" s="325">
        <f t="shared" si="12"/>
        <v>172.901981413416</v>
      </c>
      <c r="G38" s="325">
        <f t="shared" si="4"/>
        <v>172.901981413416</v>
      </c>
      <c r="H38" s="325">
        <f t="shared" ref="H38:L38" si="17">G38</f>
        <v>172.901981413416</v>
      </c>
      <c r="I38" s="325">
        <f t="shared" si="17"/>
        <v>172.901981413416</v>
      </c>
      <c r="J38" s="325">
        <f t="shared" si="17"/>
        <v>172.901981413416</v>
      </c>
      <c r="K38" s="325">
        <f t="shared" si="17"/>
        <v>172.901981413416</v>
      </c>
      <c r="L38" s="325">
        <f t="shared" si="17"/>
        <v>172.901981413416</v>
      </c>
      <c r="M38" s="204">
        <v>1</v>
      </c>
      <c r="N38" s="204">
        <v>3</v>
      </c>
      <c r="O38" s="305"/>
      <c r="P38" s="305"/>
      <c r="Q38" s="305"/>
      <c r="R38" s="305"/>
      <c r="S38" s="305"/>
    </row>
    <row r="39" spans="1:19" ht="15.75" customHeight="1">
      <c r="A39" s="25" t="s">
        <v>550</v>
      </c>
      <c r="B39" s="305"/>
      <c r="C39" s="195" t="str">
        <f>RSD_Procesess!D15</f>
        <v>RSD_SDTH_2011</v>
      </c>
      <c r="D39" s="196" t="str">
        <f t="shared" si="15"/>
        <v>DMD_RSD_SDTH</v>
      </c>
      <c r="E39" s="196">
        <v>2011</v>
      </c>
      <c r="F39" s="326">
        <f t="shared" si="12"/>
        <v>103.52913898855111</v>
      </c>
      <c r="G39" s="326">
        <f t="shared" si="4"/>
        <v>103.52913898855111</v>
      </c>
      <c r="H39" s="326">
        <f t="shared" ref="H39:L39" si="18">G39</f>
        <v>103.52913898855111</v>
      </c>
      <c r="I39" s="326">
        <f t="shared" si="18"/>
        <v>103.52913898855111</v>
      </c>
      <c r="J39" s="326">
        <f t="shared" si="18"/>
        <v>103.52913898855111</v>
      </c>
      <c r="K39" s="326">
        <f t="shared" si="18"/>
        <v>103.52913898855111</v>
      </c>
      <c r="L39" s="326">
        <f t="shared" si="18"/>
        <v>103.52913898855111</v>
      </c>
      <c r="M39" s="196">
        <v>1</v>
      </c>
      <c r="N39" s="196">
        <v>3</v>
      </c>
      <c r="O39" s="305"/>
      <c r="P39" s="305"/>
      <c r="Q39" s="305"/>
      <c r="R39" s="305"/>
      <c r="S39" s="305"/>
    </row>
    <row r="40" spans="1:19" ht="15.75" customHeight="1" thickBot="1">
      <c r="A40" s="331" t="s">
        <v>551</v>
      </c>
      <c r="B40" s="305"/>
      <c r="C40" s="205" t="str">
        <f>RSD_Procesess!D16</f>
        <v>RSD_SDTH_2020</v>
      </c>
      <c r="D40" s="206" t="str">
        <f t="shared" si="15"/>
        <v>DMD_RSD_SDTH</v>
      </c>
      <c r="E40" s="206">
        <v>2020</v>
      </c>
      <c r="F40" s="327">
        <f t="shared" si="12"/>
        <v>61.266952140480051</v>
      </c>
      <c r="G40" s="327">
        <f t="shared" si="4"/>
        <v>61.266952140480051</v>
      </c>
      <c r="H40" s="327">
        <f t="shared" ref="H40:L40" si="19">G40</f>
        <v>61.266952140480051</v>
      </c>
      <c r="I40" s="327">
        <f t="shared" si="19"/>
        <v>61.266952140480051</v>
      </c>
      <c r="J40" s="327">
        <f t="shared" si="19"/>
        <v>61.266952140480051</v>
      </c>
      <c r="K40" s="327">
        <f t="shared" si="19"/>
        <v>61.266952140480051</v>
      </c>
      <c r="L40" s="327">
        <f t="shared" si="19"/>
        <v>61.266952140480051</v>
      </c>
      <c r="M40" s="206">
        <v>1</v>
      </c>
      <c r="N40" s="206">
        <v>3</v>
      </c>
      <c r="O40" s="305"/>
      <c r="P40" s="305"/>
      <c r="Q40" s="305"/>
      <c r="R40" s="305"/>
      <c r="S40" s="305"/>
    </row>
    <row r="41" spans="1:19" ht="15.75" customHeight="1">
      <c r="A41" s="25" t="s">
        <v>546</v>
      </c>
      <c r="B41" s="305"/>
      <c r="C41" s="198" t="str">
        <f>RSD_Procesess!D17</f>
        <v>RSD_FLAT_1945</v>
      </c>
      <c r="D41" s="200" t="str">
        <f>RSD_Comm!D24</f>
        <v>DMD_RSD_FLAT</v>
      </c>
      <c r="E41" s="323">
        <v>1945</v>
      </c>
      <c r="F41" s="328">
        <f t="shared" ref="F41:F46" si="20">E18</f>
        <v>1489.8826497170221</v>
      </c>
      <c r="G41" s="328">
        <f t="shared" si="4"/>
        <v>1489.8826497170221</v>
      </c>
      <c r="H41" s="328">
        <f t="shared" ref="H41:L41" si="21">G41</f>
        <v>1489.8826497170221</v>
      </c>
      <c r="I41" s="328">
        <f t="shared" si="21"/>
        <v>1489.8826497170221</v>
      </c>
      <c r="J41" s="328">
        <f t="shared" si="21"/>
        <v>1489.8826497170221</v>
      </c>
      <c r="K41" s="328">
        <f t="shared" si="21"/>
        <v>1489.8826497170221</v>
      </c>
      <c r="L41" s="328">
        <f t="shared" si="21"/>
        <v>1489.8826497170221</v>
      </c>
      <c r="M41" s="200">
        <v>1</v>
      </c>
      <c r="N41" s="200">
        <v>3</v>
      </c>
      <c r="O41" s="305"/>
      <c r="P41" s="305"/>
      <c r="Q41" s="305"/>
      <c r="R41" s="305"/>
      <c r="S41" s="305"/>
    </row>
    <row r="42" spans="1:19" ht="15.75" customHeight="1">
      <c r="A42" s="25" t="s">
        <v>547</v>
      </c>
      <c r="B42" s="305"/>
      <c r="C42" s="202" t="str">
        <f>RSD_Procesess!D18</f>
        <v>RSD_FLAT_1960</v>
      </c>
      <c r="D42" s="204" t="str">
        <f>D41</f>
        <v>DMD_RSD_FLAT</v>
      </c>
      <c r="E42" s="204">
        <v>1960</v>
      </c>
      <c r="F42" s="325">
        <f t="shared" si="20"/>
        <v>882.23152448344172</v>
      </c>
      <c r="G42" s="325">
        <f t="shared" si="4"/>
        <v>882.23152448344172</v>
      </c>
      <c r="H42" s="325">
        <f t="shared" ref="H42:L42" si="22">G42</f>
        <v>882.23152448344172</v>
      </c>
      <c r="I42" s="325">
        <f t="shared" si="22"/>
        <v>882.23152448344172</v>
      </c>
      <c r="J42" s="325">
        <f t="shared" si="22"/>
        <v>882.23152448344172</v>
      </c>
      <c r="K42" s="325">
        <f t="shared" si="22"/>
        <v>882.23152448344172</v>
      </c>
      <c r="L42" s="325">
        <f t="shared" si="22"/>
        <v>882.23152448344172</v>
      </c>
      <c r="M42" s="204">
        <v>1</v>
      </c>
      <c r="N42" s="204">
        <v>3</v>
      </c>
      <c r="O42" s="305"/>
      <c r="P42" s="305"/>
      <c r="Q42" s="305"/>
      <c r="R42" s="305"/>
      <c r="S42" s="305"/>
    </row>
    <row r="43" spans="1:19" ht="15.75" customHeight="1">
      <c r="A43" s="25" t="s">
        <v>548</v>
      </c>
      <c r="B43" s="305"/>
      <c r="C43" s="195" t="str">
        <f>RSD_Procesess!D19</f>
        <v>RSD_FLAT_1980</v>
      </c>
      <c r="D43" s="196" t="str">
        <f t="shared" ref="D43:D46" si="23">D42</f>
        <v>DMD_RSD_FLAT</v>
      </c>
      <c r="E43" s="196">
        <v>1980</v>
      </c>
      <c r="F43" s="326">
        <f t="shared" si="20"/>
        <v>2621.4790533907121</v>
      </c>
      <c r="G43" s="326">
        <f t="shared" si="4"/>
        <v>2621.4790533907121</v>
      </c>
      <c r="H43" s="326">
        <f t="shared" ref="H43:L43" si="24">G43</f>
        <v>2621.4790533907121</v>
      </c>
      <c r="I43" s="326">
        <f t="shared" si="24"/>
        <v>2621.4790533907121</v>
      </c>
      <c r="J43" s="326">
        <f t="shared" si="24"/>
        <v>2621.4790533907121</v>
      </c>
      <c r="K43" s="326">
        <f t="shared" si="24"/>
        <v>2621.4790533907121</v>
      </c>
      <c r="L43" s="326">
        <f t="shared" si="24"/>
        <v>2621.4790533907121</v>
      </c>
      <c r="M43" s="196">
        <v>1</v>
      </c>
      <c r="N43" s="196">
        <v>3</v>
      </c>
      <c r="O43" s="305"/>
      <c r="P43" s="305"/>
      <c r="Q43" s="305"/>
      <c r="R43" s="305"/>
      <c r="S43" s="305"/>
    </row>
    <row r="44" spans="1:19" ht="15.75" customHeight="1">
      <c r="A44" s="25" t="s">
        <v>549</v>
      </c>
      <c r="B44" s="305"/>
      <c r="C44" s="202" t="str">
        <f>RSD_Procesess!D20</f>
        <v>RSD_FLAT_1995</v>
      </c>
      <c r="D44" s="204" t="str">
        <f t="shared" si="23"/>
        <v>DMD_RSD_FLAT</v>
      </c>
      <c r="E44" s="204">
        <v>1995</v>
      </c>
      <c r="F44" s="325">
        <f t="shared" si="20"/>
        <v>1667.3804234775225</v>
      </c>
      <c r="G44" s="325">
        <f t="shared" si="4"/>
        <v>1667.3804234775225</v>
      </c>
      <c r="H44" s="325">
        <f t="shared" ref="H44:L44" si="25">G44</f>
        <v>1667.3804234775225</v>
      </c>
      <c r="I44" s="325">
        <f t="shared" si="25"/>
        <v>1667.3804234775225</v>
      </c>
      <c r="J44" s="325">
        <f t="shared" si="25"/>
        <v>1667.3804234775225</v>
      </c>
      <c r="K44" s="325">
        <f t="shared" si="25"/>
        <v>1667.3804234775225</v>
      </c>
      <c r="L44" s="325">
        <f t="shared" si="25"/>
        <v>1667.3804234775225</v>
      </c>
      <c r="M44" s="204">
        <v>1</v>
      </c>
      <c r="N44" s="204">
        <v>3</v>
      </c>
      <c r="O44" s="305"/>
      <c r="P44" s="305"/>
      <c r="Q44" s="305"/>
      <c r="R44" s="305"/>
      <c r="S44" s="305"/>
    </row>
    <row r="45" spans="1:19" ht="15.75" customHeight="1">
      <c r="A45" s="25" t="s">
        <v>550</v>
      </c>
      <c r="B45" s="305"/>
      <c r="C45" s="195" t="str">
        <f>RSD_Procesess!D21</f>
        <v>RSD_FLAT_2011</v>
      </c>
      <c r="D45" s="196" t="str">
        <f t="shared" si="23"/>
        <v>DMD_RSD_FLAT</v>
      </c>
      <c r="E45" s="196">
        <v>2011</v>
      </c>
      <c r="F45" s="326">
        <f t="shared" si="20"/>
        <v>998.38335106320153</v>
      </c>
      <c r="G45" s="326">
        <f t="shared" si="4"/>
        <v>998.38335106320153</v>
      </c>
      <c r="H45" s="326">
        <f t="shared" ref="H45:L45" si="26">G45</f>
        <v>998.38335106320153</v>
      </c>
      <c r="I45" s="326">
        <f t="shared" si="26"/>
        <v>998.38335106320153</v>
      </c>
      <c r="J45" s="326">
        <f t="shared" si="26"/>
        <v>998.38335106320153</v>
      </c>
      <c r="K45" s="326">
        <f t="shared" si="26"/>
        <v>998.38335106320153</v>
      </c>
      <c r="L45" s="326">
        <f t="shared" si="26"/>
        <v>998.38335106320153</v>
      </c>
      <c r="M45" s="196">
        <v>1</v>
      </c>
      <c r="N45" s="196">
        <v>3</v>
      </c>
      <c r="O45" s="305"/>
      <c r="P45" s="305"/>
      <c r="Q45" s="305"/>
      <c r="R45" s="305"/>
      <c r="S45" s="305"/>
    </row>
    <row r="46" spans="1:19" ht="15.75" customHeight="1" thickBot="1">
      <c r="A46" s="331" t="s">
        <v>551</v>
      </c>
      <c r="B46" s="305"/>
      <c r="C46" s="205" t="str">
        <f>RSD_Procesess!D22</f>
        <v>RSD_FLAT_2020</v>
      </c>
      <c r="D46" s="206" t="str">
        <f t="shared" si="23"/>
        <v>DMD_RSD_FLAT</v>
      </c>
      <c r="E46" s="206">
        <v>2020</v>
      </c>
      <c r="F46" s="327">
        <f t="shared" si="20"/>
        <v>590.82791168779625</v>
      </c>
      <c r="G46" s="327">
        <f t="shared" si="4"/>
        <v>590.82791168779625</v>
      </c>
      <c r="H46" s="327">
        <f t="shared" ref="H46:L46" si="27">G46</f>
        <v>590.82791168779625</v>
      </c>
      <c r="I46" s="327">
        <f t="shared" si="27"/>
        <v>590.82791168779625</v>
      </c>
      <c r="J46" s="327">
        <f t="shared" si="27"/>
        <v>590.82791168779625</v>
      </c>
      <c r="K46" s="327">
        <f t="shared" si="27"/>
        <v>590.82791168779625</v>
      </c>
      <c r="L46" s="327">
        <f t="shared" si="27"/>
        <v>590.82791168779625</v>
      </c>
      <c r="M46" s="206">
        <v>1</v>
      </c>
      <c r="N46" s="206">
        <v>3</v>
      </c>
      <c r="O46" s="305"/>
      <c r="P46" s="305"/>
      <c r="Q46" s="305"/>
      <c r="R46" s="305"/>
      <c r="S46" s="305"/>
    </row>
    <row r="47" spans="1:19">
      <c r="B47" s="305"/>
      <c r="C47" s="305"/>
      <c r="D47" s="305"/>
      <c r="E47" s="305"/>
      <c r="F47" s="305"/>
      <c r="G47" s="305"/>
      <c r="H47" s="305"/>
      <c r="I47" s="305"/>
      <c r="J47" s="305"/>
      <c r="K47" s="305"/>
      <c r="L47" s="305"/>
      <c r="M47" s="305"/>
      <c r="N47" s="305"/>
      <c r="O47" s="305"/>
      <c r="P47" s="305"/>
      <c r="Q47" s="305"/>
      <c r="R47" s="305"/>
      <c r="S47" s="305"/>
    </row>
    <row r="49" spans="1:32">
      <c r="B49" s="308"/>
      <c r="C49" s="309" t="s">
        <v>320</v>
      </c>
      <c r="D49" s="308"/>
      <c r="E49" s="308"/>
      <c r="F49" s="308"/>
    </row>
    <row r="50" spans="1:32">
      <c r="B50" s="308"/>
      <c r="C50" s="308"/>
      <c r="D50" s="308"/>
      <c r="E50" s="308"/>
      <c r="F50" s="308"/>
    </row>
    <row r="51" spans="1:32">
      <c r="B51" s="308"/>
      <c r="C51" s="308"/>
      <c r="D51" s="308"/>
      <c r="E51" s="126" t="s">
        <v>516</v>
      </c>
      <c r="F51" s="308"/>
    </row>
    <row r="52" spans="1:32">
      <c r="A52" s="113"/>
      <c r="B52" s="308"/>
      <c r="C52" s="160" t="s">
        <v>82</v>
      </c>
      <c r="D52" s="159" t="s">
        <v>214</v>
      </c>
      <c r="E52" s="307" t="s">
        <v>315</v>
      </c>
      <c r="F52" s="190" t="s">
        <v>321</v>
      </c>
    </row>
    <row r="53" spans="1:32" ht="15.75" thickBot="1">
      <c r="A53" s="38"/>
      <c r="B53" s="308"/>
      <c r="C53" s="191" t="s">
        <v>89</v>
      </c>
      <c r="D53" s="192"/>
      <c r="E53" s="193"/>
      <c r="F53" s="194" t="s">
        <v>323</v>
      </c>
    </row>
    <row r="54" spans="1:32">
      <c r="A54" s="25" t="s">
        <v>546</v>
      </c>
      <c r="B54" s="308"/>
      <c r="C54" s="198" t="str">
        <f>RSD_Procesess!D5</f>
        <v>RSD_DTH_1945</v>
      </c>
      <c r="D54" s="199" t="str">
        <f>RSD_Comm!D16</f>
        <v>RSD_DTH_SH</v>
      </c>
      <c r="E54" s="752">
        <v>1945</v>
      </c>
      <c r="F54" s="753">
        <f>Detached!D36/10^6*3.6</f>
        <v>5.8497903707146463E-2</v>
      </c>
    </row>
    <row r="55" spans="1:32">
      <c r="A55" s="25" t="s">
        <v>547</v>
      </c>
      <c r="B55" s="308"/>
      <c r="C55" s="202" t="str">
        <f>RSD_Procesess!D6</f>
        <v>RSD_DTH_1960</v>
      </c>
      <c r="D55" s="754" t="str">
        <f>D54</f>
        <v>RSD_DTH_SH</v>
      </c>
      <c r="E55" s="755">
        <v>1960</v>
      </c>
      <c r="F55" s="756">
        <f>Detached!D37/10^6*3.6</f>
        <v>4.6218344087208173E-2</v>
      </c>
    </row>
    <row r="56" spans="1:32">
      <c r="A56" s="25" t="s">
        <v>548</v>
      </c>
      <c r="B56" s="308"/>
      <c r="C56" s="195" t="str">
        <f>RSD_Procesess!D7</f>
        <v>RSD_DTH_1980</v>
      </c>
      <c r="D56" s="757" t="str">
        <f>D54</f>
        <v>RSD_DTH_SH</v>
      </c>
      <c r="E56" s="758">
        <v>1980</v>
      </c>
      <c r="F56" s="759">
        <f>Detached!D38/10^6*3.6</f>
        <v>3.9628139414817451E-2</v>
      </c>
    </row>
    <row r="57" spans="1:32">
      <c r="A57" s="25" t="s">
        <v>549</v>
      </c>
      <c r="B57" s="308"/>
      <c r="C57" s="202" t="str">
        <f>RSD_Procesess!D8</f>
        <v>RSD_DTH_1995</v>
      </c>
      <c r="D57" s="754" t="str">
        <f>D54</f>
        <v>RSD_DTH_SH</v>
      </c>
      <c r="E57" s="755">
        <v>1995</v>
      </c>
      <c r="F57" s="756">
        <f>Detached!D39/10^6*3.6</f>
        <v>2.9937750323557812E-2</v>
      </c>
    </row>
    <row r="58" spans="1:32">
      <c r="A58" s="25" t="s">
        <v>550</v>
      </c>
      <c r="B58" s="308"/>
      <c r="C58" s="195" t="str">
        <f>RSD_Procesess!D9</f>
        <v>RSD_DTH_2011</v>
      </c>
      <c r="D58" s="757" t="str">
        <f>D54</f>
        <v>RSD_DTH_SH</v>
      </c>
      <c r="E58" s="758">
        <v>2011</v>
      </c>
      <c r="F58" s="759">
        <f>Detached!D40/10^6*3.6</f>
        <v>2.7493648462700027E-2</v>
      </c>
    </row>
    <row r="59" spans="1:32" ht="15.75" thickBot="1">
      <c r="A59" s="331" t="s">
        <v>551</v>
      </c>
      <c r="B59" s="308"/>
      <c r="C59" s="205" t="str">
        <f>RSD_Procesess!D10</f>
        <v>RSD_DTH_2020</v>
      </c>
      <c r="D59" s="187" t="str">
        <f>D54</f>
        <v>RSD_DTH_SH</v>
      </c>
      <c r="E59" s="206">
        <v>2020</v>
      </c>
      <c r="F59" s="760">
        <f>Detached!D41/10^6*3.6</f>
        <v>2.2501541701879794E-2</v>
      </c>
    </row>
    <row r="60" spans="1:32">
      <c r="A60" s="25" t="s">
        <v>546</v>
      </c>
      <c r="B60" s="308"/>
      <c r="C60" s="198" t="str">
        <f>RSD_Procesess!D11</f>
        <v>RSD_SDTH_1945</v>
      </c>
      <c r="D60" s="199" t="str">
        <f>RSD_Comm!D17</f>
        <v>RSD_SDTH_SH</v>
      </c>
      <c r="E60" s="323">
        <v>1945</v>
      </c>
      <c r="F60" s="761">
        <f>Semidetached!D35/10^6*3.6</f>
        <v>3.1012967336799396E-2</v>
      </c>
      <c r="AC60" s="530"/>
      <c r="AD60" s="530"/>
      <c r="AE60" s="530"/>
      <c r="AF60" s="530"/>
    </row>
    <row r="61" spans="1:32">
      <c r="A61" s="25" t="s">
        <v>547</v>
      </c>
      <c r="B61" s="308"/>
      <c r="C61" s="202" t="str">
        <f>RSD_Procesess!D12</f>
        <v>RSD_SDTH_1960</v>
      </c>
      <c r="D61" s="754" t="str">
        <f>D60</f>
        <v>RSD_SDTH_SH</v>
      </c>
      <c r="E61" s="755">
        <v>1960</v>
      </c>
      <c r="F61" s="756">
        <f>Semidetached!D36/10^6*3.6</f>
        <v>2.4126067593454512E-2</v>
      </c>
    </row>
    <row r="62" spans="1:32">
      <c r="A62" s="25" t="s">
        <v>548</v>
      </c>
      <c r="B62" s="308"/>
      <c r="C62" s="195" t="str">
        <f>RSD_Procesess!D13</f>
        <v>RSD_SDTH_1980</v>
      </c>
      <c r="D62" s="757" t="str">
        <f>D60</f>
        <v>RSD_SDTH_SH</v>
      </c>
      <c r="E62" s="758">
        <v>1980</v>
      </c>
      <c r="F62" s="759">
        <f>Semidetached!D37/10^6*3.6</f>
        <v>2.023875779040794E-2</v>
      </c>
    </row>
    <row r="63" spans="1:32">
      <c r="A63" s="25" t="s">
        <v>549</v>
      </c>
      <c r="B63" s="308"/>
      <c r="C63" s="202" t="str">
        <f>RSD_Procesess!D14</f>
        <v>RSD_SDTH_1995</v>
      </c>
      <c r="D63" s="754" t="str">
        <f>D60</f>
        <v>RSD_SDTH_SH</v>
      </c>
      <c r="E63" s="755">
        <v>1995</v>
      </c>
      <c r="F63" s="756">
        <f>Semidetached!D38/10^6*3.6</f>
        <v>1.521721337427095E-2</v>
      </c>
    </row>
    <row r="64" spans="1:32">
      <c r="A64" s="25" t="s">
        <v>550</v>
      </c>
      <c r="B64" s="308"/>
      <c r="C64" s="195" t="str">
        <f>RSD_Procesess!D15</f>
        <v>RSD_SDTH_2011</v>
      </c>
      <c r="D64" s="757" t="str">
        <f>D60</f>
        <v>RSD_SDTH_SH</v>
      </c>
      <c r="E64" s="758">
        <v>2011</v>
      </c>
      <c r="F64" s="759">
        <f>Semidetached!D39/10^6*3.6</f>
        <v>1.3790565430079173E-2</v>
      </c>
    </row>
    <row r="65" spans="1:12" ht="15.75" thickBot="1">
      <c r="A65" s="331" t="s">
        <v>551</v>
      </c>
      <c r="B65" s="308"/>
      <c r="C65" s="205" t="str">
        <f>RSD_Procesess!D16</f>
        <v>RSD_SDTH_2020</v>
      </c>
      <c r="D65" s="187" t="str">
        <f>D60</f>
        <v>RSD_SDTH_SH</v>
      </c>
      <c r="E65" s="206">
        <v>2020</v>
      </c>
      <c r="F65" s="760">
        <f>Semidetached!D40/10^6*3.6</f>
        <v>1.1393000639707981E-2</v>
      </c>
    </row>
    <row r="66" spans="1:12">
      <c r="A66" s="25" t="s">
        <v>546</v>
      </c>
      <c r="B66" s="308"/>
      <c r="C66" s="198" t="str">
        <f>RSD_Procesess!D17</f>
        <v>RSD_FLAT_1945</v>
      </c>
      <c r="D66" s="199" t="str">
        <f>RSD_Comm!D18</f>
        <v>RSD_FLAT_SH</v>
      </c>
      <c r="E66" s="323">
        <v>1945</v>
      </c>
      <c r="F66" s="761">
        <f>Flat!D38/10^6*3.6</f>
        <v>2.1171271065642362E-2</v>
      </c>
    </row>
    <row r="67" spans="1:12">
      <c r="A67" s="25" t="s">
        <v>547</v>
      </c>
      <c r="B67" s="308"/>
      <c r="C67" s="202" t="str">
        <f>RSD_Procesess!D18</f>
        <v>RSD_FLAT_1960</v>
      </c>
      <c r="D67" s="754" t="str">
        <f>D66</f>
        <v>RSD_FLAT_SH</v>
      </c>
      <c r="E67" s="755">
        <v>1960</v>
      </c>
      <c r="F67" s="756">
        <f>Flat!D39/10^6*3.6</f>
        <v>1.6858886039675763E-2</v>
      </c>
    </row>
    <row r="68" spans="1:12">
      <c r="A68" s="25" t="s">
        <v>548</v>
      </c>
      <c r="B68" s="308"/>
      <c r="C68" s="195" t="str">
        <f>RSD_Procesess!D19</f>
        <v>RSD_FLAT_1980</v>
      </c>
      <c r="D68" s="757" t="str">
        <f>D66</f>
        <v>RSD_FLAT_SH</v>
      </c>
      <c r="E68" s="758">
        <v>1980</v>
      </c>
      <c r="F68" s="759">
        <f>Flat!D40/10^6*3.6</f>
        <v>1.4636599832818592E-2</v>
      </c>
    </row>
    <row r="69" spans="1:12">
      <c r="A69" s="25" t="s">
        <v>549</v>
      </c>
      <c r="B69" s="308"/>
      <c r="C69" s="202" t="str">
        <f>RSD_Procesess!D20</f>
        <v>RSD_FLAT_1995</v>
      </c>
      <c r="D69" s="754" t="str">
        <f>D66</f>
        <v>RSD_FLAT_SH</v>
      </c>
      <c r="E69" s="755">
        <v>1995</v>
      </c>
      <c r="F69" s="756">
        <f>Flat!D41/10^6*3.6</f>
        <v>1.0916947491465004E-2</v>
      </c>
    </row>
    <row r="70" spans="1:12">
      <c r="A70" s="25" t="s">
        <v>550</v>
      </c>
      <c r="B70" s="308"/>
      <c r="C70" s="195" t="str">
        <f>RSD_Procesess!D21</f>
        <v>RSD_FLAT_2011</v>
      </c>
      <c r="D70" s="757" t="str">
        <f>D66</f>
        <v>RSD_FLAT_SH</v>
      </c>
      <c r="E70" s="758">
        <v>2011</v>
      </c>
      <c r="F70" s="759">
        <f>Flat!D42/10^6*3.6</f>
        <v>9.9630734873247494E-3</v>
      </c>
    </row>
    <row r="71" spans="1:12" ht="15.75" thickBot="1">
      <c r="A71" s="331" t="s">
        <v>551</v>
      </c>
      <c r="B71" s="308"/>
      <c r="C71" s="205" t="str">
        <f>RSD_Procesess!D22</f>
        <v>RSD_FLAT_2020</v>
      </c>
      <c r="D71" s="187" t="str">
        <f>D66</f>
        <v>RSD_FLAT_SH</v>
      </c>
      <c r="E71" s="206">
        <v>2020</v>
      </c>
      <c r="F71" s="760">
        <f>Flat!D43/10^6*3.6</f>
        <v>7.9430017458225373E-3</v>
      </c>
    </row>
    <row r="72" spans="1:12">
      <c r="B72" s="308"/>
      <c r="C72" s="308"/>
      <c r="D72" s="308"/>
      <c r="E72" s="308"/>
      <c r="F72" s="308"/>
    </row>
    <row r="75" spans="1:12" ht="60.75" thickBot="1">
      <c r="A75" s="109" t="s">
        <v>324</v>
      </c>
      <c r="B75" s="110" t="s">
        <v>325</v>
      </c>
      <c r="C75" s="110" t="s">
        <v>326</v>
      </c>
      <c r="D75" s="111" t="s">
        <v>327</v>
      </c>
      <c r="E75" s="111" t="s">
        <v>328</v>
      </c>
    </row>
    <row r="76" spans="1:12" ht="15.75" thickBot="1">
      <c r="A76" s="155" t="s">
        <v>329</v>
      </c>
      <c r="B76" s="155" t="s">
        <v>330</v>
      </c>
      <c r="C76" s="154">
        <v>1.4</v>
      </c>
      <c r="D76" s="154">
        <v>1.6</v>
      </c>
      <c r="E76" s="154">
        <v>2</v>
      </c>
    </row>
    <row r="77" spans="1:12" ht="15.75" thickBot="1">
      <c r="A77" s="155" t="s">
        <v>331</v>
      </c>
      <c r="B77" s="155" t="s">
        <v>332</v>
      </c>
      <c r="C77" s="156">
        <f>B11</f>
        <v>120.3</v>
      </c>
      <c r="D77" s="156">
        <f>C11</f>
        <v>79.2</v>
      </c>
      <c r="E77" s="156">
        <f>A11</f>
        <v>52.2</v>
      </c>
      <c r="G77" s="157"/>
      <c r="H77" s="157"/>
      <c r="I77" s="157"/>
      <c r="J77" s="157"/>
      <c r="K77" s="157"/>
      <c r="L77" s="157"/>
    </row>
    <row r="78" spans="1:12" ht="15.75" thickBot="1">
      <c r="A78" s="155" t="s">
        <v>333</v>
      </c>
      <c r="B78" s="155" t="s">
        <v>334</v>
      </c>
      <c r="C78" s="154">
        <v>4.1900000000000004</v>
      </c>
      <c r="D78" s="154">
        <v>4.1900000000000004</v>
      </c>
      <c r="E78" s="154">
        <v>4.1900000000000004</v>
      </c>
    </row>
    <row r="79" spans="1:12" ht="15.75" thickBot="1">
      <c r="A79" s="155" t="s">
        <v>335</v>
      </c>
      <c r="B79" s="155" t="s">
        <v>336</v>
      </c>
      <c r="C79" s="154">
        <v>1</v>
      </c>
      <c r="D79" s="154">
        <v>1</v>
      </c>
      <c r="E79" s="154">
        <v>1</v>
      </c>
    </row>
    <row r="80" spans="1:12" ht="15.75" thickBot="1">
      <c r="A80" s="155" t="s">
        <v>337</v>
      </c>
      <c r="B80" s="155" t="s">
        <v>338</v>
      </c>
      <c r="C80" s="154">
        <v>55</v>
      </c>
      <c r="D80" s="154">
        <v>55</v>
      </c>
      <c r="E80" s="154">
        <v>55</v>
      </c>
    </row>
    <row r="81" spans="1:22" ht="15.75" thickBot="1">
      <c r="A81" s="155" t="s">
        <v>339</v>
      </c>
      <c r="B81" s="155" t="s">
        <v>338</v>
      </c>
      <c r="C81" s="154">
        <v>10</v>
      </c>
      <c r="D81" s="154">
        <v>10</v>
      </c>
      <c r="E81" s="154">
        <v>10</v>
      </c>
    </row>
    <row r="82" spans="1:22" ht="15.75" thickBot="1">
      <c r="A82" s="155" t="s">
        <v>340</v>
      </c>
      <c r="B82" s="155" t="s">
        <v>341</v>
      </c>
      <c r="C82" s="154">
        <v>0.8</v>
      </c>
      <c r="D82" s="154">
        <v>0.8</v>
      </c>
      <c r="E82" s="154">
        <v>0.8</v>
      </c>
    </row>
    <row r="83" spans="1:22" ht="15.75" thickBot="1">
      <c r="A83" s="155" t="s">
        <v>342</v>
      </c>
      <c r="B83" s="155" t="s">
        <v>343</v>
      </c>
      <c r="C83" s="154">
        <v>365</v>
      </c>
      <c r="D83" s="154">
        <v>365</v>
      </c>
      <c r="E83" s="154">
        <v>365</v>
      </c>
    </row>
    <row r="85" spans="1:22">
      <c r="B85" s="311"/>
      <c r="C85" s="313" t="s">
        <v>344</v>
      </c>
      <c r="D85" s="311"/>
      <c r="E85" s="311"/>
      <c r="F85" s="311"/>
      <c r="G85" s="311"/>
    </row>
    <row r="86" spans="1:22">
      <c r="B86" s="311"/>
      <c r="C86" s="311"/>
      <c r="D86" s="311"/>
      <c r="E86" s="311"/>
      <c r="F86" s="311"/>
      <c r="G86" s="311"/>
      <c r="V86" s="530"/>
    </row>
    <row r="87" spans="1:22">
      <c r="B87" s="311"/>
      <c r="C87" s="312"/>
      <c r="D87" s="312"/>
      <c r="E87" s="126" t="s">
        <v>516</v>
      </c>
      <c r="F87" s="312"/>
      <c r="G87" s="311"/>
    </row>
    <row r="88" spans="1:22">
      <c r="B88" s="311"/>
      <c r="C88" s="160" t="s">
        <v>82</v>
      </c>
      <c r="D88" s="159" t="s">
        <v>214</v>
      </c>
      <c r="E88" s="307" t="s">
        <v>315</v>
      </c>
      <c r="F88" s="190" t="s">
        <v>345</v>
      </c>
      <c r="G88" s="311"/>
      <c r="I88" s="25" t="s">
        <v>322</v>
      </c>
    </row>
    <row r="89" spans="1:22" ht="15.75" thickBot="1">
      <c r="B89" s="311"/>
      <c r="C89" s="191" t="s">
        <v>89</v>
      </c>
      <c r="D89" s="192"/>
      <c r="E89" s="193"/>
      <c r="F89" s="194" t="s">
        <v>323</v>
      </c>
      <c r="G89" s="311"/>
    </row>
    <row r="90" spans="1:22">
      <c r="B90" s="311"/>
      <c r="C90" s="198" t="str">
        <f>RSD_Procesess!D5</f>
        <v>RSD_DTH_1945</v>
      </c>
      <c r="D90" s="199" t="str">
        <f>RSD_Comm!D19</f>
        <v>RSD_DTH_WH</v>
      </c>
      <c r="E90" s="323">
        <v>1945</v>
      </c>
      <c r="F90" s="201">
        <f>(C76*C77*C78*C79*(C80-C81)*C82*C83)/10^9</f>
        <v>9.2726325720000006E-3</v>
      </c>
      <c r="G90" s="311"/>
      <c r="I90" s="36">
        <f t="shared" ref="I90:I107" si="28">F29*F90</f>
        <v>9.8958193086487185</v>
      </c>
    </row>
    <row r="91" spans="1:22">
      <c r="B91" s="311"/>
      <c r="C91" s="202" t="str">
        <f>RSD_Procesess!D6</f>
        <v>RSD_DTH_1960</v>
      </c>
      <c r="D91" s="161" t="str">
        <f>D90</f>
        <v>RSD_DTH_WH</v>
      </c>
      <c r="E91" s="204">
        <v>1960</v>
      </c>
      <c r="F91" s="203">
        <f>F90</f>
        <v>9.2726325720000006E-3</v>
      </c>
      <c r="G91" s="311"/>
      <c r="I91" s="32">
        <f t="shared" si="28"/>
        <v>5.8597928879432413</v>
      </c>
    </row>
    <row r="92" spans="1:22">
      <c r="B92" s="311"/>
      <c r="C92" s="195" t="str">
        <f>RSD_Procesess!D7</f>
        <v>RSD_DTH_1980</v>
      </c>
      <c r="D92" s="164" t="str">
        <f>D90</f>
        <v>RSD_DTH_WH</v>
      </c>
      <c r="E92" s="196">
        <v>1980</v>
      </c>
      <c r="F92" s="197">
        <f t="shared" ref="F92:F95" si="29">F91</f>
        <v>9.2726325720000006E-3</v>
      </c>
      <c r="G92" s="311"/>
      <c r="I92" s="32">
        <f t="shared" si="28"/>
        <v>17.411896862272449</v>
      </c>
    </row>
    <row r="93" spans="1:22">
      <c r="B93" s="311"/>
      <c r="C93" s="202" t="str">
        <f>RSD_Procesess!D8</f>
        <v>RSD_DTH_1995</v>
      </c>
      <c r="D93" s="161" t="str">
        <f>D90</f>
        <v>RSD_DTH_WH</v>
      </c>
      <c r="E93" s="204">
        <v>1995</v>
      </c>
      <c r="F93" s="203">
        <f t="shared" si="29"/>
        <v>9.2726325720000006E-3</v>
      </c>
      <c r="G93" s="311"/>
      <c r="I93" s="32">
        <f t="shared" si="28"/>
        <v>11.074761755662875</v>
      </c>
    </row>
    <row r="94" spans="1:22">
      <c r="B94" s="311"/>
      <c r="C94" s="195" t="str">
        <f>RSD_Procesess!D9</f>
        <v>RSD_DTH_2011</v>
      </c>
      <c r="D94" s="164" t="str">
        <f>D90</f>
        <v>RSD_DTH_WH</v>
      </c>
      <c r="E94" s="196">
        <v>2011</v>
      </c>
      <c r="F94" s="197">
        <f t="shared" si="29"/>
        <v>9.2726325720000006E-3</v>
      </c>
      <c r="G94" s="311"/>
      <c r="I94" s="32">
        <f t="shared" si="28"/>
        <v>6.6312747817830804</v>
      </c>
    </row>
    <row r="95" spans="1:22" ht="15.75" thickBot="1">
      <c r="B95" s="311"/>
      <c r="C95" s="205" t="str">
        <f>RSD_Procesess!D10</f>
        <v>RSD_DTH_2020</v>
      </c>
      <c r="D95" s="187" t="str">
        <f>D90</f>
        <v>RSD_DTH_WH</v>
      </c>
      <c r="E95" s="206">
        <v>2020</v>
      </c>
      <c r="F95" s="207">
        <f t="shared" si="29"/>
        <v>9.2726325720000006E-3</v>
      </c>
      <c r="G95" s="311"/>
      <c r="I95" s="33">
        <f t="shared" si="28"/>
        <v>3.9242864246249063</v>
      </c>
    </row>
    <row r="96" spans="1:22">
      <c r="B96" s="311"/>
      <c r="C96" s="198" t="str">
        <f>RSD_Procesess!D11</f>
        <v>RSD_SDTH_1945</v>
      </c>
      <c r="D96" s="199" t="str">
        <f>RSD_Comm!D20</f>
        <v>RSD_SDTH_WH</v>
      </c>
      <c r="E96" s="323">
        <v>1945</v>
      </c>
      <c r="F96" s="201">
        <f>(D76*D77*D78*D79*(D80-D81)*D82*D83)/10^9</f>
        <v>6.9767723520000029E-3</v>
      </c>
      <c r="G96" s="311"/>
      <c r="I96" s="36">
        <f t="shared" si="28"/>
        <v>1.0778836568856474</v>
      </c>
    </row>
    <row r="97" spans="2:9">
      <c r="B97" s="311"/>
      <c r="C97" s="202" t="str">
        <f>RSD_Procesess!D12</f>
        <v>RSD_SDTH_1960</v>
      </c>
      <c r="D97" s="161" t="str">
        <f>D96</f>
        <v>RSD_SDTH_WH</v>
      </c>
      <c r="E97" s="204">
        <v>1960</v>
      </c>
      <c r="F97" s="203">
        <f>F96</f>
        <v>6.9767723520000029E-3</v>
      </c>
      <c r="G97" s="311"/>
      <c r="I97" s="32">
        <f t="shared" si="28"/>
        <v>0.63826700848595508</v>
      </c>
    </row>
    <row r="98" spans="2:9">
      <c r="B98" s="311"/>
      <c r="C98" s="195" t="str">
        <f>RSD_Procesess!D13</f>
        <v>RSD_SDTH_1980</v>
      </c>
      <c r="D98" s="164" t="str">
        <f>D96</f>
        <v>RSD_SDTH_WH</v>
      </c>
      <c r="E98" s="196">
        <v>1980</v>
      </c>
      <c r="F98" s="197">
        <f t="shared" ref="F98:F101" si="30">F97</f>
        <v>6.9767723520000029E-3</v>
      </c>
      <c r="G98" s="311"/>
      <c r="I98" s="32">
        <f t="shared" si="28"/>
        <v>1.8965583826716756</v>
      </c>
    </row>
    <row r="99" spans="2:9">
      <c r="B99" s="311"/>
      <c r="C99" s="202" t="str">
        <f>RSD_Procesess!D14</f>
        <v>RSD_SDTH_1995</v>
      </c>
      <c r="D99" s="161" t="str">
        <f>D96</f>
        <v>RSD_SDTH_WH</v>
      </c>
      <c r="E99" s="204">
        <v>1995</v>
      </c>
      <c r="F99" s="203">
        <f t="shared" si="30"/>
        <v>6.9767723520000029E-3</v>
      </c>
      <c r="G99" s="311"/>
      <c r="I99" s="32">
        <f t="shared" si="28"/>
        <v>1.2062977635311392</v>
      </c>
    </row>
    <row r="100" spans="2:9">
      <c r="B100" s="311"/>
      <c r="C100" s="195" t="str">
        <f>RSD_Procesess!D15</f>
        <v>RSD_SDTH_2011</v>
      </c>
      <c r="D100" s="164" t="str">
        <f>D96</f>
        <v>RSD_SDTH_WH</v>
      </c>
      <c r="E100" s="196">
        <v>2011</v>
      </c>
      <c r="F100" s="197">
        <f t="shared" si="30"/>
        <v>6.9767723520000029E-3</v>
      </c>
      <c r="G100" s="311"/>
      <c r="I100" s="32">
        <f t="shared" si="28"/>
        <v>0.72229923452168898</v>
      </c>
    </row>
    <row r="101" spans="2:9" ht="15.75" thickBot="1">
      <c r="B101" s="311"/>
      <c r="C101" s="205" t="str">
        <f>RSD_Procesess!D16</f>
        <v>RSD_SDTH_2020</v>
      </c>
      <c r="D101" s="187" t="str">
        <f>D96</f>
        <v>RSD_SDTH_WH</v>
      </c>
      <c r="E101" s="206">
        <v>2020</v>
      </c>
      <c r="F101" s="207">
        <f t="shared" si="30"/>
        <v>6.9767723520000029E-3</v>
      </c>
      <c r="G101" s="311"/>
      <c r="I101" s="33">
        <f t="shared" si="28"/>
        <v>0.42744557778500863</v>
      </c>
    </row>
    <row r="102" spans="2:9">
      <c r="B102" s="311"/>
      <c r="C102" s="198" t="str">
        <f>RSD_Procesess!D17</f>
        <v>RSD_FLAT_1945</v>
      </c>
      <c r="D102" s="199" t="str">
        <f>RSD_Comm!D21</f>
        <v>RSD_FLAT_WH</v>
      </c>
      <c r="E102" s="323">
        <v>1945</v>
      </c>
      <c r="F102" s="201">
        <f>(E76*E77*E78*E79*(E80-E81)*E82*E83)/10^9</f>
        <v>5.7479090400000005E-3</v>
      </c>
      <c r="G102" s="311"/>
      <c r="I102" s="32">
        <f t="shared" si="28"/>
        <v>8.5637099508476258</v>
      </c>
    </row>
    <row r="103" spans="2:9">
      <c r="B103" s="311"/>
      <c r="C103" s="202" t="str">
        <f>RSD_Procesess!D18</f>
        <v>RSD_FLAT_1960</v>
      </c>
      <c r="D103" s="161" t="str">
        <f>D102</f>
        <v>RSD_FLAT_WH</v>
      </c>
      <c r="E103" s="204">
        <v>1960</v>
      </c>
      <c r="F103" s="203">
        <f>F102</f>
        <v>5.7479090400000005E-3</v>
      </c>
      <c r="G103" s="311"/>
      <c r="I103" s="32">
        <f t="shared" si="28"/>
        <v>5.0709865549513564</v>
      </c>
    </row>
    <row r="104" spans="2:9">
      <c r="B104" s="311"/>
      <c r="C104" s="195" t="str">
        <f>RSD_Procesess!D19</f>
        <v>RSD_FLAT_1980</v>
      </c>
      <c r="D104" s="164" t="str">
        <f>D102</f>
        <v>RSD_FLAT_WH</v>
      </c>
      <c r="E104" s="196">
        <v>1980</v>
      </c>
      <c r="F104" s="197">
        <f t="shared" ref="F104:F107" si="31">F103</f>
        <v>5.7479090400000005E-3</v>
      </c>
      <c r="G104" s="311"/>
      <c r="I104" s="32">
        <f t="shared" si="28"/>
        <v>15.068023149155119</v>
      </c>
    </row>
    <row r="105" spans="2:9">
      <c r="B105" s="311"/>
      <c r="C105" s="202" t="str">
        <f>RSD_Procesess!D20</f>
        <v>RSD_FLAT_1995</v>
      </c>
      <c r="D105" s="161" t="str">
        <f>D102</f>
        <v>RSD_FLAT_WH</v>
      </c>
      <c r="E105" s="204">
        <v>1995</v>
      </c>
      <c r="F105" s="203">
        <f t="shared" si="31"/>
        <v>5.7479090400000005E-3</v>
      </c>
      <c r="G105" s="311"/>
      <c r="I105" s="32">
        <f t="shared" si="28"/>
        <v>9.5839510092254816</v>
      </c>
    </row>
    <row r="106" spans="2:9">
      <c r="B106" s="311"/>
      <c r="C106" s="195" t="str">
        <f>RSD_Procesess!D21</f>
        <v>RSD_FLAT_2011</v>
      </c>
      <c r="D106" s="164" t="str">
        <f>D102</f>
        <v>RSD_FLAT_WH</v>
      </c>
      <c r="E106" s="196">
        <v>2011</v>
      </c>
      <c r="F106" s="197">
        <f t="shared" si="31"/>
        <v>5.7479090400000005E-3</v>
      </c>
      <c r="G106" s="311"/>
      <c r="I106" s="32">
        <f t="shared" si="28"/>
        <v>5.7386166889616703</v>
      </c>
    </row>
    <row r="107" spans="2:9" ht="15.75" thickBot="1">
      <c r="B107" s="311"/>
      <c r="C107" s="205" t="str">
        <f>RSD_Procesess!D22</f>
        <v>RSD_FLAT_2020</v>
      </c>
      <c r="D107" s="187" t="str">
        <f>D102</f>
        <v>RSD_FLAT_WH</v>
      </c>
      <c r="E107" s="206">
        <v>2020</v>
      </c>
      <c r="F107" s="207">
        <f t="shared" si="31"/>
        <v>5.7479090400000005E-3</v>
      </c>
      <c r="G107" s="311"/>
      <c r="I107" s="33">
        <f t="shared" si="28"/>
        <v>3.3960250946746062</v>
      </c>
    </row>
    <row r="108" spans="2:9">
      <c r="B108" s="311"/>
      <c r="C108" s="311"/>
      <c r="D108" s="311"/>
      <c r="E108" s="311"/>
      <c r="F108" s="311"/>
      <c r="G108" s="311"/>
    </row>
    <row r="109" spans="2:9">
      <c r="D109"/>
      <c r="E109" s="73"/>
      <c r="F109" s="105"/>
    </row>
    <row r="110" spans="2:9">
      <c r="D110"/>
      <c r="E110" s="73"/>
      <c r="F110" s="105"/>
    </row>
    <row r="112" spans="2:9">
      <c r="B112" s="174"/>
      <c r="C112" s="174" t="s">
        <v>346</v>
      </c>
      <c r="D112" s="173"/>
      <c r="E112" s="173"/>
      <c r="F112" s="173"/>
      <c r="G112" s="173"/>
    </row>
    <row r="113" spans="2:9">
      <c r="B113" s="173"/>
      <c r="C113" s="173"/>
      <c r="D113" s="173"/>
      <c r="E113" s="173"/>
      <c r="F113" s="173"/>
      <c r="G113" s="173"/>
    </row>
    <row r="114" spans="2:9">
      <c r="B114" s="173"/>
      <c r="C114"/>
      <c r="D114"/>
      <c r="E114" s="126" t="s">
        <v>516</v>
      </c>
      <c r="F114"/>
      <c r="G114" s="173"/>
    </row>
    <row r="115" spans="2:9" ht="15.75" customHeight="1">
      <c r="B115" s="173"/>
      <c r="C115" s="160" t="s">
        <v>82</v>
      </c>
      <c r="D115" s="159" t="s">
        <v>214</v>
      </c>
      <c r="E115" s="307" t="s">
        <v>315</v>
      </c>
      <c r="F115" s="190" t="s">
        <v>345</v>
      </c>
      <c r="G115" s="173"/>
    </row>
    <row r="116" spans="2:9" ht="15.75" customHeight="1" thickBot="1">
      <c r="B116" s="173"/>
      <c r="C116" s="191" t="s">
        <v>89</v>
      </c>
      <c r="D116" s="192"/>
      <c r="E116" s="193"/>
      <c r="F116" s="194" t="s">
        <v>347</v>
      </c>
      <c r="G116" s="173"/>
      <c r="I116" s="25" t="s">
        <v>348</v>
      </c>
    </row>
    <row r="117" spans="2:9" ht="15.75" customHeight="1">
      <c r="B117" s="173"/>
      <c r="C117" s="198" t="str">
        <f>RSD_Procesess!D5</f>
        <v>RSD_DTH_1945</v>
      </c>
      <c r="D117" s="199" t="str">
        <f>RSD_Comm!$D$25</f>
        <v>RSD_LTG</v>
      </c>
      <c r="E117" s="323">
        <v>1945</v>
      </c>
      <c r="F117" s="201">
        <v>18.838249027520298</v>
      </c>
      <c r="G117" s="173"/>
      <c r="I117" s="175">
        <f t="shared" ref="I117:I134" si="32">F117*F29</f>
        <v>20104.313097726859</v>
      </c>
    </row>
    <row r="118" spans="2:9" ht="15.75" customHeight="1">
      <c r="B118" s="173"/>
      <c r="C118" s="202" t="str">
        <f>RSD_Procesess!D6</f>
        <v>RSD_DTH_1960</v>
      </c>
      <c r="D118" s="161" t="str">
        <f>RSD_Comm!$D$25</f>
        <v>RSD_LTG</v>
      </c>
      <c r="E118" s="204">
        <v>1960</v>
      </c>
      <c r="F118" s="203">
        <v>18.838249027520273</v>
      </c>
      <c r="G118" s="173"/>
      <c r="I118" s="176">
        <f t="shared" si="32"/>
        <v>11904.73544763324</v>
      </c>
    </row>
    <row r="119" spans="2:9" ht="15.75" customHeight="1">
      <c r="B119" s="173"/>
      <c r="C119" s="195" t="str">
        <f>RSD_Procesess!D7</f>
        <v>RSD_DTH_1980</v>
      </c>
      <c r="D119" s="164" t="str">
        <f>RSD_Comm!$D$25</f>
        <v>RSD_LTG</v>
      </c>
      <c r="E119" s="196">
        <v>1980</v>
      </c>
      <c r="F119" s="197">
        <v>18.838249027520273</v>
      </c>
      <c r="G119" s="173"/>
      <c r="I119" s="176">
        <f t="shared" si="32"/>
        <v>35373.950880298857</v>
      </c>
    </row>
    <row r="120" spans="2:9" ht="15.75" customHeight="1">
      <c r="B120" s="173"/>
      <c r="C120" s="202" t="str">
        <f>RSD_Procesess!D8</f>
        <v>RSD_DTH_1995</v>
      </c>
      <c r="D120" s="161" t="str">
        <f>RSD_Comm!$D$25</f>
        <v>RSD_LTG</v>
      </c>
      <c r="E120" s="204">
        <v>1995</v>
      </c>
      <c r="F120" s="203">
        <v>18.838249027520273</v>
      </c>
      <c r="G120" s="173"/>
      <c r="I120" s="176">
        <f t="shared" si="32"/>
        <v>22499.448592799785</v>
      </c>
    </row>
    <row r="121" spans="2:9" ht="15.75" customHeight="1">
      <c r="B121" s="173"/>
      <c r="C121" s="195" t="str">
        <f>RSD_Procesess!D9</f>
        <v>RSD_DTH_2011</v>
      </c>
      <c r="D121" s="164" t="str">
        <f>RSD_Comm!$D$25</f>
        <v>RSD_LTG</v>
      </c>
      <c r="E121" s="196">
        <v>2011</v>
      </c>
      <c r="F121" s="197">
        <v>18.838249027520273</v>
      </c>
      <c r="G121" s="173"/>
      <c r="I121" s="176">
        <f t="shared" si="32"/>
        <v>13472.075458523281</v>
      </c>
    </row>
    <row r="122" spans="2:9" ht="15.75" customHeight="1" thickBot="1">
      <c r="B122" s="173"/>
      <c r="C122" s="205" t="str">
        <f>RSD_Procesess!D10</f>
        <v>RSD_DTH_2020</v>
      </c>
      <c r="D122" s="187" t="str">
        <f>RSD_Comm!$D$25</f>
        <v>RSD_LTG</v>
      </c>
      <c r="E122" s="206">
        <v>2020</v>
      </c>
      <c r="F122" s="207">
        <v>18.838249027520273</v>
      </c>
      <c r="G122" s="173"/>
      <c r="I122" s="176">
        <f t="shared" si="32"/>
        <v>7972.5670513067698</v>
      </c>
    </row>
    <row r="123" spans="2:9" ht="15.75" customHeight="1">
      <c r="B123" s="173"/>
      <c r="C123" s="198" t="str">
        <f>RSD_Procesess!D11</f>
        <v>RSD_SDTH_1945</v>
      </c>
      <c r="D123" s="199" t="str">
        <f>RSD_Comm!$D$25</f>
        <v>RSD_LTG</v>
      </c>
      <c r="E123" s="323">
        <v>1945</v>
      </c>
      <c r="F123" s="201">
        <v>18.838249027520273</v>
      </c>
      <c r="G123" s="173"/>
      <c r="I123" s="175">
        <f t="shared" si="32"/>
        <v>2910.4347578841616</v>
      </c>
    </row>
    <row r="124" spans="2:9" ht="15.75" customHeight="1">
      <c r="B124" s="173"/>
      <c r="C124" s="202" t="str">
        <f>RSD_Procesess!D12</f>
        <v>RSD_SDTH_1960</v>
      </c>
      <c r="D124" s="161" t="str">
        <f>RSD_Comm!$D$25</f>
        <v>RSD_LTG</v>
      </c>
      <c r="E124" s="204">
        <v>1960</v>
      </c>
      <c r="F124" s="203">
        <v>18.838249027520273</v>
      </c>
      <c r="G124" s="173"/>
      <c r="I124" s="176">
        <f t="shared" si="32"/>
        <v>1723.4090844976465</v>
      </c>
    </row>
    <row r="125" spans="2:9" ht="15.75" customHeight="1">
      <c r="B125" s="173"/>
      <c r="C125" s="195" t="str">
        <f>RSD_Procesess!D13</f>
        <v>RSD_SDTH_1980</v>
      </c>
      <c r="D125" s="164" t="str">
        <f>RSD_Comm!$D$25</f>
        <v>RSD_LTG</v>
      </c>
      <c r="E125" s="196">
        <v>1980</v>
      </c>
      <c r="F125" s="197">
        <v>18.838249027520273</v>
      </c>
      <c r="G125" s="173"/>
      <c r="I125" s="176">
        <f t="shared" si="32"/>
        <v>5120.9695981778968</v>
      </c>
    </row>
    <row r="126" spans="2:9" ht="15.75" customHeight="1">
      <c r="B126" s="173"/>
      <c r="C126" s="202" t="str">
        <f>RSD_Procesess!D14</f>
        <v>RSD_SDTH_1995</v>
      </c>
      <c r="D126" s="161" t="str">
        <f>RSD_Comm!$D$25</f>
        <v>RSD_LTG</v>
      </c>
      <c r="E126" s="204">
        <v>1995</v>
      </c>
      <c r="F126" s="203">
        <v>18.838249027520273</v>
      </c>
      <c r="G126" s="173"/>
      <c r="I126" s="176">
        <f t="shared" si="32"/>
        <v>3257.1705832176121</v>
      </c>
    </row>
    <row r="127" spans="2:9" ht="15.75" customHeight="1">
      <c r="B127" s="173"/>
      <c r="C127" s="195" t="str">
        <f>RSD_Procesess!D15</f>
        <v>RSD_SDTH_2011</v>
      </c>
      <c r="D127" s="164" t="str">
        <f>RSD_Comm!$D$25</f>
        <v>RSD_LTG</v>
      </c>
      <c r="E127" s="196">
        <v>2011</v>
      </c>
      <c r="F127" s="197">
        <v>18.838249027520273</v>
      </c>
      <c r="G127" s="173"/>
      <c r="I127" s="176">
        <f t="shared" si="32"/>
        <v>1950.3077018710842</v>
      </c>
    </row>
    <row r="128" spans="2:9" ht="15.75" customHeight="1" thickBot="1">
      <c r="B128" s="173"/>
      <c r="C128" s="205" t="str">
        <f>RSD_Procesess!D16</f>
        <v>RSD_SDTH_2020</v>
      </c>
      <c r="D128" s="187" t="str">
        <f>RSD_Comm!$D$25</f>
        <v>RSD_LTG</v>
      </c>
      <c r="E128" s="206">
        <v>2020</v>
      </c>
      <c r="F128" s="207">
        <v>18.838249027520273</v>
      </c>
      <c r="G128" s="173"/>
      <c r="I128" s="177">
        <f t="shared" si="32"/>
        <v>1154.1621015795295</v>
      </c>
    </row>
    <row r="129" spans="2:9" ht="15.75" customHeight="1">
      <c r="B129" s="173"/>
      <c r="C129" s="198" t="str">
        <f>RSD_Procesess!D17</f>
        <v>RSD_FLAT_1945</v>
      </c>
      <c r="D129" s="199" t="str">
        <f>RSD_Comm!$D$25</f>
        <v>RSD_LTG</v>
      </c>
      <c r="E129" s="323">
        <v>1945</v>
      </c>
      <c r="F129" s="201">
        <v>18.838249027520273</v>
      </c>
      <c r="G129" s="173"/>
      <c r="I129" s="175">
        <f t="shared" si="32"/>
        <v>28066.780377151019</v>
      </c>
    </row>
    <row r="130" spans="2:9" ht="15.75" customHeight="1">
      <c r="B130" s="173"/>
      <c r="C130" s="202" t="str">
        <f>RSD_Procesess!D18</f>
        <v>RSD_FLAT_1960</v>
      </c>
      <c r="D130" s="161" t="str">
        <f>RSD_Comm!$D$25</f>
        <v>RSD_LTG</v>
      </c>
      <c r="E130" s="204">
        <v>1960</v>
      </c>
      <c r="F130" s="203">
        <v>18.838249027520273</v>
      </c>
      <c r="G130" s="173"/>
      <c r="I130" s="176">
        <f t="shared" si="32"/>
        <v>16619.697158147923</v>
      </c>
    </row>
    <row r="131" spans="2:9" ht="15.75" customHeight="1">
      <c r="B131" s="173"/>
      <c r="C131" s="195" t="str">
        <f>RSD_Procesess!D19</f>
        <v>RSD_FLAT_1980</v>
      </c>
      <c r="D131" s="164" t="str">
        <f>RSD_Comm!$D$25</f>
        <v>RSD_LTG</v>
      </c>
      <c r="E131" s="196">
        <v>1980</v>
      </c>
      <c r="F131" s="197">
        <v>18.838249027520273</v>
      </c>
      <c r="G131" s="173"/>
      <c r="I131" s="176">
        <f t="shared" si="32"/>
        <v>49384.075228202353</v>
      </c>
    </row>
    <row r="132" spans="2:9" ht="15.75" customHeight="1">
      <c r="B132" s="173"/>
      <c r="C132" s="202" t="str">
        <f>RSD_Procesess!D20</f>
        <v>RSD_FLAT_1995</v>
      </c>
      <c r="D132" s="161" t="str">
        <f>RSD_Comm!$D$25</f>
        <v>RSD_LTG</v>
      </c>
      <c r="E132" s="204">
        <v>1995</v>
      </c>
      <c r="F132" s="203">
        <v>18.838249027520273</v>
      </c>
      <c r="G132" s="173"/>
      <c r="I132" s="176">
        <f t="shared" si="32"/>
        <v>31410.527641081779</v>
      </c>
    </row>
    <row r="133" spans="2:9" ht="15.75" customHeight="1">
      <c r="B133" s="173"/>
      <c r="C133" s="195" t="str">
        <f>RSD_Procesess!D21</f>
        <v>RSD_FLAT_2011</v>
      </c>
      <c r="D133" s="164" t="str">
        <f>RSD_Comm!$D$25</f>
        <v>RSD_LTG</v>
      </c>
      <c r="E133" s="196">
        <v>2011</v>
      </c>
      <c r="F133" s="197">
        <v>18.838249027520273</v>
      </c>
      <c r="G133" s="173"/>
      <c r="I133" s="176">
        <f t="shared" si="32"/>
        <v>18807.794192258789</v>
      </c>
    </row>
    <row r="134" spans="2:9" ht="15.75" customHeight="1" thickBot="1">
      <c r="B134" s="173"/>
      <c r="C134" s="205" t="str">
        <f>RSD_Procesess!D22</f>
        <v>RSD_FLAT_2020</v>
      </c>
      <c r="D134" s="187" t="str">
        <f>RSD_Comm!$D$25</f>
        <v>RSD_LTG</v>
      </c>
      <c r="E134" s="206">
        <v>2020</v>
      </c>
      <c r="F134" s="207">
        <v>18.838249027520273</v>
      </c>
      <c r="G134" s="173"/>
      <c r="I134" s="177">
        <f t="shared" si="32"/>
        <v>11130.163332784461</v>
      </c>
    </row>
    <row r="135" spans="2:9">
      <c r="B135" s="173"/>
      <c r="G135" s="173"/>
      <c r="I135" s="178">
        <f>SUM(I117:I134)</f>
        <v>282862.58228514309</v>
      </c>
    </row>
    <row r="136" spans="2:9">
      <c r="B136" s="173"/>
      <c r="G136" s="173"/>
    </row>
    <row r="137" spans="2:9">
      <c r="B137" s="173"/>
      <c r="C137"/>
      <c r="D137"/>
      <c r="E137" s="126" t="s">
        <v>516</v>
      </c>
      <c r="F137"/>
      <c r="G137" s="173"/>
    </row>
    <row r="138" spans="2:9" ht="15.75" customHeight="1">
      <c r="B138" s="173"/>
      <c r="C138" s="160" t="s">
        <v>82</v>
      </c>
      <c r="D138" s="159" t="s">
        <v>214</v>
      </c>
      <c r="E138" s="307" t="s">
        <v>315</v>
      </c>
      <c r="F138" s="190" t="s">
        <v>345</v>
      </c>
      <c r="G138" s="173"/>
    </row>
    <row r="139" spans="2:9" ht="15.75" customHeight="1" thickBot="1">
      <c r="B139" s="173"/>
      <c r="C139" s="191" t="s">
        <v>89</v>
      </c>
      <c r="D139" s="192"/>
      <c r="E139" s="193"/>
      <c r="F139" s="194" t="s">
        <v>347</v>
      </c>
      <c r="G139" s="173"/>
      <c r="I139" s="25" t="s">
        <v>348</v>
      </c>
    </row>
    <row r="140" spans="2:9">
      <c r="B140" s="173"/>
      <c r="C140" s="198" t="str">
        <f>RSD_Procesess!D5</f>
        <v>RSD_DTH_1945</v>
      </c>
      <c r="D140" s="199" t="str">
        <f>RSD_Comm!$D$26</f>
        <v>RSD_REF</v>
      </c>
      <c r="E140" s="323">
        <v>1945</v>
      </c>
      <c r="F140" s="201">
        <v>1.12375818482391</v>
      </c>
      <c r="G140" s="173"/>
      <c r="I140" s="175">
        <f t="shared" ref="I140:I157" si="33">F140*F29</f>
        <v>1199.2827125720908</v>
      </c>
    </row>
    <row r="141" spans="2:9">
      <c r="B141" s="173"/>
      <c r="C141" s="202" t="str">
        <f>RSD_Procesess!D6</f>
        <v>RSD_DTH_1960</v>
      </c>
      <c r="D141" s="161" t="str">
        <f>RSD_Comm!$D$26</f>
        <v>RSD_REF</v>
      </c>
      <c r="E141" s="204">
        <v>1960</v>
      </c>
      <c r="F141" s="203">
        <v>1.12375818482391</v>
      </c>
      <c r="G141" s="173"/>
      <c r="I141" s="176">
        <f t="shared" si="33"/>
        <v>710.15325670117079</v>
      </c>
    </row>
    <row r="142" spans="2:9">
      <c r="B142" s="173"/>
      <c r="C142" s="195" t="str">
        <f>RSD_Procesess!D7</f>
        <v>RSD_DTH_1980</v>
      </c>
      <c r="D142" s="164" t="str">
        <f>RSD_Comm!$D$26</f>
        <v>RSD_REF</v>
      </c>
      <c r="E142" s="196">
        <v>1980</v>
      </c>
      <c r="F142" s="197">
        <v>1.12375818482391</v>
      </c>
      <c r="G142" s="173"/>
      <c r="I142" s="176">
        <f t="shared" si="33"/>
        <v>2110.1625089052886</v>
      </c>
    </row>
    <row r="143" spans="2:9">
      <c r="B143" s="173"/>
      <c r="C143" s="202" t="str">
        <f>RSD_Procesess!D8</f>
        <v>RSD_DTH_1995</v>
      </c>
      <c r="D143" s="161" t="str">
        <f>RSD_Comm!$D$26</f>
        <v>RSD_REF</v>
      </c>
      <c r="E143" s="204">
        <v>1995</v>
      </c>
      <c r="F143" s="203">
        <v>1.12375818482391</v>
      </c>
      <c r="G143" s="173"/>
      <c r="I143" s="176">
        <f t="shared" si="33"/>
        <v>1342.159744955434</v>
      </c>
    </row>
    <row r="144" spans="2:9">
      <c r="B144" s="173"/>
      <c r="C144" s="195" t="str">
        <f>RSD_Procesess!D9</f>
        <v>RSD_DTH_2011</v>
      </c>
      <c r="D144" s="164" t="str">
        <f>RSD_Comm!$D$26</f>
        <v>RSD_REF</v>
      </c>
      <c r="E144" s="196">
        <v>2011</v>
      </c>
      <c r="F144" s="197">
        <v>1.12375818482391</v>
      </c>
      <c r="G144" s="173"/>
      <c r="I144" s="176">
        <f t="shared" si="33"/>
        <v>803.64979998747253</v>
      </c>
    </row>
    <row r="145" spans="2:9" ht="15.75" thickBot="1">
      <c r="B145" s="173"/>
      <c r="C145" s="205" t="str">
        <f>RSD_Procesess!D10</f>
        <v>RSD_DTH_2020</v>
      </c>
      <c r="D145" s="187" t="str">
        <f>RSD_Comm!$D$26</f>
        <v>RSD_REF</v>
      </c>
      <c r="E145" s="206">
        <v>2020</v>
      </c>
      <c r="F145" s="207">
        <v>1.12375818482391</v>
      </c>
      <c r="G145" s="173"/>
      <c r="I145" s="176">
        <f t="shared" si="33"/>
        <v>475.58759122862784</v>
      </c>
    </row>
    <row r="146" spans="2:9">
      <c r="B146" s="173"/>
      <c r="C146" s="198" t="str">
        <f>RSD_Procesess!D11</f>
        <v>RSD_SDTH_1945</v>
      </c>
      <c r="D146" s="199" t="str">
        <f>RSD_Comm!$D$26</f>
        <v>RSD_REF</v>
      </c>
      <c r="E146" s="323">
        <v>1945</v>
      </c>
      <c r="F146" s="201">
        <v>1.12375818482391</v>
      </c>
      <c r="G146" s="173"/>
      <c r="I146" s="175">
        <f t="shared" si="33"/>
        <v>173.61618246952551</v>
      </c>
    </row>
    <row r="147" spans="2:9">
      <c r="B147" s="173"/>
      <c r="C147" s="202" t="str">
        <f>RSD_Procesess!D12</f>
        <v>RSD_SDTH_1960</v>
      </c>
      <c r="D147" s="161" t="str">
        <f>RSD_Comm!$D$26</f>
        <v>RSD_REF</v>
      </c>
      <c r="E147" s="204">
        <v>1960</v>
      </c>
      <c r="F147" s="203">
        <v>1.12375818482391</v>
      </c>
      <c r="G147" s="173"/>
      <c r="I147" s="176">
        <f t="shared" si="33"/>
        <v>102.80653269180419</v>
      </c>
    </row>
    <row r="148" spans="2:9">
      <c r="B148" s="173"/>
      <c r="C148" s="195" t="str">
        <f>RSD_Procesess!D13</f>
        <v>RSD_SDTH_1980</v>
      </c>
      <c r="D148" s="164" t="str">
        <f>RSD_Comm!$D$26</f>
        <v>RSD_REF</v>
      </c>
      <c r="E148" s="196">
        <v>1980</v>
      </c>
      <c r="F148" s="197">
        <v>1.12375818482391</v>
      </c>
      <c r="G148" s="173"/>
      <c r="I148" s="176">
        <f t="shared" si="33"/>
        <v>305.48123086067574</v>
      </c>
    </row>
    <row r="149" spans="2:9">
      <c r="B149" s="173"/>
      <c r="C149" s="202" t="str">
        <f>RSD_Procesess!D14</f>
        <v>RSD_SDTH_1995</v>
      </c>
      <c r="D149" s="161" t="str">
        <f>RSD_Comm!$D$26</f>
        <v>RSD_REF</v>
      </c>
      <c r="E149" s="204">
        <v>1995</v>
      </c>
      <c r="F149" s="203">
        <v>1.12375818482391</v>
      </c>
      <c r="G149" s="173"/>
      <c r="I149" s="176">
        <f t="shared" si="33"/>
        <v>194.30001678559779</v>
      </c>
    </row>
    <row r="150" spans="2:9">
      <c r="B150" s="173"/>
      <c r="C150" s="195" t="str">
        <f>RSD_Procesess!D15</f>
        <v>RSD_SDTH_2011</v>
      </c>
      <c r="D150" s="164" t="str">
        <f>RSD_Comm!$D$26</f>
        <v>RSD_REF</v>
      </c>
      <c r="E150" s="196">
        <v>2011</v>
      </c>
      <c r="F150" s="197">
        <v>1.12375818482391</v>
      </c>
      <c r="G150" s="173"/>
      <c r="I150" s="176">
        <f t="shared" si="33"/>
        <v>116.34171730615648</v>
      </c>
    </row>
    <row r="151" spans="2:9" ht="15.75" thickBot="1">
      <c r="B151" s="173"/>
      <c r="C151" s="205" t="str">
        <f>RSD_Procesess!D16</f>
        <v>RSD_SDTH_2020</v>
      </c>
      <c r="D151" s="187" t="str">
        <f>RSD_Comm!$D$26</f>
        <v>RSD_REF</v>
      </c>
      <c r="E151" s="206">
        <v>2020</v>
      </c>
      <c r="F151" s="207">
        <v>1.12375818482391</v>
      </c>
      <c r="G151" s="173"/>
      <c r="I151" s="177">
        <f t="shared" si="33"/>
        <v>68.849238927079227</v>
      </c>
    </row>
    <row r="152" spans="2:9">
      <c r="B152" s="173"/>
      <c r="C152" s="198" t="str">
        <f>RSD_Procesess!D17</f>
        <v>RSD_FLAT_1945</v>
      </c>
      <c r="D152" s="199" t="str">
        <f>RSD_Comm!$D$26</f>
        <v>RSD_REF</v>
      </c>
      <c r="E152" s="323">
        <v>1945</v>
      </c>
      <c r="F152" s="201">
        <v>1.12375818482391</v>
      </c>
      <c r="G152" s="173"/>
      <c r="I152" s="175">
        <f t="shared" si="33"/>
        <v>1674.267822046638</v>
      </c>
    </row>
    <row r="153" spans="2:9">
      <c r="B153" s="173"/>
      <c r="C153" s="202" t="str">
        <f>RSD_Procesess!D18</f>
        <v>RSD_FLAT_1960</v>
      </c>
      <c r="D153" s="161" t="str">
        <f>RSD_Comm!$D$26</f>
        <v>RSD_REF</v>
      </c>
      <c r="E153" s="204">
        <v>1960</v>
      </c>
      <c r="F153" s="203">
        <v>1.12375818482391</v>
      </c>
      <c r="G153" s="173"/>
      <c r="I153" s="176">
        <f t="shared" si="33"/>
        <v>991.41489654794339</v>
      </c>
    </row>
    <row r="154" spans="2:9">
      <c r="B154" s="173"/>
      <c r="C154" s="195" t="str">
        <f>RSD_Procesess!D19</f>
        <v>RSD_FLAT_1980</v>
      </c>
      <c r="D154" s="164" t="str">
        <f>RSD_Comm!$D$26</f>
        <v>RSD_REF</v>
      </c>
      <c r="E154" s="196">
        <v>1980</v>
      </c>
      <c r="F154" s="197">
        <v>1.12375818482391</v>
      </c>
      <c r="G154" s="173"/>
      <c r="I154" s="176">
        <f t="shared" si="33"/>
        <v>2945.9085425922485</v>
      </c>
    </row>
    <row r="155" spans="2:9">
      <c r="B155" s="173"/>
      <c r="C155" s="202" t="str">
        <f>RSD_Procesess!D20</f>
        <v>RSD_FLAT_1995</v>
      </c>
      <c r="D155" s="161" t="str">
        <f>RSD_Comm!$D$26</f>
        <v>RSD_REF</v>
      </c>
      <c r="E155" s="204">
        <v>1995</v>
      </c>
      <c r="F155" s="203">
        <v>1.12375818482391</v>
      </c>
      <c r="G155" s="173"/>
      <c r="I155" s="176">
        <f t="shared" si="33"/>
        <v>1873.7323980980232</v>
      </c>
    </row>
    <row r="156" spans="2:9">
      <c r="B156" s="173"/>
      <c r="C156" s="195" t="str">
        <f>RSD_Procesess!D21</f>
        <v>RSD_FLAT_2011</v>
      </c>
      <c r="D156" s="164" t="str">
        <f>RSD_Comm!$D$26</f>
        <v>RSD_REF</v>
      </c>
      <c r="E156" s="196">
        <v>2011</v>
      </c>
      <c r="F156" s="197">
        <v>1.12375818482391</v>
      </c>
      <c r="G156" s="173"/>
      <c r="I156" s="176">
        <f t="shared" si="33"/>
        <v>1121.9414623491959</v>
      </c>
    </row>
    <row r="157" spans="2:9" ht="15.75" thickBot="1">
      <c r="B157" s="173"/>
      <c r="C157" s="205" t="str">
        <f>RSD_Procesess!D22</f>
        <v>RSD_FLAT_2020</v>
      </c>
      <c r="D157" s="187" t="str">
        <f>RSD_Comm!$D$26</f>
        <v>RSD_REF</v>
      </c>
      <c r="E157" s="206">
        <v>2020</v>
      </c>
      <c r="F157" s="207">
        <v>1.12375818482391</v>
      </c>
      <c r="G157" s="173"/>
      <c r="I157" s="177">
        <f t="shared" si="33"/>
        <v>663.94770158157928</v>
      </c>
    </row>
    <row r="158" spans="2:9">
      <c r="B158" s="173"/>
      <c r="G158" s="173"/>
      <c r="I158" s="178">
        <f>SUM(I140:I157)</f>
        <v>16873.603356606553</v>
      </c>
    </row>
    <row r="159" spans="2:9">
      <c r="B159" s="173"/>
      <c r="G159" s="173"/>
    </row>
    <row r="160" spans="2:9">
      <c r="B160" s="173"/>
      <c r="C160"/>
      <c r="D160"/>
      <c r="E160" s="126" t="s">
        <v>516</v>
      </c>
      <c r="F160"/>
      <c r="G160" s="173"/>
    </row>
    <row r="161" spans="2:9" ht="15.75" customHeight="1">
      <c r="B161" s="173"/>
      <c r="C161" s="160" t="s">
        <v>82</v>
      </c>
      <c r="D161" s="159" t="s">
        <v>214</v>
      </c>
      <c r="E161" s="307" t="s">
        <v>315</v>
      </c>
      <c r="F161" s="190" t="s">
        <v>345</v>
      </c>
      <c r="G161" s="173"/>
    </row>
    <row r="162" spans="2:9" ht="15.75" customHeight="1" thickBot="1">
      <c r="B162" s="173"/>
      <c r="C162" s="191" t="s">
        <v>89</v>
      </c>
      <c r="D162" s="192"/>
      <c r="E162" s="193"/>
      <c r="F162" s="194" t="s">
        <v>347</v>
      </c>
      <c r="G162" s="173"/>
      <c r="I162" s="25" t="s">
        <v>348</v>
      </c>
    </row>
    <row r="163" spans="2:9">
      <c r="B163" s="173"/>
      <c r="C163" s="198" t="str">
        <f>RSD_Procesess!D5</f>
        <v>RSD_DTH_1945</v>
      </c>
      <c r="D163" s="199" t="str">
        <f>RSD_Comm!$D$27</f>
        <v>RSD_WM</v>
      </c>
      <c r="E163" s="323">
        <v>1945</v>
      </c>
      <c r="F163" s="201">
        <v>0.97718656418585903</v>
      </c>
      <c r="G163" s="173"/>
      <c r="I163" s="175">
        <f t="shared" ref="I163:I180" si="34">F163*F29</f>
        <v>1042.8604384932296</v>
      </c>
    </row>
    <row r="164" spans="2:9">
      <c r="B164" s="173"/>
      <c r="C164" s="202" t="str">
        <f>RSD_Procesess!D6</f>
        <v>RSD_DTH_1960</v>
      </c>
      <c r="D164" s="161" t="str">
        <f>RSD_Comm!$D$27</f>
        <v>RSD_WM</v>
      </c>
      <c r="E164" s="204">
        <v>1960</v>
      </c>
      <c r="F164" s="203">
        <v>0.97718656418585903</v>
      </c>
      <c r="G164" s="173"/>
      <c r="I164" s="176">
        <f t="shared" si="34"/>
        <v>617.52806816704617</v>
      </c>
    </row>
    <row r="165" spans="2:9">
      <c r="B165" s="173"/>
      <c r="C165" s="195" t="str">
        <f>RSD_Procesess!D7</f>
        <v>RSD_DTH_1980</v>
      </c>
      <c r="D165" s="164" t="str">
        <f>RSD_Comm!$D$27</f>
        <v>RSD_WM</v>
      </c>
      <c r="E165" s="196">
        <v>1980</v>
      </c>
      <c r="F165" s="197">
        <v>0.97718656418585903</v>
      </c>
      <c r="G165" s="173"/>
      <c r="I165" s="176">
        <f t="shared" si="34"/>
        <v>1834.9343122017704</v>
      </c>
    </row>
    <row r="166" spans="2:9">
      <c r="B166" s="173"/>
      <c r="C166" s="202" t="str">
        <f>RSD_Procesess!D8</f>
        <v>RSD_DTH_1995</v>
      </c>
      <c r="D166" s="161" t="str">
        <f>RSD_Comm!$D$27</f>
        <v>RSD_WM</v>
      </c>
      <c r="E166" s="204">
        <v>1995</v>
      </c>
      <c r="F166" s="203">
        <v>0.97718656418585903</v>
      </c>
      <c r="G166" s="173"/>
      <c r="I166" s="176">
        <f t="shared" si="34"/>
        <v>1167.1020398103569</v>
      </c>
    </row>
    <row r="167" spans="2:9">
      <c r="B167" s="173"/>
      <c r="C167" s="195" t="str">
        <f>RSD_Procesess!D9</f>
        <v>RSD_DTH_2011</v>
      </c>
      <c r="D167" s="164" t="str">
        <f>RSD_Comm!$D$27</f>
        <v>RSD_WM</v>
      </c>
      <c r="E167" s="196">
        <v>2011</v>
      </c>
      <c r="F167" s="197">
        <v>0.97718656418585903</v>
      </c>
      <c r="G167" s="173"/>
      <c r="I167" s="176">
        <f t="shared" si="34"/>
        <v>698.82987057528578</v>
      </c>
    </row>
    <row r="168" spans="2:9" ht="15.75" thickBot="1">
      <c r="B168" s="173"/>
      <c r="C168" s="205" t="str">
        <f>RSD_Procesess!D10</f>
        <v>RSD_DTH_2020</v>
      </c>
      <c r="D168" s="187" t="str">
        <f>RSD_Comm!$D$27</f>
        <v>RSD_WM</v>
      </c>
      <c r="E168" s="206">
        <v>2020</v>
      </c>
      <c r="F168" s="207">
        <v>0.97718656418585903</v>
      </c>
      <c r="G168" s="173"/>
      <c r="I168" s="176">
        <f t="shared" si="34"/>
        <v>413.55676916823063</v>
      </c>
    </row>
    <row r="169" spans="2:9">
      <c r="B169" s="173"/>
      <c r="C169" s="198" t="str">
        <f>RSD_Procesess!D11</f>
        <v>RSD_SDTH_1945</v>
      </c>
      <c r="D169" s="199" t="str">
        <f>RSD_Comm!$D$27</f>
        <v>RSD_WM</v>
      </c>
      <c r="E169" s="323">
        <v>1945</v>
      </c>
      <c r="F169" s="201">
        <v>0.97718656418585903</v>
      </c>
      <c r="G169" s="173"/>
      <c r="I169" s="175">
        <f t="shared" si="34"/>
        <v>150.97144841801119</v>
      </c>
    </row>
    <row r="170" spans="2:9">
      <c r="B170" s="173"/>
      <c r="C170" s="202" t="str">
        <f>RSD_Procesess!D12</f>
        <v>RSD_SDTH_1960</v>
      </c>
      <c r="D170" s="161" t="str">
        <f>RSD_Comm!$D$27</f>
        <v>RSD_WM</v>
      </c>
      <c r="E170" s="204">
        <v>1960</v>
      </c>
      <c r="F170" s="203">
        <v>0.97718656418585903</v>
      </c>
      <c r="G170" s="173"/>
      <c r="I170" s="176">
        <f t="shared" si="34"/>
        <v>89.397491216232922</v>
      </c>
    </row>
    <row r="171" spans="2:9">
      <c r="B171" s="173"/>
      <c r="C171" s="195" t="str">
        <f>RSD_Procesess!D13</f>
        <v>RSD_SDTH_1980</v>
      </c>
      <c r="D171" s="164" t="str">
        <f>RSD_Comm!$D$27</f>
        <v>RSD_WM</v>
      </c>
      <c r="E171" s="196">
        <v>1980</v>
      </c>
      <c r="F171" s="197">
        <v>0.97718656418585903</v>
      </c>
      <c r="G171" s="173"/>
      <c r="I171" s="176">
        <f t="shared" si="34"/>
        <v>265.63735725296368</v>
      </c>
    </row>
    <row r="172" spans="2:9">
      <c r="B172" s="173"/>
      <c r="C172" s="202" t="str">
        <f>RSD_Procesess!D14</f>
        <v>RSD_SDTH_1995</v>
      </c>
      <c r="D172" s="161" t="str">
        <f>RSD_Comm!$D$27</f>
        <v>RSD_WM</v>
      </c>
      <c r="E172" s="204">
        <v>1995</v>
      </c>
      <c r="F172" s="203">
        <v>0.97718656418585903</v>
      </c>
      <c r="G172" s="173"/>
      <c r="I172" s="176">
        <f t="shared" si="34"/>
        <v>168.95749315830324</v>
      </c>
    </row>
    <row r="173" spans="2:9">
      <c r="B173" s="173"/>
      <c r="C173" s="195" t="str">
        <f>RSD_Procesess!D15</f>
        <v>RSD_SDTH_2011</v>
      </c>
      <c r="D173" s="164" t="str">
        <f>RSD_Comm!$D$27</f>
        <v>RSD_WM</v>
      </c>
      <c r="E173" s="196">
        <v>2011</v>
      </c>
      <c r="F173" s="197">
        <v>0.97718656418585903</v>
      </c>
      <c r="G173" s="173"/>
      <c r="I173" s="176">
        <f t="shared" si="34"/>
        <v>101.16728362134252</v>
      </c>
    </row>
    <row r="174" spans="2:9" ht="15.75" thickBot="1">
      <c r="B174" s="173"/>
      <c r="C174" s="205" t="str">
        <f>RSD_Procesess!D16</f>
        <v>RSD_SDTH_2020</v>
      </c>
      <c r="D174" s="187" t="str">
        <f>RSD_Comm!$D$27</f>
        <v>RSD_WM</v>
      </c>
      <c r="E174" s="206">
        <v>2020</v>
      </c>
      <c r="F174" s="207">
        <v>0.97718656418585903</v>
      </c>
      <c r="G174" s="173"/>
      <c r="I174" s="177">
        <f t="shared" si="34"/>
        <v>59.869242460295162</v>
      </c>
    </row>
    <row r="175" spans="2:9">
      <c r="B175" s="173"/>
      <c r="C175" s="198" t="str">
        <f>RSD_Procesess!D17</f>
        <v>RSD_FLAT_1945</v>
      </c>
      <c r="D175" s="199" t="str">
        <f>RSD_Comm!$D$27</f>
        <v>RSD_WM</v>
      </c>
      <c r="E175" s="323">
        <v>1945</v>
      </c>
      <c r="F175" s="201">
        <v>0.97718656418585903</v>
      </c>
      <c r="G175" s="173"/>
      <c r="I175" s="175">
        <f t="shared" si="34"/>
        <v>1455.8933075171005</v>
      </c>
    </row>
    <row r="176" spans="2:9">
      <c r="B176" s="173"/>
      <c r="C176" s="202" t="str">
        <f>RSD_Procesess!D18</f>
        <v>RSD_FLAT_1960</v>
      </c>
      <c r="D176" s="161" t="str">
        <f>RSD_Comm!$D$27</f>
        <v>RSD_WM</v>
      </c>
      <c r="E176" s="204">
        <v>1960</v>
      </c>
      <c r="F176" s="203">
        <v>0.97718656418585903</v>
      </c>
      <c r="G176" s="173"/>
      <c r="I176" s="176">
        <f t="shared" si="34"/>
        <v>862.10479222642698</v>
      </c>
    </row>
    <row r="177" spans="2:9">
      <c r="B177" s="173"/>
      <c r="C177" s="195" t="str">
        <f>RSD_Procesess!D19</f>
        <v>RSD_FLAT_1980</v>
      </c>
      <c r="D177" s="164" t="str">
        <f>RSD_Comm!$D$27</f>
        <v>RSD_WM</v>
      </c>
      <c r="E177" s="196">
        <v>1980</v>
      </c>
      <c r="F177" s="197">
        <v>0.97718656418585903</v>
      </c>
      <c r="G177" s="173"/>
      <c r="I177" s="176">
        <f t="shared" si="34"/>
        <v>2561.6741092680682</v>
      </c>
    </row>
    <row r="178" spans="2:9">
      <c r="B178" s="173"/>
      <c r="C178" s="202" t="str">
        <f>RSD_Procesess!D20</f>
        <v>RSD_FLAT_1995</v>
      </c>
      <c r="D178" s="161" t="str">
        <f>RSD_Comm!$D$27</f>
        <v>RSD_WM</v>
      </c>
      <c r="E178" s="204">
        <v>1995</v>
      </c>
      <c r="F178" s="203">
        <v>0.97718656418585903</v>
      </c>
      <c r="G178" s="173"/>
      <c r="I178" s="176">
        <f t="shared" si="34"/>
        <v>1629.3417472087629</v>
      </c>
    </row>
    <row r="179" spans="2:9">
      <c r="B179" s="173"/>
      <c r="C179" s="195" t="str">
        <f>RSD_Procesess!D21</f>
        <v>RSD_FLAT_2011</v>
      </c>
      <c r="D179" s="164" t="str">
        <f>RSD_Comm!$D$27</f>
        <v>RSD_WM</v>
      </c>
      <c r="E179" s="196">
        <v>2011</v>
      </c>
      <c r="F179" s="197">
        <v>0.97718656418585903</v>
      </c>
      <c r="G179" s="173"/>
      <c r="I179" s="176">
        <f t="shared" si="34"/>
        <v>975.60679656581419</v>
      </c>
    </row>
    <row r="180" spans="2:9" ht="15.75" thickBot="1">
      <c r="B180" s="173"/>
      <c r="C180" s="205" t="str">
        <f>RSD_Procesess!D22</f>
        <v>RSD_FLAT_2020</v>
      </c>
      <c r="D180" s="187" t="str">
        <f>RSD_Comm!$D$27</f>
        <v>RSD_WM</v>
      </c>
      <c r="E180" s="206">
        <v>2020</v>
      </c>
      <c r="F180" s="207">
        <v>0.97718656418585903</v>
      </c>
      <c r="G180" s="173"/>
      <c r="I180" s="177">
        <f t="shared" si="34"/>
        <v>577.34909704730376</v>
      </c>
    </row>
    <row r="181" spans="2:9">
      <c r="B181" s="173"/>
      <c r="G181" s="173"/>
      <c r="I181" s="178">
        <f>SUM(I163:I180)</f>
        <v>14672.781664376544</v>
      </c>
    </row>
    <row r="182" spans="2:9">
      <c r="B182" s="173"/>
      <c r="G182" s="173"/>
    </row>
    <row r="183" spans="2:9">
      <c r="B183" s="173"/>
      <c r="C183"/>
      <c r="D183"/>
      <c r="E183" s="126" t="s">
        <v>516</v>
      </c>
      <c r="F183"/>
      <c r="G183" s="173"/>
    </row>
    <row r="184" spans="2:9" ht="15.75" customHeight="1">
      <c r="B184" s="173"/>
      <c r="C184" s="160" t="s">
        <v>82</v>
      </c>
      <c r="D184" s="159" t="s">
        <v>214</v>
      </c>
      <c r="E184" s="307" t="s">
        <v>315</v>
      </c>
      <c r="F184" s="190" t="s">
        <v>345</v>
      </c>
      <c r="G184" s="173"/>
    </row>
    <row r="185" spans="2:9" ht="15.75" customHeight="1" thickBot="1">
      <c r="B185" s="173"/>
      <c r="C185" s="191" t="s">
        <v>89</v>
      </c>
      <c r="D185" s="192"/>
      <c r="E185" s="193"/>
      <c r="F185" s="194" t="s">
        <v>347</v>
      </c>
      <c r="G185" s="173"/>
      <c r="I185" s="25" t="s">
        <v>348</v>
      </c>
    </row>
    <row r="186" spans="2:9">
      <c r="B186" s="173"/>
      <c r="C186" s="198" t="str">
        <f>RSD_Procesess!D5</f>
        <v>RSD_DTH_1945</v>
      </c>
      <c r="D186" s="199" t="str">
        <f>RSD_Comm!$D$28</f>
        <v>RSD_DRY</v>
      </c>
      <c r="E186" s="323">
        <v>1945</v>
      </c>
      <c r="F186" s="201">
        <v>1.2076379623258198E-2</v>
      </c>
      <c r="G186" s="173"/>
      <c r="I186" s="175">
        <f t="shared" ref="I186:I203" si="35">F186*F29</f>
        <v>12.887998065972587</v>
      </c>
    </row>
    <row r="187" spans="2:9">
      <c r="B187" s="173"/>
      <c r="C187" s="202" t="str">
        <f>RSD_Procesess!D6</f>
        <v>RSD_DTH_1960</v>
      </c>
      <c r="D187" s="161" t="str">
        <f>RSD_Comm!$D$28</f>
        <v>RSD_DRY</v>
      </c>
      <c r="E187" s="204">
        <v>1960</v>
      </c>
      <c r="F187" s="203">
        <v>1.2076379623258198E-2</v>
      </c>
      <c r="G187" s="173"/>
      <c r="I187" s="176">
        <f t="shared" si="35"/>
        <v>7.6316065452820867</v>
      </c>
    </row>
    <row r="188" spans="2:9">
      <c r="B188" s="173"/>
      <c r="C188" s="195" t="str">
        <f>RSD_Procesess!D7</f>
        <v>RSD_DTH_1980</v>
      </c>
      <c r="D188" s="164" t="str">
        <f>RSD_Comm!$D$28</f>
        <v>RSD_DRY</v>
      </c>
      <c r="E188" s="196">
        <v>1980</v>
      </c>
      <c r="F188" s="197">
        <v>1.2076379623258198E-2</v>
      </c>
      <c r="G188" s="173"/>
      <c r="I188" s="176">
        <f t="shared" si="35"/>
        <v>22.676696702592082</v>
      </c>
    </row>
    <row r="189" spans="2:9">
      <c r="B189" s="173"/>
      <c r="C189" s="202" t="str">
        <f>RSD_Procesess!D8</f>
        <v>RSD_DTH_1995</v>
      </c>
      <c r="D189" s="161" t="str">
        <f>RSD_Comm!$D$28</f>
        <v>RSD_DRY</v>
      </c>
      <c r="E189" s="204">
        <v>1995</v>
      </c>
      <c r="F189" s="203">
        <v>1.2076379623258198E-2</v>
      </c>
      <c r="G189" s="173"/>
      <c r="I189" s="176">
        <f t="shared" si="35"/>
        <v>14.423414942848265</v>
      </c>
    </row>
    <row r="190" spans="2:9">
      <c r="B190" s="173"/>
      <c r="C190" s="195" t="str">
        <f>RSD_Procesess!D9</f>
        <v>RSD_DTH_2011</v>
      </c>
      <c r="D190" s="164" t="str">
        <f>RSD_Comm!$D$28</f>
        <v>RSD_DRY</v>
      </c>
      <c r="E190" s="196">
        <v>2011</v>
      </c>
      <c r="F190" s="197">
        <v>1.2076379623258198E-2</v>
      </c>
      <c r="G190" s="173"/>
      <c r="I190" s="176">
        <f t="shared" si="35"/>
        <v>8.6363598502510737</v>
      </c>
    </row>
    <row r="191" spans="2:9" ht="15.75" thickBot="1">
      <c r="B191" s="173"/>
      <c r="C191" s="205" t="str">
        <f>RSD_Procesess!D10</f>
        <v>RSD_DTH_2020</v>
      </c>
      <c r="D191" s="187" t="str">
        <f>RSD_Comm!$D$28</f>
        <v>RSD_DRY</v>
      </c>
      <c r="E191" s="206">
        <v>2020</v>
      </c>
      <c r="F191" s="207">
        <v>1.2076379623258198E-2</v>
      </c>
      <c r="G191" s="173"/>
      <c r="I191" s="176">
        <f t="shared" si="35"/>
        <v>5.1108649292621822</v>
      </c>
    </row>
    <row r="192" spans="2:9">
      <c r="B192" s="173"/>
      <c r="C192" s="198" t="str">
        <f>RSD_Procesess!D11</f>
        <v>RSD_SDTH_1945</v>
      </c>
      <c r="D192" s="199" t="str">
        <f>RSD_Comm!$D$28</f>
        <v>RSD_DRY</v>
      </c>
      <c r="E192" s="323">
        <v>1945</v>
      </c>
      <c r="F192" s="201">
        <v>1.2076379623258198E-2</v>
      </c>
      <c r="G192" s="173"/>
      <c r="I192" s="175">
        <f t="shared" si="35"/>
        <v>1.8657527540690577</v>
      </c>
    </row>
    <row r="193" spans="2:9">
      <c r="B193" s="173"/>
      <c r="C193" s="202" t="str">
        <f>RSD_Procesess!D12</f>
        <v>RSD_SDTH_1960</v>
      </c>
      <c r="D193" s="161" t="str">
        <f>RSD_Comm!$D$28</f>
        <v>RSD_DRY</v>
      </c>
      <c r="E193" s="204">
        <v>1960</v>
      </c>
      <c r="F193" s="203">
        <v>1.2076379623258198E-2</v>
      </c>
      <c r="G193" s="173"/>
      <c r="I193" s="176">
        <f t="shared" si="35"/>
        <v>1.1048023794653623</v>
      </c>
    </row>
    <row r="194" spans="2:9">
      <c r="B194" s="173"/>
      <c r="C194" s="195" t="str">
        <f>RSD_Procesess!D13</f>
        <v>RSD_SDTH_1980</v>
      </c>
      <c r="D194" s="164" t="str">
        <f>RSD_Comm!$D$28</f>
        <v>RSD_DRY</v>
      </c>
      <c r="E194" s="196">
        <v>1980</v>
      </c>
      <c r="F194" s="197">
        <v>1.2076379623258198E-2</v>
      </c>
      <c r="G194" s="173"/>
      <c r="I194" s="176">
        <f t="shared" si="35"/>
        <v>3.2828302044641142</v>
      </c>
    </row>
    <row r="195" spans="2:9">
      <c r="B195" s="173"/>
      <c r="C195" s="202" t="str">
        <f>RSD_Procesess!D14</f>
        <v>RSD_SDTH_1995</v>
      </c>
      <c r="D195" s="161" t="str">
        <f>RSD_Comm!$D$28</f>
        <v>RSD_DRY</v>
      </c>
      <c r="E195" s="204">
        <v>1995</v>
      </c>
      <c r="F195" s="203">
        <v>1.2076379623258198E-2</v>
      </c>
      <c r="G195" s="173"/>
      <c r="I195" s="176">
        <f t="shared" si="35"/>
        <v>2.0880299651619447</v>
      </c>
    </row>
    <row r="196" spans="2:9">
      <c r="B196" s="173"/>
      <c r="C196" s="195" t="str">
        <f>RSD_Procesess!D15</f>
        <v>RSD_SDTH_2011</v>
      </c>
      <c r="D196" s="164" t="str">
        <f>RSD_Comm!$D$28</f>
        <v>RSD_DRY</v>
      </c>
      <c r="E196" s="196">
        <v>2011</v>
      </c>
      <c r="F196" s="197">
        <v>1.2076379623258198E-2</v>
      </c>
      <c r="G196" s="173"/>
      <c r="I196" s="176">
        <f t="shared" si="35"/>
        <v>1.2502571844948045</v>
      </c>
    </row>
    <row r="197" spans="2:9" ht="15.75" thickBot="1">
      <c r="B197" s="173"/>
      <c r="C197" s="205" t="str">
        <f>RSD_Procesess!D16</f>
        <v>RSD_SDTH_2020</v>
      </c>
      <c r="D197" s="187" t="str">
        <f>RSD_Comm!$D$28</f>
        <v>RSD_DRY</v>
      </c>
      <c r="E197" s="206">
        <v>2020</v>
      </c>
      <c r="F197" s="207">
        <v>1.2076379623258198E-2</v>
      </c>
      <c r="G197" s="173"/>
      <c r="I197" s="177">
        <f t="shared" si="35"/>
        <v>0.7398829724084286</v>
      </c>
    </row>
    <row r="198" spans="2:9">
      <c r="B198" s="173"/>
      <c r="C198" s="198" t="str">
        <f>RSD_Procesess!D17</f>
        <v>RSD_FLAT_1945</v>
      </c>
      <c r="D198" s="199" t="str">
        <f>RSD_Comm!$D$28</f>
        <v>RSD_DRY</v>
      </c>
      <c r="E198" s="323">
        <v>1945</v>
      </c>
      <c r="F198" s="201">
        <v>1.2076379623258198E-2</v>
      </c>
      <c r="G198" s="173"/>
      <c r="I198" s="175">
        <f t="shared" si="35"/>
        <v>17.992388472088578</v>
      </c>
    </row>
    <row r="199" spans="2:9">
      <c r="B199" s="173"/>
      <c r="C199" s="202" t="str">
        <f>RSD_Procesess!D18</f>
        <v>RSD_FLAT_1960</v>
      </c>
      <c r="D199" s="161" t="str">
        <f>RSD_Comm!$D$28</f>
        <v>RSD_DRY</v>
      </c>
      <c r="E199" s="204">
        <v>1960</v>
      </c>
      <c r="F199" s="203">
        <v>1.2076379623258198E-2</v>
      </c>
      <c r="G199" s="173"/>
      <c r="I199" s="176">
        <f t="shared" si="35"/>
        <v>10.654162805267852</v>
      </c>
    </row>
    <row r="200" spans="2:9">
      <c r="B200" s="173"/>
      <c r="C200" s="195" t="str">
        <f>RSD_Procesess!D19</f>
        <v>RSD_FLAT_1980</v>
      </c>
      <c r="D200" s="164" t="str">
        <f>RSD_Comm!$D$28</f>
        <v>RSD_DRY</v>
      </c>
      <c r="E200" s="196">
        <v>1980</v>
      </c>
      <c r="F200" s="197">
        <v>1.2076379623258198E-2</v>
      </c>
      <c r="G200" s="173"/>
      <c r="I200" s="176">
        <f t="shared" si="35"/>
        <v>31.657976223165786</v>
      </c>
    </row>
    <row r="201" spans="2:9">
      <c r="B201" s="173"/>
      <c r="C201" s="202" t="str">
        <f>RSD_Procesess!D20</f>
        <v>RSD_FLAT_1995</v>
      </c>
      <c r="D201" s="161" t="str">
        <f>RSD_Comm!$D$28</f>
        <v>RSD_DRY</v>
      </c>
      <c r="E201" s="204">
        <v>1995</v>
      </c>
      <c r="F201" s="203">
        <v>1.2076379623258198E-2</v>
      </c>
      <c r="G201" s="173"/>
      <c r="I201" s="176">
        <f t="shared" si="35"/>
        <v>20.135918970303578</v>
      </c>
    </row>
    <row r="202" spans="2:9">
      <c r="B202" s="173"/>
      <c r="C202" s="195" t="str">
        <f>RSD_Procesess!D21</f>
        <v>RSD_FLAT_2011</v>
      </c>
      <c r="D202" s="164" t="str">
        <f>RSD_Comm!$D$28</f>
        <v>RSD_DRY</v>
      </c>
      <c r="E202" s="196">
        <v>2011</v>
      </c>
      <c r="F202" s="197">
        <v>1.2076379623258198E-2</v>
      </c>
      <c r="G202" s="173"/>
      <c r="I202" s="176">
        <f t="shared" si="35"/>
        <v>12.056856356979884</v>
      </c>
    </row>
    <row r="203" spans="2:9" ht="15.75" thickBot="1">
      <c r="B203" s="173"/>
      <c r="C203" s="205" t="str">
        <f>RSD_Procesess!D22</f>
        <v>RSD_FLAT_2020</v>
      </c>
      <c r="D203" s="187" t="str">
        <f>RSD_Comm!$D$28</f>
        <v>RSD_DRY</v>
      </c>
      <c r="E203" s="206">
        <v>2020</v>
      </c>
      <c r="F203" s="207">
        <v>1.2076379623258198E-2</v>
      </c>
      <c r="G203" s="173"/>
      <c r="I203" s="177">
        <f t="shared" si="35"/>
        <v>7.1350621535586969</v>
      </c>
    </row>
    <row r="204" spans="2:9">
      <c r="B204" s="173"/>
      <c r="G204" s="173"/>
      <c r="I204" s="178">
        <f>SUM(I186:I203)</f>
        <v>181.33086147763638</v>
      </c>
    </row>
    <row r="205" spans="2:9">
      <c r="B205" s="173"/>
      <c r="G205" s="173"/>
    </row>
    <row r="206" spans="2:9">
      <c r="B206" s="173"/>
      <c r="C206"/>
      <c r="D206"/>
      <c r="E206" s="126" t="s">
        <v>516</v>
      </c>
      <c r="F206"/>
      <c r="G206" s="173"/>
    </row>
    <row r="207" spans="2:9" ht="15.75" customHeight="1">
      <c r="B207" s="173"/>
      <c r="C207" s="160" t="s">
        <v>82</v>
      </c>
      <c r="D207" s="159" t="s">
        <v>214</v>
      </c>
      <c r="E207" s="307" t="s">
        <v>315</v>
      </c>
      <c r="F207" s="190" t="s">
        <v>345</v>
      </c>
      <c r="G207" s="173"/>
    </row>
    <row r="208" spans="2:9" ht="15.75" customHeight="1" thickBot="1">
      <c r="B208" s="173"/>
      <c r="C208" s="191" t="s">
        <v>89</v>
      </c>
      <c r="D208" s="192"/>
      <c r="E208" s="193"/>
      <c r="F208" s="194" t="s">
        <v>347</v>
      </c>
      <c r="G208" s="173"/>
      <c r="I208" s="25" t="s">
        <v>348</v>
      </c>
    </row>
    <row r="209" spans="2:9">
      <c r="B209" s="173"/>
      <c r="C209" s="198" t="str">
        <f>RSD_Procesess!D5</f>
        <v>RSD_DTH_1945</v>
      </c>
      <c r="D209" s="199" t="str">
        <f>RSD_Comm!$D$29</f>
        <v>RSD_DSHWR</v>
      </c>
      <c r="E209" s="323">
        <v>1945</v>
      </c>
      <c r="F209" s="201">
        <v>0.33621552569157165</v>
      </c>
      <c r="G209" s="173"/>
      <c r="I209" s="175">
        <f t="shared" ref="I209:I226" si="36">F209*F29</f>
        <v>358.81159586252329</v>
      </c>
    </row>
    <row r="210" spans="2:9">
      <c r="B210" s="173"/>
      <c r="C210" s="202" t="str">
        <f>RSD_Procesess!D6</f>
        <v>RSD_DTH_1960</v>
      </c>
      <c r="D210" s="161" t="str">
        <f>RSD_Comm!$D$29</f>
        <v>RSD_DSHWR</v>
      </c>
      <c r="E210" s="204">
        <v>1960</v>
      </c>
      <c r="F210" s="203">
        <v>0.33621552569157165</v>
      </c>
      <c r="G210" s="173"/>
      <c r="I210" s="176">
        <f t="shared" si="36"/>
        <v>212.46968764973184</v>
      </c>
    </row>
    <row r="211" spans="2:9">
      <c r="B211" s="173"/>
      <c r="C211" s="195" t="str">
        <f>RSD_Procesess!D7</f>
        <v>RSD_DTH_1980</v>
      </c>
      <c r="D211" s="164" t="str">
        <f>RSD_Comm!$D$29</f>
        <v>RSD_DSHWR</v>
      </c>
      <c r="E211" s="196">
        <v>1980</v>
      </c>
      <c r="F211" s="197">
        <v>0.33621552569157165</v>
      </c>
      <c r="G211" s="173"/>
      <c r="I211" s="176">
        <f t="shared" si="36"/>
        <v>631.33635581698513</v>
      </c>
    </row>
    <row r="212" spans="2:9">
      <c r="B212" s="173"/>
      <c r="C212" s="202" t="str">
        <f>RSD_Procesess!D8</f>
        <v>RSD_DTH_1995</v>
      </c>
      <c r="D212" s="161" t="str">
        <f>RSD_Comm!$D$29</f>
        <v>RSD_DSHWR</v>
      </c>
      <c r="E212" s="204">
        <v>1995</v>
      </c>
      <c r="F212" s="203">
        <v>0.33621552569157165</v>
      </c>
      <c r="G212" s="173"/>
      <c r="I212" s="176">
        <f t="shared" si="36"/>
        <v>401.55876086719445</v>
      </c>
    </row>
    <row r="213" spans="2:9">
      <c r="B213" s="173"/>
      <c r="C213" s="195" t="str">
        <f>RSD_Procesess!D9</f>
        <v>RSD_DTH_2011</v>
      </c>
      <c r="D213" s="164" t="str">
        <f>RSD_Comm!$D$29</f>
        <v>RSD_DSHWR</v>
      </c>
      <c r="E213" s="196">
        <v>2011</v>
      </c>
      <c r="F213" s="197">
        <v>0.33621552569157165</v>
      </c>
      <c r="G213" s="173"/>
      <c r="I213" s="176">
        <f t="shared" si="36"/>
        <v>240.44277819169261</v>
      </c>
    </row>
    <row r="214" spans="2:9" ht="15.75" thickBot="1">
      <c r="B214" s="173"/>
      <c r="C214" s="205" t="str">
        <f>RSD_Procesess!D10</f>
        <v>RSD_DTH_2020</v>
      </c>
      <c r="D214" s="187" t="str">
        <f>RSD_Comm!$D$29</f>
        <v>RSD_DSHWR</v>
      </c>
      <c r="E214" s="206">
        <v>2020</v>
      </c>
      <c r="F214" s="207">
        <v>0.33621552569157165</v>
      </c>
      <c r="G214" s="173"/>
      <c r="I214" s="176">
        <f t="shared" si="36"/>
        <v>142.29033804312385</v>
      </c>
    </row>
    <row r="215" spans="2:9">
      <c r="B215" s="173"/>
      <c r="C215" s="198" t="str">
        <f>RSD_Procesess!D11</f>
        <v>RSD_SDTH_1945</v>
      </c>
      <c r="D215" s="199" t="str">
        <f>RSD_Comm!$D$29</f>
        <v>RSD_DSHWR</v>
      </c>
      <c r="E215" s="323">
        <v>1945</v>
      </c>
      <c r="F215" s="201">
        <v>0.33621552569157165</v>
      </c>
      <c r="G215" s="173"/>
      <c r="I215" s="175">
        <f t="shared" si="36"/>
        <v>51.943965210542302</v>
      </c>
    </row>
    <row r="216" spans="2:9">
      <c r="B216" s="173"/>
      <c r="C216" s="202" t="str">
        <f>RSD_Procesess!D12</f>
        <v>RSD_SDTH_1960</v>
      </c>
      <c r="D216" s="161" t="str">
        <f>RSD_Comm!$D$29</f>
        <v>RSD_DSHWR</v>
      </c>
      <c r="E216" s="204">
        <v>1960</v>
      </c>
      <c r="F216" s="203">
        <v>0.33621552569157165</v>
      </c>
      <c r="G216" s="173"/>
      <c r="I216" s="176">
        <f t="shared" si="36"/>
        <v>30.758532307303252</v>
      </c>
    </row>
    <row r="217" spans="2:9">
      <c r="B217" s="173"/>
      <c r="C217" s="195" t="str">
        <f>RSD_Procesess!D13</f>
        <v>RSD_SDTH_1980</v>
      </c>
      <c r="D217" s="164" t="str">
        <f>RSD_Comm!$D$29</f>
        <v>RSD_DSHWR</v>
      </c>
      <c r="E217" s="196">
        <v>1980</v>
      </c>
      <c r="F217" s="197">
        <v>0.33621552569157165</v>
      </c>
      <c r="G217" s="173"/>
      <c r="I217" s="176">
        <f t="shared" si="36"/>
        <v>91.3964712424537</v>
      </c>
    </row>
    <row r="218" spans="2:9">
      <c r="B218" s="173"/>
      <c r="C218" s="202" t="str">
        <f>RSD_Procesess!D14</f>
        <v>RSD_SDTH_1995</v>
      </c>
      <c r="D218" s="161" t="str">
        <f>RSD_Comm!$D$29</f>
        <v>RSD_DSHWR</v>
      </c>
      <c r="E218" s="204">
        <v>1995</v>
      </c>
      <c r="F218" s="203">
        <v>0.33621552569157165</v>
      </c>
      <c r="G218" s="173"/>
      <c r="I218" s="176">
        <f t="shared" si="36"/>
        <v>58.132330574026007</v>
      </c>
    </row>
    <row r="219" spans="2:9">
      <c r="B219" s="173"/>
      <c r="C219" s="195" t="str">
        <f>RSD_Procesess!D15</f>
        <v>RSD_SDTH_2011</v>
      </c>
      <c r="D219" s="164" t="str">
        <f>RSD_Comm!$D$29</f>
        <v>RSD_DSHWR</v>
      </c>
      <c r="E219" s="196">
        <v>2011</v>
      </c>
      <c r="F219" s="197">
        <v>0.33621552569157165</v>
      </c>
      <c r="G219" s="173"/>
      <c r="I219" s="176">
        <f t="shared" si="36"/>
        <v>34.8081038894315</v>
      </c>
    </row>
    <row r="220" spans="2:9" ht="15.75" thickBot="1">
      <c r="B220" s="173"/>
      <c r="C220" s="205" t="str">
        <f>RSD_Procesess!D16</f>
        <v>RSD_SDTH_2020</v>
      </c>
      <c r="D220" s="187" t="str">
        <f>RSD_Comm!$D$29</f>
        <v>RSD_DSHWR</v>
      </c>
      <c r="E220" s="206">
        <v>2020</v>
      </c>
      <c r="F220" s="207">
        <v>0.33621552569157165</v>
      </c>
      <c r="G220" s="173"/>
      <c r="I220" s="177">
        <f t="shared" si="36"/>
        <v>20.598900521431862</v>
      </c>
    </row>
    <row r="221" spans="2:9">
      <c r="B221" s="173"/>
      <c r="C221" s="198" t="str">
        <f>RSD_Procesess!D17</f>
        <v>RSD_FLAT_1945</v>
      </c>
      <c r="D221" s="199" t="str">
        <f>RSD_Comm!$D$29</f>
        <v>RSD_DSHWR</v>
      </c>
      <c r="E221" s="323">
        <v>1945</v>
      </c>
      <c r="F221" s="201">
        <v>0.33621552569157165</v>
      </c>
      <c r="G221" s="173"/>
      <c r="I221" s="175">
        <f t="shared" si="36"/>
        <v>500.92167829336029</v>
      </c>
    </row>
    <row r="222" spans="2:9">
      <c r="B222" s="173"/>
      <c r="C222" s="202" t="str">
        <f>RSD_Procesess!D18</f>
        <v>RSD_FLAT_1960</v>
      </c>
      <c r="D222" s="161" t="str">
        <f>RSD_Comm!$D$29</f>
        <v>RSD_DSHWR</v>
      </c>
      <c r="E222" s="204">
        <v>1960</v>
      </c>
      <c r="F222" s="203">
        <v>0.33621552569157165</v>
      </c>
      <c r="G222" s="173"/>
      <c r="I222" s="176">
        <f t="shared" si="36"/>
        <v>296.61993578587703</v>
      </c>
    </row>
    <row r="223" spans="2:9">
      <c r="B223" s="173"/>
      <c r="C223" s="195" t="str">
        <f>RSD_Procesess!D19</f>
        <v>RSD_FLAT_1980</v>
      </c>
      <c r="D223" s="164" t="str">
        <f>RSD_Comm!$D$29</f>
        <v>RSD_DSHWR</v>
      </c>
      <c r="E223" s="196">
        <v>1980</v>
      </c>
      <c r="F223" s="197">
        <v>0.33621552569157165</v>
      </c>
      <c r="G223" s="173"/>
      <c r="I223" s="176">
        <f t="shared" si="36"/>
        <v>881.38195802520193</v>
      </c>
    </row>
    <row r="224" spans="2:9">
      <c r="B224" s="173"/>
      <c r="C224" s="202" t="str">
        <f>RSD_Procesess!D20</f>
        <v>RSD_FLAT_1995</v>
      </c>
      <c r="D224" s="161" t="str">
        <f>RSD_Comm!$D$29</f>
        <v>RSD_DSHWR</v>
      </c>
      <c r="E224" s="204">
        <v>1995</v>
      </c>
      <c r="F224" s="203">
        <v>0.33621552569157165</v>
      </c>
      <c r="G224" s="173"/>
      <c r="I224" s="176">
        <f t="shared" si="36"/>
        <v>560.59918560733058</v>
      </c>
    </row>
    <row r="225" spans="2:9">
      <c r="B225" s="173"/>
      <c r="C225" s="195" t="str">
        <f>RSD_Procesess!D21</f>
        <v>RSD_FLAT_2011</v>
      </c>
      <c r="D225" s="164" t="str">
        <f>RSD_Comm!$D$29</f>
        <v>RSD_DSHWR</v>
      </c>
      <c r="E225" s="196">
        <v>2011</v>
      </c>
      <c r="F225" s="197">
        <v>0.33621552569157165</v>
      </c>
      <c r="G225" s="173"/>
      <c r="I225" s="176">
        <f t="shared" si="36"/>
        <v>335.6719832194272</v>
      </c>
    </row>
    <row r="226" spans="2:9" ht="15.75" thickBot="1">
      <c r="B226" s="173"/>
      <c r="C226" s="205" t="str">
        <f>RSD_Procesess!D22</f>
        <v>RSD_FLAT_2020</v>
      </c>
      <c r="D226" s="187" t="str">
        <f>RSD_Comm!$D$29</f>
        <v>RSD_DSHWR</v>
      </c>
      <c r="E226" s="206">
        <v>2020</v>
      </c>
      <c r="F226" s="207">
        <v>0.33621552569157165</v>
      </c>
      <c r="G226" s="173"/>
      <c r="I226" s="177">
        <f t="shared" si="36"/>
        <v>198.6455169213659</v>
      </c>
    </row>
    <row r="227" spans="2:9">
      <c r="B227" s="173"/>
      <c r="G227" s="173"/>
      <c r="I227" s="178">
        <f>SUM(I209:I226)</f>
        <v>5048.3880780290037</v>
      </c>
    </row>
    <row r="228" spans="2:9">
      <c r="B228" s="173"/>
      <c r="G228" s="173"/>
    </row>
    <row r="229" spans="2:9">
      <c r="B229" s="173"/>
      <c r="C229"/>
      <c r="D229"/>
      <c r="E229" s="126" t="s">
        <v>516</v>
      </c>
      <c r="F229"/>
      <c r="G229" s="173"/>
    </row>
    <row r="230" spans="2:9" ht="15.75" customHeight="1">
      <c r="B230" s="173"/>
      <c r="C230" s="160" t="s">
        <v>82</v>
      </c>
      <c r="D230" s="159" t="s">
        <v>214</v>
      </c>
      <c r="E230" s="307" t="s">
        <v>315</v>
      </c>
      <c r="F230" s="190" t="s">
        <v>345</v>
      </c>
      <c r="G230" s="173"/>
    </row>
    <row r="231" spans="2:9" ht="15.75" customHeight="1" thickBot="1">
      <c r="B231" s="173"/>
      <c r="C231" s="191" t="s">
        <v>89</v>
      </c>
      <c r="D231" s="192"/>
      <c r="E231" s="193"/>
      <c r="F231" s="194" t="s">
        <v>347</v>
      </c>
      <c r="G231" s="173"/>
      <c r="I231" s="25" t="s">
        <v>348</v>
      </c>
    </row>
    <row r="232" spans="2:9">
      <c r="B232" s="173"/>
      <c r="C232" s="198" t="str">
        <f>RSD_Procesess!D5</f>
        <v>RSD_DTH_1945</v>
      </c>
      <c r="D232" s="199" t="str">
        <f>RSD_Comm!$D$30</f>
        <v>RSD_ELC_OTH</v>
      </c>
      <c r="E232" s="323">
        <v>1945</v>
      </c>
      <c r="F232" s="201">
        <v>3.0205784117269157</v>
      </c>
      <c r="G232" s="173"/>
      <c r="I232" s="175">
        <f t="shared" ref="I232:I249" si="37">F232*F29</f>
        <v>3223.5827245344549</v>
      </c>
    </row>
    <row r="233" spans="2:9">
      <c r="B233" s="173"/>
      <c r="C233" s="202" t="str">
        <f>RSD_Procesess!D6</f>
        <v>RSD_DTH_1960</v>
      </c>
      <c r="D233" s="161" t="str">
        <f>RSD_Comm!$D$30</f>
        <v>RSD_ELC_OTH</v>
      </c>
      <c r="E233" s="204">
        <v>1960</v>
      </c>
      <c r="F233" s="203">
        <v>3.0205784117269157</v>
      </c>
      <c r="G233" s="173"/>
      <c r="I233" s="176">
        <f t="shared" si="37"/>
        <v>1908.8391303198798</v>
      </c>
    </row>
    <row r="234" spans="2:9">
      <c r="B234" s="173"/>
      <c r="C234" s="195" t="str">
        <f>RSD_Procesess!D7</f>
        <v>RSD_DTH_1980</v>
      </c>
      <c r="D234" s="164" t="str">
        <f>RSD_Comm!$D$30</f>
        <v>RSD_ELC_OTH</v>
      </c>
      <c r="E234" s="196">
        <v>1980</v>
      </c>
      <c r="F234" s="197">
        <v>3.0205784117269157</v>
      </c>
      <c r="G234" s="173"/>
      <c r="I234" s="176">
        <f t="shared" si="37"/>
        <v>5671.959862640374</v>
      </c>
    </row>
    <row r="235" spans="2:9">
      <c r="B235" s="173"/>
      <c r="C235" s="202" t="str">
        <f>RSD_Procesess!D8</f>
        <v>RSD_DTH_1995</v>
      </c>
      <c r="D235" s="161" t="str">
        <f>RSD_Comm!$D$30</f>
        <v>RSD_ELC_OTH</v>
      </c>
      <c r="E235" s="204">
        <v>1995</v>
      </c>
      <c r="F235" s="203">
        <v>3.0205784117269157</v>
      </c>
      <c r="G235" s="173"/>
      <c r="I235" s="176">
        <f t="shared" si="37"/>
        <v>3607.6255598855141</v>
      </c>
    </row>
    <row r="236" spans="2:9">
      <c r="B236" s="173"/>
      <c r="C236" s="195" t="str">
        <f>RSD_Procesess!D9</f>
        <v>RSD_DTH_2011</v>
      </c>
      <c r="D236" s="164" t="str">
        <f>RSD_Comm!$D$30</f>
        <v>RSD_ELC_OTH</v>
      </c>
      <c r="E236" s="196">
        <v>2011</v>
      </c>
      <c r="F236" s="197">
        <v>3.0205784117269157</v>
      </c>
      <c r="G236" s="173"/>
      <c r="I236" s="176">
        <f t="shared" si="37"/>
        <v>2160.1508840722654</v>
      </c>
    </row>
    <row r="237" spans="2:9" ht="15.75" thickBot="1">
      <c r="B237" s="173"/>
      <c r="C237" s="205" t="str">
        <f>RSD_Procesess!D10</f>
        <v>RSD_DTH_2020</v>
      </c>
      <c r="D237" s="187" t="str">
        <f>RSD_Comm!$D$30</f>
        <v>RSD_ELC_OTH</v>
      </c>
      <c r="E237" s="206">
        <v>2020</v>
      </c>
      <c r="F237" s="207">
        <v>3.0205784117269157</v>
      </c>
      <c r="G237" s="173"/>
      <c r="I237" s="176">
        <f t="shared" si="37"/>
        <v>1278.3440693475366</v>
      </c>
    </row>
    <row r="238" spans="2:9">
      <c r="B238" s="173"/>
      <c r="C238" s="198" t="str">
        <f>RSD_Procesess!D11</f>
        <v>RSD_SDTH_1945</v>
      </c>
      <c r="D238" s="199" t="str">
        <f>RSD_Comm!$D$30</f>
        <v>RSD_ELC_OTH</v>
      </c>
      <c r="E238" s="323">
        <v>1945</v>
      </c>
      <c r="F238" s="201">
        <v>3.0205784117269157</v>
      </c>
      <c r="G238" s="173"/>
      <c r="I238" s="175">
        <f t="shared" si="37"/>
        <v>466.66738429679623</v>
      </c>
    </row>
    <row r="239" spans="2:9">
      <c r="B239" s="173"/>
      <c r="C239" s="202" t="str">
        <f>RSD_Procesess!D12</f>
        <v>RSD_SDTH_1960</v>
      </c>
      <c r="D239" s="161" t="str">
        <f>RSD_Comm!$D$30</f>
        <v>RSD_ELC_OTH</v>
      </c>
      <c r="E239" s="204">
        <v>1960</v>
      </c>
      <c r="F239" s="203">
        <v>3.0205784117269157</v>
      </c>
      <c r="G239" s="173"/>
      <c r="I239" s="176">
        <f t="shared" si="37"/>
        <v>276.33631276467298</v>
      </c>
    </row>
    <row r="240" spans="2:9">
      <c r="B240" s="173"/>
      <c r="C240" s="195" t="str">
        <f>RSD_Procesess!D13</f>
        <v>RSD_SDTH_1980</v>
      </c>
      <c r="D240" s="164" t="str">
        <f>RSD_Comm!$D$30</f>
        <v>RSD_ELC_OTH</v>
      </c>
      <c r="E240" s="196">
        <v>1980</v>
      </c>
      <c r="F240" s="197">
        <v>3.0205784117269157</v>
      </c>
      <c r="G240" s="173"/>
      <c r="I240" s="176">
        <f t="shared" si="37"/>
        <v>821.11082578687751</v>
      </c>
    </row>
    <row r="241" spans="2:9">
      <c r="B241" s="173"/>
      <c r="C241" s="202" t="str">
        <f>RSD_Procesess!D14</f>
        <v>RSD_SDTH_1995</v>
      </c>
      <c r="D241" s="161" t="str">
        <f>RSD_Comm!$D$30</f>
        <v>RSD_ELC_OTH</v>
      </c>
      <c r="E241" s="204">
        <v>1995</v>
      </c>
      <c r="F241" s="203">
        <v>3.0205784117269157</v>
      </c>
      <c r="G241" s="173"/>
      <c r="I241" s="176">
        <f t="shared" si="37"/>
        <v>522.26399240217279</v>
      </c>
    </row>
    <row r="242" spans="2:9">
      <c r="B242" s="173"/>
      <c r="C242" s="195" t="str">
        <f>RSD_Procesess!D15</f>
        <v>RSD_SDTH_2011</v>
      </c>
      <c r="D242" s="164" t="str">
        <f>RSD_Comm!$D$30</f>
        <v>RSD_ELC_OTH</v>
      </c>
      <c r="E242" s="196">
        <v>2011</v>
      </c>
      <c r="F242" s="197">
        <v>3.0205784117269157</v>
      </c>
      <c r="G242" s="173"/>
      <c r="I242" s="176">
        <f t="shared" si="37"/>
        <v>312.71788221349283</v>
      </c>
    </row>
    <row r="243" spans="2:9" ht="15.75" thickBot="1">
      <c r="B243" s="173"/>
      <c r="C243" s="205" t="str">
        <f>RSD_Procesess!D16</f>
        <v>RSD_SDTH_2020</v>
      </c>
      <c r="D243" s="187" t="str">
        <f>RSD_Comm!$D$30</f>
        <v>RSD_ELC_OTH</v>
      </c>
      <c r="E243" s="206">
        <v>2020</v>
      </c>
      <c r="F243" s="207">
        <v>3.0205784117269157</v>
      </c>
      <c r="G243" s="173"/>
      <c r="I243" s="177">
        <f t="shared" si="37"/>
        <v>185.0616329878402</v>
      </c>
    </row>
    <row r="244" spans="2:9">
      <c r="B244" s="173"/>
      <c r="C244" s="198" t="str">
        <f>RSD_Procesess!D17</f>
        <v>RSD_FLAT_1945</v>
      </c>
      <c r="D244" s="199" t="str">
        <f>RSD_Comm!$D$30</f>
        <v>RSD_ELC_OTH</v>
      </c>
      <c r="E244" s="323">
        <v>1945</v>
      </c>
      <c r="F244" s="201">
        <v>3.0205784117269157</v>
      </c>
      <c r="G244" s="173"/>
      <c r="I244" s="175">
        <f t="shared" si="37"/>
        <v>4500.3073677417315</v>
      </c>
    </row>
    <row r="245" spans="2:9">
      <c r="B245" s="173"/>
      <c r="C245" s="202" t="str">
        <f>RSD_Procesess!D18</f>
        <v>RSD_FLAT_1960</v>
      </c>
      <c r="D245" s="161" t="str">
        <f>RSD_Comm!$D$30</f>
        <v>RSD_ELC_OTH</v>
      </c>
      <c r="E245" s="204">
        <v>1960</v>
      </c>
      <c r="F245" s="203">
        <v>3.0205784117269157</v>
      </c>
      <c r="G245" s="173"/>
      <c r="I245" s="176">
        <f t="shared" si="37"/>
        <v>2664.84949699961</v>
      </c>
    </row>
    <row r="246" spans="2:9">
      <c r="B246" s="173"/>
      <c r="C246" s="195" t="str">
        <f>RSD_Procesess!D19</f>
        <v>RSD_FLAT_1980</v>
      </c>
      <c r="D246" s="164" t="str">
        <f>RSD_Comm!$D$30</f>
        <v>RSD_ELC_OTH</v>
      </c>
      <c r="E246" s="196">
        <v>1980</v>
      </c>
      <c r="F246" s="197">
        <v>3.0205784117269157</v>
      </c>
      <c r="G246" s="173"/>
      <c r="I246" s="176">
        <f t="shared" si="37"/>
        <v>7918.383035466296</v>
      </c>
    </row>
    <row r="247" spans="2:9">
      <c r="B247" s="173"/>
      <c r="C247" s="202" t="str">
        <f>RSD_Procesess!D20</f>
        <v>RSD_FLAT_1995</v>
      </c>
      <c r="D247" s="161" t="str">
        <f>RSD_Comm!$D$30</f>
        <v>RSD_ELC_OTH</v>
      </c>
      <c r="E247" s="204">
        <v>1995</v>
      </c>
      <c r="F247" s="203">
        <v>3.0205784117269157</v>
      </c>
      <c r="G247" s="173"/>
      <c r="I247" s="176">
        <f t="shared" si="37"/>
        <v>5036.4533112922873</v>
      </c>
    </row>
    <row r="248" spans="2:9">
      <c r="B248" s="173"/>
      <c r="C248" s="195" t="str">
        <f>RSD_Procesess!D21</f>
        <v>RSD_FLAT_2011</v>
      </c>
      <c r="D248" s="164" t="str">
        <f>RSD_Comm!$D$30</f>
        <v>RSD_ELC_OTH</v>
      </c>
      <c r="E248" s="196">
        <v>2011</v>
      </c>
      <c r="F248" s="197">
        <v>3.0205784117269157</v>
      </c>
      <c r="G248" s="173"/>
      <c r="I248" s="176">
        <f t="shared" si="37"/>
        <v>3015.6951968490807</v>
      </c>
    </row>
    <row r="249" spans="2:9" ht="15.75" thickBot="1">
      <c r="B249" s="173"/>
      <c r="C249" s="205" t="str">
        <f>RSD_Procesess!D22</f>
        <v>RSD_FLAT_2020</v>
      </c>
      <c r="D249" s="187" t="str">
        <f>RSD_Comm!$D$30</f>
        <v>RSD_ELC_OTH</v>
      </c>
      <c r="E249" s="206">
        <v>2020</v>
      </c>
      <c r="F249" s="207">
        <v>3.0205784117269157</v>
      </c>
      <c r="G249" s="173"/>
      <c r="I249" s="177">
        <f t="shared" si="37"/>
        <v>1784.6420350898541</v>
      </c>
    </row>
    <row r="250" spans="2:9">
      <c r="B250" s="173"/>
      <c r="C250" s="173"/>
      <c r="D250" s="173"/>
      <c r="E250" s="173"/>
      <c r="F250" s="173"/>
      <c r="G250" s="173"/>
      <c r="I250" s="178">
        <f>SUM(I232:I249)</f>
        <v>45354.990704690739</v>
      </c>
    </row>
    <row r="252" spans="2:9">
      <c r="B252" s="181"/>
      <c r="C252" s="181" t="s">
        <v>349</v>
      </c>
      <c r="D252" s="180"/>
      <c r="E252" s="180"/>
      <c r="F252" s="180"/>
      <c r="G252" s="180"/>
    </row>
    <row r="253" spans="2:9">
      <c r="B253" s="179"/>
      <c r="C253" s="180"/>
      <c r="D253" s="180"/>
      <c r="E253" s="180"/>
      <c r="F253" s="180"/>
      <c r="G253" s="180"/>
    </row>
    <row r="254" spans="2:9">
      <c r="B254" s="179"/>
      <c r="C254"/>
      <c r="D254"/>
      <c r="E254" s="126" t="s">
        <v>516</v>
      </c>
      <c r="F254"/>
      <c r="G254" s="180"/>
    </row>
    <row r="255" spans="2:9" ht="15.75" customHeight="1">
      <c r="B255" s="179"/>
      <c r="C255" s="160" t="s">
        <v>82</v>
      </c>
      <c r="D255" s="159" t="s">
        <v>214</v>
      </c>
      <c r="E255" s="307" t="s">
        <v>315</v>
      </c>
      <c r="F255" s="190" t="s">
        <v>345</v>
      </c>
      <c r="G255" s="180"/>
    </row>
    <row r="256" spans="2:9" ht="15.75" customHeight="1" thickBot="1">
      <c r="B256" s="179"/>
      <c r="C256" s="191" t="s">
        <v>89</v>
      </c>
      <c r="D256" s="192"/>
      <c r="E256" s="193"/>
      <c r="F256" s="194" t="s">
        <v>347</v>
      </c>
      <c r="G256" s="180"/>
      <c r="I256" s="25" t="s">
        <v>348</v>
      </c>
    </row>
    <row r="257" spans="2:9">
      <c r="B257" s="179"/>
      <c r="C257" s="198" t="str">
        <f>RSD_Procesess!D5</f>
        <v>RSD_DTH_1945</v>
      </c>
      <c r="D257" s="199" t="str">
        <f>RSD_Comm!$D$31</f>
        <v>RSD_COOK</v>
      </c>
      <c r="E257" s="323">
        <v>1945</v>
      </c>
      <c r="F257" s="201">
        <v>1.6341934599761874</v>
      </c>
      <c r="G257" s="180"/>
      <c r="I257" s="175">
        <f t="shared" ref="I257:I274" si="38">F257*F29</f>
        <v>1744.0228618712285</v>
      </c>
    </row>
    <row r="258" spans="2:9">
      <c r="B258" s="179"/>
      <c r="C258" s="202" t="str">
        <f>RSD_Procesess!D6</f>
        <v>RSD_DTH_1960</v>
      </c>
      <c r="D258" s="161" t="str">
        <f>RSD_Comm!$D$31</f>
        <v>RSD_COOK</v>
      </c>
      <c r="E258" s="204">
        <v>1960</v>
      </c>
      <c r="F258" s="203">
        <v>1.6341934599761874</v>
      </c>
      <c r="G258" s="180"/>
      <c r="I258" s="176">
        <f t="shared" si="38"/>
        <v>1032.7202269620805</v>
      </c>
    </row>
    <row r="259" spans="2:9">
      <c r="B259" s="179"/>
      <c r="C259" s="195" t="str">
        <f>RSD_Procesess!D7</f>
        <v>RSD_DTH_1980</v>
      </c>
      <c r="D259" s="164" t="str">
        <f>RSD_Comm!$D$31</f>
        <v>RSD_COOK</v>
      </c>
      <c r="E259" s="196">
        <v>1980</v>
      </c>
      <c r="F259" s="197">
        <v>1.6341934599761874</v>
      </c>
      <c r="G259" s="180"/>
      <c r="I259" s="176">
        <f t="shared" si="38"/>
        <v>3068.6439646090971</v>
      </c>
    </row>
    <row r="260" spans="2:9">
      <c r="B260" s="179"/>
      <c r="C260" s="202" t="str">
        <f>RSD_Procesess!D8</f>
        <v>RSD_DTH_1995</v>
      </c>
      <c r="D260" s="161" t="str">
        <f>RSD_Comm!$D$31</f>
        <v>RSD_COOK</v>
      </c>
      <c r="E260" s="204">
        <v>1995</v>
      </c>
      <c r="F260" s="203">
        <v>1.6341934599761874</v>
      </c>
      <c r="G260" s="180"/>
      <c r="I260" s="176">
        <f t="shared" si="38"/>
        <v>1951.7977328842949</v>
      </c>
    </row>
    <row r="261" spans="2:9">
      <c r="B261" s="179"/>
      <c r="C261" s="195" t="str">
        <f>RSD_Procesess!D9</f>
        <v>RSD_DTH_2011</v>
      </c>
      <c r="D261" s="164" t="str">
        <f>RSD_Comm!$D$31</f>
        <v>RSD_COOK</v>
      </c>
      <c r="E261" s="196">
        <v>2011</v>
      </c>
      <c r="F261" s="197">
        <v>1.6341934599761874</v>
      </c>
      <c r="G261" s="180"/>
      <c r="I261" s="176">
        <f t="shared" si="38"/>
        <v>1168.6849225987996</v>
      </c>
    </row>
    <row r="262" spans="2:9" ht="15.75" thickBot="1">
      <c r="B262" s="179"/>
      <c r="C262" s="205" t="str">
        <f>RSD_Procesess!D10</f>
        <v>RSD_DTH_2020</v>
      </c>
      <c r="D262" s="187" t="str">
        <f>RSD_Comm!$D$31</f>
        <v>RSD_COOK</v>
      </c>
      <c r="E262" s="206">
        <v>2020</v>
      </c>
      <c r="F262" s="207">
        <v>1.6341934599761874</v>
      </c>
      <c r="G262" s="180"/>
      <c r="I262" s="176">
        <f t="shared" si="38"/>
        <v>691.60976242716981</v>
      </c>
    </row>
    <row r="263" spans="2:9">
      <c r="B263" s="179"/>
      <c r="C263" s="198" t="str">
        <f>RSD_Procesess!D11</f>
        <v>RSD_SDTH_1945</v>
      </c>
      <c r="D263" s="199" t="str">
        <f>RSD_Comm!$D$31</f>
        <v>RSD_COOK</v>
      </c>
      <c r="E263" s="323">
        <v>1945</v>
      </c>
      <c r="F263" s="201">
        <v>1.6341934599761874</v>
      </c>
      <c r="G263" s="180"/>
      <c r="I263" s="175">
        <f t="shared" si="38"/>
        <v>252.47640797578669</v>
      </c>
    </row>
    <row r="264" spans="2:9">
      <c r="B264" s="179"/>
      <c r="C264" s="202" t="str">
        <f>RSD_Procesess!D12</f>
        <v>RSD_SDTH_1960</v>
      </c>
      <c r="D264" s="161" t="str">
        <f>RSD_Comm!$D$31</f>
        <v>RSD_COOK</v>
      </c>
      <c r="E264" s="204">
        <v>1960</v>
      </c>
      <c r="F264" s="203">
        <v>1.6341934599761874</v>
      </c>
      <c r="G264" s="180"/>
      <c r="I264" s="176">
        <f t="shared" si="38"/>
        <v>149.50348361120109</v>
      </c>
    </row>
    <row r="265" spans="2:9">
      <c r="B265" s="179"/>
      <c r="C265" s="195" t="str">
        <f>RSD_Procesess!D13</f>
        <v>RSD_SDTH_1980</v>
      </c>
      <c r="D265" s="164" t="str">
        <f>RSD_Comm!$D$31</f>
        <v>RSD_COOK</v>
      </c>
      <c r="E265" s="196">
        <v>1980</v>
      </c>
      <c r="F265" s="197">
        <v>1.6341934599761874</v>
      </c>
      <c r="G265" s="180"/>
      <c r="I265" s="176">
        <f t="shared" si="38"/>
        <v>444.23741367117867</v>
      </c>
    </row>
    <row r="266" spans="2:9">
      <c r="B266" s="179"/>
      <c r="C266" s="202" t="str">
        <f>RSD_Procesess!D14</f>
        <v>RSD_SDTH_1995</v>
      </c>
      <c r="D266" s="161" t="str">
        <f>RSD_Comm!$D$31</f>
        <v>RSD_COOK</v>
      </c>
      <c r="E266" s="204">
        <v>1995</v>
      </c>
      <c r="F266" s="203">
        <v>1.6341934599761874</v>
      </c>
      <c r="G266" s="180"/>
      <c r="I266" s="176">
        <f t="shared" si="38"/>
        <v>282.55528724272875</v>
      </c>
    </row>
    <row r="267" spans="2:9">
      <c r="B267" s="179"/>
      <c r="C267" s="195" t="str">
        <f>RSD_Procesess!D15</f>
        <v>RSD_SDTH_2011</v>
      </c>
      <c r="D267" s="164" t="str">
        <f>RSD_Comm!$D$31</f>
        <v>RSD_COOK</v>
      </c>
      <c r="E267" s="196">
        <v>2011</v>
      </c>
      <c r="F267" s="197">
        <v>1.6341934599761874</v>
      </c>
      <c r="G267" s="180"/>
      <c r="I267" s="176">
        <f t="shared" si="38"/>
        <v>169.18664185205594</v>
      </c>
    </row>
    <row r="268" spans="2:9" ht="15.75" thickBot="1">
      <c r="B268" s="179"/>
      <c r="C268" s="205" t="str">
        <f>RSD_Procesess!D16</f>
        <v>RSD_SDTH_2020</v>
      </c>
      <c r="D268" s="187" t="str">
        <f>RSD_Comm!$D$31</f>
        <v>RSD_COOK</v>
      </c>
      <c r="E268" s="206">
        <v>2020</v>
      </c>
      <c r="F268" s="207">
        <v>1.6341934599761874</v>
      </c>
      <c r="G268" s="180"/>
      <c r="I268" s="177">
        <f t="shared" si="38"/>
        <v>100.12205250064657</v>
      </c>
    </row>
    <row r="269" spans="2:9">
      <c r="B269" s="179"/>
      <c r="C269" s="198" t="str">
        <f>RSD_Procesess!D17</f>
        <v>RSD_FLAT_1945</v>
      </c>
      <c r="D269" s="199" t="str">
        <f>RSD_Comm!$D$31</f>
        <v>RSD_COOK</v>
      </c>
      <c r="E269" s="323">
        <v>1945</v>
      </c>
      <c r="F269" s="201">
        <v>1.6341934599761874</v>
      </c>
      <c r="G269" s="180"/>
      <c r="I269" s="175">
        <f t="shared" si="38"/>
        <v>2434.7564822995505</v>
      </c>
    </row>
    <row r="270" spans="2:9">
      <c r="B270" s="179"/>
      <c r="C270" s="202" t="str">
        <f>RSD_Procesess!D18</f>
        <v>RSD_FLAT_1960</v>
      </c>
      <c r="D270" s="161" t="str">
        <f>RSD_Comm!$D$31</f>
        <v>RSD_COOK</v>
      </c>
      <c r="E270" s="204">
        <v>1960</v>
      </c>
      <c r="F270" s="203">
        <v>1.6341934599761874</v>
      </c>
      <c r="G270" s="180"/>
      <c r="I270" s="176">
        <f t="shared" si="38"/>
        <v>1441.7369874956621</v>
      </c>
    </row>
    <row r="271" spans="2:9">
      <c r="B271" s="179"/>
      <c r="C271" s="195" t="str">
        <f>RSD_Procesess!D19</f>
        <v>RSD_FLAT_1980</v>
      </c>
      <c r="D271" s="164" t="str">
        <f>RSD_Comm!$D$31</f>
        <v>RSD_COOK</v>
      </c>
      <c r="E271" s="196">
        <v>1980</v>
      </c>
      <c r="F271" s="197">
        <v>1.6341934599761874</v>
      </c>
      <c r="G271" s="180"/>
      <c r="I271" s="176">
        <f t="shared" si="38"/>
        <v>4284.0039245156686</v>
      </c>
    </row>
    <row r="272" spans="2:9">
      <c r="B272" s="179"/>
      <c r="C272" s="202" t="str">
        <f>RSD_Procesess!D20</f>
        <v>RSD_FLAT_1995</v>
      </c>
      <c r="D272" s="161" t="str">
        <f>RSD_Comm!$D$31</f>
        <v>RSD_COOK</v>
      </c>
      <c r="E272" s="204">
        <v>1995</v>
      </c>
      <c r="F272" s="203">
        <v>1.6341934599761874</v>
      </c>
      <c r="G272" s="180"/>
      <c r="I272" s="176">
        <f t="shared" si="38"/>
        <v>2724.8221833392931</v>
      </c>
    </row>
    <row r="273" spans="2:13">
      <c r="B273" s="179"/>
      <c r="C273" s="195" t="str">
        <f>RSD_Procesess!D21</f>
        <v>RSD_FLAT_2011</v>
      </c>
      <c r="D273" s="164" t="str">
        <f>RSD_Comm!$D$31</f>
        <v>RSD_COOK</v>
      </c>
      <c r="E273" s="196">
        <v>2011</v>
      </c>
      <c r="F273" s="197">
        <v>1.6341934599761874</v>
      </c>
      <c r="G273" s="180"/>
      <c r="I273" s="176">
        <f t="shared" si="38"/>
        <v>1631.5515428565939</v>
      </c>
    </row>
    <row r="274" spans="2:13" ht="15.75" thickBot="1">
      <c r="B274" s="179"/>
      <c r="C274" s="205" t="str">
        <f>RSD_Procesess!D22</f>
        <v>RSD_FLAT_2020</v>
      </c>
      <c r="D274" s="187" t="str">
        <f>RSD_Comm!$D$31</f>
        <v>RSD_COOK</v>
      </c>
      <c r="E274" s="206">
        <v>2020</v>
      </c>
      <c r="F274" s="207">
        <v>1.6341934599761874</v>
      </c>
      <c r="G274" s="180"/>
      <c r="I274" s="177">
        <f t="shared" si="38"/>
        <v>965.52710925158499</v>
      </c>
    </row>
    <row r="275" spans="2:13">
      <c r="B275" s="179"/>
      <c r="C275"/>
      <c r="D275"/>
      <c r="E275"/>
      <c r="F275"/>
      <c r="G275" s="180"/>
      <c r="I275" s="178">
        <f>SUM(I257:I274)</f>
        <v>24537.958987964616</v>
      </c>
    </row>
    <row r="276" spans="2:13">
      <c r="B276" s="179"/>
      <c r="C276" s="179"/>
      <c r="D276" s="179"/>
      <c r="E276" s="179"/>
      <c r="F276" s="179"/>
      <c r="G276" s="179"/>
    </row>
    <row r="277" spans="2:13">
      <c r="B277"/>
      <c r="C277"/>
      <c r="D277"/>
      <c r="E277"/>
      <c r="F277"/>
      <c r="G277"/>
      <c r="H277"/>
    </row>
    <row r="278" spans="2:13">
      <c r="B278"/>
      <c r="C278"/>
      <c r="D278"/>
      <c r="E278"/>
      <c r="F278"/>
      <c r="G278"/>
      <c r="H278"/>
    </row>
    <row r="279" spans="2:13">
      <c r="B279"/>
      <c r="C279"/>
      <c r="D279"/>
      <c r="E279"/>
      <c r="F279"/>
      <c r="G279"/>
      <c r="H279"/>
      <c r="I279"/>
      <c r="J279"/>
      <c r="K279"/>
      <c r="L279"/>
      <c r="M279"/>
    </row>
    <row r="280" spans="2:13">
      <c r="B280"/>
      <c r="C280"/>
      <c r="D280"/>
      <c r="E280"/>
      <c r="F280"/>
      <c r="G280"/>
      <c r="H280"/>
      <c r="I280"/>
      <c r="J280"/>
      <c r="K280"/>
      <c r="L280"/>
      <c r="M280"/>
    </row>
    <row r="281" spans="2:13">
      <c r="B281"/>
      <c r="C281"/>
      <c r="D281"/>
      <c r="E281"/>
      <c r="F281"/>
      <c r="G281"/>
      <c r="H281"/>
      <c r="I281"/>
      <c r="J281"/>
      <c r="K281"/>
      <c r="L281"/>
      <c r="M281"/>
    </row>
    <row r="282" spans="2:13">
      <c r="B282"/>
      <c r="C282"/>
      <c r="D282"/>
      <c r="E282"/>
      <c r="F282"/>
      <c r="G282"/>
      <c r="H282"/>
      <c r="I282"/>
      <c r="J282"/>
      <c r="K282"/>
      <c r="L282"/>
      <c r="M282"/>
    </row>
  </sheetData>
  <phoneticPr fontId="30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01678-8855-4DB2-80DD-37DC1F1A42B4}">
  <dimension ref="A1:BD144"/>
  <sheetViews>
    <sheetView zoomScaleNormal="100" workbookViewId="0">
      <selection activeCell="N20" sqref="N20"/>
    </sheetView>
  </sheetViews>
  <sheetFormatPr defaultColWidth="9.140625" defaultRowHeight="15"/>
  <cols>
    <col min="1" max="1" width="11.5703125" style="28" customWidth="1"/>
    <col min="2" max="5" width="9.140625" style="74" customWidth="1"/>
    <col min="6" max="6" width="4" style="28" customWidth="1"/>
    <col min="7" max="7" width="10.85546875" style="28" customWidth="1"/>
    <col min="8" max="8" width="9.140625" style="74" customWidth="1"/>
    <col min="9" max="9" width="9.140625" style="74"/>
    <col min="10" max="11" width="9.140625" style="74" customWidth="1"/>
    <col min="12" max="12" width="4.28515625" style="28" customWidth="1"/>
    <col min="13" max="13" width="11.140625" style="28" customWidth="1"/>
    <col min="14" max="17" width="9.28515625" style="74" customWidth="1"/>
    <col min="18" max="18" width="4" style="28" customWidth="1"/>
    <col min="19" max="19" width="12.7109375" style="28" customWidth="1"/>
    <col min="20" max="23" width="9.28515625" style="74" customWidth="1"/>
    <col min="24" max="24" width="4.42578125" style="28" customWidth="1"/>
    <col min="25" max="25" width="11.5703125" style="28" customWidth="1"/>
    <col min="26" max="29" width="9.7109375" style="74" customWidth="1"/>
    <col min="30" max="30" width="3.42578125" style="28" customWidth="1"/>
    <col min="31" max="31" width="11.85546875" style="28" customWidth="1"/>
    <col min="32" max="35" width="8.85546875" style="74" customWidth="1"/>
    <col min="36" max="36" width="3.140625" style="28" customWidth="1"/>
    <col min="37" max="37" width="11.42578125" style="28" customWidth="1"/>
    <col min="38" max="41" width="9.140625" style="74" customWidth="1"/>
    <col min="42" max="42" width="14.7109375" style="28" customWidth="1"/>
    <col min="43" max="43" width="12.85546875" style="28" bestFit="1" customWidth="1"/>
    <col min="44" max="45" width="9.140625" style="74"/>
    <col min="46" max="46" width="12.28515625" style="74" customWidth="1"/>
    <col min="47" max="47" width="9.140625" style="74"/>
    <col min="48" max="48" width="11" style="28" bestFit="1" customWidth="1"/>
    <col min="49" max="52" width="11.42578125" style="28" bestFit="1" customWidth="1"/>
    <col min="53" max="53" width="12.140625" style="28" bestFit="1" customWidth="1"/>
    <col min="54" max="16384" width="9.140625" style="28"/>
  </cols>
  <sheetData>
    <row r="1" spans="1:53" ht="21">
      <c r="A1" s="26" t="s">
        <v>350</v>
      </c>
      <c r="B1" s="654"/>
      <c r="C1" s="654"/>
      <c r="D1" s="654"/>
      <c r="E1" s="654"/>
      <c r="F1" s="27"/>
      <c r="P1" s="657"/>
      <c r="Q1" s="657"/>
      <c r="R1" s="26"/>
      <c r="S1" s="26"/>
      <c r="T1" s="657"/>
      <c r="U1" s="657"/>
      <c r="V1" s="657"/>
      <c r="W1" s="657"/>
      <c r="X1" s="26"/>
      <c r="Y1" s="26"/>
      <c r="AR1" s="28"/>
      <c r="AS1" s="28"/>
      <c r="AT1" s="28"/>
      <c r="AU1" s="28"/>
      <c r="AZ1" s="96"/>
      <c r="BA1" s="96"/>
    </row>
    <row r="2" spans="1:53" ht="21">
      <c r="A2" s="26"/>
      <c r="B2" s="654"/>
      <c r="C2" s="654"/>
      <c r="D2" s="654"/>
      <c r="E2" s="654"/>
      <c r="F2" s="27"/>
      <c r="I2" s="26"/>
      <c r="O2" s="26"/>
      <c r="P2" s="657"/>
      <c r="Q2" s="657"/>
      <c r="R2" s="26"/>
      <c r="S2" s="26"/>
      <c r="T2" s="657"/>
      <c r="U2" s="26"/>
      <c r="V2" s="657"/>
      <c r="W2" s="657"/>
      <c r="X2" s="26"/>
      <c r="Y2" s="26"/>
      <c r="AA2" s="26"/>
      <c r="AG2" s="26"/>
      <c r="AM2" s="26"/>
      <c r="AP2" s="26"/>
      <c r="AV2" s="72"/>
      <c r="AW2" s="72"/>
      <c r="AX2" s="72"/>
      <c r="AY2" s="72"/>
      <c r="AZ2" s="72"/>
      <c r="BA2" s="72"/>
    </row>
    <row r="3" spans="1:53" ht="21">
      <c r="A3" s="26" t="s">
        <v>693</v>
      </c>
      <c r="B3" s="654"/>
      <c r="C3" s="654"/>
      <c r="D3" s="654"/>
      <c r="E3" s="654"/>
      <c r="F3" s="27"/>
      <c r="P3" s="657"/>
      <c r="Q3" s="657"/>
      <c r="R3" s="26"/>
      <c r="S3" s="26"/>
      <c r="T3" s="657"/>
      <c r="U3" s="657"/>
      <c r="V3" s="657"/>
      <c r="W3" s="657"/>
      <c r="X3" s="26"/>
      <c r="Y3" s="26"/>
      <c r="AP3" s="26"/>
      <c r="AV3" s="72"/>
      <c r="AW3" s="72"/>
      <c r="AX3" s="72"/>
      <c r="AY3" s="72"/>
      <c r="AZ3" s="72"/>
      <c r="BA3" s="72"/>
    </row>
    <row r="4" spans="1:53" ht="15" customHeight="1">
      <c r="A4" s="152"/>
      <c r="B4" s="652" t="s">
        <v>351</v>
      </c>
      <c r="C4" s="652" t="s">
        <v>352</v>
      </c>
      <c r="D4" s="652" t="s">
        <v>353</v>
      </c>
      <c r="E4" s="652" t="s">
        <v>354</v>
      </c>
      <c r="F4" s="27"/>
      <c r="G4" s="152"/>
      <c r="H4" s="652"/>
      <c r="I4" s="652"/>
      <c r="J4" s="652"/>
      <c r="K4" s="652"/>
      <c r="M4" s="152"/>
      <c r="N4" s="652"/>
      <c r="O4" s="652"/>
      <c r="P4" s="652"/>
      <c r="Q4" s="652"/>
      <c r="R4" s="26"/>
      <c r="S4" s="152"/>
      <c r="T4" s="652"/>
      <c r="U4" s="652"/>
      <c r="V4" s="652"/>
      <c r="W4" s="652"/>
      <c r="X4" s="26"/>
      <c r="Y4" s="152"/>
      <c r="Z4" s="652"/>
      <c r="AA4" s="652"/>
      <c r="AB4" s="652"/>
      <c r="AC4" s="652"/>
      <c r="AE4" s="152"/>
      <c r="AF4" s="652"/>
      <c r="AG4" s="652"/>
      <c r="AH4" s="652"/>
      <c r="AI4" s="652"/>
      <c r="AK4" s="152"/>
      <c r="AL4" s="652"/>
      <c r="AM4" s="652"/>
      <c r="AN4" s="652"/>
      <c r="AO4" s="652"/>
      <c r="AP4" s="26"/>
      <c r="AV4" s="72"/>
      <c r="AW4" s="72"/>
      <c r="AX4" s="72"/>
      <c r="AY4" s="72"/>
      <c r="AZ4" s="72"/>
      <c r="BA4" s="72"/>
    </row>
    <row r="5" spans="1:53" ht="15" customHeight="1">
      <c r="A5" s="153" t="s">
        <v>546</v>
      </c>
      <c r="B5" s="656">
        <v>1</v>
      </c>
      <c r="C5" s="656">
        <v>0.8</v>
      </c>
      <c r="D5" s="656">
        <v>1.6</v>
      </c>
      <c r="E5" s="656">
        <v>2.2000000000000002</v>
      </c>
      <c r="F5" s="27"/>
      <c r="G5" s="153"/>
      <c r="H5" s="653"/>
      <c r="I5" s="653"/>
      <c r="J5" s="653"/>
      <c r="K5" s="653"/>
      <c r="M5" s="153"/>
      <c r="N5" s="653"/>
      <c r="O5" s="653"/>
      <c r="P5" s="653"/>
      <c r="Q5" s="653"/>
      <c r="R5" s="26"/>
      <c r="S5" s="153"/>
      <c r="T5" s="653"/>
      <c r="U5" s="653"/>
      <c r="V5" s="653"/>
      <c r="W5" s="653"/>
      <c r="X5" s="26"/>
      <c r="Y5" s="153"/>
      <c r="Z5" s="653"/>
      <c r="AA5" s="653"/>
      <c r="AB5" s="653"/>
      <c r="AC5" s="653"/>
      <c r="AE5" s="153"/>
      <c r="AF5" s="653"/>
      <c r="AG5" s="653"/>
      <c r="AH5" s="653"/>
      <c r="AI5" s="653"/>
      <c r="AK5" s="153"/>
      <c r="AL5" s="653"/>
      <c r="AM5" s="653"/>
      <c r="AN5" s="653"/>
      <c r="AO5" s="653"/>
      <c r="AP5" s="26"/>
      <c r="AV5" s="72"/>
      <c r="AW5" s="72"/>
      <c r="AX5" s="72"/>
      <c r="AY5" s="72"/>
      <c r="AZ5" s="72"/>
      <c r="BA5" s="72"/>
    </row>
    <row r="6" spans="1:53" ht="15" customHeight="1">
      <c r="A6" s="153" t="s">
        <v>547</v>
      </c>
      <c r="B6" s="656">
        <v>0.78349999999999997</v>
      </c>
      <c r="C6" s="656">
        <v>0.53</v>
      </c>
      <c r="D6" s="656">
        <v>1.25</v>
      </c>
      <c r="E6" s="656">
        <v>2</v>
      </c>
      <c r="F6" s="27"/>
      <c r="G6" s="153"/>
      <c r="H6" s="653"/>
      <c r="I6" s="653"/>
      <c r="J6" s="653"/>
      <c r="K6" s="653"/>
      <c r="M6" s="153"/>
      <c r="N6" s="653"/>
      <c r="O6" s="653"/>
      <c r="P6" s="653"/>
      <c r="Q6" s="653"/>
      <c r="R6" s="26"/>
      <c r="S6" s="153"/>
      <c r="T6" s="653"/>
      <c r="U6" s="653"/>
      <c r="V6" s="653"/>
      <c r="W6" s="653"/>
      <c r="X6" s="26"/>
      <c r="Y6" s="153"/>
      <c r="Z6" s="653"/>
      <c r="AA6" s="653"/>
      <c r="AB6" s="653"/>
      <c r="AC6" s="653"/>
      <c r="AE6" s="153"/>
      <c r="AF6" s="653"/>
      <c r="AG6" s="653"/>
      <c r="AH6" s="653"/>
      <c r="AI6" s="653"/>
      <c r="AK6" s="153"/>
      <c r="AL6" s="653"/>
      <c r="AM6" s="653"/>
      <c r="AN6" s="653"/>
      <c r="AO6" s="653"/>
      <c r="AP6" s="26"/>
      <c r="AV6" s="72"/>
      <c r="AW6" s="72"/>
      <c r="AX6" s="72"/>
      <c r="AY6" s="72"/>
      <c r="AZ6" s="72"/>
      <c r="BA6" s="72"/>
    </row>
    <row r="7" spans="1:53" ht="15" customHeight="1">
      <c r="A7" s="153" t="s">
        <v>548</v>
      </c>
      <c r="B7" s="656">
        <v>0.56699999999999995</v>
      </c>
      <c r="C7" s="656">
        <v>0.36</v>
      </c>
      <c r="D7" s="656">
        <v>1</v>
      </c>
      <c r="E7" s="656">
        <v>2</v>
      </c>
      <c r="F7" s="27"/>
      <c r="G7" s="153"/>
      <c r="H7" s="653"/>
      <c r="I7" s="653"/>
      <c r="J7" s="653"/>
      <c r="K7" s="653"/>
      <c r="M7" s="153"/>
      <c r="N7" s="653"/>
      <c r="O7" s="653"/>
      <c r="P7" s="653"/>
      <c r="Q7" s="653"/>
      <c r="R7" s="26"/>
      <c r="S7" s="153"/>
      <c r="T7" s="653"/>
      <c r="U7" s="653"/>
      <c r="V7" s="653"/>
      <c r="W7" s="653"/>
      <c r="X7" s="26"/>
      <c r="Y7" s="153"/>
      <c r="Z7" s="653"/>
      <c r="AA7" s="653"/>
      <c r="AB7" s="653"/>
      <c r="AC7" s="653"/>
      <c r="AE7" s="153"/>
      <c r="AF7" s="653"/>
      <c r="AG7" s="653"/>
      <c r="AH7" s="653"/>
      <c r="AI7" s="653"/>
      <c r="AK7" s="153"/>
      <c r="AL7" s="653"/>
      <c r="AM7" s="653"/>
      <c r="AN7" s="653"/>
      <c r="AO7" s="653"/>
      <c r="AP7" s="26"/>
      <c r="AV7" s="72"/>
      <c r="AW7" s="72"/>
      <c r="AX7" s="72"/>
      <c r="AY7" s="72"/>
      <c r="AZ7" s="72"/>
      <c r="BA7" s="72"/>
    </row>
    <row r="8" spans="1:53" ht="15" customHeight="1">
      <c r="A8" s="153" t="s">
        <v>549</v>
      </c>
      <c r="B8" s="656">
        <v>0.4335</v>
      </c>
      <c r="C8" s="656">
        <v>0.28000000000000003</v>
      </c>
      <c r="D8" s="656">
        <v>0.61499999999999999</v>
      </c>
      <c r="E8" s="656">
        <v>1.5</v>
      </c>
      <c r="F8" s="27"/>
      <c r="G8" s="153"/>
      <c r="H8" s="653"/>
      <c r="I8" s="653"/>
      <c r="J8" s="653"/>
      <c r="K8" s="653"/>
      <c r="M8" s="153"/>
      <c r="N8" s="653"/>
      <c r="O8" s="653"/>
      <c r="P8" s="653"/>
      <c r="Q8" s="653"/>
      <c r="R8" s="26"/>
      <c r="S8" s="153"/>
      <c r="T8" s="653"/>
      <c r="U8" s="653"/>
      <c r="V8" s="653"/>
      <c r="W8" s="653"/>
      <c r="X8" s="26"/>
      <c r="Y8" s="153"/>
      <c r="Z8" s="653"/>
      <c r="AA8" s="653"/>
      <c r="AB8" s="653"/>
      <c r="AC8" s="653"/>
      <c r="AE8" s="153"/>
      <c r="AF8" s="653"/>
      <c r="AG8" s="653"/>
      <c r="AH8" s="653"/>
      <c r="AI8" s="653"/>
      <c r="AK8" s="153"/>
      <c r="AL8" s="653"/>
      <c r="AM8" s="653"/>
      <c r="AN8" s="653"/>
      <c r="AO8" s="653"/>
      <c r="AP8" s="26"/>
      <c r="AV8" s="72"/>
      <c r="AW8" s="72"/>
      <c r="AX8" s="72"/>
      <c r="AY8" s="72"/>
      <c r="AZ8" s="72"/>
      <c r="BA8" s="72"/>
    </row>
    <row r="9" spans="1:53" ht="15" customHeight="1">
      <c r="A9" s="153" t="s">
        <v>550</v>
      </c>
      <c r="B9" s="656">
        <v>0.36675000000000002</v>
      </c>
      <c r="C9" s="656">
        <v>0.24000000000000002</v>
      </c>
      <c r="D9" s="656">
        <v>0.42249999999999999</v>
      </c>
      <c r="E9" s="656">
        <v>1.5</v>
      </c>
      <c r="F9" s="27"/>
      <c r="G9" s="153"/>
      <c r="H9" s="653"/>
      <c r="I9" s="653"/>
      <c r="J9" s="653"/>
      <c r="K9" s="653"/>
      <c r="M9" s="153"/>
      <c r="N9" s="653"/>
      <c r="O9" s="653"/>
      <c r="P9" s="653"/>
      <c r="Q9" s="653"/>
      <c r="R9" s="26"/>
      <c r="S9" s="153"/>
      <c r="T9" s="653"/>
      <c r="U9" s="653"/>
      <c r="V9" s="653"/>
      <c r="W9" s="653"/>
      <c r="X9" s="26"/>
      <c r="Y9" s="153"/>
      <c r="Z9" s="653"/>
      <c r="AA9" s="653"/>
      <c r="AB9" s="653"/>
      <c r="AC9" s="653"/>
      <c r="AE9" s="153"/>
      <c r="AF9" s="653"/>
      <c r="AG9" s="653"/>
      <c r="AH9" s="653"/>
      <c r="AI9" s="653"/>
      <c r="AK9" s="153"/>
      <c r="AL9" s="653"/>
      <c r="AM9" s="653"/>
      <c r="AN9" s="653"/>
      <c r="AO9" s="653"/>
      <c r="AP9" s="26"/>
      <c r="AV9" s="72"/>
      <c r="AW9" s="72"/>
      <c r="AX9" s="72"/>
      <c r="AY9" s="72"/>
      <c r="AZ9" s="72"/>
      <c r="BA9" s="72"/>
    </row>
    <row r="10" spans="1:53" ht="15" customHeight="1">
      <c r="A10" s="153" t="s">
        <v>551</v>
      </c>
      <c r="B10" s="656">
        <v>0.3</v>
      </c>
      <c r="C10" s="656">
        <v>0.2</v>
      </c>
      <c r="D10" s="656">
        <v>0.23</v>
      </c>
      <c r="E10" s="656">
        <v>1.1000000000000001</v>
      </c>
      <c r="F10" s="27"/>
      <c r="G10" s="153"/>
      <c r="H10" s="653"/>
      <c r="I10" s="653"/>
      <c r="J10" s="653"/>
      <c r="K10" s="653"/>
      <c r="M10" s="153"/>
      <c r="N10" s="653"/>
      <c r="O10" s="653"/>
      <c r="P10" s="653"/>
      <c r="Q10" s="653"/>
      <c r="R10" s="26"/>
      <c r="S10" s="153"/>
      <c r="T10" s="653"/>
      <c r="U10" s="653"/>
      <c r="V10" s="653"/>
      <c r="W10" s="653"/>
      <c r="X10" s="26"/>
      <c r="Y10" s="153"/>
      <c r="Z10" s="653"/>
      <c r="AA10" s="653"/>
      <c r="AB10" s="653"/>
      <c r="AC10" s="653"/>
      <c r="AE10" s="153"/>
      <c r="AF10" s="653"/>
      <c r="AG10" s="653"/>
      <c r="AH10" s="653"/>
      <c r="AI10" s="653"/>
      <c r="AK10" s="153"/>
      <c r="AL10" s="653"/>
      <c r="AM10" s="653"/>
      <c r="AN10" s="653"/>
      <c r="AO10" s="653"/>
      <c r="AP10" s="26"/>
      <c r="AV10" s="72"/>
      <c r="AW10" s="72"/>
      <c r="AX10" s="72"/>
      <c r="AY10" s="72"/>
      <c r="AZ10" s="72"/>
      <c r="BA10" s="72"/>
    </row>
    <row r="11" spans="1:53" ht="15" customHeight="1">
      <c r="A11" s="27"/>
      <c r="B11" s="654"/>
      <c r="C11" s="654"/>
      <c r="D11" s="654"/>
      <c r="E11" s="654"/>
      <c r="F11" s="27"/>
      <c r="G11" s="27"/>
      <c r="H11" s="654"/>
      <c r="I11" s="654"/>
      <c r="J11" s="654"/>
      <c r="K11" s="654"/>
      <c r="L11" s="27"/>
      <c r="M11" s="27"/>
      <c r="N11" s="654"/>
      <c r="O11" s="654"/>
      <c r="P11" s="654"/>
      <c r="Q11" s="654"/>
      <c r="R11" s="27"/>
      <c r="S11" s="27"/>
      <c r="T11" s="654"/>
      <c r="U11" s="654"/>
      <c r="V11" s="654"/>
      <c r="W11" s="654"/>
      <c r="X11" s="27"/>
      <c r="Y11" s="27"/>
      <c r="Z11" s="654"/>
      <c r="AA11" s="654"/>
      <c r="AB11" s="654"/>
      <c r="AC11" s="654"/>
      <c r="AD11" s="27"/>
      <c r="AE11" s="27"/>
      <c r="AF11" s="654"/>
      <c r="AG11" s="654"/>
      <c r="AH11" s="654"/>
      <c r="AI11" s="654"/>
      <c r="AJ11" s="27"/>
      <c r="AK11" s="27"/>
      <c r="AL11" s="654"/>
      <c r="AM11" s="654"/>
      <c r="AN11" s="654"/>
      <c r="AO11" s="654"/>
      <c r="AP11" s="27"/>
      <c r="AQ11" s="27"/>
      <c r="AV11" s="72"/>
      <c r="AW11" s="72"/>
      <c r="AX11" s="72"/>
      <c r="AY11" s="72"/>
      <c r="AZ11" s="72"/>
      <c r="BA11" s="72"/>
    </row>
    <row r="12" spans="1:53" ht="15" customHeight="1">
      <c r="A12" s="26"/>
      <c r="B12" s="654"/>
      <c r="C12" s="654"/>
      <c r="D12" s="654"/>
      <c r="E12" s="654"/>
      <c r="F12" s="27"/>
      <c r="K12" s="668"/>
      <c r="P12" s="657"/>
      <c r="Q12" s="668"/>
      <c r="R12" s="26"/>
      <c r="V12" s="657"/>
      <c r="W12" s="668"/>
      <c r="X12" s="26"/>
      <c r="Y12" s="26"/>
      <c r="AC12" s="668"/>
      <c r="AH12" s="657"/>
      <c r="AI12" s="668"/>
      <c r="AO12" s="668"/>
      <c r="AP12" s="26"/>
      <c r="AV12" s="72"/>
      <c r="AW12" s="72"/>
      <c r="AX12" s="72"/>
      <c r="AY12" s="72"/>
      <c r="AZ12" s="72"/>
      <c r="BA12" s="72"/>
    </row>
    <row r="13" spans="1:53" s="664" customFormat="1" ht="15" customHeight="1">
      <c r="A13" s="660" t="s">
        <v>355</v>
      </c>
      <c r="B13" s="661"/>
      <c r="C13" s="661"/>
      <c r="D13" s="661"/>
      <c r="E13" s="662"/>
      <c r="F13" s="663"/>
      <c r="G13" s="660"/>
      <c r="H13" s="661"/>
      <c r="I13" s="661"/>
      <c r="J13" s="661"/>
      <c r="K13" s="662"/>
      <c r="M13" s="660"/>
      <c r="N13" s="661"/>
      <c r="O13" s="661"/>
      <c r="P13" s="661"/>
      <c r="Q13" s="662"/>
      <c r="R13" s="663"/>
      <c r="S13" s="660"/>
      <c r="T13" s="661"/>
      <c r="U13" s="661"/>
      <c r="V13" s="661"/>
      <c r="W13" s="662"/>
      <c r="X13" s="660"/>
      <c r="Y13" s="660"/>
      <c r="Z13" s="661"/>
      <c r="AA13" s="661"/>
      <c r="AB13" s="661"/>
      <c r="AC13" s="662"/>
      <c r="AD13" s="663"/>
      <c r="AE13" s="660"/>
      <c r="AF13" s="661"/>
      <c r="AG13" s="661"/>
      <c r="AH13" s="661"/>
      <c r="AI13" s="662"/>
      <c r="AJ13" s="663"/>
      <c r="AK13" s="660"/>
      <c r="AL13" s="661"/>
      <c r="AM13" s="661"/>
      <c r="AN13" s="661"/>
      <c r="AO13" s="662"/>
      <c r="AP13" s="660"/>
      <c r="AR13" s="665"/>
      <c r="AS13" s="665"/>
      <c r="AT13" s="665"/>
      <c r="AU13" s="665"/>
      <c r="AV13" s="666"/>
      <c r="AW13" s="666"/>
      <c r="AX13" s="666"/>
      <c r="AY13" s="666"/>
      <c r="AZ13" s="666"/>
      <c r="BA13" s="666"/>
    </row>
    <row r="14" spans="1:53" ht="15" customHeight="1">
      <c r="A14" s="152"/>
      <c r="B14" s="652" t="s">
        <v>351</v>
      </c>
      <c r="C14" s="652" t="s">
        <v>352</v>
      </c>
      <c r="D14" s="652" t="s">
        <v>353</v>
      </c>
      <c r="E14" s="652" t="s">
        <v>354</v>
      </c>
      <c r="F14" s="27"/>
      <c r="G14" s="152"/>
      <c r="H14" s="652"/>
      <c r="I14" s="652"/>
      <c r="J14" s="652"/>
      <c r="K14" s="652"/>
      <c r="M14" s="152"/>
      <c r="N14" s="652"/>
      <c r="O14" s="652"/>
      <c r="P14" s="652"/>
      <c r="Q14" s="652"/>
      <c r="R14" s="544"/>
      <c r="S14" s="152"/>
      <c r="T14" s="652"/>
      <c r="U14" s="652"/>
      <c r="V14" s="652"/>
      <c r="W14" s="652"/>
      <c r="X14" s="26"/>
      <c r="Y14" s="152"/>
      <c r="Z14" s="652"/>
      <c r="AA14" s="652"/>
      <c r="AB14" s="652"/>
      <c r="AC14" s="652"/>
      <c r="AD14" s="544"/>
      <c r="AE14" s="152"/>
      <c r="AF14" s="652"/>
      <c r="AG14" s="652"/>
      <c r="AH14" s="652"/>
      <c r="AI14" s="652"/>
      <c r="AJ14" s="544"/>
      <c r="AK14" s="152"/>
      <c r="AL14" s="652"/>
      <c r="AM14" s="652"/>
      <c r="AN14" s="652"/>
      <c r="AO14" s="652"/>
      <c r="AP14" s="26"/>
      <c r="AV14" s="72"/>
      <c r="AW14" s="72"/>
      <c r="AX14" s="72"/>
      <c r="AY14" s="72"/>
      <c r="AZ14" s="72"/>
      <c r="BA14" s="72"/>
    </row>
    <row r="15" spans="1:53" ht="15" customHeight="1">
      <c r="A15" s="153" t="s">
        <v>546</v>
      </c>
      <c r="B15" s="656">
        <f>UI_Termomodernizacja!C6</f>
        <v>0.13900000000000001</v>
      </c>
      <c r="C15" s="656">
        <f>UI_Termomodernizacja!D6</f>
        <v>0.1</v>
      </c>
      <c r="D15" s="656">
        <f>UI_Termomodernizacja!E6</f>
        <v>0.1</v>
      </c>
      <c r="E15" s="656">
        <f>UI_Termomodernizacja!F6</f>
        <v>0.9</v>
      </c>
      <c r="F15" s="27"/>
      <c r="G15" s="153"/>
      <c r="H15" s="653"/>
      <c r="I15" s="653"/>
      <c r="J15" s="653"/>
      <c r="K15" s="653"/>
      <c r="M15" s="153"/>
      <c r="N15" s="653"/>
      <c r="O15" s="653"/>
      <c r="P15" s="653"/>
      <c r="Q15" s="658"/>
      <c r="R15" s="171"/>
      <c r="S15" s="153"/>
      <c r="T15" s="653"/>
      <c r="U15" s="653"/>
      <c r="V15" s="653"/>
      <c r="W15" s="653"/>
      <c r="X15" s="26"/>
      <c r="Y15" s="153"/>
      <c r="Z15" s="653"/>
      <c r="AA15" s="653"/>
      <c r="AB15" s="653"/>
      <c r="AC15" s="653"/>
      <c r="AD15" s="171"/>
      <c r="AE15" s="153"/>
      <c r="AF15" s="653"/>
      <c r="AG15" s="653"/>
      <c r="AH15" s="653"/>
      <c r="AI15" s="653"/>
      <c r="AJ15" s="171"/>
      <c r="AK15" s="153"/>
      <c r="AL15" s="653"/>
      <c r="AM15" s="653"/>
      <c r="AN15" s="653"/>
      <c r="AO15" s="653"/>
      <c r="AP15" s="26"/>
      <c r="AV15" s="72"/>
      <c r="AW15" s="72"/>
      <c r="AX15" s="72"/>
      <c r="AY15" s="72"/>
      <c r="AZ15" s="72"/>
      <c r="BA15" s="72"/>
    </row>
    <row r="16" spans="1:53" ht="15" customHeight="1">
      <c r="A16" s="153" t="s">
        <v>547</v>
      </c>
      <c r="B16" s="656">
        <f>UI_Termomodernizacja!C7</f>
        <v>0.13900000000000001</v>
      </c>
      <c r="C16" s="656">
        <f>UI_Termomodernizacja!D7</f>
        <v>0.1</v>
      </c>
      <c r="D16" s="656">
        <f>UI_Termomodernizacja!E7</f>
        <v>0.1</v>
      </c>
      <c r="E16" s="656">
        <f>UI_Termomodernizacja!F7</f>
        <v>0.9</v>
      </c>
      <c r="F16" s="27"/>
      <c r="G16" s="153"/>
      <c r="H16" s="653"/>
      <c r="I16" s="653"/>
      <c r="J16" s="653"/>
      <c r="K16" s="653"/>
      <c r="M16" s="153"/>
      <c r="N16" s="653"/>
      <c r="O16" s="653"/>
      <c r="P16" s="653"/>
      <c r="Q16" s="653"/>
      <c r="R16" s="171"/>
      <c r="S16" s="153"/>
      <c r="T16" s="653"/>
      <c r="U16" s="653"/>
      <c r="V16" s="653"/>
      <c r="W16" s="653"/>
      <c r="X16" s="26"/>
      <c r="Y16" s="153"/>
      <c r="Z16" s="653"/>
      <c r="AA16" s="653"/>
      <c r="AB16" s="653"/>
      <c r="AC16" s="653"/>
      <c r="AD16" s="171"/>
      <c r="AE16" s="153"/>
      <c r="AF16" s="653"/>
      <c r="AG16" s="653"/>
      <c r="AH16" s="653"/>
      <c r="AI16" s="653"/>
      <c r="AJ16" s="171"/>
      <c r="AK16" s="153"/>
      <c r="AL16" s="653"/>
      <c r="AM16" s="653"/>
      <c r="AN16" s="653"/>
      <c r="AO16" s="653"/>
      <c r="AP16" s="26"/>
      <c r="AV16" s="72"/>
      <c r="AW16" s="72"/>
      <c r="AX16" s="72"/>
      <c r="AY16" s="72"/>
      <c r="AZ16" s="72"/>
      <c r="BA16" s="72"/>
    </row>
    <row r="17" spans="1:53" ht="15" customHeight="1">
      <c r="A17" s="153" t="s">
        <v>548</v>
      </c>
      <c r="B17" s="656">
        <f>UI_Termomodernizacja!C8</f>
        <v>0.13900000000000001</v>
      </c>
      <c r="C17" s="656">
        <f>UI_Termomodernizacja!D8</f>
        <v>0.1</v>
      </c>
      <c r="D17" s="656">
        <f>UI_Termomodernizacja!E8</f>
        <v>0.1</v>
      </c>
      <c r="E17" s="656">
        <f>UI_Termomodernizacja!F8</f>
        <v>0.9</v>
      </c>
      <c r="F17" s="27"/>
      <c r="G17" s="153"/>
      <c r="H17" s="653"/>
      <c r="I17" s="653"/>
      <c r="J17" s="653"/>
      <c r="K17" s="653"/>
      <c r="M17" s="153"/>
      <c r="N17" s="653"/>
      <c r="O17" s="653"/>
      <c r="P17" s="653"/>
      <c r="Q17" s="653"/>
      <c r="R17" s="171"/>
      <c r="S17" s="153"/>
      <c r="T17" s="653"/>
      <c r="U17" s="653"/>
      <c r="V17" s="653"/>
      <c r="W17" s="653"/>
      <c r="X17" s="26"/>
      <c r="Y17" s="153"/>
      <c r="Z17" s="653"/>
      <c r="AA17" s="653"/>
      <c r="AB17" s="653"/>
      <c r="AC17" s="653"/>
      <c r="AD17" s="171"/>
      <c r="AE17" s="153"/>
      <c r="AF17" s="653"/>
      <c r="AG17" s="653"/>
      <c r="AH17" s="653"/>
      <c r="AI17" s="653"/>
      <c r="AJ17" s="171"/>
      <c r="AK17" s="153"/>
      <c r="AL17" s="653"/>
      <c r="AM17" s="653"/>
      <c r="AN17" s="653"/>
      <c r="AO17" s="653"/>
      <c r="AP17" s="26"/>
      <c r="AV17" s="72"/>
      <c r="AW17" s="72"/>
      <c r="AX17" s="72"/>
      <c r="AY17" s="72"/>
      <c r="AZ17" s="72"/>
      <c r="BA17" s="72"/>
    </row>
    <row r="18" spans="1:53" ht="15" customHeight="1">
      <c r="A18" s="153" t="s">
        <v>549</v>
      </c>
      <c r="B18" s="656">
        <f>UI_Termomodernizacja!C9</f>
        <v>0.13900000000000001</v>
      </c>
      <c r="C18" s="656">
        <f>UI_Termomodernizacja!D9</f>
        <v>0.1</v>
      </c>
      <c r="D18" s="656">
        <f>UI_Termomodernizacja!E9</f>
        <v>0.1</v>
      </c>
      <c r="E18" s="656">
        <f>UI_Termomodernizacja!F9</f>
        <v>0.9</v>
      </c>
      <c r="F18" s="27"/>
      <c r="G18" s="153"/>
      <c r="H18" s="653"/>
      <c r="I18" s="653"/>
      <c r="J18" s="653"/>
      <c r="K18" s="653"/>
      <c r="M18" s="153"/>
      <c r="N18" s="653"/>
      <c r="O18" s="653"/>
      <c r="P18" s="653"/>
      <c r="Q18" s="653"/>
      <c r="R18" s="171"/>
      <c r="S18" s="153"/>
      <c r="T18" s="653"/>
      <c r="U18" s="653"/>
      <c r="V18" s="653"/>
      <c r="W18" s="653"/>
      <c r="X18" s="26"/>
      <c r="Y18" s="153"/>
      <c r="Z18" s="653"/>
      <c r="AA18" s="653"/>
      <c r="AB18" s="653"/>
      <c r="AC18" s="653"/>
      <c r="AD18" s="171"/>
      <c r="AE18" s="153"/>
      <c r="AF18" s="653"/>
      <c r="AG18" s="653"/>
      <c r="AH18" s="653"/>
      <c r="AI18" s="653"/>
      <c r="AJ18" s="171"/>
      <c r="AK18" s="153"/>
      <c r="AL18" s="653"/>
      <c r="AM18" s="653"/>
      <c r="AN18" s="653"/>
      <c r="AO18" s="653"/>
      <c r="AP18" s="26"/>
      <c r="AV18" s="72"/>
      <c r="AW18" s="72"/>
      <c r="AX18" s="72"/>
      <c r="AY18" s="72"/>
      <c r="AZ18" s="72"/>
      <c r="BA18" s="72"/>
    </row>
    <row r="19" spans="1:53" ht="15" customHeight="1">
      <c r="A19" s="153" t="s">
        <v>550</v>
      </c>
      <c r="B19" s="656">
        <f>UI_Termomodernizacja!C10</f>
        <v>0.13900000000000001</v>
      </c>
      <c r="C19" s="656">
        <f>UI_Termomodernizacja!D10</f>
        <v>0.1</v>
      </c>
      <c r="D19" s="656">
        <f>UI_Termomodernizacja!E10</f>
        <v>0.1</v>
      </c>
      <c r="E19" s="656">
        <f>UI_Termomodernizacja!F10</f>
        <v>0.9</v>
      </c>
      <c r="F19" s="27"/>
      <c r="G19" s="153"/>
      <c r="H19" s="653"/>
      <c r="I19" s="653"/>
      <c r="J19" s="653"/>
      <c r="K19" s="653"/>
      <c r="M19" s="153"/>
      <c r="N19" s="653"/>
      <c r="O19" s="653"/>
      <c r="P19" s="653"/>
      <c r="Q19" s="653"/>
      <c r="R19" s="171"/>
      <c r="S19" s="153"/>
      <c r="T19" s="653"/>
      <c r="U19" s="653"/>
      <c r="V19" s="653"/>
      <c r="W19" s="653"/>
      <c r="X19" s="26"/>
      <c r="Y19" s="153"/>
      <c r="Z19" s="653"/>
      <c r="AA19" s="653"/>
      <c r="AB19" s="653"/>
      <c r="AC19" s="653"/>
      <c r="AD19" s="171"/>
      <c r="AE19" s="153"/>
      <c r="AF19" s="653"/>
      <c r="AG19" s="653"/>
      <c r="AH19" s="653"/>
      <c r="AI19" s="653"/>
      <c r="AJ19" s="171"/>
      <c r="AK19" s="153"/>
      <c r="AL19" s="653"/>
      <c r="AM19" s="653"/>
      <c r="AN19" s="653"/>
      <c r="AO19" s="653"/>
      <c r="AP19" s="26"/>
      <c r="AV19" s="72"/>
      <c r="AW19" s="72"/>
      <c r="AX19" s="72"/>
      <c r="AY19" s="72"/>
      <c r="AZ19" s="72"/>
      <c r="BA19" s="72"/>
    </row>
    <row r="20" spans="1:53" ht="15" customHeight="1">
      <c r="A20" s="153" t="s">
        <v>551</v>
      </c>
      <c r="B20" s="656">
        <f>UI_Termomodernizacja!C11</f>
        <v>0.13900000000000001</v>
      </c>
      <c r="C20" s="656">
        <f>UI_Termomodernizacja!D11</f>
        <v>0.1</v>
      </c>
      <c r="D20" s="656">
        <f>UI_Termomodernizacja!E11</f>
        <v>0.1</v>
      </c>
      <c r="E20" s="656">
        <f>UI_Termomodernizacja!F11</f>
        <v>0.9</v>
      </c>
      <c r="F20" s="27"/>
      <c r="G20" s="153"/>
      <c r="H20" s="653"/>
      <c r="I20" s="653"/>
      <c r="J20" s="653"/>
      <c r="K20" s="653"/>
      <c r="M20" s="153"/>
      <c r="N20" s="653"/>
      <c r="O20" s="653"/>
      <c r="P20" s="653"/>
      <c r="Q20" s="653"/>
      <c r="R20" s="171"/>
      <c r="S20" s="153"/>
      <c r="T20" s="653"/>
      <c r="U20" s="653"/>
      <c r="V20" s="653"/>
      <c r="W20" s="653"/>
      <c r="X20" s="26"/>
      <c r="Y20" s="153"/>
      <c r="Z20" s="653"/>
      <c r="AA20" s="653"/>
      <c r="AB20" s="653"/>
      <c r="AC20" s="653"/>
      <c r="AD20" s="171"/>
      <c r="AE20" s="153"/>
      <c r="AF20" s="653"/>
      <c r="AG20" s="653"/>
      <c r="AH20" s="653"/>
      <c r="AI20" s="653"/>
      <c r="AJ20" s="171"/>
      <c r="AK20" s="153"/>
      <c r="AL20" s="653"/>
      <c r="AM20" s="653"/>
      <c r="AN20" s="653"/>
      <c r="AO20" s="653"/>
      <c r="AP20" s="26"/>
      <c r="AV20" s="72"/>
      <c r="AW20" s="72"/>
      <c r="AX20" s="72"/>
      <c r="AY20" s="72"/>
      <c r="AZ20" s="72"/>
      <c r="BA20" s="72"/>
    </row>
    <row r="21" spans="1:53" ht="15" customHeight="1">
      <c r="AP21" s="26"/>
      <c r="AV21" s="72"/>
      <c r="AW21" s="72"/>
      <c r="AX21" s="72"/>
      <c r="AY21" s="72"/>
      <c r="AZ21" s="72"/>
      <c r="BA21" s="72"/>
    </row>
    <row r="22" spans="1:53" ht="15" customHeight="1">
      <c r="A22" s="26" t="s">
        <v>356</v>
      </c>
      <c r="B22" s="81"/>
      <c r="C22" s="81"/>
      <c r="D22" s="81"/>
      <c r="E22" s="80">
        <v>2020</v>
      </c>
      <c r="F22" s="27"/>
      <c r="G22" s="26"/>
      <c r="H22" s="81"/>
      <c r="I22" s="81"/>
      <c r="J22" s="81"/>
      <c r="K22" s="655"/>
      <c r="M22" s="26"/>
      <c r="N22" s="81"/>
      <c r="O22" s="81"/>
      <c r="P22" s="81"/>
      <c r="Q22" s="80"/>
      <c r="R22" s="524"/>
      <c r="S22" s="26"/>
      <c r="T22" s="81"/>
      <c r="U22" s="81"/>
      <c r="V22" s="81"/>
      <c r="W22" s="80"/>
      <c r="Y22" s="26"/>
      <c r="Z22" s="81"/>
      <c r="AA22" s="81"/>
      <c r="AB22" s="81"/>
      <c r="AC22" s="80"/>
      <c r="AD22" s="524"/>
      <c r="AE22" s="26"/>
      <c r="AF22" s="81"/>
      <c r="AG22" s="81"/>
      <c r="AH22" s="81"/>
      <c r="AI22" s="80"/>
      <c r="AJ22" s="524"/>
      <c r="AK22" s="26"/>
      <c r="AL22" s="81"/>
      <c r="AM22" s="81"/>
      <c r="AN22" s="81"/>
      <c r="AO22" s="80"/>
      <c r="AP22" s="26"/>
      <c r="AV22" s="72"/>
      <c r="AW22" s="72"/>
      <c r="AX22" s="72"/>
      <c r="AY22" s="72"/>
      <c r="AZ22" s="72"/>
      <c r="BA22" s="72"/>
    </row>
    <row r="23" spans="1:53" ht="15" customHeight="1">
      <c r="A23" s="152"/>
      <c r="B23" s="652" t="s">
        <v>351</v>
      </c>
      <c r="C23" s="652" t="s">
        <v>352</v>
      </c>
      <c r="D23" s="652" t="s">
        <v>353</v>
      </c>
      <c r="E23" s="652" t="s">
        <v>354</v>
      </c>
      <c r="F23" s="27"/>
      <c r="G23" s="152"/>
      <c r="H23" s="652"/>
      <c r="I23" s="652"/>
      <c r="J23" s="652"/>
      <c r="K23" s="652"/>
      <c r="M23" s="152"/>
      <c r="N23" s="652"/>
      <c r="O23" s="652"/>
      <c r="P23" s="652"/>
      <c r="Q23" s="652"/>
      <c r="R23" s="544"/>
      <c r="S23" s="152"/>
      <c r="T23" s="652"/>
      <c r="U23" s="652"/>
      <c r="V23" s="652"/>
      <c r="W23" s="652"/>
      <c r="Y23" s="152"/>
      <c r="Z23" s="652"/>
      <c r="AA23" s="652"/>
      <c r="AB23" s="652"/>
      <c r="AC23" s="652"/>
      <c r="AD23" s="544"/>
      <c r="AE23" s="152"/>
      <c r="AF23" s="652"/>
      <c r="AG23" s="652"/>
      <c r="AH23" s="652"/>
      <c r="AI23" s="652"/>
      <c r="AJ23" s="544"/>
      <c r="AK23" s="152"/>
      <c r="AL23" s="652"/>
      <c r="AM23" s="652"/>
      <c r="AN23" s="652"/>
      <c r="AO23" s="652"/>
      <c r="AP23" s="26"/>
      <c r="AV23" s="72"/>
      <c r="AW23" s="72"/>
      <c r="AX23" s="72"/>
      <c r="AY23" s="72"/>
      <c r="AZ23" s="72"/>
      <c r="BA23" s="72"/>
    </row>
    <row r="24" spans="1:53" ht="15" customHeight="1">
      <c r="A24" s="153" t="s">
        <v>546</v>
      </c>
      <c r="B24" s="656">
        <v>0.35</v>
      </c>
      <c r="C24" s="656">
        <v>0.35</v>
      </c>
      <c r="D24" s="656">
        <v>0.35</v>
      </c>
      <c r="E24" s="656">
        <v>0.35</v>
      </c>
      <c r="F24" s="27"/>
      <c r="G24" s="153"/>
      <c r="H24" s="653"/>
      <c r="I24" s="653"/>
      <c r="J24" s="653"/>
      <c r="K24" s="653"/>
      <c r="M24" s="153"/>
      <c r="N24" s="653"/>
      <c r="O24" s="653"/>
      <c r="P24" s="653"/>
      <c r="Q24" s="653"/>
      <c r="R24" s="171"/>
      <c r="S24" s="153"/>
      <c r="T24" s="653"/>
      <c r="U24" s="653"/>
      <c r="V24" s="653"/>
      <c r="W24" s="653"/>
      <c r="Y24" s="153"/>
      <c r="Z24" s="653"/>
      <c r="AA24" s="653"/>
      <c r="AB24" s="653"/>
      <c r="AC24" s="653"/>
      <c r="AD24" s="171"/>
      <c r="AE24" s="153"/>
      <c r="AF24" s="653"/>
      <c r="AG24" s="653"/>
      <c r="AH24" s="653"/>
      <c r="AI24" s="653"/>
      <c r="AJ24" s="171"/>
      <c r="AK24" s="153"/>
      <c r="AL24" s="653"/>
      <c r="AM24" s="653"/>
      <c r="AN24" s="653"/>
      <c r="AO24" s="653"/>
      <c r="AP24" s="26"/>
      <c r="AV24" s="72"/>
      <c r="AW24" s="72"/>
      <c r="AX24" s="72"/>
      <c r="AY24" s="72"/>
      <c r="AZ24" s="72"/>
      <c r="BA24" s="72"/>
    </row>
    <row r="25" spans="1:53" ht="15" customHeight="1">
      <c r="A25" s="153" t="s">
        <v>547</v>
      </c>
      <c r="B25" s="656">
        <v>0.4</v>
      </c>
      <c r="C25" s="656">
        <v>0.4</v>
      </c>
      <c r="D25" s="656">
        <v>0.4</v>
      </c>
      <c r="E25" s="656">
        <v>0.4</v>
      </c>
      <c r="F25" s="27"/>
      <c r="G25" s="153"/>
      <c r="H25" s="653"/>
      <c r="I25" s="653"/>
      <c r="J25" s="653"/>
      <c r="K25" s="653"/>
      <c r="M25" s="153"/>
      <c r="N25" s="653"/>
      <c r="O25" s="653"/>
      <c r="P25" s="653"/>
      <c r="Q25" s="653"/>
      <c r="R25" s="171"/>
      <c r="S25" s="153"/>
      <c r="T25" s="653"/>
      <c r="U25" s="653"/>
      <c r="V25" s="653"/>
      <c r="W25" s="653"/>
      <c r="Y25" s="153"/>
      <c r="Z25" s="653"/>
      <c r="AA25" s="653"/>
      <c r="AB25" s="653"/>
      <c r="AC25" s="653"/>
      <c r="AD25" s="171"/>
      <c r="AE25" s="153"/>
      <c r="AF25" s="653"/>
      <c r="AG25" s="653"/>
      <c r="AH25" s="653"/>
      <c r="AI25" s="653"/>
      <c r="AJ25" s="171"/>
      <c r="AK25" s="153"/>
      <c r="AL25" s="653"/>
      <c r="AM25" s="653"/>
      <c r="AN25" s="653"/>
      <c r="AO25" s="653"/>
      <c r="AP25" s="26"/>
      <c r="AV25" s="72"/>
      <c r="AW25" s="72"/>
      <c r="AX25" s="72"/>
      <c r="AY25" s="72"/>
      <c r="AZ25" s="72"/>
      <c r="BA25" s="72"/>
    </row>
    <row r="26" spans="1:53" ht="15" customHeight="1">
      <c r="A26" s="153" t="s">
        <v>548</v>
      </c>
      <c r="B26" s="656">
        <v>0.4</v>
      </c>
      <c r="C26" s="656">
        <v>0.4</v>
      </c>
      <c r="D26" s="656">
        <v>0.4</v>
      </c>
      <c r="E26" s="656">
        <v>0.4</v>
      </c>
      <c r="F26" s="27"/>
      <c r="G26" s="153"/>
      <c r="H26" s="653"/>
      <c r="I26" s="653"/>
      <c r="J26" s="653"/>
      <c r="K26" s="653"/>
      <c r="M26" s="153"/>
      <c r="N26" s="653"/>
      <c r="O26" s="653"/>
      <c r="P26" s="653"/>
      <c r="Q26" s="653"/>
      <c r="R26" s="171"/>
      <c r="S26" s="153"/>
      <c r="T26" s="653"/>
      <c r="U26" s="653"/>
      <c r="V26" s="653"/>
      <c r="W26" s="653"/>
      <c r="Y26" s="153"/>
      <c r="Z26" s="653"/>
      <c r="AA26" s="653"/>
      <c r="AB26" s="653"/>
      <c r="AC26" s="653"/>
      <c r="AD26" s="171"/>
      <c r="AE26" s="153"/>
      <c r="AF26" s="653"/>
      <c r="AG26" s="653"/>
      <c r="AH26" s="653"/>
      <c r="AI26" s="653"/>
      <c r="AJ26" s="171"/>
      <c r="AK26" s="153"/>
      <c r="AL26" s="653"/>
      <c r="AM26" s="653"/>
      <c r="AN26" s="653"/>
      <c r="AO26" s="653"/>
      <c r="AP26" s="26"/>
      <c r="AV26" s="72"/>
      <c r="AW26" s="72"/>
      <c r="AX26" s="72"/>
      <c r="AY26" s="72"/>
      <c r="AZ26" s="72"/>
      <c r="BA26" s="72"/>
    </row>
    <row r="27" spans="1:53" ht="15" customHeight="1">
      <c r="A27" s="153" t="s">
        <v>549</v>
      </c>
      <c r="B27" s="656">
        <v>0.4</v>
      </c>
      <c r="C27" s="656">
        <v>0.4</v>
      </c>
      <c r="D27" s="656">
        <v>0.4</v>
      </c>
      <c r="E27" s="656">
        <v>0.4</v>
      </c>
      <c r="F27" s="27"/>
      <c r="G27" s="153"/>
      <c r="H27" s="653"/>
      <c r="I27" s="653"/>
      <c r="J27" s="653"/>
      <c r="K27" s="653"/>
      <c r="M27" s="153"/>
      <c r="N27" s="653"/>
      <c r="O27" s="653"/>
      <c r="P27" s="653"/>
      <c r="Q27" s="653"/>
      <c r="R27" s="171"/>
      <c r="S27" s="153"/>
      <c r="T27" s="653"/>
      <c r="U27" s="653"/>
      <c r="V27" s="653"/>
      <c r="W27" s="653"/>
      <c r="Y27" s="153"/>
      <c r="Z27" s="653"/>
      <c r="AA27" s="653"/>
      <c r="AB27" s="653"/>
      <c r="AC27" s="653"/>
      <c r="AD27" s="171"/>
      <c r="AE27" s="153"/>
      <c r="AF27" s="653"/>
      <c r="AG27" s="653"/>
      <c r="AH27" s="653"/>
      <c r="AI27" s="653"/>
      <c r="AJ27" s="171"/>
      <c r="AK27" s="153"/>
      <c r="AL27" s="653"/>
      <c r="AM27" s="653"/>
      <c r="AN27" s="653"/>
      <c r="AO27" s="653"/>
      <c r="AP27" s="26"/>
      <c r="AV27" s="72"/>
      <c r="AW27" s="72"/>
      <c r="AX27" s="72"/>
      <c r="AY27" s="72"/>
      <c r="AZ27" s="72"/>
      <c r="BA27" s="72"/>
    </row>
    <row r="28" spans="1:53" ht="15" customHeight="1">
      <c r="A28" s="153" t="s">
        <v>550</v>
      </c>
      <c r="B28" s="656">
        <v>0.3</v>
      </c>
      <c r="C28" s="656">
        <v>0.3</v>
      </c>
      <c r="D28" s="656">
        <v>0.3</v>
      </c>
      <c r="E28" s="656">
        <v>0.3</v>
      </c>
      <c r="F28" s="27"/>
      <c r="G28" s="153"/>
      <c r="H28" s="653"/>
      <c r="I28" s="653"/>
      <c r="J28" s="653"/>
      <c r="K28" s="653"/>
      <c r="M28" s="153"/>
      <c r="N28" s="653"/>
      <c r="O28" s="653"/>
      <c r="P28" s="653"/>
      <c r="Q28" s="653"/>
      <c r="R28" s="171"/>
      <c r="S28" s="153"/>
      <c r="T28" s="653"/>
      <c r="U28" s="653"/>
      <c r="V28" s="653"/>
      <c r="W28" s="653"/>
      <c r="Y28" s="153"/>
      <c r="Z28" s="653"/>
      <c r="AA28" s="653"/>
      <c r="AB28" s="653"/>
      <c r="AC28" s="653"/>
      <c r="AD28" s="171"/>
      <c r="AE28" s="153"/>
      <c r="AF28" s="653"/>
      <c r="AG28" s="653"/>
      <c r="AH28" s="653"/>
      <c r="AI28" s="653"/>
      <c r="AJ28" s="171"/>
      <c r="AK28" s="153"/>
      <c r="AL28" s="653"/>
      <c r="AM28" s="653"/>
      <c r="AN28" s="653"/>
      <c r="AO28" s="653"/>
      <c r="AP28" s="26"/>
      <c r="AV28" s="72"/>
      <c r="AW28" s="72"/>
      <c r="AX28" s="72"/>
      <c r="AY28" s="72"/>
      <c r="AZ28" s="72"/>
      <c r="BA28" s="72"/>
    </row>
    <row r="29" spans="1:53" ht="15" customHeight="1">
      <c r="A29" s="153" t="s">
        <v>551</v>
      </c>
      <c r="B29" s="656">
        <v>0.1</v>
      </c>
      <c r="C29" s="656">
        <v>0.1</v>
      </c>
      <c r="D29" s="656">
        <v>0.1</v>
      </c>
      <c r="E29" s="656">
        <v>0.1</v>
      </c>
      <c r="F29" s="27"/>
      <c r="G29" s="153"/>
      <c r="H29" s="653"/>
      <c r="I29" s="653"/>
      <c r="J29" s="653"/>
      <c r="K29" s="653"/>
      <c r="M29" s="153"/>
      <c r="N29" s="653"/>
      <c r="O29" s="653"/>
      <c r="P29" s="653"/>
      <c r="Q29" s="653"/>
      <c r="R29" s="171"/>
      <c r="S29" s="153"/>
      <c r="T29" s="653"/>
      <c r="U29" s="653"/>
      <c r="V29" s="653"/>
      <c r="W29" s="653"/>
      <c r="Y29" s="153"/>
      <c r="Z29" s="653"/>
      <c r="AA29" s="653"/>
      <c r="AB29" s="653"/>
      <c r="AC29" s="653"/>
      <c r="AD29" s="171"/>
      <c r="AE29" s="153"/>
      <c r="AF29" s="653"/>
      <c r="AG29" s="653"/>
      <c r="AH29" s="653"/>
      <c r="AI29" s="653"/>
      <c r="AJ29" s="171"/>
      <c r="AK29" s="153"/>
      <c r="AL29" s="653"/>
      <c r="AM29" s="653"/>
      <c r="AN29" s="653"/>
      <c r="AO29" s="653"/>
      <c r="AP29" s="26"/>
      <c r="AV29" s="72"/>
      <c r="AW29" s="72"/>
      <c r="AX29" s="72"/>
      <c r="AY29" s="72"/>
      <c r="AZ29" s="72"/>
      <c r="BA29" s="72"/>
    </row>
    <row r="30" spans="1:53" ht="15" customHeight="1">
      <c r="A30" s="26"/>
      <c r="B30" s="654"/>
      <c r="C30" s="654"/>
      <c r="D30" s="654"/>
      <c r="E30" s="654"/>
      <c r="F30" s="27"/>
    </row>
    <row r="31" spans="1:53" ht="21">
      <c r="A31" s="26" t="s">
        <v>694</v>
      </c>
      <c r="G31" s="26"/>
      <c r="M31" s="26"/>
      <c r="S31" s="26"/>
      <c r="Y31" s="26"/>
      <c r="AE31" s="26"/>
      <c r="AK31" s="26"/>
    </row>
    <row r="32" spans="1:53">
      <c r="A32" s="152"/>
      <c r="B32" s="652" t="s">
        <v>351</v>
      </c>
      <c r="C32" s="652" t="s">
        <v>352</v>
      </c>
      <c r="D32" s="652" t="s">
        <v>353</v>
      </c>
      <c r="E32" s="652" t="s">
        <v>354</v>
      </c>
      <c r="G32" s="152"/>
      <c r="H32" s="652"/>
      <c r="I32" s="652"/>
      <c r="J32" s="652"/>
      <c r="K32" s="652"/>
      <c r="M32" s="152"/>
      <c r="N32" s="652"/>
      <c r="O32" s="652"/>
      <c r="P32" s="652"/>
      <c r="Q32" s="652"/>
      <c r="S32" s="152"/>
      <c r="T32" s="652"/>
      <c r="U32" s="652"/>
      <c r="V32" s="652"/>
      <c r="W32" s="652"/>
      <c r="Y32" s="152"/>
      <c r="Z32" s="652"/>
      <c r="AA32" s="652"/>
      <c r="AB32" s="652"/>
      <c r="AC32" s="652"/>
      <c r="AE32" s="152"/>
      <c r="AF32" s="652"/>
      <c r="AG32" s="652"/>
      <c r="AH32" s="652"/>
      <c r="AI32" s="652"/>
      <c r="AK32" s="152"/>
      <c r="AL32" s="652"/>
      <c r="AM32" s="652"/>
      <c r="AN32" s="652"/>
      <c r="AO32" s="652"/>
    </row>
    <row r="33" spans="1:41">
      <c r="A33" s="153" t="s">
        <v>546</v>
      </c>
      <c r="B33" s="656">
        <f t="shared" ref="B33:B38" si="0">(1-B24)*B5+(B24*B15)</f>
        <v>0.69864999999999999</v>
      </c>
      <c r="C33" s="656">
        <f t="shared" ref="C33:E33" si="1">(1-C24)*C5+(C24*C15)</f>
        <v>0.55500000000000005</v>
      </c>
      <c r="D33" s="656">
        <f t="shared" si="1"/>
        <v>1.075</v>
      </c>
      <c r="E33" s="656">
        <f t="shared" si="1"/>
        <v>1.7450000000000001</v>
      </c>
      <c r="G33" s="153"/>
      <c r="H33" s="653"/>
      <c r="I33" s="653"/>
      <c r="J33" s="653"/>
      <c r="K33" s="653"/>
      <c r="M33" s="153"/>
      <c r="N33" s="653"/>
      <c r="O33" s="653"/>
      <c r="P33" s="653"/>
      <c r="Q33" s="653"/>
      <c r="S33" s="153"/>
      <c r="T33" s="653"/>
      <c r="U33" s="653"/>
      <c r="V33" s="653"/>
      <c r="W33" s="653"/>
      <c r="Y33" s="153"/>
      <c r="Z33" s="653"/>
      <c r="AA33" s="653"/>
      <c r="AB33" s="653"/>
      <c r="AC33" s="653"/>
      <c r="AE33" s="153"/>
      <c r="AF33" s="653"/>
      <c r="AG33" s="653"/>
      <c r="AH33" s="653"/>
      <c r="AI33" s="653"/>
      <c r="AK33" s="153"/>
      <c r="AL33" s="653"/>
      <c r="AM33" s="653"/>
      <c r="AN33" s="653"/>
      <c r="AO33" s="653"/>
    </row>
    <row r="34" spans="1:41">
      <c r="A34" s="153" t="s">
        <v>547</v>
      </c>
      <c r="B34" s="656">
        <f t="shared" si="0"/>
        <v>0.52569999999999995</v>
      </c>
      <c r="C34" s="656">
        <f t="shared" ref="C34:E38" si="2">(1-C25)*C6+(C25*C16)</f>
        <v>0.35799999999999998</v>
      </c>
      <c r="D34" s="656">
        <f t="shared" si="2"/>
        <v>0.79</v>
      </c>
      <c r="E34" s="656">
        <f t="shared" si="2"/>
        <v>1.56</v>
      </c>
      <c r="G34" s="153"/>
      <c r="H34" s="653"/>
      <c r="I34" s="653"/>
      <c r="J34" s="653"/>
      <c r="K34" s="653"/>
      <c r="M34" s="153"/>
      <c r="N34" s="653"/>
      <c r="O34" s="653"/>
      <c r="P34" s="653"/>
      <c r="Q34" s="653"/>
      <c r="S34" s="153"/>
      <c r="T34" s="653"/>
      <c r="U34" s="653"/>
      <c r="V34" s="653"/>
      <c r="W34" s="653"/>
      <c r="Y34" s="153"/>
      <c r="Z34" s="653"/>
      <c r="AA34" s="653"/>
      <c r="AB34" s="653"/>
      <c r="AC34" s="653"/>
      <c r="AE34" s="153"/>
      <c r="AF34" s="653"/>
      <c r="AG34" s="653"/>
      <c r="AH34" s="653"/>
      <c r="AI34" s="653"/>
      <c r="AK34" s="153"/>
      <c r="AL34" s="653"/>
      <c r="AM34" s="653"/>
      <c r="AN34" s="653"/>
      <c r="AO34" s="653"/>
    </row>
    <row r="35" spans="1:41">
      <c r="A35" s="153" t="s">
        <v>548</v>
      </c>
      <c r="B35" s="656">
        <f t="shared" si="0"/>
        <v>0.39579999999999993</v>
      </c>
      <c r="C35" s="656">
        <f t="shared" si="2"/>
        <v>0.25600000000000001</v>
      </c>
      <c r="D35" s="656">
        <f t="shared" si="2"/>
        <v>0.64</v>
      </c>
      <c r="E35" s="656">
        <f t="shared" si="2"/>
        <v>1.56</v>
      </c>
      <c r="G35" s="153"/>
      <c r="H35" s="653"/>
      <c r="I35" s="653"/>
      <c r="J35" s="653"/>
      <c r="K35" s="653"/>
      <c r="M35" s="153"/>
      <c r="N35" s="653"/>
      <c r="O35" s="653"/>
      <c r="P35" s="653"/>
      <c r="Q35" s="653"/>
      <c r="S35" s="153"/>
      <c r="T35" s="653"/>
      <c r="U35" s="653"/>
      <c r="V35" s="653"/>
      <c r="W35" s="653"/>
      <c r="Y35" s="153"/>
      <c r="Z35" s="653"/>
      <c r="AA35" s="653"/>
      <c r="AB35" s="653"/>
      <c r="AC35" s="653"/>
      <c r="AE35" s="153"/>
      <c r="AF35" s="653"/>
      <c r="AG35" s="653"/>
      <c r="AH35" s="653"/>
      <c r="AI35" s="653"/>
      <c r="AK35" s="153"/>
      <c r="AL35" s="653"/>
      <c r="AM35" s="653"/>
      <c r="AN35" s="653"/>
      <c r="AO35" s="653"/>
    </row>
    <row r="36" spans="1:41">
      <c r="A36" s="153" t="s">
        <v>549</v>
      </c>
      <c r="B36" s="656">
        <f t="shared" si="0"/>
        <v>0.31569999999999998</v>
      </c>
      <c r="C36" s="656">
        <f t="shared" si="2"/>
        <v>0.20800000000000002</v>
      </c>
      <c r="D36" s="656">
        <f t="shared" si="2"/>
        <v>0.40900000000000003</v>
      </c>
      <c r="E36" s="656">
        <f t="shared" si="2"/>
        <v>1.26</v>
      </c>
      <c r="G36" s="153"/>
      <c r="H36" s="653"/>
      <c r="I36" s="653"/>
      <c r="J36" s="653"/>
      <c r="K36" s="653"/>
      <c r="M36" s="153"/>
      <c r="N36" s="653"/>
      <c r="O36" s="653"/>
      <c r="P36" s="653"/>
      <c r="Q36" s="653"/>
      <c r="S36" s="153"/>
      <c r="T36" s="658"/>
      <c r="U36" s="653"/>
      <c r="V36" s="653"/>
      <c r="W36" s="653"/>
      <c r="Y36" s="153"/>
      <c r="Z36" s="653"/>
      <c r="AA36" s="653"/>
      <c r="AB36" s="653"/>
      <c r="AC36" s="653"/>
      <c r="AE36" s="153"/>
      <c r="AF36" s="653"/>
      <c r="AG36" s="653"/>
      <c r="AH36" s="653"/>
      <c r="AI36" s="653"/>
      <c r="AK36" s="153"/>
      <c r="AL36" s="653"/>
      <c r="AM36" s="653"/>
      <c r="AN36" s="653"/>
      <c r="AO36" s="653"/>
    </row>
    <row r="37" spans="1:41">
      <c r="A37" s="153" t="s">
        <v>550</v>
      </c>
      <c r="B37" s="656">
        <f t="shared" si="0"/>
        <v>0.298425</v>
      </c>
      <c r="C37" s="656">
        <f t="shared" si="2"/>
        <v>0.19800000000000001</v>
      </c>
      <c r="D37" s="656">
        <f t="shared" si="2"/>
        <v>0.32574999999999998</v>
      </c>
      <c r="E37" s="656">
        <f t="shared" si="2"/>
        <v>1.3199999999999998</v>
      </c>
      <c r="G37" s="153"/>
      <c r="H37" s="653"/>
      <c r="I37" s="653"/>
      <c r="J37" s="653"/>
      <c r="K37" s="653"/>
      <c r="M37" s="153"/>
      <c r="N37" s="653"/>
      <c r="O37" s="653"/>
      <c r="P37" s="653"/>
      <c r="Q37" s="653"/>
      <c r="S37" s="153"/>
      <c r="T37" s="653"/>
      <c r="U37" s="653"/>
      <c r="V37" s="653"/>
      <c r="W37" s="653"/>
      <c r="Y37" s="153"/>
      <c r="Z37" s="653"/>
      <c r="AA37" s="653"/>
      <c r="AB37" s="653"/>
      <c r="AC37" s="653"/>
      <c r="AE37" s="153"/>
      <c r="AF37" s="653"/>
      <c r="AG37" s="653"/>
      <c r="AH37" s="653"/>
      <c r="AI37" s="653"/>
      <c r="AK37" s="153"/>
      <c r="AL37" s="653"/>
      <c r="AM37" s="653"/>
      <c r="AN37" s="653"/>
      <c r="AO37" s="653"/>
    </row>
    <row r="38" spans="1:41">
      <c r="A38" s="153" t="s">
        <v>551</v>
      </c>
      <c r="B38" s="656">
        <f t="shared" si="0"/>
        <v>0.28390000000000004</v>
      </c>
      <c r="C38" s="656">
        <f t="shared" si="2"/>
        <v>0.19000000000000003</v>
      </c>
      <c r="D38" s="656">
        <f t="shared" si="2"/>
        <v>0.21700000000000003</v>
      </c>
      <c r="E38" s="656">
        <f t="shared" si="2"/>
        <v>1.08</v>
      </c>
      <c r="G38" s="153"/>
      <c r="H38" s="653"/>
      <c r="I38" s="653"/>
      <c r="J38" s="653"/>
      <c r="K38" s="653"/>
      <c r="M38" s="153"/>
      <c r="N38" s="653"/>
      <c r="O38" s="653"/>
      <c r="P38" s="653"/>
      <c r="Q38" s="653"/>
      <c r="S38" s="153"/>
      <c r="T38" s="653"/>
      <c r="U38" s="653"/>
      <c r="V38" s="653"/>
      <c r="W38" s="653"/>
      <c r="Y38" s="153"/>
      <c r="Z38" s="653"/>
      <c r="AA38" s="653"/>
      <c r="AB38" s="653"/>
      <c r="AC38" s="653"/>
      <c r="AE38" s="153"/>
      <c r="AF38" s="653"/>
      <c r="AG38" s="653"/>
      <c r="AH38" s="653"/>
      <c r="AI38" s="653"/>
      <c r="AK38" s="153"/>
      <c r="AL38" s="653"/>
      <c r="AM38" s="653"/>
      <c r="AN38" s="653"/>
      <c r="AO38" s="653"/>
    </row>
    <row r="50" spans="7:56">
      <c r="G50" s="304"/>
    </row>
    <row r="56" spans="7:56" ht="21">
      <c r="AQ56" s="26"/>
      <c r="AR56" s="28"/>
      <c r="AV56" s="74"/>
      <c r="AW56" s="72"/>
      <c r="AX56" s="72"/>
      <c r="AY56" s="72"/>
      <c r="AZ56" s="72"/>
      <c r="BA56" s="72"/>
      <c r="BB56" s="72"/>
    </row>
    <row r="57" spans="7:56">
      <c r="AR57" s="28"/>
      <c r="AV57" s="74"/>
    </row>
    <row r="58" spans="7:56" ht="21">
      <c r="L58" s="26"/>
      <c r="N58" s="657"/>
      <c r="AR58" s="28"/>
      <c r="AV58" s="74"/>
    </row>
    <row r="59" spans="7:56" ht="21">
      <c r="L59" s="26"/>
      <c r="M59" s="26"/>
      <c r="N59" s="657"/>
      <c r="O59" s="657"/>
      <c r="X59" s="26"/>
      <c r="AA59" s="657"/>
      <c r="AR59" s="28"/>
      <c r="AT59" s="28"/>
      <c r="AU59" s="28"/>
      <c r="AY59" s="28" t="s">
        <v>562</v>
      </c>
      <c r="BC59" s="28" t="s">
        <v>563</v>
      </c>
    </row>
    <row r="60" spans="7:56" ht="21">
      <c r="L60" s="26"/>
      <c r="N60" s="657"/>
      <c r="O60" s="657"/>
      <c r="X60" s="26"/>
      <c r="AA60" s="657"/>
      <c r="AL60" s="667"/>
      <c r="AM60" s="667"/>
      <c r="AN60" s="667"/>
      <c r="AR60" s="28"/>
      <c r="AT60" s="28"/>
      <c r="AU60" s="28"/>
      <c r="AY60" s="28" t="s">
        <v>564</v>
      </c>
      <c r="AZ60" s="28" t="s">
        <v>565</v>
      </c>
      <c r="BB60" s="28" t="s">
        <v>566</v>
      </c>
      <c r="BC60" s="28" t="s">
        <v>564</v>
      </c>
      <c r="BD60" s="28" t="s">
        <v>565</v>
      </c>
    </row>
    <row r="61" spans="7:56" ht="21">
      <c r="L61" s="525"/>
      <c r="N61" s="657"/>
      <c r="O61" s="81"/>
      <c r="X61" s="171"/>
      <c r="AA61" s="81"/>
      <c r="AR61" s="28"/>
      <c r="AT61" s="28"/>
      <c r="AU61" s="28"/>
      <c r="AY61" s="28">
        <v>3252.7606078735462</v>
      </c>
      <c r="AZ61" s="28">
        <v>619.99859100974891</v>
      </c>
      <c r="BB61" s="28">
        <f>AP61+AT61+AX61</f>
        <v>0</v>
      </c>
      <c r="BC61" s="28">
        <f t="shared" ref="BC61:BD66" si="3">AQ61+AU61+AY61</f>
        <v>3252.7606078735462</v>
      </c>
      <c r="BD61" s="28">
        <f t="shared" si="3"/>
        <v>619.99859100974891</v>
      </c>
    </row>
    <row r="62" spans="7:56" ht="21">
      <c r="L62" s="525"/>
      <c r="N62" s="657"/>
      <c r="O62" s="81"/>
      <c r="X62" s="171"/>
      <c r="AA62" s="81"/>
      <c r="AR62" s="28"/>
      <c r="AT62" s="28"/>
      <c r="AU62" s="28"/>
      <c r="AY62" s="28">
        <v>4010.2999413108455</v>
      </c>
      <c r="AZ62" s="28">
        <v>764.39080918550735</v>
      </c>
      <c r="BB62" s="28">
        <f t="shared" ref="BB62:BB66" si="4">AP62+AT62+AX62</f>
        <v>0</v>
      </c>
      <c r="BC62" s="28">
        <f t="shared" si="3"/>
        <v>4010.2999413108455</v>
      </c>
      <c r="BD62" s="28">
        <f t="shared" si="3"/>
        <v>764.39080918550735</v>
      </c>
    </row>
    <row r="63" spans="7:56" ht="21">
      <c r="L63" s="525"/>
      <c r="N63" s="657"/>
      <c r="O63" s="81"/>
      <c r="X63" s="171"/>
      <c r="AA63" s="81"/>
      <c r="AR63" s="28"/>
      <c r="AT63" s="28"/>
      <c r="AU63" s="28"/>
      <c r="AY63" s="28">
        <v>2304.7680819662742</v>
      </c>
      <c r="AZ63" s="28">
        <v>439.30468168006144</v>
      </c>
      <c r="BB63" s="28">
        <f t="shared" si="4"/>
        <v>0</v>
      </c>
      <c r="BC63" s="28">
        <f t="shared" si="3"/>
        <v>2304.7680819662742</v>
      </c>
      <c r="BD63" s="28">
        <f t="shared" si="3"/>
        <v>439.30468168006144</v>
      </c>
    </row>
    <row r="64" spans="7:56" ht="21">
      <c r="L64" s="525"/>
      <c r="N64" s="657"/>
      <c r="O64" s="81"/>
      <c r="X64" s="171"/>
      <c r="AA64" s="81"/>
      <c r="AR64" s="28"/>
      <c r="AT64" s="28"/>
      <c r="AU64" s="28"/>
      <c r="AY64" s="28">
        <v>2382.6178713428772</v>
      </c>
      <c r="AZ64" s="28">
        <v>454.1433881028662</v>
      </c>
      <c r="BB64" s="28">
        <f t="shared" si="4"/>
        <v>0</v>
      </c>
      <c r="BC64" s="28">
        <f t="shared" si="3"/>
        <v>2382.6178713428772</v>
      </c>
      <c r="BD64" s="28">
        <f t="shared" si="3"/>
        <v>454.1433881028662</v>
      </c>
    </row>
    <row r="65" spans="12:56" ht="21">
      <c r="L65" s="525"/>
      <c r="N65" s="657"/>
      <c r="O65" s="81"/>
      <c r="X65" s="171"/>
      <c r="AA65" s="81"/>
      <c r="AR65" s="28"/>
      <c r="AT65" s="28"/>
      <c r="AU65" s="28"/>
      <c r="AY65" s="28">
        <v>1906.0942970743019</v>
      </c>
      <c r="AZ65" s="28">
        <v>363.31471048229304</v>
      </c>
      <c r="BB65" s="28">
        <f t="shared" si="4"/>
        <v>0</v>
      </c>
      <c r="BC65" s="28">
        <f t="shared" si="3"/>
        <v>1906.0942970743019</v>
      </c>
      <c r="BD65" s="28">
        <f t="shared" si="3"/>
        <v>363.31471048229304</v>
      </c>
    </row>
    <row r="66" spans="12:56" ht="21">
      <c r="L66" s="525"/>
      <c r="N66" s="657"/>
      <c r="O66" s="81"/>
      <c r="X66" s="171"/>
      <c r="AA66" s="81"/>
      <c r="AR66" s="28"/>
      <c r="AT66" s="28"/>
      <c r="AU66" s="28"/>
      <c r="AY66" s="28">
        <v>2024.3684514152833</v>
      </c>
      <c r="AZ66" s="28">
        <v>385.85857948598721</v>
      </c>
      <c r="BB66" s="28">
        <f t="shared" si="4"/>
        <v>0</v>
      </c>
      <c r="BC66" s="28">
        <f t="shared" si="3"/>
        <v>2024.3684514152833</v>
      </c>
      <c r="BD66" s="28">
        <f t="shared" si="3"/>
        <v>385.85857948598721</v>
      </c>
    </row>
    <row r="67" spans="12:56" ht="21">
      <c r="L67" s="26"/>
      <c r="N67" s="657"/>
      <c r="O67" s="657"/>
      <c r="X67" s="26"/>
      <c r="AA67" s="657"/>
      <c r="AR67" s="28"/>
      <c r="AV67" s="74"/>
      <c r="BA67" s="28" t="s">
        <v>563</v>
      </c>
      <c r="BB67" s="526">
        <f>SUM(BB61:BB66)</f>
        <v>0</v>
      </c>
      <c r="BC67" s="526">
        <f t="shared" ref="BC67:BD67" si="5">SUM(BC61:BC66)</f>
        <v>15880.909250983126</v>
      </c>
      <c r="BD67" s="526">
        <f t="shared" si="5"/>
        <v>3027.0107599464641</v>
      </c>
    </row>
    <row r="68" spans="12:56">
      <c r="P68" s="81"/>
      <c r="Y68" s="171"/>
      <c r="AB68" s="81"/>
      <c r="AR68" s="28"/>
      <c r="AV68" s="74"/>
      <c r="AY68" s="28" t="s">
        <v>567</v>
      </c>
      <c r="BB68" s="28" t="s">
        <v>568</v>
      </c>
      <c r="BC68" s="28" t="s">
        <v>569</v>
      </c>
      <c r="BD68" s="28" t="s">
        <v>569</v>
      </c>
    </row>
    <row r="69" spans="12:56">
      <c r="P69" s="81"/>
      <c r="Y69" s="171"/>
      <c r="AB69" s="81"/>
      <c r="AR69" s="28"/>
      <c r="AV69" s="74"/>
      <c r="BB69" s="526">
        <v>1200</v>
      </c>
      <c r="BC69" s="526">
        <v>150</v>
      </c>
      <c r="BD69" s="526">
        <v>100</v>
      </c>
    </row>
    <row r="70" spans="12:56">
      <c r="M70" s="171"/>
      <c r="P70" s="81"/>
      <c r="Y70" s="171"/>
      <c r="AB70" s="81"/>
      <c r="AR70" s="28"/>
      <c r="AV70" s="74"/>
      <c r="AY70" s="28" t="s">
        <v>570</v>
      </c>
    </row>
    <row r="71" spans="12:56">
      <c r="M71" s="527"/>
      <c r="P71" s="659"/>
      <c r="Y71" s="528"/>
      <c r="AB71" s="659"/>
      <c r="AR71" s="28"/>
      <c r="AV71" s="74"/>
    </row>
    <row r="72" spans="12:56">
      <c r="AR72" s="28"/>
      <c r="AV72" s="74"/>
    </row>
    <row r="73" spans="12:56">
      <c r="AR73" s="28"/>
      <c r="AV73" s="74"/>
    </row>
    <row r="74" spans="12:56">
      <c r="AR74" s="28"/>
      <c r="AV74" s="74"/>
    </row>
    <row r="75" spans="12:56">
      <c r="AR75" s="28"/>
      <c r="AV75" s="74"/>
    </row>
    <row r="76" spans="12:56">
      <c r="AR76" s="28"/>
      <c r="AV76" s="74"/>
    </row>
    <row r="77" spans="12:56">
      <c r="AR77" s="28"/>
      <c r="AV77" s="74"/>
    </row>
    <row r="78" spans="12:56">
      <c r="AR78" s="28"/>
      <c r="AV78" s="74"/>
    </row>
    <row r="79" spans="12:56">
      <c r="AR79" s="28"/>
      <c r="AV79" s="74"/>
    </row>
    <row r="80" spans="12:56">
      <c r="AR80" s="28"/>
      <c r="AV80" s="74"/>
    </row>
    <row r="81" spans="44:48">
      <c r="AR81" s="28"/>
      <c r="AV81" s="74"/>
    </row>
    <row r="82" spans="44:48">
      <c r="AR82" s="28"/>
      <c r="AV82" s="74"/>
    </row>
    <row r="83" spans="44:48">
      <c r="AR83" s="28"/>
      <c r="AV83" s="74"/>
    </row>
    <row r="84" spans="44:48">
      <c r="AR84" s="28"/>
      <c r="AV84" s="74"/>
    </row>
    <row r="85" spans="44:48">
      <c r="AR85" s="28"/>
      <c r="AV85" s="74"/>
    </row>
    <row r="86" spans="44:48">
      <c r="AR86" s="28"/>
      <c r="AV86" s="74"/>
    </row>
    <row r="87" spans="44:48">
      <c r="AR87" s="28"/>
      <c r="AV87" s="74"/>
    </row>
    <row r="88" spans="44:48">
      <c r="AR88" s="28"/>
      <c r="AV88" s="74"/>
    </row>
    <row r="89" spans="44:48">
      <c r="AR89" s="28"/>
      <c r="AV89" s="74"/>
    </row>
    <row r="90" spans="44:48">
      <c r="AR90" s="28"/>
      <c r="AV90" s="74"/>
    </row>
    <row r="91" spans="44:48">
      <c r="AR91" s="28"/>
      <c r="AV91" s="74"/>
    </row>
    <row r="92" spans="44:48">
      <c r="AR92" s="28"/>
      <c r="AV92" s="74"/>
    </row>
    <row r="93" spans="44:48">
      <c r="AR93" s="28"/>
      <c r="AV93" s="74"/>
    </row>
    <row r="94" spans="44:48">
      <c r="AR94" s="28"/>
      <c r="AV94" s="74"/>
    </row>
    <row r="95" spans="44:48">
      <c r="AR95" s="28"/>
      <c r="AV95" s="74"/>
    </row>
    <row r="96" spans="44:48">
      <c r="AR96" s="28"/>
      <c r="AV96" s="74"/>
    </row>
    <row r="97" spans="44:48">
      <c r="AR97" s="28"/>
      <c r="AV97" s="74"/>
    </row>
    <row r="98" spans="44:48">
      <c r="AR98" s="28"/>
      <c r="AV98" s="74"/>
    </row>
    <row r="99" spans="44:48">
      <c r="AR99" s="28"/>
      <c r="AV99" s="74"/>
    </row>
    <row r="100" spans="44:48">
      <c r="AR100" s="28"/>
      <c r="AV100" s="74"/>
    </row>
    <row r="101" spans="44:48">
      <c r="AR101" s="28"/>
      <c r="AV101" s="74"/>
    </row>
    <row r="102" spans="44:48">
      <c r="AR102" s="28"/>
      <c r="AV102" s="74"/>
    </row>
    <row r="103" spans="44:48">
      <c r="AR103" s="28"/>
      <c r="AV103" s="74"/>
    </row>
    <row r="104" spans="44:48">
      <c r="AR104" s="28"/>
      <c r="AV104" s="74"/>
    </row>
    <row r="105" spans="44:48">
      <c r="AR105" s="28"/>
      <c r="AV105" s="74"/>
    </row>
    <row r="106" spans="44:48">
      <c r="AR106" s="28"/>
      <c r="AV106" s="74"/>
    </row>
    <row r="107" spans="44:48">
      <c r="AR107" s="28"/>
      <c r="AV107" s="74"/>
    </row>
    <row r="108" spans="44:48">
      <c r="AR108" s="28"/>
      <c r="AV108" s="74"/>
    </row>
    <row r="109" spans="44:48">
      <c r="AR109" s="28"/>
      <c r="AV109" s="74"/>
    </row>
    <row r="110" spans="44:48">
      <c r="AR110" s="28"/>
      <c r="AV110" s="74"/>
    </row>
    <row r="111" spans="44:48">
      <c r="AR111" s="28"/>
      <c r="AV111" s="74"/>
    </row>
    <row r="112" spans="44:48">
      <c r="AR112" s="28"/>
      <c r="AV112" s="74"/>
    </row>
    <row r="113" spans="44:48">
      <c r="AR113" s="28"/>
      <c r="AV113" s="74"/>
    </row>
    <row r="114" spans="44:48">
      <c r="AR114" s="28"/>
      <c r="AV114" s="74"/>
    </row>
    <row r="115" spans="44:48">
      <c r="AR115" s="28"/>
      <c r="AV115" s="74"/>
    </row>
    <row r="116" spans="44:48">
      <c r="AR116" s="28"/>
      <c r="AV116" s="74"/>
    </row>
    <row r="117" spans="44:48">
      <c r="AR117" s="28"/>
      <c r="AV117" s="74"/>
    </row>
    <row r="118" spans="44:48">
      <c r="AR118" s="28"/>
      <c r="AV118" s="74"/>
    </row>
    <row r="119" spans="44:48">
      <c r="AR119" s="28"/>
      <c r="AV119" s="74"/>
    </row>
    <row r="120" spans="44:48">
      <c r="AR120" s="28"/>
      <c r="AV120" s="74"/>
    </row>
    <row r="121" spans="44:48">
      <c r="AR121" s="28"/>
      <c r="AV121" s="74"/>
    </row>
    <row r="122" spans="44:48">
      <c r="AR122" s="28"/>
      <c r="AV122" s="74"/>
    </row>
    <row r="123" spans="44:48">
      <c r="AR123" s="28"/>
      <c r="AV123" s="74"/>
    </row>
    <row r="124" spans="44:48">
      <c r="AR124" s="28"/>
      <c r="AV124" s="74"/>
    </row>
    <row r="125" spans="44:48">
      <c r="AR125" s="28"/>
      <c r="AV125" s="74"/>
    </row>
    <row r="126" spans="44:48">
      <c r="AR126" s="28"/>
      <c r="AV126" s="74"/>
    </row>
    <row r="127" spans="44:48">
      <c r="AR127" s="28"/>
      <c r="AV127" s="74"/>
    </row>
    <row r="128" spans="44:48">
      <c r="AR128" s="28"/>
      <c r="AV128" s="74"/>
    </row>
    <row r="129" spans="44:48">
      <c r="AR129" s="28"/>
      <c r="AV129" s="74"/>
    </row>
    <row r="130" spans="44:48">
      <c r="AR130" s="28"/>
      <c r="AV130" s="74"/>
    </row>
    <row r="131" spans="44:48">
      <c r="AR131" s="28"/>
      <c r="AV131" s="74"/>
    </row>
    <row r="132" spans="44:48">
      <c r="AR132" s="28"/>
      <c r="AV132" s="74"/>
    </row>
    <row r="133" spans="44:48">
      <c r="AR133" s="28"/>
      <c r="AV133" s="74"/>
    </row>
    <row r="134" spans="44:48">
      <c r="AR134" s="28"/>
      <c r="AV134" s="74"/>
    </row>
    <row r="135" spans="44:48">
      <c r="AR135" s="28"/>
      <c r="AV135" s="74"/>
    </row>
    <row r="136" spans="44:48">
      <c r="AR136" s="28"/>
      <c r="AV136" s="74"/>
    </row>
    <row r="137" spans="44:48">
      <c r="AR137" s="28"/>
      <c r="AV137" s="74"/>
    </row>
    <row r="138" spans="44:48">
      <c r="AR138" s="28"/>
      <c r="AV138" s="74"/>
    </row>
    <row r="139" spans="44:48">
      <c r="AR139" s="28"/>
      <c r="AV139" s="74"/>
    </row>
    <row r="140" spans="44:48">
      <c r="AR140" s="28"/>
      <c r="AV140" s="74"/>
    </row>
    <row r="141" spans="44:48">
      <c r="AR141" s="28"/>
      <c r="AV141" s="74"/>
    </row>
    <row r="142" spans="44:48">
      <c r="AR142" s="28"/>
      <c r="AV142" s="74"/>
    </row>
    <row r="143" spans="44:48">
      <c r="AR143" s="28"/>
      <c r="AV143" s="74"/>
    </row>
    <row r="144" spans="44:48">
      <c r="AR144" s="28"/>
      <c r="AV144" s="74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6"/>
  <dimension ref="A1:I4"/>
  <sheetViews>
    <sheetView zoomScale="85" zoomScaleNormal="85" workbookViewId="0">
      <selection activeCell="L19" sqref="L19"/>
    </sheetView>
  </sheetViews>
  <sheetFormatPr defaultColWidth="9.140625" defaultRowHeight="15"/>
  <cols>
    <col min="1" max="1" width="9" style="28" customWidth="1"/>
    <col min="2" max="2" width="48.42578125" style="28" bestFit="1" customWidth="1"/>
    <col min="3" max="3" width="25.5703125" style="28" customWidth="1"/>
    <col min="4" max="4" width="11.140625" style="28" bestFit="1" customWidth="1"/>
    <col min="5" max="16384" width="9.140625" style="28"/>
  </cols>
  <sheetData>
    <row r="1" spans="1:9" ht="21">
      <c r="A1" s="26" t="s">
        <v>357</v>
      </c>
      <c r="B1" s="29"/>
      <c r="C1" s="29"/>
    </row>
    <row r="2" spans="1:9" ht="21" customHeight="1">
      <c r="A2" s="25" t="s">
        <v>358</v>
      </c>
    </row>
    <row r="3" spans="1:9" ht="21" customHeight="1">
      <c r="A3" s="35" t="s">
        <v>359</v>
      </c>
      <c r="B3" s="35" t="s">
        <v>360</v>
      </c>
      <c r="C3" s="35"/>
      <c r="D3" s="34" t="s">
        <v>361</v>
      </c>
      <c r="G3" s="72"/>
    </row>
    <row r="4" spans="1:9" ht="21" customHeight="1">
      <c r="A4" s="334" t="s">
        <v>362</v>
      </c>
      <c r="B4" s="113" t="s">
        <v>363</v>
      </c>
      <c r="C4" s="113">
        <v>2020</v>
      </c>
      <c r="D4" s="335">
        <v>3006</v>
      </c>
      <c r="I4" s="102"/>
    </row>
  </sheetData>
  <sortState xmlns:xlrd2="http://schemas.microsoft.com/office/spreadsheetml/2017/richdata2" ref="A4:D4">
    <sortCondition ref="A4"/>
  </sortState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2">
    <tabColor theme="6"/>
  </sheetPr>
  <dimension ref="A1:AA125"/>
  <sheetViews>
    <sheetView zoomScale="115" zoomScaleNormal="115" workbookViewId="0">
      <pane ySplit="2" topLeftCell="A22" activePane="bottomLeft" state="frozen"/>
      <selection activeCell="G33" sqref="G33"/>
      <selection pane="bottomLeft" activeCell="E1" sqref="E1:M1048576"/>
    </sheetView>
  </sheetViews>
  <sheetFormatPr defaultColWidth="9.140625" defaultRowHeight="15"/>
  <cols>
    <col min="1" max="1" width="31.140625" style="28" customWidth="1"/>
    <col min="2" max="2" width="18.42578125" style="28" customWidth="1"/>
    <col min="3" max="3" width="14.85546875" style="28" customWidth="1"/>
    <col min="4" max="4" width="10.42578125" style="74" customWidth="1"/>
    <col min="5" max="10" width="10.42578125" style="28" customWidth="1"/>
    <col min="11" max="16384" width="9.140625" style="28"/>
  </cols>
  <sheetData>
    <row r="1" spans="1:10" ht="21">
      <c r="A1" s="26" t="s">
        <v>364</v>
      </c>
      <c r="B1" s="26" t="s">
        <v>365</v>
      </c>
      <c r="C1" s="26"/>
      <c r="D1" s="669">
        <v>2020</v>
      </c>
      <c r="E1" s="659"/>
      <c r="F1" s="659"/>
      <c r="G1" s="659"/>
      <c r="H1" s="659"/>
      <c r="I1" s="659"/>
      <c r="J1" s="659"/>
    </row>
    <row r="2" spans="1:10">
      <c r="A2" s="88" t="s">
        <v>366</v>
      </c>
      <c r="B2" s="68"/>
      <c r="C2" s="69" t="s">
        <v>5</v>
      </c>
      <c r="D2" s="75" t="s">
        <v>361</v>
      </c>
      <c r="E2" s="546"/>
      <c r="F2" s="546"/>
      <c r="G2" s="546"/>
      <c r="H2" s="546"/>
      <c r="I2" s="546"/>
      <c r="J2" s="546"/>
    </row>
    <row r="3" spans="1:10">
      <c r="A3" s="86" t="s">
        <v>367</v>
      </c>
      <c r="B3" s="87"/>
      <c r="C3" s="40" t="s">
        <v>368</v>
      </c>
      <c r="D3" s="76">
        <v>1</v>
      </c>
      <c r="E3" s="76"/>
      <c r="F3" s="74"/>
      <c r="G3" s="74"/>
      <c r="H3" s="74"/>
      <c r="I3" s="74"/>
      <c r="J3" s="74"/>
    </row>
    <row r="4" spans="1:10">
      <c r="A4" s="71" t="s">
        <v>369</v>
      </c>
      <c r="B4" s="42"/>
      <c r="C4" s="41" t="s">
        <v>370</v>
      </c>
      <c r="D4" s="77">
        <f>BUILD_STOCK!B11</f>
        <v>120.3</v>
      </c>
      <c r="E4" s="77"/>
      <c r="F4" s="77"/>
      <c r="G4" s="77"/>
      <c r="H4" s="77"/>
      <c r="I4" s="77"/>
      <c r="J4" s="77"/>
    </row>
    <row r="5" spans="1:10">
      <c r="A5" s="64" t="s">
        <v>371</v>
      </c>
      <c r="B5" s="42"/>
      <c r="C5" s="43" t="s">
        <v>370</v>
      </c>
      <c r="D5" s="77">
        <f t="shared" ref="D5" si="0">D3*D4</f>
        <v>120.3</v>
      </c>
      <c r="E5" s="77"/>
      <c r="F5" s="77"/>
      <c r="G5" s="77"/>
      <c r="H5" s="77"/>
      <c r="I5" s="77"/>
      <c r="J5" s="77"/>
    </row>
    <row r="6" spans="1:10">
      <c r="A6" s="65"/>
      <c r="B6" s="70" t="s">
        <v>372</v>
      </c>
      <c r="C6" s="45" t="s">
        <v>370</v>
      </c>
      <c r="D6" s="78">
        <f t="shared" ref="D6" si="1">D7*D8*D9</f>
        <v>120.29999999999998</v>
      </c>
      <c r="E6" s="78"/>
      <c r="F6" s="78"/>
      <c r="G6" s="78"/>
      <c r="H6" s="78"/>
      <c r="I6" s="78"/>
      <c r="J6" s="78"/>
    </row>
    <row r="7" spans="1:10">
      <c r="A7" s="62" t="s">
        <v>373</v>
      </c>
      <c r="B7" s="47" t="s">
        <v>374</v>
      </c>
      <c r="C7" s="48" t="s">
        <v>375</v>
      </c>
      <c r="D7" s="77">
        <f t="shared" ref="D7:D8" si="2">SQRT(D$5/D$9)</f>
        <v>7.7556431067964953</v>
      </c>
      <c r="E7" s="77"/>
      <c r="F7" s="77"/>
      <c r="G7" s="77"/>
      <c r="H7" s="77"/>
      <c r="I7" s="77"/>
      <c r="J7" s="77"/>
    </row>
    <row r="8" spans="1:10">
      <c r="A8" s="49"/>
      <c r="B8" s="50" t="s">
        <v>376</v>
      </c>
      <c r="C8" s="51" t="s">
        <v>375</v>
      </c>
      <c r="D8" s="79">
        <f t="shared" si="2"/>
        <v>7.7556431067964953</v>
      </c>
      <c r="E8" s="79"/>
      <c r="F8" s="79"/>
      <c r="G8" s="79"/>
      <c r="H8" s="79"/>
      <c r="I8" s="79"/>
      <c r="J8" s="79"/>
    </row>
    <row r="9" spans="1:10">
      <c r="A9" s="49"/>
      <c r="B9" s="50" t="s">
        <v>377</v>
      </c>
      <c r="C9" s="51" t="s">
        <v>368</v>
      </c>
      <c r="D9" s="80">
        <v>2</v>
      </c>
      <c r="E9" s="80"/>
      <c r="F9" s="80"/>
      <c r="G9" s="80"/>
      <c r="H9" s="80"/>
      <c r="I9" s="80"/>
      <c r="J9" s="80"/>
    </row>
    <row r="10" spans="1:10">
      <c r="A10" s="49"/>
      <c r="B10" s="50" t="s">
        <v>378</v>
      </c>
      <c r="C10" s="51" t="s">
        <v>375</v>
      </c>
      <c r="D10" s="79">
        <v>3</v>
      </c>
      <c r="E10" s="79"/>
      <c r="F10" s="79"/>
      <c r="G10" s="79"/>
      <c r="H10" s="79"/>
      <c r="I10" s="79"/>
      <c r="J10" s="79"/>
    </row>
    <row r="11" spans="1:10">
      <c r="A11" s="52"/>
      <c r="B11" s="53" t="s">
        <v>379</v>
      </c>
      <c r="C11" s="54" t="s">
        <v>375</v>
      </c>
      <c r="D11" s="79">
        <f t="shared" ref="D11" si="3">D9*D10</f>
        <v>6</v>
      </c>
      <c r="E11" s="79"/>
      <c r="F11" s="79"/>
      <c r="G11" s="79"/>
      <c r="H11" s="79"/>
      <c r="I11" s="79"/>
      <c r="J11" s="79"/>
    </row>
    <row r="12" spans="1:10">
      <c r="A12" s="52"/>
      <c r="B12" s="53" t="s">
        <v>380</v>
      </c>
      <c r="C12" s="54" t="s">
        <v>370</v>
      </c>
      <c r="D12" s="79">
        <f t="shared" ref="D12" si="4">(D7*D11)*2+(D8*D11)*2</f>
        <v>186.13543456311589</v>
      </c>
      <c r="E12" s="79"/>
      <c r="F12" s="79"/>
      <c r="G12" s="79"/>
      <c r="H12" s="79"/>
      <c r="I12" s="79"/>
      <c r="J12" s="79"/>
    </row>
    <row r="13" spans="1:10">
      <c r="A13" s="52"/>
      <c r="B13" s="53" t="s">
        <v>381</v>
      </c>
      <c r="C13" s="54" t="s">
        <v>370</v>
      </c>
      <c r="D13" s="79">
        <f t="shared" ref="D13" si="5">D12-D19</f>
        <v>156.13543456311589</v>
      </c>
      <c r="E13" s="79"/>
      <c r="F13" s="79"/>
      <c r="G13" s="79"/>
      <c r="H13" s="79"/>
      <c r="I13" s="79"/>
      <c r="J13" s="79"/>
    </row>
    <row r="14" spans="1:10">
      <c r="A14" s="52"/>
      <c r="B14" s="53" t="s">
        <v>352</v>
      </c>
      <c r="C14" s="54" t="s">
        <v>370</v>
      </c>
      <c r="D14" s="81">
        <f t="shared" ref="D14" si="6">D7*D8</f>
        <v>60.149999999999991</v>
      </c>
      <c r="E14" s="81"/>
      <c r="F14" s="81"/>
      <c r="G14" s="81"/>
      <c r="H14" s="81"/>
      <c r="I14" s="81"/>
      <c r="J14" s="81"/>
    </row>
    <row r="15" spans="1:10">
      <c r="A15" s="52"/>
      <c r="B15" s="53" t="s">
        <v>382</v>
      </c>
      <c r="C15" s="54" t="s">
        <v>370</v>
      </c>
      <c r="D15" s="81">
        <f t="shared" ref="D15" si="7">D14</f>
        <v>60.149999999999991</v>
      </c>
      <c r="E15" s="81"/>
      <c r="F15" s="81"/>
      <c r="G15" s="81"/>
      <c r="H15" s="81"/>
      <c r="I15" s="81"/>
      <c r="J15" s="81"/>
    </row>
    <row r="16" spans="1:10">
      <c r="A16" s="44"/>
      <c r="B16" s="55" t="s">
        <v>383</v>
      </c>
      <c r="C16" s="45" t="s">
        <v>384</v>
      </c>
      <c r="D16" s="78">
        <f t="shared" ref="D16" si="8">D7*D8*D11</f>
        <v>360.9</v>
      </c>
      <c r="E16" s="78"/>
      <c r="F16" s="78"/>
      <c r="G16" s="78"/>
      <c r="H16" s="78"/>
      <c r="I16" s="78"/>
      <c r="J16" s="78"/>
    </row>
    <row r="17" spans="1:27">
      <c r="A17" s="57"/>
      <c r="B17" s="61"/>
      <c r="C17" s="61"/>
      <c r="D17" s="82"/>
      <c r="E17" s="82"/>
      <c r="F17" s="82"/>
      <c r="G17" s="82"/>
      <c r="H17" s="82"/>
      <c r="I17" s="82"/>
      <c r="J17" s="82"/>
    </row>
    <row r="18" spans="1:27">
      <c r="A18" s="62" t="s">
        <v>385</v>
      </c>
      <c r="B18" s="47" t="s">
        <v>386</v>
      </c>
      <c r="C18" s="48" t="s">
        <v>368</v>
      </c>
      <c r="D18" s="83">
        <v>10</v>
      </c>
      <c r="E18" s="83"/>
      <c r="F18" s="83"/>
      <c r="G18" s="83"/>
      <c r="H18" s="83"/>
      <c r="I18" s="83"/>
      <c r="J18" s="83"/>
    </row>
    <row r="19" spans="1:27">
      <c r="A19" s="52"/>
      <c r="B19" s="53" t="s">
        <v>354</v>
      </c>
      <c r="C19" s="54" t="s">
        <v>370</v>
      </c>
      <c r="D19" s="79">
        <f t="shared" ref="D19" si="9">D18*3</f>
        <v>30</v>
      </c>
      <c r="E19" s="79"/>
      <c r="F19" s="79"/>
      <c r="G19" s="79"/>
      <c r="H19" s="79"/>
      <c r="I19" s="79"/>
      <c r="J19" s="79"/>
    </row>
    <row r="20" spans="1:27">
      <c r="E20" s="74"/>
      <c r="F20" s="74"/>
      <c r="G20" s="74"/>
      <c r="H20" s="74"/>
      <c r="I20" s="74"/>
      <c r="J20" s="74"/>
    </row>
    <row r="21" spans="1:27">
      <c r="A21" s="66" t="s">
        <v>387</v>
      </c>
      <c r="B21" s="59" t="s">
        <v>308</v>
      </c>
      <c r="C21" s="93" t="s">
        <v>388</v>
      </c>
      <c r="D21" s="92">
        <f>$D$15*'U-VALUES'!B33+$D$14*'U-VALUES'!C33+$D$13*'U-VALUES'!D33+$D$19*'U-VALUES'!E33</f>
        <v>295.60263965534961</v>
      </c>
      <c r="E21" s="545"/>
      <c r="F21" s="545"/>
      <c r="G21" s="545"/>
      <c r="H21" s="545"/>
      <c r="I21" s="545"/>
      <c r="J21" s="545"/>
    </row>
    <row r="22" spans="1:27">
      <c r="A22" s="52"/>
      <c r="B22" s="60" t="s">
        <v>309</v>
      </c>
      <c r="C22" s="52" t="s">
        <v>388</v>
      </c>
      <c r="D22" s="91">
        <f>$D$15*'U-VALUES'!B34+$D$14*'U-VALUES'!C34+$D$13*'U-VALUES'!D34+$D$19*'U-VALUES'!E34</f>
        <v>223.30154830486157</v>
      </c>
      <c r="E22" s="91"/>
      <c r="F22" s="91"/>
      <c r="G22" s="91"/>
      <c r="H22" s="91"/>
      <c r="I22" s="91"/>
      <c r="J22" s="91"/>
      <c r="W22" s="529"/>
    </row>
    <row r="23" spans="1:27">
      <c r="A23" s="52"/>
      <c r="B23" s="60" t="s">
        <v>310</v>
      </c>
      <c r="C23" s="52" t="s">
        <v>388</v>
      </c>
      <c r="D23" s="91">
        <f>$D$15*'U-VALUES'!B35+$D$14*'U-VALUES'!C35+$D$13*'U-VALUES'!D35+$D$19*'U-VALUES'!E35</f>
        <v>185.93244812039416</v>
      </c>
      <c r="E23" s="91"/>
      <c r="F23" s="91"/>
      <c r="G23" s="91"/>
      <c r="H23" s="91"/>
      <c r="I23" s="91"/>
      <c r="J23" s="91"/>
      <c r="W23" s="529"/>
    </row>
    <row r="24" spans="1:27">
      <c r="A24" s="52"/>
      <c r="B24" s="60" t="s">
        <v>311</v>
      </c>
      <c r="C24" s="52" t="s">
        <v>388</v>
      </c>
      <c r="D24" s="91">
        <f>$D$15*'U-VALUES'!B36+$D$14*'U-VALUES'!C36+$D$13*'U-VALUES'!D36+$D$19*'U-VALUES'!E36</f>
        <v>133.15994773631439</v>
      </c>
      <c r="E24" s="91"/>
      <c r="F24" s="91"/>
      <c r="G24" s="91"/>
      <c r="H24" s="91"/>
      <c r="I24" s="91"/>
      <c r="J24" s="91"/>
      <c r="W24" s="529"/>
    </row>
    <row r="25" spans="1:27">
      <c r="A25" s="52"/>
      <c r="B25" s="60" t="s">
        <v>312</v>
      </c>
      <c r="C25" s="52" t="s">
        <v>388</v>
      </c>
      <c r="D25" s="91">
        <f>$D$15*'U-VALUES'!B37+$D$14*'U-VALUES'!C37+$D$13*'U-VALUES'!D37+$D$19*'U-VALUES'!E37</f>
        <v>120.32108155893499</v>
      </c>
      <c r="E25" s="91"/>
      <c r="F25" s="91"/>
      <c r="G25" s="91"/>
      <c r="H25" s="91"/>
      <c r="I25" s="91"/>
      <c r="J25" s="91"/>
      <c r="W25" s="529"/>
    </row>
    <row r="26" spans="1:27">
      <c r="A26" s="52"/>
      <c r="B26" s="60" t="s">
        <v>313</v>
      </c>
      <c r="C26" s="52" t="s">
        <v>388</v>
      </c>
      <c r="D26" s="91">
        <f>$D$15*'U-VALUES'!B38+$D$14*'U-VALUES'!C38+$D$13*'U-VALUES'!D38+$D$19*'U-VALUES'!E38</f>
        <v>94.786474300196161</v>
      </c>
      <c r="E26" s="91"/>
      <c r="F26" s="91"/>
      <c r="G26" s="91"/>
      <c r="H26" s="91"/>
      <c r="I26" s="91"/>
      <c r="J26" s="91"/>
      <c r="W26" s="529"/>
    </row>
    <row r="27" spans="1:27">
      <c r="E27" s="74"/>
      <c r="F27" s="74"/>
      <c r="G27" s="74"/>
      <c r="H27" s="74"/>
      <c r="I27" s="74"/>
      <c r="J27" s="74"/>
      <c r="W27" s="529"/>
    </row>
    <row r="28" spans="1:27" s="56" customFormat="1">
      <c r="A28" s="85" t="s">
        <v>389</v>
      </c>
      <c r="B28" s="60" t="s">
        <v>308</v>
      </c>
      <c r="C28" s="93" t="s">
        <v>390</v>
      </c>
      <c r="D28" s="92">
        <f>D21*24*HDD!$D$4/1000</f>
        <v>21325.956835295543</v>
      </c>
      <c r="E28" s="545"/>
      <c r="F28" s="545"/>
      <c r="G28" s="545"/>
      <c r="H28" s="545"/>
      <c r="I28" s="545"/>
      <c r="J28" s="545"/>
      <c r="R28" s="28"/>
      <c r="S28" s="28"/>
      <c r="T28" s="28"/>
      <c r="U28" s="28"/>
      <c r="V28" s="28"/>
      <c r="W28" s="28"/>
      <c r="X28" s="28"/>
      <c r="Y28" s="28"/>
      <c r="Z28" s="28"/>
      <c r="AA28" s="28"/>
    </row>
    <row r="29" spans="1:27" s="56" customFormat="1">
      <c r="A29" s="52"/>
      <c r="B29" s="60" t="s">
        <v>309</v>
      </c>
      <c r="C29" s="52" t="s">
        <v>390</v>
      </c>
      <c r="D29" s="91">
        <f>D22*24*HDD!$D$4/1000</f>
        <v>16109.866900905932</v>
      </c>
      <c r="E29" s="91"/>
      <c r="F29" s="91"/>
      <c r="G29" s="91"/>
      <c r="H29" s="91"/>
      <c r="I29" s="91"/>
      <c r="J29" s="91"/>
    </row>
    <row r="30" spans="1:27" s="56" customFormat="1">
      <c r="A30" s="52"/>
      <c r="B30" s="60" t="s">
        <v>310</v>
      </c>
      <c r="C30" s="52" t="s">
        <v>390</v>
      </c>
      <c r="D30" s="91">
        <f>D23*24*HDD!$D$4/1000</f>
        <v>13413.910537197717</v>
      </c>
      <c r="E30" s="91"/>
      <c r="F30" s="91"/>
      <c r="G30" s="91"/>
      <c r="H30" s="91"/>
      <c r="I30" s="91"/>
      <c r="J30" s="91"/>
    </row>
    <row r="31" spans="1:27" s="56" customFormat="1">
      <c r="A31" s="52"/>
      <c r="B31" s="60" t="s">
        <v>311</v>
      </c>
      <c r="C31" s="52" t="s">
        <v>390</v>
      </c>
      <c r="D31" s="91">
        <f>D24*24*HDD!$D$4/1000</f>
        <v>9606.6912694886669</v>
      </c>
      <c r="E31" s="91"/>
      <c r="F31" s="91"/>
      <c r="G31" s="91"/>
      <c r="H31" s="91"/>
      <c r="I31" s="91"/>
      <c r="J31" s="91"/>
    </row>
    <row r="32" spans="1:27" s="56" customFormat="1">
      <c r="A32" s="52"/>
      <c r="B32" s="60" t="s">
        <v>312</v>
      </c>
      <c r="C32" s="52" t="s">
        <v>390</v>
      </c>
      <c r="D32" s="91">
        <f>D25*24*HDD!$D$4/1000</f>
        <v>8680.444107987807</v>
      </c>
      <c r="E32" s="91"/>
      <c r="F32" s="91"/>
      <c r="G32" s="91"/>
      <c r="H32" s="91"/>
      <c r="I32" s="91"/>
      <c r="J32" s="91"/>
    </row>
    <row r="33" spans="1:10" s="56" customFormat="1">
      <c r="A33" s="53"/>
      <c r="B33" s="60" t="s">
        <v>313</v>
      </c>
      <c r="C33" s="52" t="s">
        <v>390</v>
      </c>
      <c r="D33" s="91">
        <f>D26*24*HDD!$D$4/1000</f>
        <v>6838.2754019133517</v>
      </c>
      <c r="E33" s="91"/>
      <c r="F33" s="91"/>
      <c r="G33" s="91"/>
      <c r="H33" s="91"/>
      <c r="I33" s="91"/>
      <c r="J33" s="91"/>
    </row>
    <row r="34" spans="1:10" s="56" customFormat="1">
      <c r="D34" s="670"/>
      <c r="E34" s="670"/>
      <c r="F34" s="670"/>
      <c r="G34" s="670"/>
      <c r="H34" s="670"/>
      <c r="I34" s="670"/>
      <c r="J34" s="670"/>
    </row>
    <row r="35" spans="1:10" s="56" customFormat="1">
      <c r="D35" s="670"/>
      <c r="E35" s="670"/>
      <c r="F35" s="670"/>
      <c r="G35" s="670"/>
      <c r="H35" s="670"/>
      <c r="I35" s="670"/>
      <c r="J35" s="670"/>
    </row>
    <row r="36" spans="1:10" s="56" customFormat="1">
      <c r="A36" s="66" t="s">
        <v>391</v>
      </c>
      <c r="B36" s="59" t="s">
        <v>308</v>
      </c>
      <c r="C36" s="93" t="s">
        <v>390</v>
      </c>
      <c r="D36" s="92">
        <f t="shared" ref="D36:D41" si="10">D28/(1.355*(D21/D$16)^0.16)</f>
        <v>16249.417696429571</v>
      </c>
      <c r="E36" s="545"/>
      <c r="F36" s="545"/>
      <c r="G36" s="545"/>
      <c r="H36" s="545"/>
      <c r="I36" s="545"/>
      <c r="J36" s="545"/>
    </row>
    <row r="37" spans="1:10" s="56" customFormat="1">
      <c r="A37" s="52"/>
      <c r="B37" s="60" t="s">
        <v>309</v>
      </c>
      <c r="C37" s="52" t="s">
        <v>390</v>
      </c>
      <c r="D37" s="91">
        <f t="shared" si="10"/>
        <v>12838.428913113381</v>
      </c>
      <c r="E37" s="91"/>
      <c r="F37" s="91"/>
      <c r="G37" s="91"/>
      <c r="H37" s="91"/>
      <c r="I37" s="91"/>
      <c r="J37" s="91"/>
    </row>
    <row r="38" spans="1:10" s="56" customFormat="1">
      <c r="A38" s="52"/>
      <c r="B38" s="60" t="s">
        <v>310</v>
      </c>
      <c r="C38" s="52" t="s">
        <v>390</v>
      </c>
      <c r="D38" s="91">
        <f t="shared" si="10"/>
        <v>11007.816504115959</v>
      </c>
      <c r="E38" s="91"/>
      <c r="F38" s="91"/>
      <c r="G38" s="91"/>
      <c r="H38" s="91"/>
      <c r="I38" s="91"/>
      <c r="J38" s="91"/>
    </row>
    <row r="39" spans="1:10" s="56" customFormat="1">
      <c r="A39" s="52"/>
      <c r="B39" s="60" t="s">
        <v>311</v>
      </c>
      <c r="C39" s="52" t="s">
        <v>390</v>
      </c>
      <c r="D39" s="91">
        <f t="shared" si="10"/>
        <v>8316.0417565438365</v>
      </c>
      <c r="E39" s="91"/>
      <c r="F39" s="91"/>
      <c r="G39" s="91"/>
      <c r="H39" s="91"/>
      <c r="I39" s="91"/>
      <c r="J39" s="91"/>
    </row>
    <row r="40" spans="1:10" s="56" customFormat="1">
      <c r="A40" s="52"/>
      <c r="B40" s="60" t="s">
        <v>312</v>
      </c>
      <c r="C40" s="52" t="s">
        <v>390</v>
      </c>
      <c r="D40" s="91">
        <f t="shared" si="10"/>
        <v>7637.1245729722295</v>
      </c>
      <c r="E40" s="91"/>
      <c r="F40" s="91"/>
      <c r="G40" s="91"/>
      <c r="H40" s="91"/>
      <c r="I40" s="91"/>
      <c r="J40" s="91"/>
    </row>
    <row r="41" spans="1:10" s="56" customFormat="1">
      <c r="A41" s="52"/>
      <c r="B41" s="60" t="s">
        <v>313</v>
      </c>
      <c r="C41" s="52" t="s">
        <v>390</v>
      </c>
      <c r="D41" s="91">
        <f t="shared" si="10"/>
        <v>6250.4282505221654</v>
      </c>
      <c r="E41" s="91"/>
      <c r="F41" s="91"/>
      <c r="G41" s="91"/>
      <c r="H41" s="91"/>
      <c r="I41" s="91"/>
      <c r="J41" s="91"/>
    </row>
    <row r="42" spans="1:10" s="56" customFormat="1" ht="15.75" thickBot="1">
      <c r="D42" s="670"/>
      <c r="E42" s="670"/>
      <c r="F42" s="670"/>
      <c r="G42" s="670"/>
      <c r="H42" s="670"/>
      <c r="I42" s="670"/>
      <c r="J42" s="670"/>
    </row>
    <row r="43" spans="1:10" s="56" customFormat="1" ht="15.75">
      <c r="A43" s="632" t="s">
        <v>392</v>
      </c>
      <c r="B43" s="633" t="s">
        <v>308</v>
      </c>
      <c r="C43" s="671" t="s">
        <v>393</v>
      </c>
      <c r="D43" s="672">
        <f t="shared" ref="D43:D44" si="11">D36/D$5</f>
        <v>135.07412881487591</v>
      </c>
      <c r="E43" s="672"/>
      <c r="F43" s="672"/>
      <c r="G43" s="672"/>
      <c r="H43" s="672"/>
      <c r="I43" s="672"/>
      <c r="J43" s="673"/>
    </row>
    <row r="44" spans="1:10" s="56" customFormat="1" ht="15.75">
      <c r="A44" s="636"/>
      <c r="B44" s="90" t="s">
        <v>309</v>
      </c>
      <c r="C44" s="674" t="s">
        <v>393</v>
      </c>
      <c r="D44" s="675">
        <f t="shared" si="11"/>
        <v>106.72010734092586</v>
      </c>
      <c r="E44" s="675"/>
      <c r="F44" s="675"/>
      <c r="G44" s="675"/>
      <c r="H44" s="675"/>
      <c r="I44" s="675"/>
      <c r="J44" s="676"/>
    </row>
    <row r="45" spans="1:10" s="56" customFormat="1" ht="15.75">
      <c r="A45" s="636"/>
      <c r="B45" s="90" t="s">
        <v>310</v>
      </c>
      <c r="C45" s="674" t="s">
        <v>393</v>
      </c>
      <c r="D45" s="675">
        <f t="shared" ref="D45:D47" si="12">D38/D$5</f>
        <v>91.503046584505071</v>
      </c>
      <c r="E45" s="675"/>
      <c r="F45" s="675"/>
      <c r="G45" s="675"/>
      <c r="H45" s="675"/>
      <c r="I45" s="675"/>
      <c r="J45" s="676"/>
    </row>
    <row r="46" spans="1:10" s="56" customFormat="1" ht="15.75">
      <c r="A46" s="636"/>
      <c r="B46" s="90" t="s">
        <v>311</v>
      </c>
      <c r="C46" s="674" t="s">
        <v>393</v>
      </c>
      <c r="D46" s="675">
        <f t="shared" si="12"/>
        <v>69.127529148327824</v>
      </c>
      <c r="E46" s="675"/>
      <c r="F46" s="675"/>
      <c r="G46" s="675"/>
      <c r="H46" s="675"/>
      <c r="I46" s="675"/>
      <c r="J46" s="676"/>
    </row>
    <row r="47" spans="1:10" s="56" customFormat="1" ht="15.75">
      <c r="A47" s="636"/>
      <c r="B47" s="90" t="s">
        <v>312</v>
      </c>
      <c r="C47" s="674" t="s">
        <v>393</v>
      </c>
      <c r="D47" s="675">
        <f t="shared" si="12"/>
        <v>63.483994787799084</v>
      </c>
      <c r="E47" s="675"/>
      <c r="F47" s="675"/>
      <c r="G47" s="675"/>
      <c r="H47" s="675"/>
      <c r="I47" s="675"/>
      <c r="J47" s="676"/>
    </row>
    <row r="48" spans="1:10" s="56" customFormat="1" ht="16.5" thickBot="1">
      <c r="A48" s="639"/>
      <c r="B48" s="640" t="s">
        <v>313</v>
      </c>
      <c r="C48" s="677" t="s">
        <v>393</v>
      </c>
      <c r="D48" s="678">
        <f>D41/D$5</f>
        <v>51.957009563775273</v>
      </c>
      <c r="E48" s="678"/>
      <c r="F48" s="678"/>
      <c r="G48" s="678"/>
      <c r="H48" s="678"/>
      <c r="I48" s="678"/>
      <c r="J48" s="679"/>
    </row>
    <row r="49" spans="1:27" s="56" customFormat="1"/>
    <row r="50" spans="1:27">
      <c r="A50" s="89"/>
      <c r="R50" s="56"/>
      <c r="S50" s="56"/>
      <c r="T50" s="56"/>
      <c r="U50" s="56"/>
      <c r="V50" s="56"/>
      <c r="W50" s="56"/>
      <c r="X50" s="56"/>
      <c r="Y50" s="56"/>
      <c r="Z50" s="56"/>
      <c r="AA50" s="56"/>
    </row>
    <row r="51" spans="1:27">
      <c r="D51" s="28"/>
    </row>
    <row r="52" spans="1:27">
      <c r="D52" s="28"/>
    </row>
    <row r="53" spans="1:27">
      <c r="D53" s="28"/>
    </row>
    <row r="54" spans="1:27">
      <c r="D54" s="28"/>
    </row>
    <row r="55" spans="1:27">
      <c r="D55" s="28"/>
    </row>
    <row r="56" spans="1:27">
      <c r="D56" s="28"/>
    </row>
    <row r="57" spans="1:27">
      <c r="D57" s="28"/>
    </row>
    <row r="58" spans="1:27">
      <c r="D58" s="28"/>
    </row>
    <row r="59" spans="1:27">
      <c r="D59" s="28"/>
    </row>
    <row r="60" spans="1:27">
      <c r="D60" s="28"/>
    </row>
    <row r="61" spans="1:27">
      <c r="D61" s="28"/>
    </row>
    <row r="62" spans="1:27">
      <c r="D62" s="28"/>
    </row>
    <row r="63" spans="1:27">
      <c r="D63" s="28"/>
    </row>
    <row r="64" spans="1:27">
      <c r="D64" s="28"/>
    </row>
    <row r="65" spans="4:4">
      <c r="D65" s="28"/>
    </row>
    <row r="66" spans="4:4">
      <c r="D66" s="28"/>
    </row>
    <row r="67" spans="4:4">
      <c r="D67" s="28"/>
    </row>
    <row r="68" spans="4:4">
      <c r="D68" s="28"/>
    </row>
    <row r="69" spans="4:4">
      <c r="D69" s="28"/>
    </row>
    <row r="70" spans="4:4">
      <c r="D70" s="28"/>
    </row>
    <row r="71" spans="4:4">
      <c r="D71" s="28"/>
    </row>
    <row r="72" spans="4:4">
      <c r="D72" s="28"/>
    </row>
    <row r="73" spans="4:4">
      <c r="D73" s="28"/>
    </row>
    <row r="74" spans="4:4">
      <c r="D74" s="28"/>
    </row>
    <row r="75" spans="4:4">
      <c r="D75" s="28"/>
    </row>
    <row r="76" spans="4:4">
      <c r="D76" s="28"/>
    </row>
    <row r="77" spans="4:4">
      <c r="D77" s="28"/>
    </row>
    <row r="78" spans="4:4">
      <c r="D78" s="28"/>
    </row>
    <row r="79" spans="4:4">
      <c r="D79" s="28"/>
    </row>
    <row r="80" spans="4:4">
      <c r="D80" s="28"/>
    </row>
    <row r="81" spans="4:4">
      <c r="D81" s="28"/>
    </row>
    <row r="82" spans="4:4">
      <c r="D82" s="28"/>
    </row>
    <row r="83" spans="4:4">
      <c r="D83" s="28"/>
    </row>
    <row r="84" spans="4:4">
      <c r="D84" s="28"/>
    </row>
    <row r="85" spans="4:4">
      <c r="D85" s="28"/>
    </row>
    <row r="86" spans="4:4">
      <c r="D86" s="28"/>
    </row>
    <row r="87" spans="4:4">
      <c r="D87" s="28"/>
    </row>
    <row r="88" spans="4:4">
      <c r="D88" s="28"/>
    </row>
    <row r="89" spans="4:4">
      <c r="D89" s="28"/>
    </row>
    <row r="90" spans="4:4">
      <c r="D90" s="28"/>
    </row>
    <row r="91" spans="4:4">
      <c r="D91" s="28"/>
    </row>
    <row r="92" spans="4:4">
      <c r="D92" s="28"/>
    </row>
    <row r="93" spans="4:4">
      <c r="D93" s="28"/>
    </row>
    <row r="94" spans="4:4">
      <c r="D94" s="28"/>
    </row>
    <row r="95" spans="4:4">
      <c r="D95" s="28"/>
    </row>
    <row r="96" spans="4:4">
      <c r="D96" s="28"/>
    </row>
    <row r="97" spans="4:4">
      <c r="D97" s="28"/>
    </row>
    <row r="98" spans="4:4">
      <c r="D98" s="28"/>
    </row>
    <row r="99" spans="4:4">
      <c r="D99" s="28"/>
    </row>
    <row r="100" spans="4:4">
      <c r="D100" s="28"/>
    </row>
    <row r="101" spans="4:4">
      <c r="D101" s="28"/>
    </row>
    <row r="102" spans="4:4">
      <c r="D102" s="28"/>
    </row>
    <row r="103" spans="4:4">
      <c r="D103" s="28"/>
    </row>
    <row r="104" spans="4:4">
      <c r="D104" s="28"/>
    </row>
    <row r="105" spans="4:4">
      <c r="D105" s="28"/>
    </row>
    <row r="106" spans="4:4">
      <c r="D106" s="28"/>
    </row>
    <row r="107" spans="4:4">
      <c r="D107" s="28"/>
    </row>
    <row r="108" spans="4:4">
      <c r="D108" s="28"/>
    </row>
    <row r="109" spans="4:4">
      <c r="D109" s="28"/>
    </row>
    <row r="110" spans="4:4">
      <c r="D110" s="28"/>
    </row>
    <row r="111" spans="4:4">
      <c r="D111" s="28"/>
    </row>
    <row r="112" spans="4:4">
      <c r="D112" s="28"/>
    </row>
    <row r="113" spans="4:4">
      <c r="D113" s="28"/>
    </row>
    <row r="114" spans="4:4">
      <c r="D114" s="28"/>
    </row>
    <row r="115" spans="4:4">
      <c r="D115" s="28"/>
    </row>
    <row r="116" spans="4:4">
      <c r="D116" s="28"/>
    </row>
    <row r="117" spans="4:4">
      <c r="D117" s="28"/>
    </row>
    <row r="118" spans="4:4">
      <c r="D118" s="28"/>
    </row>
    <row r="119" spans="4:4">
      <c r="D119" s="28"/>
    </row>
    <row r="120" spans="4:4">
      <c r="D120" s="28"/>
    </row>
    <row r="121" spans="4:4">
      <c r="D121" s="28"/>
    </row>
    <row r="122" spans="4:4">
      <c r="D122" s="28"/>
    </row>
    <row r="123" spans="4:4">
      <c r="D123" s="28"/>
    </row>
    <row r="124" spans="4:4">
      <c r="D124" s="28"/>
    </row>
    <row r="125" spans="4:4">
      <c r="D125" s="28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3">
    <tabColor theme="6"/>
  </sheetPr>
  <dimension ref="A1:J174"/>
  <sheetViews>
    <sheetView zoomScaleNormal="100" workbookViewId="0">
      <pane ySplit="2" topLeftCell="A17" activePane="bottomLeft" state="frozen"/>
      <selection activeCell="G33" sqref="G33"/>
      <selection pane="bottomLeft" activeCell="E1" sqref="E1:K1048576"/>
    </sheetView>
  </sheetViews>
  <sheetFormatPr defaultColWidth="9.140625" defaultRowHeight="15"/>
  <cols>
    <col min="1" max="1" width="40.42578125" style="28" customWidth="1"/>
    <col min="2" max="2" width="28.85546875" style="28" bestFit="1" customWidth="1"/>
    <col min="3" max="3" width="24" style="28" customWidth="1"/>
    <col min="4" max="4" width="14.28515625" style="74" customWidth="1"/>
    <col min="5" max="10" width="14.28515625" style="28" customWidth="1"/>
    <col min="11" max="16384" width="9.140625" style="28"/>
  </cols>
  <sheetData>
    <row r="1" spans="1:10" ht="21">
      <c r="A1" s="26" t="s">
        <v>364</v>
      </c>
      <c r="B1" s="26" t="s">
        <v>394</v>
      </c>
      <c r="C1" s="26"/>
      <c r="D1" s="73">
        <v>2020</v>
      </c>
    </row>
    <row r="2" spans="1:10">
      <c r="A2" s="88" t="s">
        <v>366</v>
      </c>
      <c r="B2" s="68"/>
      <c r="C2" s="69" t="s">
        <v>5</v>
      </c>
      <c r="D2" s="75" t="s">
        <v>362</v>
      </c>
    </row>
    <row r="3" spans="1:10">
      <c r="A3" s="86" t="s">
        <v>367</v>
      </c>
      <c r="B3" s="87"/>
      <c r="C3" s="40" t="s">
        <v>368</v>
      </c>
      <c r="D3" s="76">
        <v>6</v>
      </c>
      <c r="E3" s="76"/>
      <c r="F3" s="76"/>
      <c r="G3" s="76"/>
      <c r="H3" s="76"/>
      <c r="I3" s="76"/>
      <c r="J3" s="76"/>
    </row>
    <row r="4" spans="1:10">
      <c r="A4" s="71" t="s">
        <v>369</v>
      </c>
      <c r="B4" s="42"/>
      <c r="C4" s="41" t="s">
        <v>370</v>
      </c>
      <c r="D4" s="77">
        <f>BUILD_STOCK!C11</f>
        <v>79.2</v>
      </c>
      <c r="E4" s="547"/>
      <c r="F4" s="547"/>
      <c r="G4" s="547"/>
      <c r="H4" s="547"/>
      <c r="I4" s="547"/>
      <c r="J4" s="547"/>
    </row>
    <row r="5" spans="1:10">
      <c r="A5" s="64" t="s">
        <v>371</v>
      </c>
      <c r="B5" s="42"/>
      <c r="C5" s="43" t="s">
        <v>370</v>
      </c>
      <c r="D5" s="79">
        <f t="shared" ref="D5" si="0">D4*D3</f>
        <v>475.20000000000005</v>
      </c>
      <c r="E5" s="79"/>
      <c r="F5" s="79"/>
      <c r="G5" s="79"/>
      <c r="H5" s="79"/>
      <c r="I5" s="79"/>
      <c r="J5" s="79"/>
    </row>
    <row r="6" spans="1:10">
      <c r="A6" s="58"/>
      <c r="B6" s="55" t="s">
        <v>372</v>
      </c>
      <c r="C6" s="44" t="s">
        <v>370</v>
      </c>
      <c r="D6" s="78">
        <f t="shared" ref="D6" si="1">D9*D7*D8</f>
        <v>475.2000000000001</v>
      </c>
      <c r="E6" s="78"/>
      <c r="F6" s="78"/>
      <c r="G6" s="78"/>
      <c r="H6" s="78"/>
      <c r="I6" s="78"/>
      <c r="J6" s="78"/>
    </row>
    <row r="7" spans="1:10">
      <c r="A7" s="62" t="s">
        <v>373</v>
      </c>
      <c r="B7" s="47" t="s">
        <v>374</v>
      </c>
      <c r="C7" s="46" t="s">
        <v>375</v>
      </c>
      <c r="D7" s="77">
        <f t="shared" ref="D7" si="2">SQRT(D4/D9)</f>
        <v>6.2928530890209098</v>
      </c>
      <c r="E7" s="547"/>
      <c r="F7" s="547"/>
      <c r="G7" s="547"/>
      <c r="H7" s="547"/>
      <c r="I7" s="547"/>
      <c r="J7" s="547"/>
    </row>
    <row r="8" spans="1:10">
      <c r="A8" s="49"/>
      <c r="B8" s="50" t="s">
        <v>376</v>
      </c>
      <c r="C8" s="49" t="s">
        <v>375</v>
      </c>
      <c r="D8" s="79">
        <f t="shared" ref="D8" si="3">SQRT(D4/D9)*D3</f>
        <v>37.75711853412546</v>
      </c>
      <c r="E8" s="79"/>
      <c r="F8" s="79"/>
      <c r="G8" s="79"/>
      <c r="H8" s="79"/>
      <c r="I8" s="79"/>
      <c r="J8" s="79"/>
    </row>
    <row r="9" spans="1:10">
      <c r="A9" s="49"/>
      <c r="B9" s="50" t="s">
        <v>377</v>
      </c>
      <c r="C9" s="49" t="s">
        <v>368</v>
      </c>
      <c r="D9" s="80">
        <v>2</v>
      </c>
      <c r="E9" s="80"/>
      <c r="F9" s="80"/>
      <c r="G9" s="80"/>
      <c r="H9" s="80"/>
      <c r="I9" s="80"/>
      <c r="J9" s="80"/>
    </row>
    <row r="10" spans="1:10">
      <c r="A10" s="49"/>
      <c r="B10" s="50" t="s">
        <v>378</v>
      </c>
      <c r="C10" s="49" t="s">
        <v>375</v>
      </c>
      <c r="D10" s="79">
        <v>3</v>
      </c>
      <c r="E10" s="79"/>
      <c r="F10" s="79"/>
      <c r="G10" s="79"/>
      <c r="H10" s="79"/>
      <c r="I10" s="79"/>
      <c r="J10" s="79"/>
    </row>
    <row r="11" spans="1:10">
      <c r="A11" s="52"/>
      <c r="B11" s="53" t="s">
        <v>379</v>
      </c>
      <c r="C11" s="52" t="s">
        <v>375</v>
      </c>
      <c r="D11" s="79">
        <f t="shared" ref="D11" si="4">D9*D10</f>
        <v>6</v>
      </c>
      <c r="E11" s="79"/>
      <c r="F11" s="79"/>
      <c r="G11" s="79"/>
      <c r="H11" s="79"/>
      <c r="I11" s="79"/>
      <c r="J11" s="79"/>
    </row>
    <row r="12" spans="1:10">
      <c r="A12" s="52"/>
      <c r="B12" s="53" t="s">
        <v>380</v>
      </c>
      <c r="C12" s="52" t="s">
        <v>370</v>
      </c>
      <c r="D12" s="79">
        <f t="shared" ref="D12" si="5">(D7*D11)*2+(D8*D11)*2</f>
        <v>528.59965947775652</v>
      </c>
      <c r="E12" s="79"/>
      <c r="F12" s="79"/>
      <c r="G12" s="79"/>
      <c r="H12" s="79"/>
      <c r="I12" s="79"/>
      <c r="J12" s="79"/>
    </row>
    <row r="13" spans="1:10">
      <c r="A13" s="52"/>
      <c r="B13" s="53" t="s">
        <v>381</v>
      </c>
      <c r="C13" s="52" t="s">
        <v>370</v>
      </c>
      <c r="D13" s="79">
        <f t="shared" ref="D13" si="6">D12-D19</f>
        <v>474.59965947775652</v>
      </c>
      <c r="E13" s="79"/>
      <c r="F13" s="79"/>
      <c r="G13" s="79"/>
      <c r="H13" s="79"/>
      <c r="I13" s="79"/>
      <c r="J13" s="79"/>
    </row>
    <row r="14" spans="1:10">
      <c r="A14" s="52"/>
      <c r="B14" s="53" t="s">
        <v>352</v>
      </c>
      <c r="C14" s="52" t="s">
        <v>370</v>
      </c>
      <c r="D14" s="79">
        <f t="shared" ref="D14" si="7">D7*D8</f>
        <v>237.60000000000005</v>
      </c>
      <c r="E14" s="79"/>
      <c r="F14" s="79"/>
      <c r="G14" s="79"/>
      <c r="H14" s="79"/>
      <c r="I14" s="79"/>
      <c r="J14" s="79"/>
    </row>
    <row r="15" spans="1:10">
      <c r="A15" s="52"/>
      <c r="B15" s="53" t="s">
        <v>351</v>
      </c>
      <c r="C15" s="52" t="s">
        <v>370</v>
      </c>
      <c r="D15" s="79">
        <f t="shared" ref="D15" si="8">D14</f>
        <v>237.60000000000005</v>
      </c>
      <c r="E15" s="79"/>
      <c r="F15" s="79"/>
      <c r="G15" s="79"/>
      <c r="H15" s="79"/>
      <c r="I15" s="79"/>
      <c r="J15" s="79"/>
    </row>
    <row r="16" spans="1:10">
      <c r="A16" s="44"/>
      <c r="B16" s="55" t="s">
        <v>383</v>
      </c>
      <c r="C16" s="44" t="s">
        <v>384</v>
      </c>
      <c r="D16" s="84">
        <f t="shared" ref="D16" si="9">D7*D8*D11</f>
        <v>1425.6000000000004</v>
      </c>
      <c r="E16" s="84"/>
      <c r="F16" s="84"/>
      <c r="G16" s="84"/>
      <c r="H16" s="84"/>
      <c r="I16" s="84"/>
      <c r="J16" s="84"/>
    </row>
    <row r="17" spans="1:10">
      <c r="A17" s="72"/>
      <c r="E17" s="74"/>
      <c r="F17" s="74"/>
      <c r="G17" s="74"/>
      <c r="H17" s="74"/>
      <c r="I17" s="74"/>
      <c r="J17" s="74"/>
    </row>
    <row r="18" spans="1:10">
      <c r="A18" s="62"/>
      <c r="B18" s="47" t="s">
        <v>386</v>
      </c>
      <c r="C18" s="48" t="s">
        <v>368</v>
      </c>
      <c r="D18" s="83">
        <f t="shared" ref="D18" si="10">D3*5</f>
        <v>30</v>
      </c>
      <c r="E18" s="548"/>
      <c r="F18" s="548"/>
      <c r="G18" s="548"/>
      <c r="H18" s="548"/>
      <c r="I18" s="548"/>
      <c r="J18" s="548"/>
    </row>
    <row r="19" spans="1:10">
      <c r="A19" s="52"/>
      <c r="B19" s="53" t="s">
        <v>354</v>
      </c>
      <c r="C19" s="54" t="s">
        <v>370</v>
      </c>
      <c r="D19" s="81">
        <f t="shared" ref="D19" si="11">D18*(1.2*1.5)</f>
        <v>53.999999999999993</v>
      </c>
      <c r="E19" s="81"/>
      <c r="F19" s="81"/>
      <c r="G19" s="81"/>
      <c r="H19" s="81"/>
      <c r="I19" s="81"/>
      <c r="J19" s="81"/>
    </row>
    <row r="21" spans="1:10">
      <c r="A21" s="66" t="s">
        <v>387</v>
      </c>
      <c r="B21" s="59" t="s">
        <v>308</v>
      </c>
      <c r="C21" s="93" t="s">
        <v>388</v>
      </c>
      <c r="D21" s="77">
        <f>$D$15*'U-VALUES'!B33+$D$14*'U-VALUES'!C33+$D$13*'U-VALUES'!D33+$D$19*'U-VALUES'!E33</f>
        <v>902.29187393858842</v>
      </c>
      <c r="E21" s="77"/>
      <c r="F21" s="77"/>
      <c r="G21" s="77"/>
      <c r="H21" s="77"/>
      <c r="I21" s="77"/>
      <c r="J21" s="77"/>
    </row>
    <row r="22" spans="1:10">
      <c r="A22" s="52"/>
      <c r="B22" s="60" t="s">
        <v>309</v>
      </c>
      <c r="C22" s="52" t="s">
        <v>388</v>
      </c>
      <c r="D22" s="77">
        <f>$D$15*'U-VALUES'!B34+$D$14*'U-VALUES'!C34+$D$13*'U-VALUES'!D34+$D$19*'U-VALUES'!E34</f>
        <v>669.14085098742771</v>
      </c>
      <c r="E22" s="77"/>
      <c r="F22" s="77"/>
      <c r="G22" s="77"/>
      <c r="H22" s="77"/>
      <c r="I22" s="77"/>
      <c r="J22" s="77"/>
    </row>
    <row r="23" spans="1:10">
      <c r="A23" s="52"/>
      <c r="B23" s="60" t="s">
        <v>310</v>
      </c>
      <c r="C23" s="52" t="s">
        <v>388</v>
      </c>
      <c r="D23" s="77">
        <f>$D$15*'U-VALUES'!B35+$D$14*'U-VALUES'!C35+$D$13*'U-VALUES'!D35+$D$19*'U-VALUES'!E35</f>
        <v>542.85146206576417</v>
      </c>
      <c r="E23" s="77"/>
      <c r="F23" s="77"/>
      <c r="G23" s="77"/>
      <c r="H23" s="77"/>
      <c r="I23" s="77"/>
      <c r="J23" s="77"/>
    </row>
    <row r="24" spans="1:10">
      <c r="A24" s="52"/>
      <c r="B24" s="60" t="s">
        <v>311</v>
      </c>
      <c r="C24" s="52" t="s">
        <v>388</v>
      </c>
      <c r="D24" s="77">
        <f>$D$15*'U-VALUES'!B36+$D$14*'U-VALUES'!C36+$D$13*'U-VALUES'!D36+$D$19*'U-VALUES'!E36</f>
        <v>386.58238072640245</v>
      </c>
      <c r="E24" s="77"/>
      <c r="F24" s="77"/>
      <c r="G24" s="77"/>
      <c r="H24" s="77"/>
      <c r="I24" s="77"/>
      <c r="J24" s="77"/>
    </row>
    <row r="25" spans="1:10">
      <c r="A25" s="52"/>
      <c r="B25" s="60" t="s">
        <v>312</v>
      </c>
      <c r="C25" s="52" t="s">
        <v>388</v>
      </c>
      <c r="D25" s="77">
        <f>$D$15*'U-VALUES'!B37+$D$14*'U-VALUES'!C37+$D$13*'U-VALUES'!D37+$D$19*'U-VALUES'!E37</f>
        <v>343.83141907487919</v>
      </c>
      <c r="E25" s="77"/>
      <c r="F25" s="77"/>
      <c r="G25" s="77"/>
      <c r="H25" s="77"/>
      <c r="I25" s="77"/>
      <c r="J25" s="77"/>
    </row>
    <row r="26" spans="1:10">
      <c r="A26" s="52"/>
      <c r="B26" s="60" t="s">
        <v>313</v>
      </c>
      <c r="C26" s="52" t="s">
        <v>388</v>
      </c>
      <c r="D26" s="77">
        <f>$D$15*'U-VALUES'!B38+$D$14*'U-VALUES'!C38+$D$13*'U-VALUES'!D38+$D$19*'U-VALUES'!E38</f>
        <v>273.90676610667322</v>
      </c>
      <c r="E26" s="77"/>
      <c r="F26" s="77"/>
      <c r="G26" s="77"/>
      <c r="H26" s="77"/>
      <c r="I26" s="77"/>
      <c r="J26" s="77"/>
    </row>
    <row r="27" spans="1:10" s="56" customFormat="1">
      <c r="A27" s="85" t="s">
        <v>389</v>
      </c>
      <c r="B27" s="60" t="s">
        <v>308</v>
      </c>
      <c r="C27" s="93" t="s">
        <v>390</v>
      </c>
      <c r="D27" s="92">
        <f>D21*24*HDD!$D$4/1000/D$3</f>
        <v>10849.157492237586</v>
      </c>
      <c r="E27" s="545"/>
      <c r="F27" s="545"/>
      <c r="G27" s="545"/>
      <c r="H27" s="545"/>
      <c r="I27" s="545"/>
      <c r="J27" s="545"/>
    </row>
    <row r="28" spans="1:10" s="56" customFormat="1">
      <c r="A28" s="52"/>
      <c r="B28" s="60" t="s">
        <v>309</v>
      </c>
      <c r="C28" s="52" t="s">
        <v>390</v>
      </c>
      <c r="D28" s="92">
        <f>D22*24*HDD!$D$4/1000/D$3</f>
        <v>8045.7495922728303</v>
      </c>
      <c r="E28" s="545"/>
      <c r="F28" s="545"/>
      <c r="G28" s="545"/>
      <c r="H28" s="545"/>
      <c r="I28" s="545"/>
      <c r="J28" s="545"/>
    </row>
    <row r="29" spans="1:10" s="56" customFormat="1">
      <c r="A29" s="52"/>
      <c r="B29" s="60" t="s">
        <v>310</v>
      </c>
      <c r="C29" s="52" t="s">
        <v>390</v>
      </c>
      <c r="D29" s="92">
        <f>D23*24*HDD!$D$4/1000/D$3</f>
        <v>6527.2459798787486</v>
      </c>
      <c r="E29" s="545"/>
      <c r="F29" s="545"/>
      <c r="G29" s="545"/>
      <c r="H29" s="545"/>
      <c r="I29" s="545"/>
      <c r="J29" s="545"/>
    </row>
    <row r="30" spans="1:10" s="56" customFormat="1">
      <c r="A30" s="52"/>
      <c r="B30" s="60" t="s">
        <v>311</v>
      </c>
      <c r="C30" s="52" t="s">
        <v>390</v>
      </c>
      <c r="D30" s="92">
        <f>D24*24*HDD!$D$4/1000/D$3</f>
        <v>4648.2665458542642</v>
      </c>
      <c r="E30" s="545"/>
      <c r="F30" s="545"/>
      <c r="G30" s="545"/>
      <c r="H30" s="545"/>
      <c r="I30" s="545"/>
      <c r="J30" s="545"/>
    </row>
    <row r="31" spans="1:10" s="56" customFormat="1">
      <c r="A31" s="52"/>
      <c r="B31" s="60" t="s">
        <v>312</v>
      </c>
      <c r="C31" s="52" t="s">
        <v>390</v>
      </c>
      <c r="D31" s="92">
        <f>D25*24*HDD!$D$4/1000/D$3</f>
        <v>4134.2289829563479</v>
      </c>
      <c r="E31" s="545"/>
      <c r="F31" s="545"/>
      <c r="G31" s="545"/>
      <c r="H31" s="545"/>
      <c r="I31" s="545"/>
      <c r="J31" s="545"/>
    </row>
    <row r="32" spans="1:10" s="56" customFormat="1">
      <c r="A32" s="53"/>
      <c r="B32" s="60" t="s">
        <v>313</v>
      </c>
      <c r="C32" s="52" t="s">
        <v>390</v>
      </c>
      <c r="D32" s="92">
        <f>D26*24*HDD!$D$4/1000/D$3</f>
        <v>3293.4549556666389</v>
      </c>
      <c r="E32" s="545"/>
      <c r="F32" s="545"/>
      <c r="G32" s="545"/>
      <c r="H32" s="545"/>
      <c r="I32" s="545"/>
      <c r="J32" s="545"/>
    </row>
    <row r="33" spans="1:10" s="56" customFormat="1"/>
    <row r="34" spans="1:10" s="56" customFormat="1"/>
    <row r="35" spans="1:10" s="56" customFormat="1">
      <c r="A35" s="66" t="s">
        <v>391</v>
      </c>
      <c r="B35" s="59" t="s">
        <v>308</v>
      </c>
      <c r="C35" s="93" t="s">
        <v>390</v>
      </c>
      <c r="D35" s="92">
        <f>D27/(1.355*(D21/$D$16)^0.16)</f>
        <v>8614.713149110943</v>
      </c>
      <c r="E35" s="545"/>
      <c r="F35" s="545"/>
      <c r="G35" s="545"/>
      <c r="H35" s="545"/>
      <c r="I35" s="545"/>
      <c r="J35" s="545"/>
    </row>
    <row r="36" spans="1:10" s="56" customFormat="1">
      <c r="A36" s="52"/>
      <c r="B36" s="60" t="s">
        <v>309</v>
      </c>
      <c r="C36" s="52" t="s">
        <v>390</v>
      </c>
      <c r="D36" s="92">
        <f t="shared" ref="D36:D40" si="12">D28/(1.355*(D22/$D$16)^0.16)</f>
        <v>6701.6854426262535</v>
      </c>
      <c r="E36" s="545"/>
      <c r="F36" s="545"/>
      <c r="G36" s="545"/>
      <c r="H36" s="545"/>
      <c r="I36" s="545"/>
      <c r="J36" s="545"/>
    </row>
    <row r="37" spans="1:10" s="56" customFormat="1">
      <c r="A37" s="52"/>
      <c r="B37" s="60" t="s">
        <v>310</v>
      </c>
      <c r="C37" s="52" t="s">
        <v>390</v>
      </c>
      <c r="D37" s="92">
        <f t="shared" si="12"/>
        <v>5621.8771640022051</v>
      </c>
      <c r="E37" s="545"/>
      <c r="F37" s="545"/>
      <c r="G37" s="545"/>
      <c r="H37" s="545"/>
      <c r="I37" s="545"/>
      <c r="J37" s="545"/>
    </row>
    <row r="38" spans="1:10" s="56" customFormat="1">
      <c r="A38" s="52"/>
      <c r="B38" s="60" t="s">
        <v>311</v>
      </c>
      <c r="C38" s="52" t="s">
        <v>390</v>
      </c>
      <c r="D38" s="92">
        <f t="shared" si="12"/>
        <v>4227.0037150752642</v>
      </c>
      <c r="E38" s="545"/>
      <c r="F38" s="545"/>
      <c r="G38" s="545"/>
      <c r="H38" s="545"/>
      <c r="I38" s="545"/>
      <c r="J38" s="545"/>
    </row>
    <row r="39" spans="1:10" s="56" customFormat="1">
      <c r="A39" s="52"/>
      <c r="B39" s="60" t="s">
        <v>312</v>
      </c>
      <c r="C39" s="52" t="s">
        <v>390</v>
      </c>
      <c r="D39" s="92">
        <f t="shared" si="12"/>
        <v>3830.712619466437</v>
      </c>
      <c r="E39" s="545"/>
      <c r="F39" s="545"/>
      <c r="G39" s="545"/>
      <c r="H39" s="545"/>
      <c r="I39" s="545"/>
      <c r="J39" s="545"/>
    </row>
    <row r="40" spans="1:10" s="56" customFormat="1">
      <c r="A40" s="52"/>
      <c r="B40" s="60" t="s">
        <v>313</v>
      </c>
      <c r="C40" s="52" t="s">
        <v>390</v>
      </c>
      <c r="D40" s="92">
        <f t="shared" si="12"/>
        <v>3164.7223999188836</v>
      </c>
      <c r="E40" s="545"/>
      <c r="F40" s="545"/>
      <c r="G40" s="545"/>
      <c r="H40" s="545"/>
      <c r="I40" s="545"/>
      <c r="J40" s="545"/>
    </row>
    <row r="41" spans="1:10" s="56" customFormat="1" ht="15.75" thickBot="1"/>
    <row r="42" spans="1:10" s="56" customFormat="1">
      <c r="A42" s="645" t="s">
        <v>392</v>
      </c>
      <c r="B42" s="646" t="s">
        <v>308</v>
      </c>
      <c r="C42" s="647" t="s">
        <v>393</v>
      </c>
      <c r="D42" s="634">
        <f t="shared" ref="D42" si="13">D35/D$4</f>
        <v>108.77163067059271</v>
      </c>
      <c r="E42" s="634"/>
      <c r="F42" s="634"/>
      <c r="G42" s="634"/>
      <c r="H42" s="634"/>
      <c r="I42" s="634"/>
      <c r="J42" s="635"/>
    </row>
    <row r="43" spans="1:10" s="56" customFormat="1">
      <c r="A43" s="648"/>
      <c r="B43" s="643" t="s">
        <v>309</v>
      </c>
      <c r="C43" s="644" t="s">
        <v>393</v>
      </c>
      <c r="D43" s="637">
        <f t="shared" ref="D43" si="14">D36/D$4</f>
        <v>84.617240437200167</v>
      </c>
      <c r="E43" s="637"/>
      <c r="F43" s="637"/>
      <c r="G43" s="637"/>
      <c r="H43" s="637"/>
      <c r="I43" s="637"/>
      <c r="J43" s="638"/>
    </row>
    <row r="44" spans="1:10" s="56" customFormat="1">
      <c r="A44" s="648"/>
      <c r="B44" s="643" t="s">
        <v>310</v>
      </c>
      <c r="C44" s="644" t="s">
        <v>393</v>
      </c>
      <c r="D44" s="637">
        <f t="shared" ref="D44" si="15">D37/D$4</f>
        <v>70.983297525280364</v>
      </c>
      <c r="E44" s="637"/>
      <c r="F44" s="637"/>
      <c r="G44" s="637"/>
      <c r="H44" s="637"/>
      <c r="I44" s="637"/>
      <c r="J44" s="638"/>
    </row>
    <row r="45" spans="1:10" s="56" customFormat="1">
      <c r="A45" s="648"/>
      <c r="B45" s="643" t="s">
        <v>311</v>
      </c>
      <c r="C45" s="644" t="s">
        <v>393</v>
      </c>
      <c r="D45" s="637">
        <f t="shared" ref="D45" si="16">D38/D$4</f>
        <v>53.371259028728083</v>
      </c>
      <c r="E45" s="637"/>
      <c r="F45" s="637"/>
      <c r="G45" s="637"/>
      <c r="H45" s="637"/>
      <c r="I45" s="637"/>
      <c r="J45" s="638"/>
    </row>
    <row r="46" spans="1:10" s="56" customFormat="1">
      <c r="A46" s="648"/>
      <c r="B46" s="643" t="s">
        <v>312</v>
      </c>
      <c r="C46" s="644" t="s">
        <v>393</v>
      </c>
      <c r="D46" s="637">
        <f t="shared" ref="D46" si="17">D39/D$4</f>
        <v>48.367583579121678</v>
      </c>
      <c r="E46" s="637"/>
      <c r="F46" s="637"/>
      <c r="G46" s="637"/>
      <c r="H46" s="637"/>
      <c r="I46" s="637"/>
      <c r="J46" s="638"/>
    </row>
    <row r="47" spans="1:10" s="56" customFormat="1" ht="15.75" thickBot="1">
      <c r="A47" s="649"/>
      <c r="B47" s="650" t="s">
        <v>313</v>
      </c>
      <c r="C47" s="651" t="s">
        <v>393</v>
      </c>
      <c r="D47" s="641">
        <f t="shared" ref="D47" si="18">D40/D$4</f>
        <v>39.958616160591966</v>
      </c>
      <c r="E47" s="641"/>
      <c r="F47" s="641"/>
      <c r="G47" s="641"/>
      <c r="H47" s="641"/>
      <c r="I47" s="641"/>
      <c r="J47" s="642"/>
    </row>
    <row r="48" spans="1:10">
      <c r="D48" s="28"/>
    </row>
    <row r="49" spans="4:4">
      <c r="D49" s="28"/>
    </row>
    <row r="50" spans="4:4">
      <c r="D50" s="28"/>
    </row>
    <row r="51" spans="4:4">
      <c r="D51" s="28"/>
    </row>
    <row r="52" spans="4:4">
      <c r="D52" s="28"/>
    </row>
    <row r="53" spans="4:4">
      <c r="D53" s="28"/>
    </row>
    <row r="54" spans="4:4">
      <c r="D54" s="28"/>
    </row>
    <row r="55" spans="4:4">
      <c r="D55" s="28"/>
    </row>
    <row r="56" spans="4:4">
      <c r="D56" s="28"/>
    </row>
    <row r="57" spans="4:4">
      <c r="D57" s="28"/>
    </row>
    <row r="58" spans="4:4">
      <c r="D58" s="28"/>
    </row>
    <row r="59" spans="4:4">
      <c r="D59" s="28"/>
    </row>
    <row r="60" spans="4:4">
      <c r="D60" s="28"/>
    </row>
    <row r="61" spans="4:4">
      <c r="D61" s="28"/>
    </row>
    <row r="62" spans="4:4">
      <c r="D62" s="28"/>
    </row>
    <row r="63" spans="4:4">
      <c r="D63" s="28"/>
    </row>
    <row r="64" spans="4:4">
      <c r="D64" s="28"/>
    </row>
    <row r="65" spans="4:4">
      <c r="D65" s="28"/>
    </row>
    <row r="66" spans="4:4">
      <c r="D66" s="28"/>
    </row>
    <row r="67" spans="4:4">
      <c r="D67" s="28"/>
    </row>
    <row r="68" spans="4:4">
      <c r="D68" s="28"/>
    </row>
    <row r="69" spans="4:4">
      <c r="D69" s="28"/>
    </row>
    <row r="70" spans="4:4">
      <c r="D70" s="28"/>
    </row>
    <row r="71" spans="4:4">
      <c r="D71" s="28"/>
    </row>
    <row r="72" spans="4:4">
      <c r="D72" s="28"/>
    </row>
    <row r="73" spans="4:4">
      <c r="D73" s="28"/>
    </row>
    <row r="74" spans="4:4">
      <c r="D74" s="28"/>
    </row>
    <row r="75" spans="4:4">
      <c r="D75" s="28"/>
    </row>
    <row r="76" spans="4:4">
      <c r="D76" s="28"/>
    </row>
    <row r="77" spans="4:4">
      <c r="D77" s="28"/>
    </row>
    <row r="78" spans="4:4">
      <c r="D78" s="28"/>
    </row>
    <row r="79" spans="4:4">
      <c r="D79" s="28"/>
    </row>
    <row r="80" spans="4:4">
      <c r="D80" s="28"/>
    </row>
    <row r="81" spans="4:4">
      <c r="D81" s="28"/>
    </row>
    <row r="82" spans="4:4">
      <c r="D82" s="28"/>
    </row>
    <row r="83" spans="4:4">
      <c r="D83" s="28"/>
    </row>
    <row r="84" spans="4:4">
      <c r="D84" s="28"/>
    </row>
    <row r="85" spans="4:4">
      <c r="D85" s="28"/>
    </row>
    <row r="86" spans="4:4">
      <c r="D86" s="28"/>
    </row>
    <row r="87" spans="4:4">
      <c r="D87" s="28"/>
    </row>
    <row r="88" spans="4:4">
      <c r="D88" s="28"/>
    </row>
    <row r="89" spans="4:4">
      <c r="D89" s="28"/>
    </row>
    <row r="90" spans="4:4">
      <c r="D90" s="28"/>
    </row>
    <row r="91" spans="4:4">
      <c r="D91" s="28"/>
    </row>
    <row r="92" spans="4:4">
      <c r="D92" s="28"/>
    </row>
    <row r="93" spans="4:4">
      <c r="D93" s="28"/>
    </row>
    <row r="94" spans="4:4">
      <c r="D94" s="28"/>
    </row>
    <row r="95" spans="4:4">
      <c r="D95" s="28"/>
    </row>
    <row r="96" spans="4:4">
      <c r="D96" s="28"/>
    </row>
    <row r="97" spans="4:4">
      <c r="D97" s="28"/>
    </row>
    <row r="98" spans="4:4">
      <c r="D98" s="28"/>
    </row>
    <row r="99" spans="4:4">
      <c r="D99" s="28"/>
    </row>
    <row r="100" spans="4:4">
      <c r="D100" s="28"/>
    </row>
    <row r="101" spans="4:4">
      <c r="D101" s="28"/>
    </row>
    <row r="102" spans="4:4">
      <c r="D102" s="28"/>
    </row>
    <row r="103" spans="4:4">
      <c r="D103" s="28"/>
    </row>
    <row r="104" spans="4:4">
      <c r="D104" s="28"/>
    </row>
    <row r="105" spans="4:4">
      <c r="D105" s="28"/>
    </row>
    <row r="106" spans="4:4">
      <c r="D106" s="28"/>
    </row>
    <row r="107" spans="4:4">
      <c r="D107" s="28"/>
    </row>
    <row r="108" spans="4:4">
      <c r="D108" s="28"/>
    </row>
    <row r="109" spans="4:4">
      <c r="D109" s="28"/>
    </row>
    <row r="110" spans="4:4" hidden="1">
      <c r="D110" s="28"/>
    </row>
    <row r="111" spans="4:4" hidden="1">
      <c r="D111" s="28"/>
    </row>
    <row r="112" spans="4:4" hidden="1">
      <c r="D112" s="28"/>
    </row>
    <row r="113" spans="4:4" hidden="1">
      <c r="D113" s="28"/>
    </row>
    <row r="114" spans="4:4" hidden="1">
      <c r="D114" s="28"/>
    </row>
    <row r="115" spans="4:4" hidden="1">
      <c r="D115" s="28"/>
    </row>
    <row r="116" spans="4:4" hidden="1">
      <c r="D116" s="28"/>
    </row>
    <row r="117" spans="4:4" hidden="1">
      <c r="D117" s="28"/>
    </row>
    <row r="118" spans="4:4" hidden="1">
      <c r="D118" s="28"/>
    </row>
    <row r="119" spans="4:4" hidden="1">
      <c r="D119" s="28"/>
    </row>
    <row r="120" spans="4:4" hidden="1">
      <c r="D120" s="28"/>
    </row>
    <row r="121" spans="4:4" hidden="1">
      <c r="D121" s="28"/>
    </row>
    <row r="122" spans="4:4" hidden="1">
      <c r="D122" s="28"/>
    </row>
    <row r="123" spans="4:4" hidden="1">
      <c r="D123" s="28"/>
    </row>
    <row r="124" spans="4:4" hidden="1">
      <c r="D124" s="28"/>
    </row>
    <row r="125" spans="4:4" hidden="1">
      <c r="D125" s="28"/>
    </row>
    <row r="126" spans="4:4" hidden="1">
      <c r="D126" s="28"/>
    </row>
    <row r="127" spans="4:4" hidden="1">
      <c r="D127" s="28"/>
    </row>
    <row r="128" spans="4:4" hidden="1">
      <c r="D128" s="28"/>
    </row>
    <row r="129" spans="4:4" hidden="1">
      <c r="D129" s="28"/>
    </row>
    <row r="130" spans="4:4" hidden="1">
      <c r="D130" s="28"/>
    </row>
    <row r="131" spans="4:4" hidden="1">
      <c r="D131" s="28"/>
    </row>
    <row r="132" spans="4:4" hidden="1">
      <c r="D132" s="28"/>
    </row>
    <row r="133" spans="4:4" hidden="1">
      <c r="D133" s="28"/>
    </row>
    <row r="134" spans="4:4" hidden="1">
      <c r="D134" s="28"/>
    </row>
    <row r="135" spans="4:4" hidden="1">
      <c r="D135" s="28"/>
    </row>
    <row r="136" spans="4:4" hidden="1">
      <c r="D136" s="28"/>
    </row>
    <row r="137" spans="4:4" hidden="1">
      <c r="D137" s="28"/>
    </row>
    <row r="138" spans="4:4" hidden="1">
      <c r="D138" s="28"/>
    </row>
    <row r="139" spans="4:4" hidden="1">
      <c r="D139" s="28"/>
    </row>
    <row r="140" spans="4:4" hidden="1">
      <c r="D140" s="28"/>
    </row>
    <row r="141" spans="4:4" hidden="1">
      <c r="D141" s="28"/>
    </row>
    <row r="142" spans="4:4" hidden="1">
      <c r="D142" s="28"/>
    </row>
    <row r="143" spans="4:4">
      <c r="D143" s="28"/>
    </row>
    <row r="144" spans="4:4">
      <c r="D144" s="28"/>
    </row>
    <row r="145" spans="4:4">
      <c r="D145" s="28"/>
    </row>
    <row r="146" spans="4:4">
      <c r="D146" s="28"/>
    </row>
    <row r="147" spans="4:4">
      <c r="D147" s="28"/>
    </row>
    <row r="148" spans="4:4">
      <c r="D148" s="28"/>
    </row>
    <row r="149" spans="4:4">
      <c r="D149" s="28"/>
    </row>
    <row r="150" spans="4:4">
      <c r="D150" s="28"/>
    </row>
    <row r="151" spans="4:4">
      <c r="D151" s="28"/>
    </row>
    <row r="152" spans="4:4">
      <c r="D152" s="28"/>
    </row>
    <row r="153" spans="4:4">
      <c r="D153" s="28"/>
    </row>
    <row r="154" spans="4:4">
      <c r="D154" s="28"/>
    </row>
    <row r="155" spans="4:4">
      <c r="D155" s="28"/>
    </row>
    <row r="156" spans="4:4">
      <c r="D156" s="28"/>
    </row>
    <row r="157" spans="4:4">
      <c r="D157" s="28"/>
    </row>
    <row r="158" spans="4:4">
      <c r="D158" s="28"/>
    </row>
    <row r="159" spans="4:4">
      <c r="D159" s="28"/>
    </row>
    <row r="160" spans="4:4">
      <c r="D160" s="28"/>
    </row>
    <row r="161" spans="4:4">
      <c r="D161" s="28"/>
    </row>
    <row r="162" spans="4:4">
      <c r="D162" s="28"/>
    </row>
    <row r="163" spans="4:4">
      <c r="D163" s="28"/>
    </row>
    <row r="164" spans="4:4">
      <c r="D164" s="28"/>
    </row>
    <row r="165" spans="4:4">
      <c r="D165" s="28"/>
    </row>
    <row r="166" spans="4:4">
      <c r="D166" s="28"/>
    </row>
    <row r="167" spans="4:4">
      <c r="D167" s="28"/>
    </row>
    <row r="168" spans="4:4">
      <c r="D168" s="28"/>
    </row>
    <row r="169" spans="4:4">
      <c r="D169" s="28"/>
    </row>
    <row r="170" spans="4:4">
      <c r="D170" s="28"/>
    </row>
    <row r="171" spans="4:4">
      <c r="D171" s="28"/>
    </row>
    <row r="172" spans="4:4">
      <c r="D172" s="28"/>
    </row>
    <row r="173" spans="4:4">
      <c r="D173" s="28"/>
    </row>
    <row r="174" spans="4:4">
      <c r="D174" s="28"/>
    </row>
  </sheetData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Sheet24">
    <tabColor theme="6"/>
  </sheetPr>
  <dimension ref="A1:J51"/>
  <sheetViews>
    <sheetView zoomScale="85" zoomScaleNormal="85" workbookViewId="0">
      <pane ySplit="2" topLeftCell="A12" activePane="bottomLeft" state="frozen"/>
      <selection activeCell="G33" sqref="G33"/>
      <selection pane="bottomLeft" activeCell="E1" sqref="E1:M1048576"/>
    </sheetView>
  </sheetViews>
  <sheetFormatPr defaultColWidth="9.140625" defaultRowHeight="15"/>
  <cols>
    <col min="1" max="1" width="38.85546875" style="28" customWidth="1"/>
    <col min="2" max="2" width="28.85546875" style="28" bestFit="1" customWidth="1"/>
    <col min="3" max="3" width="9.42578125" style="28" customWidth="1"/>
    <col min="4" max="4" width="13.42578125" style="74" customWidth="1"/>
    <col min="5" max="5" width="9.42578125" style="28" customWidth="1"/>
    <col min="6" max="16384" width="9.140625" style="28"/>
  </cols>
  <sheetData>
    <row r="1" spans="1:10" ht="21">
      <c r="A1" s="26" t="s">
        <v>364</v>
      </c>
      <c r="B1" s="26" t="s">
        <v>307</v>
      </c>
      <c r="C1" s="26"/>
      <c r="D1" s="73">
        <v>2020</v>
      </c>
    </row>
    <row r="2" spans="1:10">
      <c r="A2" s="88" t="s">
        <v>366</v>
      </c>
      <c r="B2" s="68"/>
      <c r="C2" s="69" t="s">
        <v>5</v>
      </c>
      <c r="D2" s="75" t="s">
        <v>362</v>
      </c>
    </row>
    <row r="3" spans="1:10">
      <c r="A3" s="63" t="s">
        <v>367</v>
      </c>
      <c r="B3" s="39"/>
      <c r="C3" s="40" t="s">
        <v>368</v>
      </c>
      <c r="D3" s="76">
        <v>23</v>
      </c>
      <c r="E3" s="76"/>
      <c r="F3" s="76"/>
      <c r="G3" s="76"/>
      <c r="H3" s="76"/>
      <c r="I3" s="76"/>
      <c r="J3" s="76"/>
    </row>
    <row r="4" spans="1:10">
      <c r="A4" s="71" t="s">
        <v>369</v>
      </c>
      <c r="B4" s="42"/>
      <c r="C4" s="41" t="s">
        <v>370</v>
      </c>
      <c r="D4" s="77">
        <f>BUILD_STOCK!A11</f>
        <v>52.2</v>
      </c>
      <c r="E4" s="77"/>
      <c r="F4" s="77"/>
      <c r="G4" s="77"/>
      <c r="H4" s="77"/>
      <c r="I4" s="77"/>
      <c r="J4" s="77"/>
    </row>
    <row r="5" spans="1:10">
      <c r="A5" s="67" t="s">
        <v>371</v>
      </c>
      <c r="B5" s="53"/>
      <c r="C5" s="52" t="s">
        <v>370</v>
      </c>
      <c r="D5" s="79">
        <f t="shared" ref="D5" si="0">D4*D3</f>
        <v>1200.6000000000001</v>
      </c>
      <c r="E5" s="79"/>
      <c r="F5" s="79"/>
      <c r="G5" s="79"/>
      <c r="H5" s="79"/>
      <c r="I5" s="79"/>
      <c r="J5" s="79"/>
    </row>
    <row r="6" spans="1:10">
      <c r="A6" s="58"/>
      <c r="B6" s="55" t="s">
        <v>372</v>
      </c>
      <c r="C6" s="44" t="s">
        <v>370</v>
      </c>
      <c r="D6" s="78">
        <f t="shared" ref="D6" si="1">D9*D7*D8</f>
        <v>2000</v>
      </c>
      <c r="E6" s="78"/>
      <c r="F6" s="78"/>
      <c r="G6" s="78"/>
      <c r="H6" s="78"/>
      <c r="I6" s="78"/>
      <c r="J6" s="78"/>
    </row>
    <row r="7" spans="1:10">
      <c r="A7" s="62" t="s">
        <v>373</v>
      </c>
      <c r="B7" s="47" t="s">
        <v>374</v>
      </c>
      <c r="C7" s="46" t="s">
        <v>375</v>
      </c>
      <c r="D7" s="77">
        <v>12.5</v>
      </c>
      <c r="E7" s="77"/>
      <c r="F7" s="77"/>
      <c r="G7" s="77"/>
      <c r="H7" s="77"/>
      <c r="I7" s="77"/>
      <c r="J7" s="77"/>
    </row>
    <row r="8" spans="1:10">
      <c r="A8" s="49"/>
      <c r="B8" s="50" t="s">
        <v>376</v>
      </c>
      <c r="C8" s="49" t="s">
        <v>375</v>
      </c>
      <c r="D8" s="251">
        <f t="shared" ref="D8" si="2">D7*1.6</f>
        <v>20</v>
      </c>
      <c r="E8" s="251"/>
      <c r="F8" s="251"/>
      <c r="G8" s="251"/>
      <c r="H8" s="251"/>
      <c r="I8" s="251"/>
      <c r="J8" s="251"/>
    </row>
    <row r="9" spans="1:10">
      <c r="A9" s="49"/>
      <c r="B9" s="50" t="s">
        <v>377</v>
      </c>
      <c r="C9" s="49" t="s">
        <v>368</v>
      </c>
      <c r="D9" s="80">
        <v>8</v>
      </c>
      <c r="E9" s="80"/>
      <c r="F9" s="80"/>
      <c r="G9" s="80"/>
      <c r="H9" s="80"/>
      <c r="I9" s="80"/>
      <c r="J9" s="80"/>
    </row>
    <row r="10" spans="1:10">
      <c r="A10" s="49"/>
      <c r="B10" s="50" t="s">
        <v>378</v>
      </c>
      <c r="C10" s="49" t="s">
        <v>375</v>
      </c>
      <c r="D10" s="79">
        <v>3</v>
      </c>
      <c r="E10" s="79"/>
      <c r="F10" s="79"/>
      <c r="G10" s="79"/>
      <c r="H10" s="79"/>
      <c r="I10" s="79"/>
      <c r="J10" s="79"/>
    </row>
    <row r="11" spans="1:10">
      <c r="A11" s="52"/>
      <c r="B11" s="53" t="s">
        <v>379</v>
      </c>
      <c r="C11" s="52" t="s">
        <v>375</v>
      </c>
      <c r="D11" s="79">
        <f t="shared" ref="D11" si="3">D9*D10</f>
        <v>24</v>
      </c>
      <c r="E11" s="79"/>
      <c r="F11" s="79"/>
      <c r="G11" s="79"/>
      <c r="H11" s="79"/>
      <c r="I11" s="79"/>
      <c r="J11" s="79"/>
    </row>
    <row r="12" spans="1:10">
      <c r="A12" s="52"/>
      <c r="B12" s="53" t="s">
        <v>380</v>
      </c>
      <c r="C12" s="52" t="s">
        <v>370</v>
      </c>
      <c r="D12" s="79">
        <f t="shared" ref="D12" si="4">(D7*D11)*2+(D8*D11)*2</f>
        <v>1560</v>
      </c>
      <c r="E12" s="79"/>
      <c r="F12" s="79"/>
      <c r="G12" s="79"/>
      <c r="H12" s="79"/>
      <c r="I12" s="79"/>
      <c r="J12" s="79"/>
    </row>
    <row r="13" spans="1:10">
      <c r="A13" s="52"/>
      <c r="B13" s="53" t="s">
        <v>381</v>
      </c>
      <c r="C13" s="52" t="s">
        <v>370</v>
      </c>
      <c r="D13" s="79">
        <f t="shared" ref="D13" si="5">D12-D20</f>
        <v>1311.6</v>
      </c>
      <c r="E13" s="79"/>
      <c r="F13" s="79"/>
      <c r="G13" s="79"/>
      <c r="H13" s="79"/>
      <c r="I13" s="79"/>
      <c r="J13" s="79"/>
    </row>
    <row r="14" spans="1:10">
      <c r="A14" s="52"/>
      <c r="B14" s="53" t="s">
        <v>352</v>
      </c>
      <c r="C14" s="52" t="s">
        <v>370</v>
      </c>
      <c r="D14" s="79">
        <f t="shared" ref="D14" si="6">D7*D8</f>
        <v>250</v>
      </c>
      <c r="E14" s="79"/>
      <c r="F14" s="79"/>
      <c r="G14" s="79"/>
      <c r="H14" s="79"/>
      <c r="I14" s="79"/>
      <c r="J14" s="79"/>
    </row>
    <row r="15" spans="1:10">
      <c r="A15" s="52"/>
      <c r="B15" s="53" t="s">
        <v>351</v>
      </c>
      <c r="C15" s="52" t="s">
        <v>370</v>
      </c>
      <c r="D15" s="79">
        <f t="shared" ref="D15" si="7">D14</f>
        <v>250</v>
      </c>
      <c r="E15" s="79"/>
      <c r="F15" s="79"/>
      <c r="G15" s="79"/>
      <c r="H15" s="79"/>
      <c r="I15" s="79"/>
      <c r="J15" s="79"/>
    </row>
    <row r="16" spans="1:10">
      <c r="A16" s="44"/>
      <c r="B16" s="55" t="s">
        <v>383</v>
      </c>
      <c r="C16" s="44" t="s">
        <v>384</v>
      </c>
      <c r="D16" s="78">
        <f t="shared" ref="D16" si="8">D7*D8*D11</f>
        <v>6000</v>
      </c>
      <c r="E16" s="78"/>
      <c r="F16" s="78"/>
      <c r="G16" s="78"/>
      <c r="H16" s="78"/>
      <c r="I16" s="78"/>
      <c r="J16" s="78"/>
    </row>
    <row r="17" spans="1:10">
      <c r="D17" s="28"/>
    </row>
    <row r="18" spans="1:10">
      <c r="A18" s="72"/>
    </row>
    <row r="19" spans="1:10">
      <c r="A19" s="62"/>
      <c r="B19" s="47" t="s">
        <v>386</v>
      </c>
      <c r="C19" s="48" t="s">
        <v>368</v>
      </c>
      <c r="D19" s="83">
        <f t="shared" ref="D19" si="9">D3*4</f>
        <v>92</v>
      </c>
      <c r="E19" s="83"/>
      <c r="F19" s="83"/>
      <c r="G19" s="83"/>
      <c r="H19" s="83"/>
      <c r="I19" s="83"/>
      <c r="J19" s="83"/>
    </row>
    <row r="20" spans="1:10">
      <c r="A20" s="52"/>
      <c r="B20" s="53" t="s">
        <v>354</v>
      </c>
      <c r="C20" s="54" t="s">
        <v>370</v>
      </c>
      <c r="D20" s="81">
        <f t="shared" ref="D20" si="10">D19*(1.5*1.8)</f>
        <v>248.4</v>
      </c>
      <c r="E20" s="81"/>
      <c r="F20" s="81"/>
      <c r="G20" s="81"/>
      <c r="H20" s="81"/>
      <c r="I20" s="81"/>
      <c r="J20" s="81"/>
    </row>
    <row r="21" spans="1:10">
      <c r="D21" s="28"/>
    </row>
    <row r="23" spans="1:10">
      <c r="A23" s="66" t="s">
        <v>387</v>
      </c>
      <c r="B23" s="59" t="s">
        <v>308</v>
      </c>
      <c r="C23" s="93" t="s">
        <v>388</v>
      </c>
      <c r="D23" s="77">
        <f>$D$15*'U-VALUES'!B33+$D$14*'U-VALUES'!C33+$D$13*'U-VALUES'!D33+$D$20*'U-VALUES'!E33</f>
        <v>2156.8404999999998</v>
      </c>
      <c r="E23" s="77"/>
      <c r="F23" s="77"/>
      <c r="G23" s="77"/>
      <c r="H23" s="77"/>
      <c r="I23" s="77"/>
      <c r="J23" s="77"/>
    </row>
    <row r="24" spans="1:10">
      <c r="A24" s="52"/>
      <c r="B24" s="60" t="s">
        <v>309</v>
      </c>
      <c r="C24" s="52" t="s">
        <v>388</v>
      </c>
      <c r="D24" s="77">
        <f>$D$15*'U-VALUES'!B34+$D$14*'U-VALUES'!C34+$D$13*'U-VALUES'!D34+$D$20*'U-VALUES'!E34</f>
        <v>1644.5929999999998</v>
      </c>
      <c r="E24" s="77"/>
      <c r="F24" s="77"/>
      <c r="G24" s="77"/>
      <c r="H24" s="77"/>
      <c r="I24" s="77"/>
      <c r="J24" s="77"/>
    </row>
    <row r="25" spans="1:10">
      <c r="A25" s="52"/>
      <c r="B25" s="60" t="s">
        <v>310</v>
      </c>
      <c r="C25" s="52" t="s">
        <v>388</v>
      </c>
      <c r="D25" s="77">
        <f>$D$15*'U-VALUES'!B35+$D$14*'U-VALUES'!C35+$D$13*'U-VALUES'!D35+$D$20*'U-VALUES'!E35</f>
        <v>1389.8780000000002</v>
      </c>
      <c r="E25" s="77"/>
      <c r="F25" s="77"/>
      <c r="G25" s="77"/>
      <c r="H25" s="77"/>
      <c r="I25" s="77"/>
      <c r="J25" s="77"/>
    </row>
    <row r="26" spans="1:10">
      <c r="A26" s="52"/>
      <c r="B26" s="60" t="s">
        <v>311</v>
      </c>
      <c r="C26" s="52" t="s">
        <v>388</v>
      </c>
      <c r="D26" s="77">
        <f>$D$15*'U-VALUES'!B36+$D$14*'U-VALUES'!C36+$D$13*'U-VALUES'!D36+$D$20*'U-VALUES'!E36</f>
        <v>980.35340000000008</v>
      </c>
      <c r="E26" s="77"/>
      <c r="F26" s="77"/>
      <c r="G26" s="77"/>
      <c r="H26" s="77"/>
      <c r="I26" s="77"/>
      <c r="J26" s="77"/>
    </row>
    <row r="27" spans="1:10">
      <c r="A27" s="52"/>
      <c r="B27" s="60" t="s">
        <v>312</v>
      </c>
      <c r="C27" s="52" t="s">
        <v>388</v>
      </c>
      <c r="D27" s="77">
        <f>$D$15*'U-VALUES'!B37+$D$14*'U-VALUES'!C37+$D$13*'U-VALUES'!D37+$D$20*'U-VALUES'!E37</f>
        <v>879.24794999999995</v>
      </c>
      <c r="E27" s="77"/>
      <c r="F27" s="77"/>
      <c r="G27" s="77"/>
      <c r="H27" s="77"/>
      <c r="I27" s="77"/>
      <c r="J27" s="77"/>
    </row>
    <row r="28" spans="1:10">
      <c r="A28" s="52"/>
      <c r="B28" s="60" t="s">
        <v>313</v>
      </c>
      <c r="C28" s="52" t="s">
        <v>388</v>
      </c>
      <c r="D28" s="77">
        <f>$D$15*'U-VALUES'!B38+$D$14*'U-VALUES'!C38+$D$13*'U-VALUES'!D38+$D$20*'U-VALUES'!E38</f>
        <v>671.3642000000001</v>
      </c>
      <c r="E28" s="77"/>
      <c r="F28" s="77"/>
      <c r="G28" s="77"/>
      <c r="H28" s="77"/>
      <c r="I28" s="77"/>
      <c r="J28" s="77"/>
    </row>
    <row r="29" spans="1:10" s="56" customFormat="1"/>
    <row r="30" spans="1:10" s="56" customFormat="1">
      <c r="A30" s="85" t="s">
        <v>389</v>
      </c>
      <c r="B30" s="60" t="s">
        <v>308</v>
      </c>
      <c r="C30" s="93" t="s">
        <v>390</v>
      </c>
      <c r="D30" s="92">
        <f>D23*24*HDD!$D$4/1000/D$3</f>
        <v>6765.3522187826075</v>
      </c>
      <c r="E30" s="92"/>
      <c r="F30" s="92"/>
      <c r="G30" s="92"/>
      <c r="H30" s="92"/>
      <c r="I30" s="92"/>
      <c r="J30" s="92"/>
    </row>
    <row r="31" spans="1:10" s="56" customFormat="1">
      <c r="A31" s="52"/>
      <c r="B31" s="60" t="s">
        <v>309</v>
      </c>
      <c r="C31" s="52" t="s">
        <v>390</v>
      </c>
      <c r="D31" s="92">
        <f>D24*24*HDD!$D$4/1000/D$3</f>
        <v>5158.587712695652</v>
      </c>
      <c r="E31" s="92"/>
      <c r="F31" s="92"/>
      <c r="G31" s="92"/>
      <c r="H31" s="92"/>
      <c r="I31" s="92"/>
      <c r="J31" s="92"/>
    </row>
    <row r="32" spans="1:10" s="56" customFormat="1">
      <c r="A32" s="52"/>
      <c r="B32" s="60" t="s">
        <v>310</v>
      </c>
      <c r="C32" s="52" t="s">
        <v>390</v>
      </c>
      <c r="D32" s="92">
        <f>D25*24*HDD!$D$4/1000/D$3</f>
        <v>4359.6242796521738</v>
      </c>
      <c r="E32" s="92"/>
      <c r="F32" s="92"/>
      <c r="G32" s="92"/>
      <c r="H32" s="92"/>
      <c r="I32" s="92"/>
      <c r="J32" s="92"/>
    </row>
    <row r="33" spans="1:10" s="56" customFormat="1">
      <c r="A33" s="52"/>
      <c r="B33" s="60" t="s">
        <v>311</v>
      </c>
      <c r="C33" s="52" t="s">
        <v>390</v>
      </c>
      <c r="D33" s="92">
        <f>D26*24*HDD!$D$4/1000/D$3</f>
        <v>3075.0702473739134</v>
      </c>
      <c r="E33" s="92"/>
      <c r="F33" s="92"/>
      <c r="G33" s="92"/>
      <c r="H33" s="92"/>
      <c r="I33" s="92"/>
      <c r="J33" s="92"/>
    </row>
    <row r="34" spans="1:10" s="56" customFormat="1">
      <c r="A34" s="52"/>
      <c r="B34" s="60" t="s">
        <v>312</v>
      </c>
      <c r="C34" s="52" t="s">
        <v>390</v>
      </c>
      <c r="D34" s="92">
        <f>D27*24*HDD!$D$4/1000/D$3</f>
        <v>2757.9332219478256</v>
      </c>
      <c r="E34" s="92"/>
      <c r="F34" s="92"/>
      <c r="G34" s="92"/>
      <c r="H34" s="92"/>
      <c r="I34" s="92"/>
      <c r="J34" s="92"/>
    </row>
    <row r="35" spans="1:10" s="56" customFormat="1">
      <c r="A35" s="53"/>
      <c r="B35" s="60" t="s">
        <v>313</v>
      </c>
      <c r="C35" s="52" t="s">
        <v>390</v>
      </c>
      <c r="D35" s="92">
        <f>D28*24*HDD!$D$4/1000/D$3</f>
        <v>2105.8651671652178</v>
      </c>
      <c r="E35" s="92"/>
      <c r="F35" s="92"/>
      <c r="G35" s="92"/>
      <c r="H35" s="92"/>
      <c r="I35" s="92"/>
      <c r="J35" s="92"/>
    </row>
    <row r="36" spans="1:10" s="56" customFormat="1"/>
    <row r="37" spans="1:10" s="56" customFormat="1"/>
    <row r="38" spans="1:10" s="56" customFormat="1">
      <c r="A38" s="66" t="s">
        <v>391</v>
      </c>
      <c r="B38" s="59" t="s">
        <v>308</v>
      </c>
      <c r="C38" s="93" t="s">
        <v>390</v>
      </c>
      <c r="D38" s="92">
        <f t="shared" ref="D38:D43" si="11">D30/(1.355*(D23/$D$16)^0.16)</f>
        <v>5880.9086293451001</v>
      </c>
      <c r="E38" s="92"/>
      <c r="F38" s="92"/>
      <c r="G38" s="92"/>
      <c r="H38" s="92"/>
      <c r="I38" s="92"/>
      <c r="J38" s="92"/>
    </row>
    <row r="39" spans="1:10" s="56" customFormat="1">
      <c r="A39" s="52"/>
      <c r="B39" s="60" t="s">
        <v>309</v>
      </c>
      <c r="C39" s="52" t="s">
        <v>390</v>
      </c>
      <c r="D39" s="92">
        <f t="shared" si="11"/>
        <v>4683.0238999099338</v>
      </c>
      <c r="E39" s="92"/>
      <c r="F39" s="92"/>
      <c r="G39" s="92"/>
      <c r="H39" s="92"/>
      <c r="I39" s="92"/>
      <c r="J39" s="92"/>
    </row>
    <row r="40" spans="1:10" s="56" customFormat="1">
      <c r="A40" s="52"/>
      <c r="B40" s="60" t="s">
        <v>310</v>
      </c>
      <c r="C40" s="52" t="s">
        <v>390</v>
      </c>
      <c r="D40" s="92">
        <f t="shared" si="11"/>
        <v>4065.722175782942</v>
      </c>
      <c r="E40" s="92"/>
      <c r="F40" s="92"/>
      <c r="G40" s="92"/>
      <c r="H40" s="92"/>
      <c r="I40" s="92"/>
      <c r="J40" s="92"/>
    </row>
    <row r="41" spans="1:10" s="56" customFormat="1">
      <c r="A41" s="52"/>
      <c r="B41" s="60" t="s">
        <v>311</v>
      </c>
      <c r="C41" s="52" t="s">
        <v>390</v>
      </c>
      <c r="D41" s="92">
        <f t="shared" si="11"/>
        <v>3032.4854142958343</v>
      </c>
      <c r="E41" s="92"/>
      <c r="F41" s="92"/>
      <c r="G41" s="92"/>
      <c r="H41" s="92"/>
      <c r="I41" s="92"/>
      <c r="J41" s="92"/>
    </row>
    <row r="42" spans="1:10" s="56" customFormat="1">
      <c r="A42" s="52"/>
      <c r="B42" s="60" t="s">
        <v>312</v>
      </c>
      <c r="C42" s="52" t="s">
        <v>390</v>
      </c>
      <c r="D42" s="92">
        <f t="shared" si="11"/>
        <v>2767.5204131457635</v>
      </c>
      <c r="E42" s="92"/>
      <c r="F42" s="92"/>
      <c r="G42" s="92"/>
      <c r="H42" s="92"/>
      <c r="I42" s="92"/>
      <c r="J42" s="92"/>
    </row>
    <row r="43" spans="1:10" s="56" customFormat="1">
      <c r="A43" s="52"/>
      <c r="B43" s="60" t="s">
        <v>313</v>
      </c>
      <c r="C43" s="52" t="s">
        <v>390</v>
      </c>
      <c r="D43" s="92">
        <f t="shared" si="11"/>
        <v>2206.3893738395932</v>
      </c>
      <c r="E43" s="92"/>
      <c r="F43" s="92"/>
      <c r="G43" s="92"/>
      <c r="H43" s="92"/>
      <c r="I43" s="92"/>
      <c r="J43" s="92"/>
    </row>
    <row r="44" spans="1:10" s="56" customFormat="1" ht="15.75" thickBot="1"/>
    <row r="45" spans="1:10" s="56" customFormat="1">
      <c r="A45" s="645" t="s">
        <v>392</v>
      </c>
      <c r="B45" s="646" t="s">
        <v>308</v>
      </c>
      <c r="C45" s="647" t="s">
        <v>393</v>
      </c>
      <c r="D45" s="634">
        <f t="shared" ref="D45" si="12">D38/D$4</f>
        <v>112.6610848533544</v>
      </c>
      <c r="E45" s="634"/>
      <c r="F45" s="634"/>
      <c r="G45" s="634"/>
      <c r="H45" s="634"/>
      <c r="I45" s="634"/>
      <c r="J45" s="635"/>
    </row>
    <row r="46" spans="1:10" s="56" customFormat="1">
      <c r="A46" s="648"/>
      <c r="B46" s="643" t="s">
        <v>309</v>
      </c>
      <c r="C46" s="644" t="s">
        <v>393</v>
      </c>
      <c r="D46" s="637">
        <f t="shared" ref="D46" si="13">D39/D$4</f>
        <v>89.713101530841641</v>
      </c>
      <c r="E46" s="637"/>
      <c r="F46" s="637"/>
      <c r="G46" s="637"/>
      <c r="H46" s="637"/>
      <c r="I46" s="637"/>
      <c r="J46" s="638"/>
    </row>
    <row r="47" spans="1:10" s="56" customFormat="1">
      <c r="A47" s="648"/>
      <c r="B47" s="643" t="s">
        <v>310</v>
      </c>
      <c r="C47" s="644" t="s">
        <v>393</v>
      </c>
      <c r="D47" s="637">
        <f t="shared" ref="D47" si="14">D40/D$4</f>
        <v>77.887398003504629</v>
      </c>
      <c r="E47" s="637"/>
      <c r="F47" s="637"/>
      <c r="G47" s="637"/>
      <c r="H47" s="637"/>
      <c r="I47" s="637"/>
      <c r="J47" s="638"/>
    </row>
    <row r="48" spans="1:10" s="56" customFormat="1">
      <c r="A48" s="648"/>
      <c r="B48" s="643" t="s">
        <v>311</v>
      </c>
      <c r="C48" s="644" t="s">
        <v>393</v>
      </c>
      <c r="D48" s="637">
        <f t="shared" ref="D48" si="15">D41/D$4</f>
        <v>58.09359031218073</v>
      </c>
      <c r="E48" s="637"/>
      <c r="F48" s="637"/>
      <c r="G48" s="637"/>
      <c r="H48" s="637"/>
      <c r="I48" s="637"/>
      <c r="J48" s="638"/>
    </row>
    <row r="49" spans="1:10" s="56" customFormat="1">
      <c r="A49" s="648"/>
      <c r="B49" s="643" t="s">
        <v>312</v>
      </c>
      <c r="C49" s="644" t="s">
        <v>393</v>
      </c>
      <c r="D49" s="637">
        <f t="shared" ref="D49" si="16">D42/D$4</f>
        <v>53.017632435742591</v>
      </c>
      <c r="E49" s="637"/>
      <c r="F49" s="637"/>
      <c r="G49" s="637"/>
      <c r="H49" s="637"/>
      <c r="I49" s="637"/>
      <c r="J49" s="638"/>
    </row>
    <row r="50" spans="1:10" s="56" customFormat="1" ht="15.75" thickBot="1">
      <c r="A50" s="649"/>
      <c r="B50" s="650" t="s">
        <v>313</v>
      </c>
      <c r="C50" s="651" t="s">
        <v>393</v>
      </c>
      <c r="D50" s="641">
        <f>D43/D$4</f>
        <v>42.267995667425154</v>
      </c>
      <c r="E50" s="641"/>
      <c r="F50" s="641"/>
      <c r="G50" s="641"/>
      <c r="H50" s="641"/>
      <c r="I50" s="641"/>
      <c r="J50" s="642"/>
    </row>
    <row r="51" spans="1:10">
      <c r="D51" s="28"/>
    </row>
  </sheetData>
  <pageMargins left="0.7" right="0.7" top="0.75" bottom="0.75" header="0.3" footer="0.3"/>
  <pageSetup paperSize="9" orientation="portrait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A3687-73A7-41CC-B83B-2ADE105A35BB}">
  <sheetPr>
    <tabColor theme="0"/>
  </sheetPr>
  <dimension ref="A1:AZ75"/>
  <sheetViews>
    <sheetView tabSelected="1" topLeftCell="B1" zoomScale="85" zoomScaleNormal="85" workbookViewId="0">
      <selection activeCell="P33" sqref="P33"/>
    </sheetView>
  </sheetViews>
  <sheetFormatPr defaultColWidth="9.140625" defaultRowHeight="15"/>
  <cols>
    <col min="1" max="1" width="19" customWidth="1"/>
    <col min="2" max="2" width="2" bestFit="1" customWidth="1"/>
    <col min="3" max="3" width="23.85546875" customWidth="1"/>
    <col min="4" max="4" width="25.28515625" customWidth="1"/>
    <col min="5" max="5" width="14.85546875" customWidth="1"/>
    <col min="6" max="6" width="13.85546875" customWidth="1"/>
    <col min="7" max="7" width="11.5703125" customWidth="1"/>
    <col min="8" max="8" width="9.5703125" bestFit="1" customWidth="1"/>
    <col min="9" max="9" width="14.7109375" customWidth="1"/>
    <col min="10" max="10" width="13.42578125" customWidth="1"/>
    <col min="11" max="12" width="14.7109375" customWidth="1"/>
    <col min="13" max="14" width="15.140625" customWidth="1"/>
    <col min="15" max="15" width="9.5703125" customWidth="1"/>
    <col min="16" max="16" width="40.42578125" customWidth="1"/>
    <col min="17" max="17" width="26.7109375" customWidth="1"/>
    <col min="18" max="18" width="5.140625" customWidth="1"/>
    <col min="19" max="19" width="21.7109375" customWidth="1"/>
    <col min="20" max="20" width="30.5703125" customWidth="1"/>
    <col min="21" max="23" width="20.42578125" customWidth="1"/>
    <col min="24" max="24" width="18.140625" style="97" customWidth="1"/>
    <col min="25" max="25" width="12" style="97" customWidth="1"/>
    <col min="26" max="28" width="14.85546875" customWidth="1"/>
  </cols>
  <sheetData>
    <row r="1" spans="1:25" ht="48" thickBot="1">
      <c r="P1" s="543" t="s">
        <v>395</v>
      </c>
      <c r="Q1" s="212"/>
      <c r="R1" s="240"/>
      <c r="X1"/>
      <c r="Y1"/>
    </row>
    <row r="2" spans="1:25" ht="15.75">
      <c r="P2" s="241" t="s">
        <v>396</v>
      </c>
      <c r="Q2" s="241"/>
      <c r="R2" s="243"/>
      <c r="S2" s="282"/>
      <c r="T2" s="686" t="s">
        <v>402</v>
      </c>
      <c r="U2" s="692">
        <f>BUILD_STOCK!$B$3</f>
        <v>15015.333000000001</v>
      </c>
      <c r="V2" s="693"/>
      <c r="W2" s="694"/>
    </row>
    <row r="3" spans="1:25">
      <c r="P3" s="242" t="s">
        <v>397</v>
      </c>
      <c r="Q3" s="242"/>
      <c r="R3" s="240"/>
      <c r="S3" s="282"/>
      <c r="T3" s="687" t="s">
        <v>398</v>
      </c>
      <c r="U3" s="695">
        <f>BUILD_STOCK!B7</f>
        <v>0.39357305455149999</v>
      </c>
      <c r="V3" s="695">
        <f>BUILD_STOCK!C7</f>
        <v>5.6976266344700002E-2</v>
      </c>
      <c r="W3" s="696">
        <f>BUILD_STOCK!A7</f>
        <v>0.54945067910379997</v>
      </c>
    </row>
    <row r="4" spans="1:25">
      <c r="S4" s="282"/>
      <c r="T4" s="687" t="s">
        <v>696</v>
      </c>
      <c r="U4" s="282">
        <f>SUMPRODUCT(BUILD_STOCK!F29:F34,BUILD_STOCK!F54:F59)/SUM(BUILD_STOCK!F29:F34)</f>
        <v>3.9087122446546732E-2</v>
      </c>
      <c r="V4" s="282">
        <f>SUMPRODUCT(BUILD_STOCK!F35:F40,BUILD_STOCK!F60:F65)/SUM(BUILD_STOCK!F35:F40)</f>
        <v>2.0171474709934779E-2</v>
      </c>
      <c r="W4" s="697">
        <f>SUMPRODUCT(BUILD_STOCK!F41:F46,BUILD_STOCK!F66:F71)/SUM(BUILD_STOCK!F41:F46)</f>
        <v>1.4257657207558299E-2</v>
      </c>
      <c r="Y4"/>
    </row>
    <row r="5" spans="1:25" ht="27.75" customHeight="1">
      <c r="A5" s="30" t="s">
        <v>305</v>
      </c>
      <c r="P5" s="258" t="s">
        <v>400</v>
      </c>
      <c r="Q5" s="259" t="s">
        <v>401</v>
      </c>
      <c r="S5" s="282"/>
      <c r="T5" s="687" t="s">
        <v>695</v>
      </c>
      <c r="U5" s="110" t="s">
        <v>299</v>
      </c>
      <c r="V5" s="111" t="s">
        <v>300</v>
      </c>
      <c r="W5" s="688" t="s">
        <v>298</v>
      </c>
      <c r="Y5"/>
    </row>
    <row r="6" spans="1:25">
      <c r="S6" s="282"/>
      <c r="T6" s="689" t="s">
        <v>402</v>
      </c>
      <c r="U6" s="285">
        <f>U2*U3</f>
        <v>5909.6304739179386</v>
      </c>
      <c r="V6" s="285">
        <f>U2*V3</f>
        <v>855.5176122623634</v>
      </c>
      <c r="W6" s="707">
        <f>U2*W3</f>
        <v>8250.1849138196976</v>
      </c>
      <c r="Y6"/>
    </row>
    <row r="7" spans="1:25" ht="18.75" customHeight="1" thickBot="1">
      <c r="C7" s="7"/>
      <c r="D7" s="7"/>
      <c r="E7" s="126" t="s">
        <v>516</v>
      </c>
      <c r="F7" s="7"/>
      <c r="G7" s="7"/>
      <c r="H7" s="7"/>
      <c r="I7" s="7"/>
      <c r="J7" s="7"/>
      <c r="P7" s="260" t="s">
        <v>403</v>
      </c>
      <c r="Q7" s="261">
        <v>2.9000000000000001E-2</v>
      </c>
      <c r="S7" s="285">
        <f t="shared" ref="S7:S17" si="0">$U$2*Q7</f>
        <v>435.44465700000006</v>
      </c>
      <c r="T7" s="690" t="s">
        <v>403</v>
      </c>
      <c r="U7" s="698">
        <v>65.381880728600038</v>
      </c>
      <c r="V7" s="699">
        <v>26.562124077000004</v>
      </c>
      <c r="W7" s="700">
        <v>343.5006521944</v>
      </c>
      <c r="X7" s="285">
        <f t="shared" ref="X7:X20" si="1">SUM(U7:W7)</f>
        <v>435.44465700000006</v>
      </c>
      <c r="Y7" s="97">
        <f t="shared" ref="Y7:Y20" si="2">S7-X7</f>
        <v>0</v>
      </c>
    </row>
    <row r="8" spans="1:25" ht="15.75" thickBot="1">
      <c r="C8" s="538" t="s">
        <v>82</v>
      </c>
      <c r="D8" s="538" t="s">
        <v>214</v>
      </c>
      <c r="E8" s="538" t="s">
        <v>215</v>
      </c>
      <c r="F8" s="680" t="s">
        <v>316</v>
      </c>
      <c r="G8" s="539" t="s">
        <v>405</v>
      </c>
      <c r="H8" s="539" t="s">
        <v>216</v>
      </c>
      <c r="I8" s="539" t="s">
        <v>406</v>
      </c>
      <c r="J8" s="539" t="s">
        <v>247</v>
      </c>
      <c r="K8" s="539" t="s">
        <v>701</v>
      </c>
      <c r="L8" s="276"/>
      <c r="M8" s="598">
        <v>2020</v>
      </c>
      <c r="N8" s="599" t="s">
        <v>410</v>
      </c>
      <c r="P8" s="260" t="s">
        <v>411</v>
      </c>
      <c r="Q8" s="261">
        <v>0.39650000000000002</v>
      </c>
      <c r="S8" s="285">
        <f t="shared" si="0"/>
        <v>5953.5795345000006</v>
      </c>
      <c r="T8" s="690" t="s">
        <v>411</v>
      </c>
      <c r="U8" s="698">
        <v>405.85441244000049</v>
      </c>
      <c r="V8" s="699">
        <v>274.78059389999999</v>
      </c>
      <c r="W8" s="700">
        <v>5272.9445281600001</v>
      </c>
      <c r="X8" s="285">
        <f t="shared" si="1"/>
        <v>5953.5795345000006</v>
      </c>
      <c r="Y8" s="97">
        <f t="shared" si="2"/>
        <v>0</v>
      </c>
    </row>
    <row r="9" spans="1:25">
      <c r="C9" s="537" t="str">
        <f>RSD_Procesess!D23</f>
        <v>RSD_DTH_SH_ELC_R</v>
      </c>
      <c r="D9" s="537" t="str">
        <f>RSD_Comm!D7</f>
        <v>RSD_ELC</v>
      </c>
      <c r="E9" s="537" t="str">
        <f>RSD_Comm!D16</f>
        <v>RSD_DTH_SH</v>
      </c>
      <c r="F9" s="681">
        <f t="shared" ref="F9:F18" si="3">M9/(8760*$J9*$I9*3.6*0.001)</f>
        <v>1.0189751107752409</v>
      </c>
      <c r="G9" s="542">
        <v>31.536000000000001</v>
      </c>
      <c r="H9" s="542">
        <v>1</v>
      </c>
      <c r="I9" s="534">
        <v>0.95</v>
      </c>
      <c r="J9" s="535">
        <f t="shared" ref="J9:J17" si="4">2200/8760/3</f>
        <v>8.3713850837138504E-2</v>
      </c>
      <c r="K9" s="542">
        <v>20</v>
      </c>
      <c r="L9" s="276"/>
      <c r="M9" s="684">
        <f>U7*$U$4</f>
        <v>2.5555895778243038</v>
      </c>
      <c r="N9" s="685">
        <f t="shared" ref="N9:N18" si="5">F9*G9*J9/H9</f>
        <v>2.690094292446636</v>
      </c>
      <c r="P9" s="260" t="s">
        <v>412</v>
      </c>
      <c r="Q9" s="261">
        <v>0.1467</v>
      </c>
      <c r="S9" s="285">
        <f t="shared" si="0"/>
        <v>2202.7493511000002</v>
      </c>
      <c r="T9" s="690" t="s">
        <v>412</v>
      </c>
      <c r="U9" s="698">
        <v>1380</v>
      </c>
      <c r="V9" s="699">
        <v>26.1758305623617</v>
      </c>
      <c r="W9" s="700">
        <v>589.76652001968705</v>
      </c>
      <c r="X9" s="285">
        <f t="shared" si="1"/>
        <v>1995.9423505820487</v>
      </c>
      <c r="Y9" s="97">
        <f t="shared" si="2"/>
        <v>206.80700051795156</v>
      </c>
    </row>
    <row r="10" spans="1:25" ht="18.75" customHeight="1">
      <c r="A10" s="106"/>
      <c r="C10" s="9" t="str">
        <f>RSD_Procesess!D24</f>
        <v>RSD_DTH_SH_ELC_HPA</v>
      </c>
      <c r="D10" s="9" t="str">
        <f>D9</f>
        <v>RSD_ELC</v>
      </c>
      <c r="E10" s="9" t="str">
        <f>E9</f>
        <v>RSD_DTH_SH</v>
      </c>
      <c r="F10" s="681">
        <f t="shared" si="3"/>
        <v>0.21108613579150259</v>
      </c>
      <c r="G10" s="535">
        <v>31.536000000000001</v>
      </c>
      <c r="H10" s="534">
        <v>2.5</v>
      </c>
      <c r="I10" s="534">
        <v>0.8</v>
      </c>
      <c r="J10" s="535">
        <f t="shared" si="4"/>
        <v>8.3713850837138504E-2</v>
      </c>
      <c r="K10" s="535">
        <v>20</v>
      </c>
      <c r="L10" s="276"/>
      <c r="M10" s="684">
        <f>U19*U4</f>
        <v>0.4458139187916535</v>
      </c>
      <c r="N10" s="685">
        <f t="shared" si="5"/>
        <v>0.22290695939582675</v>
      </c>
      <c r="P10" s="260" t="s">
        <v>413</v>
      </c>
      <c r="Q10" s="261">
        <v>3.3999999999999998E-3</v>
      </c>
      <c r="S10" s="285">
        <f t="shared" si="0"/>
        <v>51.052132199999996</v>
      </c>
      <c r="T10" s="690" t="s">
        <v>413</v>
      </c>
      <c r="U10" s="698">
        <v>38.77919961912</v>
      </c>
      <c r="V10" s="699">
        <v>12.272932580879996</v>
      </c>
      <c r="W10" s="700">
        <v>0</v>
      </c>
      <c r="X10" s="285">
        <f t="shared" si="1"/>
        <v>51.052132199999996</v>
      </c>
      <c r="Y10" s="97">
        <f t="shared" si="2"/>
        <v>0</v>
      </c>
    </row>
    <row r="11" spans="1:25" ht="18.75" customHeight="1">
      <c r="A11" s="106"/>
      <c r="C11" s="7" t="str">
        <f>RSD_Procesess!D25</f>
        <v>RSD_DTH_SH_ELC_HPG</v>
      </c>
      <c r="D11" s="7" t="str">
        <f>D9</f>
        <v>RSD_ELC</v>
      </c>
      <c r="E11" s="7" t="str">
        <f>E9</f>
        <v>RSD_DTH_SH</v>
      </c>
      <c r="F11" s="681">
        <f t="shared" si="3"/>
        <v>5.2771533947875648E-2</v>
      </c>
      <c r="G11" s="533">
        <v>31.536000000000001</v>
      </c>
      <c r="H11" s="532">
        <v>3</v>
      </c>
      <c r="I11" s="532">
        <v>0.8</v>
      </c>
      <c r="J11" s="533">
        <f t="shared" si="4"/>
        <v>8.3713850837138504E-2</v>
      </c>
      <c r="K11" s="533">
        <v>20</v>
      </c>
      <c r="L11" s="276"/>
      <c r="M11" s="684">
        <f>U20*U4</f>
        <v>0.11145347969791337</v>
      </c>
      <c r="N11" s="685">
        <f t="shared" si="5"/>
        <v>4.6438949874130574E-2</v>
      </c>
      <c r="P11" s="260" t="s">
        <v>414</v>
      </c>
      <c r="Q11" s="261">
        <v>4.1999999999999997E-3</v>
      </c>
      <c r="S11" s="285">
        <f t="shared" si="0"/>
        <v>63.064398599999997</v>
      </c>
      <c r="T11" s="690" t="s">
        <v>414</v>
      </c>
      <c r="U11" s="698">
        <v>53.905045469999997</v>
      </c>
      <c r="V11" s="699">
        <v>9.1593531300000013</v>
      </c>
      <c r="W11" s="700">
        <v>0</v>
      </c>
      <c r="X11" s="285">
        <f t="shared" si="1"/>
        <v>63.064398599999997</v>
      </c>
      <c r="Y11" s="97">
        <f t="shared" si="2"/>
        <v>0</v>
      </c>
    </row>
    <row r="12" spans="1:25" ht="18.75" customHeight="1">
      <c r="C12" s="9" t="str">
        <f>RSD_Procesess!D26</f>
        <v>RSD_DTH_SH_GAS</v>
      </c>
      <c r="D12" s="9" t="str">
        <f>RSD_Comm!D8</f>
        <v>RSD_GAS</v>
      </c>
      <c r="E12" s="9" t="str">
        <f>E9</f>
        <v>RSD_DTH_SH</v>
      </c>
      <c r="F12" s="681">
        <f t="shared" si="3"/>
        <v>25.539881144050423</v>
      </c>
      <c r="G12" s="535">
        <v>31.536000000000001</v>
      </c>
      <c r="H12" s="534">
        <f>0.85</f>
        <v>0.85</v>
      </c>
      <c r="I12" s="534">
        <v>0.8</v>
      </c>
      <c r="J12" s="535">
        <f t="shared" si="4"/>
        <v>8.3713850837138504E-2</v>
      </c>
      <c r="K12" s="535">
        <v>20</v>
      </c>
      <c r="L12" s="276"/>
      <c r="M12" s="684">
        <f>U9*U4</f>
        <v>53.940228976234494</v>
      </c>
      <c r="N12" s="685">
        <f t="shared" si="5"/>
        <v>79.323866141521322</v>
      </c>
      <c r="P12" s="260" t="s">
        <v>415</v>
      </c>
      <c r="Q12" s="261">
        <v>0.31969999999999998</v>
      </c>
      <c r="S12" s="285">
        <f t="shared" si="0"/>
        <v>4800.4019601</v>
      </c>
      <c r="T12" s="690" t="s">
        <v>415</v>
      </c>
      <c r="U12" s="698">
        <v>2365.3217190514401</v>
      </c>
      <c r="V12" s="699">
        <v>493.40444299331966</v>
      </c>
      <c r="W12" s="700">
        <v>1941.6757980552402</v>
      </c>
      <c r="X12" s="285">
        <f t="shared" si="1"/>
        <v>4800.4019601</v>
      </c>
      <c r="Y12" s="97">
        <f t="shared" si="2"/>
        <v>0</v>
      </c>
    </row>
    <row r="13" spans="1:25" ht="18.75" customHeight="1">
      <c r="C13" s="7" t="str">
        <f>RSD_Procesess!D27</f>
        <v>RSD_DTH_SH_DH</v>
      </c>
      <c r="D13" s="7" t="str">
        <f>RSD_Comm!D9</f>
        <v>RSD_DH</v>
      </c>
      <c r="E13" s="7" t="str">
        <f t="shared" ref="E13:E18" si="6">E12</f>
        <v>RSD_DTH_SH</v>
      </c>
      <c r="F13" s="681">
        <f t="shared" si="3"/>
        <v>6.6766334657043682</v>
      </c>
      <c r="G13" s="533">
        <v>31.536000000000001</v>
      </c>
      <c r="H13" s="532">
        <v>1</v>
      </c>
      <c r="I13" s="534">
        <v>0.9</v>
      </c>
      <c r="J13" s="533">
        <f t="shared" si="4"/>
        <v>8.3713850837138504E-2</v>
      </c>
      <c r="K13" s="533">
        <v>20</v>
      </c>
      <c r="L13" s="276"/>
      <c r="M13" s="684">
        <f>U8*U4</f>
        <v>15.863681114513579</v>
      </c>
      <c r="N13" s="685">
        <f t="shared" si="5"/>
        <v>17.626312349459532</v>
      </c>
      <c r="P13" s="260" t="s">
        <v>416</v>
      </c>
      <c r="Q13" s="261">
        <v>2.8E-3</v>
      </c>
      <c r="S13" s="285">
        <f t="shared" si="0"/>
        <v>42.042932399999998</v>
      </c>
      <c r="T13" s="690" t="s">
        <v>416</v>
      </c>
      <c r="U13" s="698">
        <v>25.225759439999997</v>
      </c>
      <c r="V13" s="699">
        <v>2.1021466200000027</v>
      </c>
      <c r="W13" s="700">
        <v>14.715026339999998</v>
      </c>
      <c r="X13" s="285">
        <f t="shared" si="1"/>
        <v>42.042932399999998</v>
      </c>
      <c r="Y13" s="97">
        <f t="shared" si="2"/>
        <v>0</v>
      </c>
    </row>
    <row r="14" spans="1:25" ht="18.75" customHeight="1">
      <c r="C14" s="9" t="str">
        <f>RSD_Procesess!D28</f>
        <v>RSD_DTH_SH_OIL</v>
      </c>
      <c r="D14" s="9" t="str">
        <f>RSD_Comm!D10</f>
        <v>RSD_OIL</v>
      </c>
      <c r="E14" s="9" t="str">
        <f t="shared" si="6"/>
        <v>RSD_DTH_SH</v>
      </c>
      <c r="F14" s="681">
        <f t="shared" si="3"/>
        <v>0.99762931475973426</v>
      </c>
      <c r="G14" s="535">
        <v>31.536000000000001</v>
      </c>
      <c r="H14" s="534">
        <v>0.95</v>
      </c>
      <c r="I14" s="534">
        <v>0.8</v>
      </c>
      <c r="J14" s="535">
        <f t="shared" si="4"/>
        <v>8.3713850837138504E-2</v>
      </c>
      <c r="K14" s="535">
        <v>20</v>
      </c>
      <c r="L14" s="276"/>
      <c r="M14" s="684">
        <f>U11*U4</f>
        <v>2.106993112772559</v>
      </c>
      <c r="N14" s="685">
        <f t="shared" si="5"/>
        <v>2.7723593589112618</v>
      </c>
      <c r="P14" s="260" t="s">
        <v>417</v>
      </c>
      <c r="Q14" s="261">
        <v>4.8999999999999998E-3</v>
      </c>
      <c r="S14" s="285">
        <f t="shared" si="0"/>
        <v>73.5751317</v>
      </c>
      <c r="T14" s="690" t="s">
        <v>417</v>
      </c>
      <c r="U14" s="698">
        <v>44.145079019999997</v>
      </c>
      <c r="V14" s="699">
        <v>3.6787565850000021</v>
      </c>
      <c r="W14" s="700">
        <v>25.751296094999997</v>
      </c>
      <c r="X14" s="285">
        <f t="shared" si="1"/>
        <v>73.5751317</v>
      </c>
      <c r="Y14" s="97">
        <f t="shared" si="2"/>
        <v>0</v>
      </c>
    </row>
    <row r="15" spans="1:25" ht="18.75" customHeight="1">
      <c r="C15" s="7" t="str">
        <f>RSD_Procesess!D29</f>
        <v>RSD_DTH_SH_BIO</v>
      </c>
      <c r="D15" s="7" t="str">
        <f>RSD_Comm!D11</f>
        <v>RSD_BIO</v>
      </c>
      <c r="E15" s="7" t="str">
        <f t="shared" si="6"/>
        <v>RSD_DTH_SH</v>
      </c>
      <c r="F15" s="681">
        <f t="shared" si="3"/>
        <v>26.857406569146562</v>
      </c>
      <c r="G15" s="533">
        <v>31.536000000000001</v>
      </c>
      <c r="H15" s="532">
        <v>0.77</v>
      </c>
      <c r="I15" s="534">
        <v>0.8</v>
      </c>
      <c r="J15" s="533">
        <f t="shared" si="4"/>
        <v>8.3713850837138504E-2</v>
      </c>
      <c r="K15" s="533">
        <v>20</v>
      </c>
      <c r="L15" s="276"/>
      <c r="M15" s="684">
        <f>(U15+U16)*U4</f>
        <v>56.722842674037544</v>
      </c>
      <c r="N15" s="685">
        <f t="shared" si="5"/>
        <v>92.082536808502496</v>
      </c>
      <c r="P15" s="260" t="s">
        <v>418</v>
      </c>
      <c r="Q15" s="261">
        <v>8.2400000000000001E-2</v>
      </c>
      <c r="S15" s="285">
        <f t="shared" si="0"/>
        <v>1237.2634392</v>
      </c>
      <c r="T15" s="690" t="s">
        <v>418</v>
      </c>
      <c r="U15" s="698">
        <v>1334.0704397179381</v>
      </c>
      <c r="V15" s="699">
        <v>0</v>
      </c>
      <c r="W15" s="700"/>
      <c r="X15" s="285">
        <f t="shared" si="1"/>
        <v>1334.0704397179381</v>
      </c>
      <c r="Y15" s="97">
        <f t="shared" si="2"/>
        <v>-96.80700051793815</v>
      </c>
    </row>
    <row r="16" spans="1:25" ht="18.75" customHeight="1">
      <c r="C16" s="9" t="str">
        <f>RSD_Procesess!D30</f>
        <v>RSD_DTH_SH_HC</v>
      </c>
      <c r="D16" s="9" t="str">
        <f>RSD_Comm!D12</f>
        <v>RSD_HC</v>
      </c>
      <c r="E16" s="9" t="str">
        <f t="shared" si="6"/>
        <v>RSD_DTH_SH</v>
      </c>
      <c r="F16" s="681">
        <f t="shared" si="3"/>
        <v>45.059245319671248</v>
      </c>
      <c r="G16" s="535">
        <v>31.536000000000001</v>
      </c>
      <c r="H16" s="534">
        <v>0.85</v>
      </c>
      <c r="I16" s="534">
        <v>0.8</v>
      </c>
      <c r="J16" s="535">
        <f t="shared" si="4"/>
        <v>8.3713850837138504E-2</v>
      </c>
      <c r="K16" s="535">
        <v>20</v>
      </c>
      <c r="L16" s="276"/>
      <c r="M16" s="684">
        <f>(U12+U13+U14)*U4</f>
        <v>95.165126115145682</v>
      </c>
      <c r="N16" s="685">
        <f t="shared" si="5"/>
        <v>139.94871487521422</v>
      </c>
      <c r="P16" s="260" t="s">
        <v>419</v>
      </c>
      <c r="Q16" s="261">
        <v>7.7999999999999996E-3</v>
      </c>
      <c r="S16" s="285">
        <f t="shared" si="0"/>
        <v>117.1195974</v>
      </c>
      <c r="T16" s="690" t="s">
        <v>419</v>
      </c>
      <c r="U16" s="698">
        <v>117.1195974</v>
      </c>
      <c r="V16" s="699">
        <v>0</v>
      </c>
      <c r="W16" s="700">
        <v>0</v>
      </c>
      <c r="X16" s="285">
        <f t="shared" si="1"/>
        <v>117.1195974</v>
      </c>
      <c r="Y16" s="97">
        <f t="shared" si="2"/>
        <v>0</v>
      </c>
    </row>
    <row r="17" spans="1:31" ht="18.75" customHeight="1">
      <c r="C17" s="7" t="str">
        <f>RSD_Procesess!D31</f>
        <v>RSD_DTH_SH_LPG</v>
      </c>
      <c r="D17" s="7" t="str">
        <f>RSD_Comm!D13</f>
        <v>RSD_LPG</v>
      </c>
      <c r="E17" s="7" t="str">
        <f t="shared" si="6"/>
        <v>RSD_DTH_SH</v>
      </c>
      <c r="F17" s="681">
        <f t="shared" si="3"/>
        <v>0.7176928616911088</v>
      </c>
      <c r="G17" s="533">
        <v>31.536000000000001</v>
      </c>
      <c r="H17" s="532">
        <v>0.95</v>
      </c>
      <c r="I17" s="534">
        <v>0.8</v>
      </c>
      <c r="J17" s="535">
        <f t="shared" si="4"/>
        <v>8.3713850837138504E-2</v>
      </c>
      <c r="K17" s="535">
        <v>20</v>
      </c>
      <c r="L17" s="276"/>
      <c r="M17" s="684">
        <f>U10*U4</f>
        <v>1.5157673238916218</v>
      </c>
      <c r="N17" s="685">
        <f t="shared" si="5"/>
        <v>1.9944306893310815</v>
      </c>
      <c r="P17" s="260" t="s">
        <v>420</v>
      </c>
      <c r="Q17" s="262">
        <v>1E-4</v>
      </c>
      <c r="S17" s="285">
        <f t="shared" si="0"/>
        <v>1.5015333000000002</v>
      </c>
      <c r="T17" s="690" t="s">
        <v>420</v>
      </c>
      <c r="U17" s="698">
        <v>65.570282347339997</v>
      </c>
      <c r="V17" s="699">
        <v>5.0915935313</v>
      </c>
      <c r="W17" s="700">
        <v>40.839657421360002</v>
      </c>
      <c r="X17" s="285">
        <f t="shared" si="1"/>
        <v>111.50153330000001</v>
      </c>
      <c r="Y17" s="97">
        <f t="shared" si="2"/>
        <v>-110</v>
      </c>
    </row>
    <row r="18" spans="1:31" ht="18.75" customHeight="1" thickBot="1">
      <c r="C18" s="536" t="str">
        <f>RSD_Procesess!D32</f>
        <v>RSD_DTH_SH_GEO</v>
      </c>
      <c r="D18" s="536" t="str">
        <f>RSD_Comm!D14</f>
        <v>RSD_GEO</v>
      </c>
      <c r="E18" s="536" t="str">
        <f t="shared" si="6"/>
        <v>RSD_DTH_SH</v>
      </c>
      <c r="F18" s="682">
        <f t="shared" si="3"/>
        <v>1.2135197229948484</v>
      </c>
      <c r="G18" s="341">
        <v>31.536000000000001</v>
      </c>
      <c r="H18" s="341">
        <v>0.95</v>
      </c>
      <c r="I18" s="341">
        <v>0.8</v>
      </c>
      <c r="J18" s="341">
        <f>2200/8760/3</f>
        <v>8.3713850837138504E-2</v>
      </c>
      <c r="K18" s="341">
        <v>20</v>
      </c>
      <c r="L18" s="276"/>
      <c r="M18" s="684">
        <f>U17*U4</f>
        <v>2.5629536549651202</v>
      </c>
      <c r="N18" s="685">
        <f t="shared" si="5"/>
        <v>3.3723074407435791</v>
      </c>
      <c r="P18" s="260" t="s">
        <v>421</v>
      </c>
      <c r="Q18" s="261">
        <v>2.5000000000000001E-3</v>
      </c>
      <c r="S18" s="284"/>
      <c r="T18" s="690" t="s">
        <v>421</v>
      </c>
      <c r="U18" s="701" t="s">
        <v>258</v>
      </c>
      <c r="V18" s="702" t="s">
        <v>258</v>
      </c>
      <c r="W18" s="703" t="s">
        <v>258</v>
      </c>
      <c r="X18" s="285">
        <f t="shared" si="1"/>
        <v>0</v>
      </c>
      <c r="Y18" s="97">
        <f t="shared" si="2"/>
        <v>0</v>
      </c>
    </row>
    <row r="19" spans="1:31" ht="15.75" thickBot="1">
      <c r="J19" s="105"/>
      <c r="K19" s="98"/>
      <c r="L19" s="276"/>
      <c r="M19" s="600">
        <f t="shared" ref="M19" si="7">SUM(M9:M18)</f>
        <v>230.99044994787448</v>
      </c>
      <c r="N19" s="601"/>
      <c r="O19" s="95"/>
      <c r="P19" s="249" t="s">
        <v>422</v>
      </c>
      <c r="Q19" s="261">
        <v>0.8</v>
      </c>
      <c r="S19" s="285">
        <f>U2*Q18*Q19</f>
        <v>30.030666000000004</v>
      </c>
      <c r="T19" s="690" t="s">
        <v>422</v>
      </c>
      <c r="U19" s="698">
        <v>11.405646946800001</v>
      </c>
      <c r="V19" s="699">
        <v>1.8318706260000002</v>
      </c>
      <c r="W19" s="700">
        <v>16.793148427200002</v>
      </c>
      <c r="X19" s="285">
        <f t="shared" si="1"/>
        <v>30.030666000000004</v>
      </c>
      <c r="Y19" s="97">
        <f t="shared" si="2"/>
        <v>0</v>
      </c>
    </row>
    <row r="20" spans="1:31" ht="15.75" thickBot="1">
      <c r="J20" s="105"/>
      <c r="K20" s="98"/>
      <c r="L20" s="280"/>
      <c r="M20" s="277"/>
      <c r="N20" s="288"/>
      <c r="O20" s="95"/>
      <c r="P20" s="249" t="s">
        <v>423</v>
      </c>
      <c r="Q20" s="261">
        <v>0.2</v>
      </c>
      <c r="S20" s="285">
        <f>Q18*Q20*U2</f>
        <v>7.5076665</v>
      </c>
      <c r="T20" s="691" t="s">
        <v>423</v>
      </c>
      <c r="U20" s="704">
        <v>2.8514117367000003</v>
      </c>
      <c r="V20" s="705">
        <v>0.45796765650000004</v>
      </c>
      <c r="W20" s="706">
        <v>4.1982871068000005</v>
      </c>
      <c r="X20" s="285">
        <f t="shared" si="1"/>
        <v>7.5076665000000009</v>
      </c>
      <c r="Y20" s="97">
        <f t="shared" si="2"/>
        <v>0</v>
      </c>
      <c r="AD20" s="95"/>
    </row>
    <row r="21" spans="1:31" ht="30">
      <c r="A21" s="30" t="s">
        <v>306</v>
      </c>
      <c r="J21" s="105"/>
      <c r="K21" s="98"/>
      <c r="L21" s="281"/>
      <c r="M21" s="277"/>
      <c r="N21" s="288"/>
      <c r="O21" s="95"/>
      <c r="P21" s="256" t="s">
        <v>424</v>
      </c>
      <c r="Q21" s="95"/>
      <c r="R21" s="104"/>
      <c r="U21" s="97">
        <f>SUM(U7:U20)</f>
        <v>5909.6304739179386</v>
      </c>
      <c r="V21" s="97">
        <f>SUM(V7:V20)</f>
        <v>855.51761226236124</v>
      </c>
      <c r="W21" s="97">
        <f>SUM(W7:W20)</f>
        <v>8250.1849138196849</v>
      </c>
      <c r="Y21" s="95"/>
      <c r="AA21" s="95"/>
      <c r="AB21" s="95"/>
      <c r="AC21" s="95"/>
      <c r="AD21" s="95"/>
    </row>
    <row r="22" spans="1:31" ht="15.75" thickBot="1">
      <c r="E22" s="126" t="s">
        <v>516</v>
      </c>
      <c r="J22" s="105"/>
      <c r="K22" s="98"/>
      <c r="L22" s="281"/>
      <c r="M22" s="282"/>
      <c r="N22" s="288"/>
      <c r="O22" s="95"/>
      <c r="P22" s="95"/>
      <c r="Q22" s="95"/>
      <c r="R22" s="95"/>
      <c r="U22" s="104">
        <f>U6-U21</f>
        <v>0</v>
      </c>
      <c r="V22" s="104">
        <f>V6-V21</f>
        <v>2.1600499167107046E-12</v>
      </c>
      <c r="W22" s="104">
        <f>W6-W21</f>
        <v>0</v>
      </c>
      <c r="Y22" s="95"/>
      <c r="AA22" s="95"/>
      <c r="AB22" s="95"/>
      <c r="AC22" s="95"/>
      <c r="AD22" s="95"/>
    </row>
    <row r="23" spans="1:31" ht="15.75" thickBot="1">
      <c r="C23" s="540" t="s">
        <v>82</v>
      </c>
      <c r="D23" s="540" t="s">
        <v>214</v>
      </c>
      <c r="E23" s="540" t="s">
        <v>215</v>
      </c>
      <c r="F23" s="680" t="s">
        <v>316</v>
      </c>
      <c r="G23" s="541" t="s">
        <v>405</v>
      </c>
      <c r="H23" s="541" t="s">
        <v>216</v>
      </c>
      <c r="I23" s="541" t="s">
        <v>406</v>
      </c>
      <c r="J23" s="541" t="s">
        <v>247</v>
      </c>
      <c r="K23" s="539" t="s">
        <v>701</v>
      </c>
      <c r="L23" s="276"/>
      <c r="M23" s="598" t="s">
        <v>408</v>
      </c>
      <c r="N23" s="618" t="s">
        <v>410</v>
      </c>
      <c r="O23" s="95"/>
      <c r="S23" s="95"/>
      <c r="U23" s="95"/>
      <c r="V23" s="95"/>
      <c r="W23" s="95"/>
      <c r="AC23" s="95"/>
      <c r="AD23" s="95"/>
    </row>
    <row r="24" spans="1:31" ht="15.75" customHeight="1">
      <c r="C24" s="336" t="str">
        <f>RSD_Procesess!D33</f>
        <v>RSD_SDTH_SH_ELC_R</v>
      </c>
      <c r="D24" s="336" t="str">
        <f>D9</f>
        <v>RSD_ELC</v>
      </c>
      <c r="E24" s="336" t="str">
        <f>RSD_Comm!D17</f>
        <v>RSD_SDTH_SH</v>
      </c>
      <c r="F24" s="681">
        <f t="shared" ref="F24:F33" si="8">M24/(I24*8760*J24*3.6*0.001)</f>
        <v>0.21363525281553242</v>
      </c>
      <c r="G24" s="338">
        <v>31.536000000000001</v>
      </c>
      <c r="H24" s="337">
        <v>1</v>
      </c>
      <c r="I24" s="166">
        <v>0.95</v>
      </c>
      <c r="J24" s="339">
        <f t="shared" ref="J24:J33" si="9">2200/8760/3</f>
        <v>8.3713850837138504E-2</v>
      </c>
      <c r="K24" s="542">
        <v>20</v>
      </c>
      <c r="L24" s="276"/>
      <c r="M24" s="684">
        <f>V7*V4</f>
        <v>0.53579721406135528</v>
      </c>
      <c r="N24" s="685">
        <f t="shared" ref="N24:N33" si="10">F24*G24*J24/H24</f>
        <v>0.56399706743300559</v>
      </c>
      <c r="O24" s="95"/>
      <c r="Z24" s="95"/>
      <c r="AA24" s="95"/>
      <c r="AB24" s="95"/>
      <c r="AC24" s="95"/>
      <c r="AD24" s="95"/>
    </row>
    <row r="25" spans="1:31" ht="15.75" customHeight="1">
      <c r="A25" s="106"/>
      <c r="C25" s="161" t="str">
        <f>RSD_Procesess!D34</f>
        <v>RSD_SDTH_SH_ELC_HPA</v>
      </c>
      <c r="D25" s="161" t="str">
        <f>D24</f>
        <v>RSD_ELC</v>
      </c>
      <c r="E25" s="161" t="str">
        <f>E24</f>
        <v>RSD_SDTH_SH</v>
      </c>
      <c r="F25" s="683">
        <f t="shared" si="8"/>
        <v>1.7495990532306532E-2</v>
      </c>
      <c r="G25" s="339">
        <v>31.536000000000001</v>
      </c>
      <c r="H25" s="163">
        <v>2.5</v>
      </c>
      <c r="I25" s="166">
        <v>0.8</v>
      </c>
      <c r="J25" s="339">
        <f t="shared" si="9"/>
        <v>8.3713850837138504E-2</v>
      </c>
      <c r="K25" s="535">
        <v>20</v>
      </c>
      <c r="L25" s="276"/>
      <c r="M25" s="684">
        <f>V19*V4</f>
        <v>3.6951532004231395E-2</v>
      </c>
      <c r="N25" s="685">
        <f t="shared" si="10"/>
        <v>1.8475766002115694E-2</v>
      </c>
      <c r="O25" s="95"/>
      <c r="X25"/>
      <c r="Y25"/>
      <c r="AB25" s="95"/>
      <c r="AC25" s="95"/>
      <c r="AD25" s="95"/>
    </row>
    <row r="26" spans="1:31" ht="15.75" customHeight="1">
      <c r="A26" s="106"/>
      <c r="C26" s="164" t="str">
        <f>RSD_Procesess!D35</f>
        <v>RSD_SDTH_SH_ELC_HPG</v>
      </c>
      <c r="D26" s="164" t="str">
        <f>D24</f>
        <v>RSD_ELC</v>
      </c>
      <c r="E26" s="164" t="str">
        <f>E24</f>
        <v>RSD_SDTH_SH</v>
      </c>
      <c r="F26" s="683">
        <f t="shared" si="8"/>
        <v>4.3739976330766329E-3</v>
      </c>
      <c r="G26" s="340">
        <v>31.536000000000001</v>
      </c>
      <c r="H26" s="166">
        <v>3</v>
      </c>
      <c r="I26" s="166">
        <v>0.8</v>
      </c>
      <c r="J26" s="339">
        <f t="shared" si="9"/>
        <v>8.3713850837138504E-2</v>
      </c>
      <c r="K26" s="533">
        <v>20</v>
      </c>
      <c r="L26" s="276"/>
      <c r="M26" s="684">
        <f>V20*V4</f>
        <v>9.2378830010578488E-3</v>
      </c>
      <c r="N26" s="685">
        <f t="shared" si="10"/>
        <v>3.8491179171074364E-3</v>
      </c>
      <c r="O26" s="95"/>
      <c r="S26" s="95"/>
      <c r="X26"/>
      <c r="Y26"/>
      <c r="Z26" s="95"/>
      <c r="AA26" s="95"/>
      <c r="AB26" s="95"/>
      <c r="AC26" s="95"/>
      <c r="AD26" s="95"/>
    </row>
    <row r="27" spans="1:31" ht="15.75" customHeight="1">
      <c r="C27" s="161" t="str">
        <f>RSD_Procesess!D36</f>
        <v>RSD_SDTH_SH_GAS</v>
      </c>
      <c r="D27" s="161" t="str">
        <f t="shared" ref="D27:D33" si="11">D12</f>
        <v>RSD_GAS</v>
      </c>
      <c r="E27" s="161" t="str">
        <f>E24</f>
        <v>RSD_SDTH_SH</v>
      </c>
      <c r="F27" s="683">
        <f t="shared" si="8"/>
        <v>0.25000241676146628</v>
      </c>
      <c r="G27" s="339">
        <v>31.536000000000001</v>
      </c>
      <c r="H27" s="163">
        <f>0.85</f>
        <v>0.85</v>
      </c>
      <c r="I27" s="166">
        <v>0.8</v>
      </c>
      <c r="J27" s="339">
        <f t="shared" si="9"/>
        <v>8.3713850837138504E-2</v>
      </c>
      <c r="K27" s="535">
        <v>20</v>
      </c>
      <c r="L27" s="276"/>
      <c r="M27" s="684">
        <f>V9*V4</f>
        <v>0.52800510420021685</v>
      </c>
      <c r="N27" s="685">
        <f t="shared" si="10"/>
        <v>0.77647809441208349</v>
      </c>
      <c r="O27" s="95"/>
      <c r="S27" s="244"/>
      <c r="T27" s="244"/>
      <c r="U27" s="244"/>
      <c r="V27" s="244"/>
      <c r="W27" s="244"/>
      <c r="X27" s="244"/>
      <c r="Y27" s="244"/>
      <c r="Z27" s="244"/>
      <c r="AA27" s="244"/>
      <c r="AB27" s="95"/>
      <c r="AC27" s="95"/>
      <c r="AD27" s="95"/>
    </row>
    <row r="28" spans="1:31" ht="15.75" customHeight="1">
      <c r="C28" s="164" t="str">
        <f>RSD_Procesess!D37</f>
        <v>RSD_SDTH_SH_DH</v>
      </c>
      <c r="D28" s="164" t="str">
        <f t="shared" si="11"/>
        <v>RSD_DH</v>
      </c>
      <c r="E28" s="164" t="str">
        <f t="shared" ref="E28:E33" si="12">E27</f>
        <v>RSD_SDTH_SH</v>
      </c>
      <c r="F28" s="683">
        <f t="shared" si="8"/>
        <v>2.3327987376408705</v>
      </c>
      <c r="G28" s="340">
        <v>31.536000000000001</v>
      </c>
      <c r="H28" s="166">
        <v>1</v>
      </c>
      <c r="I28" s="166">
        <v>0.9</v>
      </c>
      <c r="J28" s="339">
        <f t="shared" si="9"/>
        <v>8.3713850837138504E-2</v>
      </c>
      <c r="K28" s="533">
        <v>20</v>
      </c>
      <c r="L28" s="276"/>
      <c r="M28" s="684">
        <f>V8*V4</f>
        <v>5.5427298006347083</v>
      </c>
      <c r="N28" s="685">
        <f t="shared" si="10"/>
        <v>6.1585886673718981</v>
      </c>
      <c r="S28" s="95"/>
      <c r="T28" s="95"/>
      <c r="U28" s="95"/>
      <c r="V28" s="95"/>
      <c r="W28" s="95"/>
      <c r="X28" s="95"/>
      <c r="Y28" s="95"/>
      <c r="Z28" s="95"/>
      <c r="AA28" s="95"/>
      <c r="AB28" s="95"/>
      <c r="AC28" s="95"/>
      <c r="AD28" s="95"/>
    </row>
    <row r="29" spans="1:31" ht="15.75" customHeight="1">
      <c r="C29" s="161" t="str">
        <f>RSD_Procesess!D38</f>
        <v>RSD_SDTH_SH_OIL</v>
      </c>
      <c r="D29" s="161" t="str">
        <f t="shared" si="11"/>
        <v>RSD_OIL</v>
      </c>
      <c r="E29" s="161" t="str">
        <f t="shared" si="12"/>
        <v>RSD_SDTH_SH</v>
      </c>
      <c r="F29" s="683">
        <f t="shared" si="8"/>
        <v>8.7479952661532662E-2</v>
      </c>
      <c r="G29" s="339">
        <v>31.536000000000001</v>
      </c>
      <c r="H29" s="163">
        <v>0.95</v>
      </c>
      <c r="I29" s="166">
        <v>0.8</v>
      </c>
      <c r="J29" s="339">
        <f t="shared" si="9"/>
        <v>8.3713850837138504E-2</v>
      </c>
      <c r="K29" s="535">
        <v>20</v>
      </c>
      <c r="L29" s="276"/>
      <c r="M29" s="684">
        <f>V11*V4</f>
        <v>0.18475766002115698</v>
      </c>
      <c r="N29" s="685">
        <f t="shared" si="10"/>
        <v>0.24310218423836444</v>
      </c>
      <c r="S29" s="95"/>
      <c r="T29" s="95"/>
      <c r="U29" s="95"/>
      <c r="V29" s="95"/>
      <c r="W29" s="95"/>
      <c r="X29" s="95"/>
      <c r="Y29" s="95"/>
      <c r="Z29" s="95"/>
      <c r="AA29" s="95"/>
      <c r="AB29" s="95"/>
      <c r="AC29" s="95"/>
      <c r="AD29" s="95"/>
      <c r="AE29" s="95"/>
    </row>
    <row r="30" spans="1:31" ht="15.75" customHeight="1">
      <c r="C30" s="164" t="str">
        <f>RSD_Procesess!D39</f>
        <v>RSD_SDTH_SH_BIO</v>
      </c>
      <c r="D30" s="164" t="str">
        <f t="shared" si="11"/>
        <v>RSD_BIO</v>
      </c>
      <c r="E30" s="164" t="str">
        <f t="shared" si="12"/>
        <v>RSD_SDTH_SH</v>
      </c>
      <c r="F30" s="683">
        <f t="shared" si="8"/>
        <v>0</v>
      </c>
      <c r="G30" s="340">
        <v>31.536000000000001</v>
      </c>
      <c r="H30" s="166">
        <v>0.72</v>
      </c>
      <c r="I30" s="166">
        <v>0.8</v>
      </c>
      <c r="J30" s="339">
        <f t="shared" si="9"/>
        <v>8.3713850837138504E-2</v>
      </c>
      <c r="K30" s="533">
        <v>20</v>
      </c>
      <c r="L30" s="276"/>
      <c r="M30" s="684">
        <f>(V15+V16)*V4</f>
        <v>0</v>
      </c>
      <c r="N30" s="685">
        <f t="shared" si="10"/>
        <v>0</v>
      </c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</row>
    <row r="31" spans="1:31" ht="15.75" customHeight="1">
      <c r="C31" s="161" t="str">
        <f>RSD_Procesess!D40</f>
        <v>RSD_SDTH_SH_HC</v>
      </c>
      <c r="D31" s="161" t="str">
        <f t="shared" si="11"/>
        <v>RSD_HC</v>
      </c>
      <c r="E31" s="161" t="str">
        <f t="shared" si="12"/>
        <v>RSD_SDTH_SH</v>
      </c>
      <c r="F31" s="683">
        <f t="shared" si="8"/>
        <v>4.7676631564438638</v>
      </c>
      <c r="G31" s="339">
        <v>31.536000000000001</v>
      </c>
      <c r="H31" s="163">
        <v>0.85</v>
      </c>
      <c r="I31" s="166">
        <v>0.8</v>
      </c>
      <c r="J31" s="339">
        <f t="shared" si="9"/>
        <v>8.3713850837138504E-2</v>
      </c>
      <c r="K31" s="535">
        <v>20</v>
      </c>
      <c r="L31" s="276"/>
      <c r="M31" s="684">
        <f>(V12+V13+V14)*V4</f>
        <v>10.069304586409441</v>
      </c>
      <c r="N31" s="685">
        <f t="shared" si="10"/>
        <v>14.807800862366824</v>
      </c>
      <c r="S31" s="95"/>
      <c r="T31" s="95"/>
      <c r="U31" s="95"/>
      <c r="V31" s="95"/>
      <c r="W31" s="95"/>
      <c r="X31" s="95"/>
      <c r="Y31" s="95"/>
      <c r="Z31" s="95"/>
      <c r="AA31" s="95"/>
      <c r="AB31" s="95"/>
      <c r="AC31" s="95"/>
      <c r="AD31" s="95"/>
      <c r="AE31" s="95"/>
    </row>
    <row r="32" spans="1:31" ht="15.75" customHeight="1">
      <c r="C32" s="164" t="str">
        <f>RSD_Procesess!D41</f>
        <v>RSD_SDTH_SH_LPG</v>
      </c>
      <c r="D32" s="164" t="str">
        <f t="shared" si="11"/>
        <v>RSD_LPG</v>
      </c>
      <c r="E32" s="164" t="str">
        <f t="shared" si="12"/>
        <v>RSD_SDTH_SH</v>
      </c>
      <c r="F32" s="683">
        <f t="shared" si="8"/>
        <v>0.11721740017611525</v>
      </c>
      <c r="G32" s="340">
        <v>31.536000000000001</v>
      </c>
      <c r="H32" s="166">
        <v>0.95</v>
      </c>
      <c r="I32" s="166">
        <v>0.8</v>
      </c>
      <c r="J32" s="339">
        <f t="shared" si="9"/>
        <v>8.3713850837138504E-2</v>
      </c>
      <c r="K32" s="535">
        <v>20</v>
      </c>
      <c r="L32" s="276"/>
      <c r="M32" s="684">
        <f>V10*V4</f>
        <v>0.2475631491719554</v>
      </c>
      <c r="N32" s="685">
        <f t="shared" si="10"/>
        <v>0.32574098575257288</v>
      </c>
      <c r="S32" s="95"/>
      <c r="T32" s="95"/>
      <c r="U32" s="95"/>
      <c r="V32" s="95"/>
      <c r="W32" s="95"/>
      <c r="X32" s="95"/>
      <c r="Y32" s="95"/>
      <c r="Z32" s="95"/>
      <c r="AA32" s="95"/>
      <c r="AB32" s="95"/>
      <c r="AC32" s="95"/>
      <c r="AD32" s="95"/>
      <c r="AE32" s="95"/>
    </row>
    <row r="33" spans="1:52" ht="15.75" customHeight="1" thickBot="1">
      <c r="C33" s="187" t="str">
        <f>RSD_Procesess!D42</f>
        <v>RSD_SDTH_SH_GEO</v>
      </c>
      <c r="D33" s="187" t="str">
        <f t="shared" si="11"/>
        <v>RSD_GEO</v>
      </c>
      <c r="E33" s="187" t="str">
        <f t="shared" si="12"/>
        <v>RSD_SDTH_SH</v>
      </c>
      <c r="F33" s="682">
        <f t="shared" si="8"/>
        <v>4.8629237760362438E-2</v>
      </c>
      <c r="G33" s="341">
        <v>31.536000000000001</v>
      </c>
      <c r="H33" s="341">
        <v>0.95</v>
      </c>
      <c r="I33" s="341">
        <v>0.8</v>
      </c>
      <c r="J33" s="341">
        <f t="shared" si="9"/>
        <v>8.3713850837138504E-2</v>
      </c>
      <c r="K33" s="341">
        <v>20</v>
      </c>
      <c r="L33" s="276"/>
      <c r="M33" s="684">
        <f>V17*V4</f>
        <v>0.10270495014988547</v>
      </c>
      <c r="N33" s="685">
        <f t="shared" si="10"/>
        <v>0.13513809230248089</v>
      </c>
      <c r="S33" s="95"/>
      <c r="T33" s="95"/>
      <c r="U33" s="95"/>
      <c r="V33" s="95"/>
      <c r="W33" s="95"/>
      <c r="X33" s="95"/>
      <c r="Y33" s="95"/>
      <c r="Z33" s="95"/>
      <c r="AA33" s="95"/>
      <c r="AB33" s="244"/>
      <c r="AC33" s="244"/>
      <c r="AD33" s="244"/>
      <c r="AE33" s="244"/>
    </row>
    <row r="34" spans="1:52" ht="15.75" customHeight="1" thickBot="1">
      <c r="A34" s="98"/>
      <c r="B34" s="98"/>
      <c r="C34" s="98"/>
      <c r="D34" s="98"/>
      <c r="E34" s="98"/>
      <c r="F34" s="98"/>
      <c r="G34" s="98"/>
      <c r="H34" s="98"/>
      <c r="I34" s="98"/>
      <c r="J34" s="98"/>
      <c r="K34" s="98"/>
      <c r="L34" s="276"/>
      <c r="M34" s="619">
        <f>SUM(M24:M33)</f>
        <v>17.257051879654011</v>
      </c>
      <c r="N34" s="601"/>
      <c r="S34" s="95"/>
      <c r="T34" s="95"/>
      <c r="U34" s="95"/>
      <c r="V34" s="95"/>
      <c r="W34" s="95"/>
      <c r="X34" s="95"/>
      <c r="Y34" s="95"/>
      <c r="Z34" s="95"/>
      <c r="AA34" s="95"/>
      <c r="AB34" s="244"/>
      <c r="AC34" s="244"/>
      <c r="AD34" s="244"/>
      <c r="AE34" s="244"/>
    </row>
    <row r="35" spans="1:52">
      <c r="L35" s="281"/>
      <c r="N35" s="288"/>
      <c r="S35" s="95"/>
      <c r="T35" s="95"/>
      <c r="U35" s="95"/>
      <c r="V35" s="95"/>
      <c r="W35" s="95"/>
      <c r="X35" s="95"/>
      <c r="Y35" s="95"/>
      <c r="Z35" s="95"/>
      <c r="AA35" s="95"/>
      <c r="AB35" s="244"/>
      <c r="AC35" s="244"/>
      <c r="AD35" s="244"/>
      <c r="AE35" s="244"/>
    </row>
    <row r="36" spans="1:52">
      <c r="L36" s="281"/>
      <c r="M36" s="277"/>
      <c r="N36" s="288"/>
      <c r="S36" s="95"/>
      <c r="T36" s="95"/>
      <c r="U36" s="95"/>
      <c r="V36" s="95"/>
      <c r="W36" s="95"/>
      <c r="X36" s="95"/>
      <c r="Y36" s="95"/>
      <c r="Z36" s="95"/>
      <c r="AA36" s="95"/>
      <c r="AB36" s="244"/>
      <c r="AC36" s="244"/>
      <c r="AD36" s="244"/>
      <c r="AE36" s="244"/>
    </row>
    <row r="37" spans="1:52" ht="33.75" customHeight="1">
      <c r="L37" s="281"/>
      <c r="M37" s="281"/>
      <c r="N37" s="288"/>
      <c r="S37" s="221"/>
      <c r="T37" s="221"/>
      <c r="U37" s="221"/>
      <c r="V37" s="221"/>
      <c r="W37" s="221"/>
      <c r="X37" s="221"/>
      <c r="Y37" s="221"/>
      <c r="Z37" s="221"/>
      <c r="AA37" s="221"/>
      <c r="AB37" s="244"/>
      <c r="AC37" s="244"/>
      <c r="AD37" s="244"/>
      <c r="AE37" s="244"/>
    </row>
    <row r="38" spans="1:52" ht="15.75" thickBot="1">
      <c r="E38" s="126" t="s">
        <v>516</v>
      </c>
      <c r="L38" s="281"/>
      <c r="M38" s="282"/>
      <c r="N38" s="288"/>
      <c r="S38" s="221"/>
      <c r="T38" s="221"/>
      <c r="U38" s="221"/>
      <c r="V38" s="221"/>
      <c r="W38" s="221"/>
      <c r="X38" s="221"/>
      <c r="Y38" s="221"/>
      <c r="Z38" s="221"/>
      <c r="AA38" s="221"/>
      <c r="AB38" s="244"/>
      <c r="AC38" s="244"/>
      <c r="AD38" s="244"/>
      <c r="AE38" s="244"/>
    </row>
    <row r="39" spans="1:52" ht="15.75" thickBot="1">
      <c r="A39" s="30" t="s">
        <v>307</v>
      </c>
      <c r="C39" s="100" t="s">
        <v>82</v>
      </c>
      <c r="D39" s="100" t="s">
        <v>214</v>
      </c>
      <c r="E39" s="100" t="s">
        <v>215</v>
      </c>
      <c r="F39" s="680" t="s">
        <v>316</v>
      </c>
      <c r="G39" s="114" t="s">
        <v>405</v>
      </c>
      <c r="H39" s="114" t="s">
        <v>216</v>
      </c>
      <c r="I39" s="114" t="s">
        <v>406</v>
      </c>
      <c r="J39" s="114" t="s">
        <v>247</v>
      </c>
      <c r="K39" s="539" t="s">
        <v>701</v>
      </c>
      <c r="L39" s="276"/>
      <c r="M39" s="598" t="s">
        <v>408</v>
      </c>
      <c r="N39" s="618" t="s">
        <v>410</v>
      </c>
      <c r="S39" s="221"/>
      <c r="T39" s="221"/>
      <c r="U39" s="221"/>
      <c r="V39" s="221"/>
      <c r="W39" s="221"/>
      <c r="X39" s="221"/>
      <c r="Y39" s="221"/>
      <c r="Z39" s="221"/>
      <c r="AA39" s="221"/>
      <c r="AB39" s="95"/>
      <c r="AC39" s="95"/>
      <c r="AD39" s="95"/>
    </row>
    <row r="40" spans="1:52" ht="15.75" customHeight="1">
      <c r="C40" s="336" t="str">
        <f>RSD_Procesess!D43</f>
        <v>RSD_FLAT_SH_ELC_R</v>
      </c>
      <c r="D40" s="336" t="str">
        <f t="shared" ref="D40:D49" si="13">D24</f>
        <v>RSD_ELC</v>
      </c>
      <c r="E40" s="336" t="str">
        <f>RSD_Comm!D18</f>
        <v>RSD_FLAT_SH</v>
      </c>
      <c r="F40" s="683">
        <f t="shared" ref="F40:F49" si="14">M40/(I40*8760*J40*3.6*0.001)</f>
        <v>1.9527569974324019</v>
      </c>
      <c r="G40" s="338">
        <v>31.536000000000001</v>
      </c>
      <c r="H40" s="337">
        <v>1</v>
      </c>
      <c r="I40" s="163">
        <v>0.95</v>
      </c>
      <c r="J40" s="339">
        <f t="shared" ref="J40:J49" si="15">2200/8760/3</f>
        <v>8.3713850837138504E-2</v>
      </c>
      <c r="K40" s="542">
        <v>20</v>
      </c>
      <c r="L40" s="276"/>
      <c r="M40" s="684">
        <f>W7*W4</f>
        <v>4.8975145495604639</v>
      </c>
      <c r="N40" s="685">
        <f t="shared" ref="N40:N49" si="16">F40*G40*J40/H40</f>
        <v>5.1552784732215411</v>
      </c>
      <c r="O40" s="105"/>
      <c r="S40" s="221"/>
      <c r="T40" s="221"/>
      <c r="U40" s="221"/>
      <c r="V40" s="221"/>
      <c r="W40" s="221"/>
      <c r="X40" s="221"/>
      <c r="Y40" s="221"/>
      <c r="Z40" s="221"/>
      <c r="AA40" s="221"/>
      <c r="AB40" s="95"/>
      <c r="AC40" s="95"/>
      <c r="AD40" s="95"/>
    </row>
    <row r="41" spans="1:52" ht="15.75" customHeight="1">
      <c r="A41" s="106"/>
      <c r="C41" s="161" t="str">
        <f>RSD_Procesess!D44</f>
        <v>RSD_FLAT_SH_ELC_HPA</v>
      </c>
      <c r="D41" s="161" t="str">
        <f t="shared" si="13"/>
        <v>RSD_ELC</v>
      </c>
      <c r="E41" s="161" t="str">
        <f>E40</f>
        <v>RSD_FLAT_SH</v>
      </c>
      <c r="F41" s="683">
        <f t="shared" si="14"/>
        <v>0.1133669288402767</v>
      </c>
      <c r="G41" s="339">
        <v>31.536000000000001</v>
      </c>
      <c r="H41" s="163">
        <v>2.5</v>
      </c>
      <c r="I41" s="163">
        <v>0.8</v>
      </c>
      <c r="J41" s="339">
        <f t="shared" si="15"/>
        <v>8.3713850837138504E-2</v>
      </c>
      <c r="K41" s="535">
        <v>20</v>
      </c>
      <c r="L41" s="276"/>
      <c r="M41" s="684">
        <f>W19*W4</f>
        <v>0.23943095371066442</v>
      </c>
      <c r="N41" s="685">
        <f t="shared" si="16"/>
        <v>0.1197154768553322</v>
      </c>
      <c r="O41" s="105"/>
      <c r="S41" s="221"/>
      <c r="T41" s="221"/>
      <c r="U41" s="221"/>
      <c r="V41" s="221"/>
      <c r="W41" s="221"/>
      <c r="X41" s="221"/>
      <c r="Y41" s="221"/>
      <c r="Z41" s="221"/>
      <c r="AA41" s="221"/>
      <c r="AB41" s="95"/>
      <c r="AC41" s="95"/>
      <c r="AD41" s="95"/>
    </row>
    <row r="42" spans="1:52" ht="15.75" customHeight="1">
      <c r="A42" s="106"/>
      <c r="C42" s="164" t="str">
        <f>RSD_Procesess!D45</f>
        <v>RSD_FLAT_SH_ELC_HPG</v>
      </c>
      <c r="D42" s="164" t="str">
        <f t="shared" si="13"/>
        <v>RSD_ELC</v>
      </c>
      <c r="E42" s="164" t="str">
        <f t="shared" ref="E42:E49" si="17">E41</f>
        <v>RSD_FLAT_SH</v>
      </c>
      <c r="F42" s="683">
        <f t="shared" si="14"/>
        <v>2.8341732210069175E-2</v>
      </c>
      <c r="G42" s="340">
        <v>31.536000000000001</v>
      </c>
      <c r="H42" s="166">
        <v>3</v>
      </c>
      <c r="I42" s="163">
        <v>0.8</v>
      </c>
      <c r="J42" s="339">
        <f t="shared" si="15"/>
        <v>8.3713850837138504E-2</v>
      </c>
      <c r="K42" s="533">
        <v>20</v>
      </c>
      <c r="L42" s="276"/>
      <c r="M42" s="684">
        <f>W20*W4</f>
        <v>5.9857738427666105E-2</v>
      </c>
      <c r="N42" s="685">
        <f t="shared" si="16"/>
        <v>2.4940724344860873E-2</v>
      </c>
      <c r="O42" s="105"/>
      <c r="S42" s="221"/>
      <c r="T42" s="221"/>
      <c r="U42" s="221"/>
      <c r="V42" s="221"/>
      <c r="W42" s="221"/>
      <c r="X42" s="221"/>
      <c r="Y42" s="221"/>
      <c r="Z42" s="221"/>
      <c r="AA42" s="221"/>
      <c r="AB42" s="95"/>
      <c r="AC42" s="95"/>
      <c r="AD42" s="95"/>
    </row>
    <row r="43" spans="1:52" ht="15.75" customHeight="1">
      <c r="A43" s="106"/>
      <c r="C43" s="161" t="str">
        <f>RSD_Procesess!D46</f>
        <v>RSD_FLAT_SH_GAS</v>
      </c>
      <c r="D43" s="161" t="str">
        <f t="shared" si="13"/>
        <v>RSD_GAS</v>
      </c>
      <c r="E43" s="161" t="str">
        <f t="shared" si="17"/>
        <v>RSD_FLAT_SH</v>
      </c>
      <c r="F43" s="683">
        <f t="shared" si="14"/>
        <v>3.9813867779049557</v>
      </c>
      <c r="G43" s="339">
        <v>31.536000000000001</v>
      </c>
      <c r="H43" s="163">
        <f>0.85</f>
        <v>0.85</v>
      </c>
      <c r="I43" s="163">
        <v>0.8</v>
      </c>
      <c r="J43" s="339">
        <f t="shared" si="15"/>
        <v>8.3713850837138504E-2</v>
      </c>
      <c r="K43" s="535">
        <v>20</v>
      </c>
      <c r="L43" s="276"/>
      <c r="M43" s="684">
        <f>W9*W4</f>
        <v>8.4086888749352671</v>
      </c>
      <c r="N43" s="685">
        <f t="shared" si="16"/>
        <v>12.365718933728333</v>
      </c>
      <c r="O43" s="105"/>
      <c r="S43" s="221"/>
      <c r="T43" s="221"/>
      <c r="U43" s="221"/>
      <c r="V43" s="221"/>
      <c r="W43" s="221"/>
      <c r="X43" s="221"/>
      <c r="Y43" s="221"/>
      <c r="Z43" s="221"/>
      <c r="AA43" s="221"/>
      <c r="AB43" s="95"/>
      <c r="AC43" s="95"/>
      <c r="AD43" s="95"/>
    </row>
    <row r="44" spans="1:52" s="343" customFormat="1" ht="15.75" customHeight="1">
      <c r="A44" s="106"/>
      <c r="B44"/>
      <c r="C44" s="161" t="str">
        <f>RSD_Procesess!D47</f>
        <v>RSD_FLAT_SH_DH</v>
      </c>
      <c r="D44" s="161" t="str">
        <f t="shared" si="13"/>
        <v>RSD_DH</v>
      </c>
      <c r="E44" s="161" t="str">
        <f t="shared" si="17"/>
        <v>RSD_FLAT_SH</v>
      </c>
      <c r="F44" s="683">
        <f t="shared" si="14"/>
        <v>31.641344931387003</v>
      </c>
      <c r="G44" s="339">
        <v>31.536000000000001</v>
      </c>
      <c r="H44" s="163">
        <v>1</v>
      </c>
      <c r="I44" s="163">
        <v>0.9</v>
      </c>
      <c r="J44" s="339">
        <f t="shared" si="15"/>
        <v>8.3713850837138504E-2</v>
      </c>
      <c r="K44" s="533">
        <v>20</v>
      </c>
      <c r="L44" s="276"/>
      <c r="M44" s="684">
        <f>W8*W4</f>
        <v>75.179835556975519</v>
      </c>
      <c r="N44" s="685">
        <f t="shared" si="16"/>
        <v>83.533150618861697</v>
      </c>
      <c r="O44" s="105"/>
      <c r="P44"/>
      <c r="Q44"/>
      <c r="R44"/>
      <c r="S44" s="221"/>
      <c r="T44" s="221"/>
      <c r="U44" s="221"/>
      <c r="V44" s="221"/>
      <c r="W44" s="221"/>
      <c r="X44" s="221"/>
      <c r="Y44" s="221"/>
      <c r="Z44" s="221"/>
      <c r="AA44" s="221"/>
      <c r="AB44" s="95"/>
      <c r="AC44" s="95"/>
      <c r="AD44" s="95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</row>
    <row r="45" spans="1:52" ht="15.75" customHeight="1">
      <c r="A45" s="106"/>
      <c r="C45" s="161" t="str">
        <f>RSD_Procesess!D48</f>
        <v>RSD_FLAT_SH_OIL</v>
      </c>
      <c r="D45" s="161" t="str">
        <f t="shared" si="13"/>
        <v>RSD_OIL</v>
      </c>
      <c r="E45" s="161" t="str">
        <f t="shared" si="17"/>
        <v>RSD_FLAT_SH</v>
      </c>
      <c r="F45" s="683">
        <f t="shared" si="14"/>
        <v>0</v>
      </c>
      <c r="G45" s="339">
        <v>31.536000000000001</v>
      </c>
      <c r="H45" s="163">
        <v>0.95</v>
      </c>
      <c r="I45" s="163">
        <v>0.8</v>
      </c>
      <c r="J45" s="339">
        <f t="shared" si="15"/>
        <v>8.3713850837138504E-2</v>
      </c>
      <c r="K45" s="535">
        <v>20</v>
      </c>
      <c r="L45" s="276"/>
      <c r="M45" s="684">
        <f>W11*W4</f>
        <v>0</v>
      </c>
      <c r="N45" s="685">
        <f t="shared" si="16"/>
        <v>0</v>
      </c>
      <c r="O45" s="105"/>
      <c r="S45" s="221"/>
      <c r="T45" s="221"/>
      <c r="U45" s="221"/>
      <c r="V45" s="221"/>
      <c r="W45" s="221"/>
      <c r="X45" s="221"/>
      <c r="Y45" s="221"/>
      <c r="Z45" s="221"/>
      <c r="AA45" s="221"/>
      <c r="AB45" s="95"/>
      <c r="AC45" s="95"/>
      <c r="AD45" s="95"/>
    </row>
    <row r="46" spans="1:52" ht="15.75" customHeight="1">
      <c r="A46" s="106"/>
      <c r="C46" s="164" t="str">
        <f>RSD_Procesess!D49</f>
        <v>RSD_FLAT_SH_BIO</v>
      </c>
      <c r="D46" s="164" t="str">
        <f t="shared" si="13"/>
        <v>RSD_BIO</v>
      </c>
      <c r="E46" s="164" t="str">
        <f t="shared" si="17"/>
        <v>RSD_FLAT_SH</v>
      </c>
      <c r="F46" s="683">
        <f t="shared" si="14"/>
        <v>0</v>
      </c>
      <c r="G46" s="340">
        <v>31.536000000000001</v>
      </c>
      <c r="H46" s="166">
        <v>0.72</v>
      </c>
      <c r="I46" s="163">
        <v>0.8</v>
      </c>
      <c r="J46" s="339">
        <f t="shared" si="15"/>
        <v>8.3713850837138504E-2</v>
      </c>
      <c r="K46" s="533">
        <v>20</v>
      </c>
      <c r="L46" s="276"/>
      <c r="M46" s="684">
        <f>(W15+W16)*W4</f>
        <v>0</v>
      </c>
      <c r="N46" s="685">
        <f t="shared" si="16"/>
        <v>0</v>
      </c>
      <c r="O46" s="105"/>
      <c r="S46" s="221"/>
      <c r="T46" s="221"/>
      <c r="U46" s="221"/>
      <c r="V46" s="221"/>
      <c r="W46" s="221"/>
      <c r="X46" s="221"/>
      <c r="Y46" s="221"/>
      <c r="Z46" s="221"/>
      <c r="AA46" s="221"/>
      <c r="AB46" s="95"/>
      <c r="AC46" s="95"/>
      <c r="AD46" s="95"/>
    </row>
    <row r="47" spans="1:52" ht="15.75" customHeight="1">
      <c r="C47" s="161" t="str">
        <f>RSD_Procesess!D50</f>
        <v>RSD_FLAT_SH_HC</v>
      </c>
      <c r="D47" s="161" t="str">
        <f t="shared" si="13"/>
        <v>RSD_HC</v>
      </c>
      <c r="E47" s="161" t="str">
        <f t="shared" si="17"/>
        <v>RSD_FLAT_SH</v>
      </c>
      <c r="F47" s="683">
        <f t="shared" si="14"/>
        <v>13.381014626237009</v>
      </c>
      <c r="G47" s="339">
        <v>31.536000000000001</v>
      </c>
      <c r="H47" s="163">
        <v>0.85</v>
      </c>
      <c r="I47" s="163">
        <v>0.8</v>
      </c>
      <c r="J47" s="339">
        <f t="shared" si="15"/>
        <v>8.3713850837138504E-2</v>
      </c>
      <c r="K47" s="535">
        <v>20</v>
      </c>
      <c r="L47" s="276"/>
      <c r="M47" s="684">
        <f>(W12+W13+W14)*W4</f>
        <v>28.260702890612563</v>
      </c>
      <c r="N47" s="685">
        <f t="shared" si="16"/>
        <v>41.559857192077295</v>
      </c>
      <c r="O47" s="105"/>
      <c r="S47" s="221"/>
      <c r="T47" s="221"/>
      <c r="U47" s="221"/>
      <c r="V47" s="221"/>
      <c r="W47" s="221"/>
      <c r="X47" s="221"/>
      <c r="Y47" s="221"/>
      <c r="Z47" s="221"/>
      <c r="AA47" s="221"/>
      <c r="AB47" s="95"/>
      <c r="AC47" s="95"/>
      <c r="AD47" s="95"/>
    </row>
    <row r="48" spans="1:52" ht="15.75" customHeight="1">
      <c r="C48" s="164" t="str">
        <f>RSD_Procesess!D51</f>
        <v>RSD_FLAT_SH_LPG</v>
      </c>
      <c r="D48" s="164" t="str">
        <f t="shared" si="13"/>
        <v>RSD_LPG</v>
      </c>
      <c r="E48" s="164" t="str">
        <f t="shared" si="17"/>
        <v>RSD_FLAT_SH</v>
      </c>
      <c r="F48" s="683">
        <f t="shared" si="14"/>
        <v>0</v>
      </c>
      <c r="G48" s="340">
        <v>31.536000000000001</v>
      </c>
      <c r="H48" s="166">
        <v>0.95</v>
      </c>
      <c r="I48" s="163">
        <v>0.8</v>
      </c>
      <c r="J48" s="339">
        <f t="shared" si="15"/>
        <v>8.3713850837138504E-2</v>
      </c>
      <c r="K48" s="535">
        <v>20</v>
      </c>
      <c r="L48" s="276"/>
      <c r="M48" s="684">
        <f>W10*W4</f>
        <v>0</v>
      </c>
      <c r="N48" s="685">
        <f t="shared" si="16"/>
        <v>0</v>
      </c>
      <c r="O48" s="105"/>
      <c r="S48" s="221"/>
      <c r="T48" s="221"/>
      <c r="U48" s="221"/>
      <c r="V48" s="221"/>
      <c r="W48" s="221"/>
      <c r="X48" s="221"/>
      <c r="Y48" s="221"/>
      <c r="Z48" s="221"/>
      <c r="AA48" s="221"/>
      <c r="AB48" s="95"/>
      <c r="AC48" s="95"/>
      <c r="AD48" s="95"/>
    </row>
    <row r="49" spans="1:30" ht="15.75" customHeight="1" thickBot="1">
      <c r="C49" s="187" t="str">
        <f>RSD_Procesess!D52</f>
        <v>RSD_FLAT_SH_GEO</v>
      </c>
      <c r="D49" s="187" t="str">
        <f t="shared" si="13"/>
        <v>RSD_GEO</v>
      </c>
      <c r="E49" s="187" t="str">
        <f t="shared" si="17"/>
        <v>RSD_FLAT_SH</v>
      </c>
      <c r="F49" s="682">
        <f t="shared" si="14"/>
        <v>0.27569973294879979</v>
      </c>
      <c r="G49" s="341">
        <v>31.536000000000001</v>
      </c>
      <c r="H49" s="341">
        <v>0.95</v>
      </c>
      <c r="I49" s="341">
        <v>0.8</v>
      </c>
      <c r="J49" s="341">
        <f t="shared" si="15"/>
        <v>8.3713850837138504E-2</v>
      </c>
      <c r="K49" s="341">
        <v>20</v>
      </c>
      <c r="L49" s="276"/>
      <c r="M49" s="684">
        <f>W17*W4</f>
        <v>0.5822778359878652</v>
      </c>
      <c r="N49" s="685">
        <f t="shared" si="16"/>
        <v>0.7661550473524541</v>
      </c>
      <c r="O49" s="95"/>
      <c r="X49"/>
      <c r="Y49"/>
      <c r="AB49" s="95"/>
      <c r="AC49" s="95"/>
      <c r="AD49" s="95"/>
    </row>
    <row r="50" spans="1:30" ht="15.75" thickBot="1">
      <c r="J50" s="105"/>
      <c r="K50" s="98"/>
      <c r="L50" s="281"/>
      <c r="M50" s="619">
        <f t="shared" ref="M50" si="18">SUM(M40:M49)</f>
        <v>117.62830840021</v>
      </c>
      <c r="N50" s="620"/>
      <c r="O50" s="95"/>
      <c r="P50" s="95"/>
      <c r="Q50" s="95"/>
      <c r="R50" s="95"/>
      <c r="S50" s="95"/>
      <c r="T50" s="95"/>
      <c r="U50" s="95"/>
      <c r="V50" s="95"/>
      <c r="W50" s="95"/>
      <c r="X50" s="95"/>
      <c r="Y50" s="95"/>
      <c r="Z50" s="95"/>
      <c r="AA50" s="95"/>
      <c r="AB50" s="95"/>
      <c r="AC50" s="95"/>
      <c r="AD50" s="95"/>
    </row>
    <row r="51" spans="1:30">
      <c r="A51" s="106"/>
      <c r="F51" s="97"/>
      <c r="J51" s="105"/>
      <c r="K51" s="98"/>
      <c r="L51" s="98"/>
      <c r="M51" s="98"/>
      <c r="N51" s="98"/>
      <c r="O51" s="95"/>
      <c r="P51" s="95"/>
      <c r="Q51" s="95"/>
      <c r="R51" s="95"/>
      <c r="S51" s="95"/>
      <c r="T51" s="95"/>
      <c r="U51" s="95"/>
      <c r="V51" s="95"/>
      <c r="W51" s="95"/>
      <c r="X51" s="95"/>
      <c r="Y51" s="95"/>
      <c r="Z51" s="95"/>
      <c r="AA51" s="95"/>
      <c r="AB51" s="95"/>
      <c r="AC51" s="95"/>
      <c r="AD51" s="95"/>
    </row>
    <row r="52" spans="1:30">
      <c r="A52" s="106"/>
      <c r="J52" s="105"/>
      <c r="K52" s="98"/>
      <c r="L52" s="98"/>
      <c r="M52" s="98"/>
      <c r="N52" s="98"/>
      <c r="O52" s="95"/>
      <c r="P52" s="95"/>
      <c r="Q52" s="95"/>
      <c r="R52" s="95"/>
      <c r="S52" s="95"/>
      <c r="T52" s="95"/>
      <c r="U52" s="95"/>
      <c r="V52" s="95"/>
      <c r="W52" s="95"/>
      <c r="X52" s="95"/>
      <c r="Y52" s="95"/>
      <c r="Z52" s="95"/>
      <c r="AA52" s="95"/>
      <c r="AB52" s="95"/>
      <c r="AC52" s="95"/>
      <c r="AD52" s="95"/>
    </row>
    <row r="53" spans="1:30">
      <c r="J53" s="105"/>
      <c r="K53" s="98"/>
      <c r="L53" s="98"/>
      <c r="M53" s="98"/>
      <c r="N53" s="98"/>
      <c r="O53" s="95"/>
      <c r="P53" s="95"/>
      <c r="Q53" s="95"/>
      <c r="R53" s="95"/>
      <c r="S53" s="95"/>
      <c r="T53" s="95"/>
      <c r="U53" s="95"/>
      <c r="V53" s="95"/>
      <c r="W53" s="95"/>
      <c r="X53" s="95"/>
      <c r="Y53" s="95"/>
      <c r="Z53" s="95"/>
      <c r="AA53" s="95"/>
      <c r="AB53" s="95"/>
      <c r="AC53" s="95"/>
      <c r="AD53" s="95"/>
    </row>
    <row r="54" spans="1:30">
      <c r="J54" s="105"/>
      <c r="K54" s="105"/>
      <c r="L54" s="105"/>
      <c r="M54" s="98"/>
      <c r="N54" s="98"/>
      <c r="O54" s="95"/>
      <c r="P54" s="95"/>
      <c r="Q54" s="95"/>
      <c r="R54" s="95"/>
      <c r="S54" s="95"/>
      <c r="T54" s="95"/>
      <c r="U54" s="95"/>
      <c r="V54" s="95"/>
      <c r="W54" s="95"/>
      <c r="X54" s="95"/>
      <c r="Y54" s="95"/>
      <c r="Z54" s="95"/>
      <c r="AA54" s="95"/>
      <c r="AB54" s="95"/>
      <c r="AC54" s="95"/>
      <c r="AD54" s="95"/>
    </row>
    <row r="55" spans="1:30">
      <c r="J55" s="105"/>
      <c r="K55" s="105"/>
      <c r="L55" s="105"/>
      <c r="O55" s="95"/>
      <c r="P55" s="95"/>
      <c r="Q55" s="95"/>
      <c r="R55" s="95"/>
      <c r="S55" s="95"/>
      <c r="T55" s="95"/>
      <c r="U55" s="95"/>
      <c r="V55" s="95"/>
      <c r="W55" s="95"/>
      <c r="X55" s="95"/>
      <c r="Y55" s="95"/>
      <c r="Z55" s="95"/>
      <c r="AA55" s="95"/>
      <c r="AB55" s="95"/>
      <c r="AC55" s="95"/>
      <c r="AD55" s="95"/>
    </row>
    <row r="56" spans="1:30" ht="15.75">
      <c r="C56" s="250" t="s">
        <v>425</v>
      </c>
      <c r="D56" s="256"/>
      <c r="E56" s="95"/>
      <c r="F56" s="95"/>
      <c r="J56" s="105"/>
      <c r="K56" s="105"/>
      <c r="L56" s="105"/>
      <c r="O56" s="97"/>
      <c r="P56" s="97"/>
      <c r="Q56" s="97"/>
      <c r="R56" s="97"/>
      <c r="S56" s="97"/>
      <c r="T56" s="97"/>
      <c r="U56" s="97"/>
      <c r="V56" s="97"/>
      <c r="W56" s="97"/>
      <c r="Z56" s="95"/>
      <c r="AA56" s="95"/>
      <c r="AB56" s="95"/>
      <c r="AC56" s="95"/>
      <c r="AD56" s="95"/>
    </row>
    <row r="57" spans="1:30" ht="25.5">
      <c r="C57" s="265" t="s">
        <v>426</v>
      </c>
      <c r="D57" s="265" t="s">
        <v>427</v>
      </c>
      <c r="E57" s="265" t="s">
        <v>428</v>
      </c>
      <c r="F57" s="592"/>
      <c r="G57" s="115" t="s">
        <v>409</v>
      </c>
      <c r="H57" s="115"/>
      <c r="I57" s="287" t="s">
        <v>410</v>
      </c>
      <c r="J57" s="105"/>
      <c r="K57" s="105"/>
      <c r="L57" s="105"/>
      <c r="O57" s="97"/>
      <c r="P57" s="97"/>
      <c r="Q57" s="97"/>
      <c r="R57" s="97"/>
      <c r="S57" s="97"/>
      <c r="T57" s="97"/>
      <c r="U57" s="97"/>
      <c r="V57" s="97"/>
      <c r="W57" s="97"/>
      <c r="Z57" s="95"/>
      <c r="AA57" s="95"/>
      <c r="AB57" s="95"/>
      <c r="AC57" s="95"/>
      <c r="AD57" s="95"/>
    </row>
    <row r="58" spans="1:30">
      <c r="C58" s="266" t="s">
        <v>429</v>
      </c>
      <c r="D58" s="267" t="s">
        <v>430</v>
      </c>
      <c r="E58" s="268">
        <v>4698</v>
      </c>
      <c r="F58" s="593"/>
      <c r="G58" s="98"/>
      <c r="H58" s="98"/>
      <c r="I58" s="286">
        <f>N9+N24+N40</f>
        <v>8.4093698331011826</v>
      </c>
      <c r="J58" s="105"/>
      <c r="K58" s="105"/>
      <c r="L58" s="105"/>
      <c r="O58" s="97"/>
      <c r="P58" s="97"/>
      <c r="Q58" s="97"/>
      <c r="R58" s="97"/>
      <c r="S58" s="97"/>
      <c r="T58" s="97"/>
      <c r="U58" s="97"/>
      <c r="V58" s="97"/>
      <c r="W58" s="97"/>
      <c r="Z58" s="95"/>
      <c r="AA58" s="95"/>
      <c r="AB58" s="95"/>
      <c r="AC58" s="95"/>
      <c r="AD58" s="95"/>
    </row>
    <row r="59" spans="1:30">
      <c r="C59" s="266" t="s">
        <v>431</v>
      </c>
      <c r="D59" s="269" t="s">
        <v>430</v>
      </c>
      <c r="E59" s="270">
        <v>102250</v>
      </c>
      <c r="F59" s="594"/>
      <c r="G59" s="98"/>
      <c r="H59" s="98"/>
      <c r="I59" s="286">
        <f>N13+N28+N44</f>
        <v>107.31805163569312</v>
      </c>
      <c r="J59" s="105"/>
      <c r="K59" s="105"/>
      <c r="L59" s="105"/>
      <c r="O59" s="97"/>
      <c r="P59" s="97"/>
      <c r="Q59" s="97"/>
      <c r="R59" s="97"/>
      <c r="S59" s="97"/>
      <c r="T59" s="97"/>
      <c r="U59" s="97"/>
      <c r="V59" s="97"/>
      <c r="W59" s="97"/>
    </row>
    <row r="60" spans="1:30">
      <c r="C60" s="266" t="s">
        <v>412</v>
      </c>
      <c r="D60" s="269" t="s">
        <v>432</v>
      </c>
      <c r="E60" s="270">
        <v>90454</v>
      </c>
      <c r="F60" s="594"/>
      <c r="G60" s="98"/>
      <c r="H60" s="98"/>
      <c r="I60" s="286">
        <f>N12+N27+N43</f>
        <v>92.466063169661737</v>
      </c>
      <c r="J60" s="105"/>
      <c r="K60" s="105"/>
      <c r="L60" s="105"/>
      <c r="O60" s="97"/>
      <c r="P60" s="97"/>
      <c r="Q60" s="97"/>
      <c r="R60" s="97"/>
      <c r="S60" s="97"/>
      <c r="T60" s="97"/>
      <c r="U60" s="97"/>
      <c r="V60" s="97"/>
      <c r="W60" s="97"/>
    </row>
    <row r="61" spans="1:30">
      <c r="C61" s="266" t="s">
        <v>433</v>
      </c>
      <c r="D61" s="267" t="s">
        <v>430</v>
      </c>
      <c r="E61" s="268">
        <v>195920.3</v>
      </c>
      <c r="F61" s="593"/>
      <c r="I61" s="286">
        <f>N16+N31+N47</f>
        <v>196.31637292965834</v>
      </c>
      <c r="J61" s="105"/>
      <c r="K61" s="105"/>
      <c r="L61" s="105"/>
      <c r="O61" s="97"/>
      <c r="P61" s="97"/>
      <c r="Q61" s="97"/>
      <c r="R61" s="97"/>
      <c r="S61" s="97"/>
      <c r="T61" s="97"/>
      <c r="U61" s="97"/>
      <c r="V61" s="97"/>
      <c r="W61" s="97"/>
    </row>
    <row r="62" spans="1:30">
      <c r="C62" s="272" t="s">
        <v>434</v>
      </c>
      <c r="D62" s="267" t="s">
        <v>430</v>
      </c>
      <c r="E62" s="271">
        <v>966</v>
      </c>
      <c r="F62" s="595"/>
      <c r="I62" s="286">
        <f>N17+N32+N48</f>
        <v>2.3201716750836545</v>
      </c>
      <c r="J62" s="286"/>
      <c r="K62" s="286"/>
      <c r="L62" s="286"/>
      <c r="O62" s="97"/>
      <c r="P62" s="97"/>
      <c r="Q62" s="97"/>
      <c r="R62" s="97"/>
      <c r="S62" s="97"/>
      <c r="T62" s="97"/>
      <c r="U62" s="97"/>
      <c r="V62" s="97"/>
      <c r="W62" s="97"/>
    </row>
    <row r="63" spans="1:30">
      <c r="C63" s="272" t="s">
        <v>435</v>
      </c>
      <c r="D63" s="269" t="s">
        <v>436</v>
      </c>
      <c r="E63" s="270">
        <v>57</v>
      </c>
      <c r="F63" s="594"/>
      <c r="I63" s="286">
        <f>N14+N29+N45</f>
        <v>3.0154615431496263</v>
      </c>
      <c r="J63" s="286"/>
      <c r="K63" s="286"/>
      <c r="L63" s="286"/>
      <c r="O63" s="97"/>
      <c r="P63" s="97"/>
      <c r="Q63" s="97"/>
      <c r="R63" s="97"/>
      <c r="S63" s="97"/>
      <c r="T63" s="97"/>
      <c r="U63" s="97"/>
      <c r="V63" s="97"/>
      <c r="W63" s="97"/>
    </row>
    <row r="64" spans="1:30">
      <c r="C64" s="272" t="s">
        <v>437</v>
      </c>
      <c r="D64" s="269" t="s">
        <v>430</v>
      </c>
      <c r="E64" s="270">
        <v>138</v>
      </c>
      <c r="F64" s="594"/>
      <c r="I64" s="277"/>
      <c r="J64" s="277"/>
      <c r="K64" s="277"/>
      <c r="L64" s="277"/>
      <c r="O64" s="97"/>
      <c r="P64" s="97"/>
      <c r="Q64" s="97"/>
      <c r="R64" s="97"/>
      <c r="S64" s="97"/>
      <c r="T64" s="97"/>
      <c r="U64" s="97"/>
      <c r="V64" s="97"/>
      <c r="W64" s="97"/>
    </row>
    <row r="65" spans="3:23" ht="26.25">
      <c r="C65" s="272" t="s">
        <v>438</v>
      </c>
      <c r="D65" s="269" t="s">
        <v>430</v>
      </c>
      <c r="E65" s="270">
        <v>91950</v>
      </c>
      <c r="F65" s="594"/>
      <c r="I65" s="286">
        <f>N15+N30+N46</f>
        <v>92.082536808502496</v>
      </c>
      <c r="J65" s="286"/>
      <c r="K65" s="286"/>
      <c r="L65" s="286"/>
      <c r="O65" s="97"/>
      <c r="P65" s="97"/>
      <c r="Q65" s="97"/>
      <c r="R65" s="97"/>
      <c r="S65" s="97"/>
      <c r="T65" s="97"/>
      <c r="U65" s="97"/>
      <c r="V65" s="97"/>
      <c r="W65" s="97"/>
    </row>
    <row r="66" spans="3:23" ht="26.25">
      <c r="C66" s="272" t="s">
        <v>439</v>
      </c>
      <c r="D66" s="269" t="s">
        <v>430</v>
      </c>
      <c r="E66" s="270">
        <v>6934</v>
      </c>
      <c r="F66" s="594"/>
      <c r="I66" s="286">
        <f>N18+N33+N49</f>
        <v>4.2736005803985142</v>
      </c>
      <c r="J66" s="286"/>
      <c r="K66" s="286"/>
      <c r="L66" s="286"/>
      <c r="O66" s="97"/>
      <c r="P66" s="97"/>
      <c r="Q66" s="97"/>
      <c r="R66" s="97"/>
      <c r="S66" s="97"/>
      <c r="T66" s="97"/>
      <c r="U66" s="97"/>
      <c r="V66" s="97"/>
      <c r="W66" s="97"/>
    </row>
    <row r="67" spans="3:23">
      <c r="I67" s="286">
        <f>N10+N25+N41</f>
        <v>0.36109820225327466</v>
      </c>
      <c r="J67" s="286"/>
      <c r="K67" s="286"/>
      <c r="L67" s="286"/>
      <c r="O67" s="97"/>
      <c r="P67" s="97"/>
      <c r="Q67" s="97"/>
      <c r="R67" s="97"/>
      <c r="S67" s="97"/>
      <c r="T67" s="97"/>
      <c r="U67" s="97"/>
      <c r="V67" s="97"/>
      <c r="W67" s="97"/>
    </row>
    <row r="68" spans="3:23">
      <c r="I68" s="286">
        <f>N11+N26+N42</f>
        <v>7.5228792136098885E-2</v>
      </c>
      <c r="J68" s="286"/>
      <c r="K68" s="286"/>
      <c r="L68" s="286"/>
      <c r="O68" s="97"/>
      <c r="P68" s="97"/>
      <c r="Q68" s="97"/>
      <c r="R68" s="97"/>
      <c r="S68" s="97"/>
      <c r="T68" s="97"/>
      <c r="U68" s="97"/>
      <c r="V68" s="97"/>
      <c r="W68" s="97"/>
    </row>
    <row r="69" spans="3:23">
      <c r="C69" s="273" t="s">
        <v>440</v>
      </c>
      <c r="D69" s="274" t="s">
        <v>430</v>
      </c>
      <c r="E69" s="275">
        <v>495906.71600000001</v>
      </c>
      <c r="F69" s="596"/>
      <c r="H69" s="234"/>
      <c r="I69" s="279">
        <f>SUM(I58:I68)</f>
        <v>506.63795516963808</v>
      </c>
      <c r="J69" s="279"/>
      <c r="K69" s="279"/>
      <c r="L69" s="279"/>
      <c r="O69" s="97"/>
      <c r="P69" s="97"/>
      <c r="Q69" s="97"/>
      <c r="R69" s="97"/>
      <c r="S69" s="97"/>
      <c r="T69" s="97"/>
      <c r="U69" s="97"/>
      <c r="V69" s="97"/>
      <c r="W69" s="97"/>
    </row>
    <row r="70" spans="3:23">
      <c r="O70" s="97"/>
      <c r="P70" s="97"/>
      <c r="Q70" s="97"/>
      <c r="R70" s="97"/>
      <c r="S70" s="97"/>
      <c r="T70" s="97"/>
      <c r="U70" s="97"/>
      <c r="V70" s="97"/>
      <c r="W70" s="97"/>
    </row>
    <row r="71" spans="3:23">
      <c r="O71" s="97"/>
      <c r="P71" s="97"/>
      <c r="Q71" s="97"/>
      <c r="R71" s="97"/>
      <c r="S71" s="97"/>
      <c r="T71" s="97"/>
      <c r="U71" s="97"/>
      <c r="V71" s="97"/>
      <c r="W71" s="97"/>
    </row>
    <row r="72" spans="3:23">
      <c r="D72" s="710"/>
      <c r="O72" s="97"/>
      <c r="P72" s="97"/>
      <c r="Q72" s="97"/>
      <c r="R72" s="97"/>
      <c r="S72" s="97"/>
      <c r="T72" s="97"/>
      <c r="U72" s="97"/>
      <c r="V72" s="97"/>
      <c r="W72" s="97"/>
    </row>
    <row r="73" spans="3:23">
      <c r="O73" s="97"/>
      <c r="P73" s="97"/>
      <c r="Q73" s="97"/>
      <c r="R73" s="97"/>
      <c r="S73" s="97"/>
      <c r="T73" s="97"/>
      <c r="U73" s="97"/>
      <c r="V73" s="97"/>
      <c r="W73" s="97"/>
    </row>
    <row r="74" spans="3:23">
      <c r="O74" s="97"/>
      <c r="P74" s="97"/>
      <c r="Q74" s="97"/>
      <c r="R74" s="97"/>
      <c r="S74" s="97"/>
      <c r="T74" s="97"/>
      <c r="U74" s="97"/>
      <c r="V74" s="97"/>
      <c r="W74" s="97"/>
    </row>
    <row r="75" spans="3:23">
      <c r="O75" s="97"/>
      <c r="P75" s="97"/>
      <c r="Q75" s="97"/>
      <c r="R75" s="97"/>
      <c r="S75" s="97"/>
      <c r="T75" s="97"/>
      <c r="U75" s="97"/>
      <c r="V75" s="97"/>
      <c r="W75" s="97"/>
    </row>
  </sheetData>
  <phoneticPr fontId="30" type="noConversion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B3E30-9A9A-475F-8894-341291C4ED39}">
  <sheetPr>
    <tabColor theme="0"/>
  </sheetPr>
  <dimension ref="A1:AJ73"/>
  <sheetViews>
    <sheetView zoomScale="85" zoomScaleNormal="85" workbookViewId="0">
      <selection activeCell="T41" sqref="T41"/>
    </sheetView>
  </sheetViews>
  <sheetFormatPr defaultColWidth="9.140625" defaultRowHeight="15"/>
  <cols>
    <col min="1" max="1" width="19" customWidth="1"/>
    <col min="2" max="2" width="2" bestFit="1" customWidth="1"/>
    <col min="3" max="3" width="22.85546875" customWidth="1"/>
    <col min="4" max="4" width="17.28515625" customWidth="1"/>
    <col min="5" max="5" width="24.85546875" bestFit="1" customWidth="1"/>
    <col min="6" max="6" width="11.5703125" bestFit="1" customWidth="1"/>
    <col min="7" max="11" width="11.5703125" customWidth="1"/>
    <col min="13" max="13" width="14.85546875" customWidth="1"/>
    <col min="16" max="16" width="20.28515625" customWidth="1"/>
    <col min="17" max="17" width="14.28515625" bestFit="1" customWidth="1"/>
    <col min="19" max="19" width="16.42578125" customWidth="1"/>
    <col min="20" max="20" width="13.140625" customWidth="1"/>
    <col min="21" max="21" width="11.7109375" customWidth="1"/>
    <col min="22" max="22" width="26.7109375" customWidth="1"/>
    <col min="23" max="24" width="17.42578125" customWidth="1"/>
    <col min="25" max="25" width="8.42578125" customWidth="1"/>
    <col min="26" max="26" width="22.28515625" customWidth="1"/>
    <col min="27" max="29" width="20.42578125" customWidth="1"/>
    <col min="30" max="30" width="18.140625" style="97" customWidth="1"/>
    <col min="31" max="32" width="12" style="97" customWidth="1"/>
  </cols>
  <sheetData>
    <row r="1" spans="1:35" ht="15.75">
      <c r="V1" s="212" t="s">
        <v>395</v>
      </c>
      <c r="W1" s="240"/>
      <c r="X1" s="240"/>
      <c r="Y1" s="240"/>
    </row>
    <row r="2" spans="1:35" ht="15.75">
      <c r="V2" s="241" t="s">
        <v>396</v>
      </c>
      <c r="W2" s="240"/>
      <c r="Y2" s="243"/>
      <c r="AB2" s="246">
        <f>BUILD_STOCK!$B$3</f>
        <v>15015.333000000001</v>
      </c>
    </row>
    <row r="3" spans="1:35">
      <c r="V3" s="242">
        <v>2019</v>
      </c>
      <c r="W3" s="240"/>
      <c r="X3" s="240"/>
      <c r="Y3" s="240"/>
      <c r="Z3" s="258" t="s">
        <v>398</v>
      </c>
      <c r="AA3" s="108">
        <v>0.54945067910379997</v>
      </c>
      <c r="AB3" s="108">
        <v>0.39357305455149999</v>
      </c>
      <c r="AC3" s="108">
        <v>5.6976266344700002E-2</v>
      </c>
    </row>
    <row r="4" spans="1:35">
      <c r="R4">
        <v>11.558451286389976</v>
      </c>
      <c r="Y4" s="293"/>
      <c r="Z4" s="258" t="s">
        <v>399</v>
      </c>
      <c r="AA4" s="252">
        <f>BUILD_STOCK!F102</f>
        <v>5.7479090400000005E-3</v>
      </c>
      <c r="AB4" s="252">
        <f>BUILD_STOCK!F90</f>
        <v>9.2726325720000006E-3</v>
      </c>
      <c r="AC4" s="252">
        <f>BUILD_STOCK!F96</f>
        <v>6.9767723520000029E-3</v>
      </c>
      <c r="AE4"/>
      <c r="AF4"/>
      <c r="AI4" s="253"/>
    </row>
    <row r="5" spans="1:35" ht="75">
      <c r="A5" s="30" t="s">
        <v>305</v>
      </c>
      <c r="R5">
        <v>5.5692666342090602</v>
      </c>
      <c r="S5" s="104"/>
      <c r="V5" s="258" t="s">
        <v>400</v>
      </c>
      <c r="W5" s="298" t="s">
        <v>441</v>
      </c>
      <c r="X5" s="298" t="s">
        <v>442</v>
      </c>
      <c r="Z5" s="258" t="s">
        <v>402</v>
      </c>
      <c r="AA5" s="109" t="s">
        <v>298</v>
      </c>
      <c r="AB5" s="110" t="s">
        <v>299</v>
      </c>
      <c r="AC5" s="111" t="s">
        <v>300</v>
      </c>
      <c r="AE5"/>
      <c r="AF5"/>
      <c r="AI5" s="253"/>
    </row>
    <row r="6" spans="1:35">
      <c r="N6" s="104"/>
      <c r="O6" s="104"/>
      <c r="V6" s="257"/>
      <c r="W6" s="297"/>
      <c r="X6" s="297"/>
      <c r="Z6" s="97"/>
      <c r="AA6" s="245">
        <f>AB2*AA3</f>
        <v>8250.1849138196976</v>
      </c>
      <c r="AB6" s="245">
        <f>AB2*AB3</f>
        <v>5909.6304739179386</v>
      </c>
      <c r="AC6" s="245">
        <f>AB2*AC3</f>
        <v>855.5176122623634</v>
      </c>
      <c r="AE6"/>
      <c r="AF6"/>
      <c r="AI6" s="158"/>
    </row>
    <row r="7" spans="1:35">
      <c r="E7" s="126" t="s">
        <v>516</v>
      </c>
      <c r="S7" s="285">
        <f>SUM(BUILD_STOCK!I90:I95)</f>
        <v>54.797832020935274</v>
      </c>
      <c r="V7" s="260" t="s">
        <v>403</v>
      </c>
      <c r="W7" s="299">
        <v>24.473924283596698</v>
      </c>
      <c r="X7" s="261">
        <v>0.14000000000000001</v>
      </c>
      <c r="Z7" s="246">
        <f t="shared" ref="Z7:Z15" si="0">$AB$2*X7</f>
        <v>2102.1466200000004</v>
      </c>
      <c r="AA7" s="263">
        <v>1195.4163001789475</v>
      </c>
      <c r="AB7" s="263">
        <v>766.73031982105283</v>
      </c>
      <c r="AC7" s="263">
        <v>140.00000000000003</v>
      </c>
      <c r="AD7" s="301">
        <f>SUM(AA7:AC7)</f>
        <v>2102.1466200000004</v>
      </c>
      <c r="AE7" s="97">
        <f>Z7-AD7</f>
        <v>0</v>
      </c>
      <c r="AI7" s="158"/>
    </row>
    <row r="8" spans="1:35" ht="15.75" thickBot="1">
      <c r="C8" s="100" t="s">
        <v>82</v>
      </c>
      <c r="D8" s="100" t="s">
        <v>214</v>
      </c>
      <c r="E8" s="100" t="s">
        <v>215</v>
      </c>
      <c r="F8" s="114" t="s">
        <v>404</v>
      </c>
      <c r="G8" s="114" t="s">
        <v>697</v>
      </c>
      <c r="H8" s="114" t="s">
        <v>698</v>
      </c>
      <c r="I8" s="114" t="s">
        <v>699</v>
      </c>
      <c r="J8" s="114" t="s">
        <v>700</v>
      </c>
      <c r="K8" s="114" t="s">
        <v>405</v>
      </c>
      <c r="L8" s="114" t="s">
        <v>216</v>
      </c>
      <c r="M8" s="114" t="s">
        <v>406</v>
      </c>
      <c r="N8" s="114" t="s">
        <v>642</v>
      </c>
      <c r="O8" s="114" t="s">
        <v>701</v>
      </c>
      <c r="Q8" s="115" t="s">
        <v>407</v>
      </c>
      <c r="R8" s="115" t="s">
        <v>408</v>
      </c>
      <c r="S8" s="115" t="s">
        <v>409</v>
      </c>
      <c r="T8" s="115" t="s">
        <v>410</v>
      </c>
      <c r="U8" s="101"/>
      <c r="V8" s="260" t="s">
        <v>411</v>
      </c>
      <c r="W8" s="299">
        <v>32.231756956923732</v>
      </c>
      <c r="X8" s="261">
        <v>0.35</v>
      </c>
      <c r="Z8" s="246">
        <f t="shared" si="0"/>
        <v>5255.3665499999997</v>
      </c>
      <c r="AA8" s="531">
        <f>4218.355622528+1000</f>
        <v>5218.3556225279999</v>
      </c>
      <c r="AB8" s="263">
        <v>837.01092747199982</v>
      </c>
      <c r="AC8" s="263">
        <v>200</v>
      </c>
      <c r="AD8" s="301">
        <f t="shared" ref="AD8:AD21" si="1">SUM(AA8:AC8)</f>
        <v>6255.3665499999997</v>
      </c>
      <c r="AE8" s="97">
        <f t="shared" ref="AE8:AE21" si="2">Z8-AD8</f>
        <v>-1000</v>
      </c>
      <c r="AI8" s="158"/>
    </row>
    <row r="9" spans="1:35" ht="15.75" customHeight="1">
      <c r="C9" s="336" t="str">
        <f>RSD_Procesess!D64</f>
        <v>RSD_DTH_WH_ELC</v>
      </c>
      <c r="D9" s="336" t="str">
        <f>RSD_Comm!D7</f>
        <v>RSD_ELC</v>
      </c>
      <c r="E9" s="336" t="str">
        <f>RSD_Comm!D19</f>
        <v>RSD_DTH_WH</v>
      </c>
      <c r="F9" s="163">
        <f t="shared" ref="F9:F11" si="3">R9/(M9*700.8*3.6*0.001)</f>
        <v>2.8180525976315449</v>
      </c>
      <c r="G9" s="337">
        <f>F9</f>
        <v>2.8180525976315449</v>
      </c>
      <c r="H9" s="337">
        <f>F9</f>
        <v>2.8180525976315449</v>
      </c>
      <c r="I9" s="337">
        <f>G9</f>
        <v>2.8180525976315449</v>
      </c>
      <c r="J9" s="337">
        <f>F9</f>
        <v>2.8180525976315449</v>
      </c>
      <c r="K9" s="338">
        <v>31.536000000000001</v>
      </c>
      <c r="L9" s="337">
        <v>0.9</v>
      </c>
      <c r="M9" s="337">
        <v>1</v>
      </c>
      <c r="N9" s="339">
        <v>3.6001515958000718E-2</v>
      </c>
      <c r="O9" s="542">
        <v>20</v>
      </c>
      <c r="P9" s="98"/>
      <c r="Q9" s="302">
        <f>S9/$S$7</f>
        <v>5.83865902579443E-2</v>
      </c>
      <c r="R9" s="277">
        <f>AB7*AB4</f>
        <v>7.1096085375126723</v>
      </c>
      <c r="S9" s="294">
        <f t="shared" ref="S9:S19" si="4">F9*K9*M9*N9</f>
        <v>3.1994585652300076</v>
      </c>
      <c r="T9" s="288">
        <f t="shared" ref="T9:T19" si="5">F9*K9*N9/L9</f>
        <v>3.554953961366675</v>
      </c>
      <c r="V9" s="260" t="s">
        <v>412</v>
      </c>
      <c r="W9" s="299">
        <v>25.94755095860538</v>
      </c>
      <c r="X9" s="261">
        <v>0.3</v>
      </c>
      <c r="Z9" s="246">
        <f t="shared" si="0"/>
        <v>4504.5999000000002</v>
      </c>
      <c r="AA9" s="263">
        <v>1951.0383043936149</v>
      </c>
      <c r="AB9" s="263">
        <v>2309.6818075571837</v>
      </c>
      <c r="AC9" s="263">
        <v>243.87978804920186</v>
      </c>
      <c r="AD9" s="301">
        <f t="shared" si="1"/>
        <v>4504.5999000000011</v>
      </c>
      <c r="AE9" s="97">
        <f t="shared" si="2"/>
        <v>0</v>
      </c>
      <c r="AI9" s="158"/>
    </row>
    <row r="10" spans="1:35" ht="15.75" customHeight="1">
      <c r="A10" s="106"/>
      <c r="C10" s="161" t="str">
        <f>RSD_Procesess!D65</f>
        <v>RSD_DTH_WH_ELC_HPA</v>
      </c>
      <c r="D10" s="161" t="str">
        <f>D9</f>
        <v>RSD_ELC</v>
      </c>
      <c r="E10" s="161" t="str">
        <f>E9</f>
        <v>RSD_DTH_WH</v>
      </c>
      <c r="F10" s="163">
        <f t="shared" si="3"/>
        <v>0.13655545727619398</v>
      </c>
      <c r="G10" s="163">
        <f t="shared" ref="G10:I19" si="6">F10</f>
        <v>0.13655545727619398</v>
      </c>
      <c r="H10" s="163">
        <f t="shared" ref="H10:I19" si="7">F10</f>
        <v>0.13655545727619398</v>
      </c>
      <c r="I10" s="163">
        <f t="shared" si="7"/>
        <v>0.13655545727619398</v>
      </c>
      <c r="J10" s="163">
        <f t="shared" ref="J10:J19" si="8">F10</f>
        <v>0.13655545727619398</v>
      </c>
      <c r="K10" s="339">
        <v>31.536000000000001</v>
      </c>
      <c r="L10" s="163">
        <v>2.5</v>
      </c>
      <c r="M10" s="163">
        <v>1</v>
      </c>
      <c r="N10" s="339">
        <v>0.08</v>
      </c>
      <c r="O10" s="535">
        <v>20</v>
      </c>
      <c r="P10" s="98"/>
      <c r="Q10" s="302">
        <f t="shared" ref="Q10:Q19" si="9">S10/$S$7</f>
        <v>6.2869828850408644E-3</v>
      </c>
      <c r="R10" s="277">
        <f>AB19*AB4</f>
        <v>0.3445130320529643</v>
      </c>
      <c r="S10" s="294">
        <f t="shared" si="4"/>
        <v>0.3445130320529643</v>
      </c>
      <c r="T10" s="288">
        <f t="shared" si="5"/>
        <v>0.13780521282118571</v>
      </c>
      <c r="V10" s="260" t="s">
        <v>413</v>
      </c>
      <c r="W10" s="299">
        <v>1.3437362645175785</v>
      </c>
      <c r="X10" s="261">
        <v>1.3437362645175786E-2</v>
      </c>
      <c r="Z10" s="246">
        <f t="shared" si="0"/>
        <v>201.76647475907527</v>
      </c>
      <c r="AA10" s="263"/>
      <c r="AB10" s="263">
        <v>151.76647475907527</v>
      </c>
      <c r="AC10" s="263">
        <v>50</v>
      </c>
      <c r="AD10" s="301">
        <f t="shared" si="1"/>
        <v>201.76647475907527</v>
      </c>
      <c r="AE10" s="97">
        <f t="shared" si="2"/>
        <v>0</v>
      </c>
      <c r="AI10" s="158"/>
    </row>
    <row r="11" spans="1:35" ht="15.75" customHeight="1">
      <c r="A11" s="106"/>
      <c r="C11" s="164" t="str">
        <f>RSD_Procesess!D66</f>
        <v>RSD_DTH_WH_ELC_HPG</v>
      </c>
      <c r="D11" s="164" t="str">
        <f>D9</f>
        <v>RSD_ELC</v>
      </c>
      <c r="E11" s="164" t="str">
        <f>E9</f>
        <v>RSD_DTH_WH</v>
      </c>
      <c r="F11" s="166">
        <f t="shared" si="3"/>
        <v>3.4138864319048494E-2</v>
      </c>
      <c r="G11" s="166">
        <f t="shared" si="6"/>
        <v>3.4138864319048494E-2</v>
      </c>
      <c r="H11" s="166">
        <f t="shared" si="7"/>
        <v>3.4138864319048494E-2</v>
      </c>
      <c r="I11" s="166">
        <f t="shared" si="7"/>
        <v>3.4138864319048494E-2</v>
      </c>
      <c r="J11" s="166">
        <f t="shared" si="8"/>
        <v>3.4138864319048494E-2</v>
      </c>
      <c r="K11" s="340">
        <v>31.536000000000001</v>
      </c>
      <c r="L11" s="166">
        <v>3</v>
      </c>
      <c r="M11" s="166">
        <v>1</v>
      </c>
      <c r="N11" s="340">
        <v>0.08</v>
      </c>
      <c r="O11" s="533">
        <v>20</v>
      </c>
      <c r="P11" s="98"/>
      <c r="Q11" s="302">
        <f t="shared" si="9"/>
        <v>1.5717457212602161E-3</v>
      </c>
      <c r="R11" s="277">
        <f>AB20*AB4</f>
        <v>8.6128258013241074E-2</v>
      </c>
      <c r="S11" s="294">
        <f t="shared" si="4"/>
        <v>8.6128258013241074E-2</v>
      </c>
      <c r="T11" s="288">
        <f t="shared" si="5"/>
        <v>2.8709419337747025E-2</v>
      </c>
      <c r="V11" s="260" t="s">
        <v>414</v>
      </c>
      <c r="W11" s="300">
        <v>0.27084258906294051</v>
      </c>
      <c r="X11" s="261">
        <v>2.7084258906294053E-3</v>
      </c>
      <c r="Z11" s="246">
        <f t="shared" si="0"/>
        <v>40.6679166536221</v>
      </c>
      <c r="AA11" s="263"/>
      <c r="AB11" s="263">
        <v>35</v>
      </c>
      <c r="AC11" s="263">
        <v>5.6679166536221004</v>
      </c>
      <c r="AD11" s="301">
        <f t="shared" si="1"/>
        <v>40.6679166536221</v>
      </c>
      <c r="AE11" s="97">
        <f t="shared" si="2"/>
        <v>0</v>
      </c>
      <c r="AI11" s="158"/>
    </row>
    <row r="12" spans="1:35" ht="15.75" customHeight="1">
      <c r="C12" s="161" t="str">
        <f>RSD_Procesess!D67</f>
        <v>RSD_DTH_WH_GAS</v>
      </c>
      <c r="D12" s="161" t="str">
        <f>RSD_Comm!D8</f>
        <v>RSD_GAS</v>
      </c>
      <c r="E12" s="161" t="str">
        <f>E9</f>
        <v>RSD_DTH_WH</v>
      </c>
      <c r="F12" s="163">
        <f t="shared" ref="F12:F17" si="10">R12/(M12*700.8*3.6*0.001)</f>
        <v>8.4890406042739155</v>
      </c>
      <c r="G12" s="163">
        <f t="shared" si="6"/>
        <v>8.4890406042739155</v>
      </c>
      <c r="H12" s="163">
        <f t="shared" si="6"/>
        <v>8.4890406042739155</v>
      </c>
      <c r="I12" s="163">
        <f t="shared" si="6"/>
        <v>8.4890406042739155</v>
      </c>
      <c r="J12" s="163">
        <v>0</v>
      </c>
      <c r="K12" s="339">
        <v>31.536000000000001</v>
      </c>
      <c r="L12" s="163">
        <v>0.85</v>
      </c>
      <c r="M12" s="163">
        <v>1</v>
      </c>
      <c r="N12" s="339">
        <v>0.08</v>
      </c>
      <c r="O12" s="535">
        <v>20</v>
      </c>
      <c r="P12" s="98"/>
      <c r="Q12" s="302">
        <f t="shared" si="9"/>
        <v>0.39083354158114086</v>
      </c>
      <c r="R12" s="277">
        <f>AB9*AB4</f>
        <v>21.416830759710578</v>
      </c>
      <c r="S12" s="294">
        <f t="shared" si="4"/>
        <v>21.416830759710578</v>
      </c>
      <c r="T12" s="288">
        <f t="shared" si="5"/>
        <v>25.196271482012445</v>
      </c>
      <c r="V12" s="260" t="s">
        <v>415</v>
      </c>
      <c r="W12" s="299">
        <v>21.171235133264506</v>
      </c>
      <c r="X12" s="261">
        <v>0.2</v>
      </c>
      <c r="Z12" s="246">
        <f t="shared" si="0"/>
        <v>3003.0666000000001</v>
      </c>
      <c r="AA12" s="263">
        <v>736.82798200000013</v>
      </c>
      <c r="AB12" s="263">
        <v>1966.2386179999999</v>
      </c>
      <c r="AC12" s="263">
        <v>300</v>
      </c>
      <c r="AD12" s="301">
        <f t="shared" si="1"/>
        <v>3003.0666000000001</v>
      </c>
      <c r="AE12" s="97">
        <f t="shared" si="2"/>
        <v>0</v>
      </c>
      <c r="AI12" s="158"/>
    </row>
    <row r="13" spans="1:35" ht="15.75" customHeight="1">
      <c r="C13" s="164" t="str">
        <f>RSD_Procesess!D68</f>
        <v>RSD_DTH_WH_DH</v>
      </c>
      <c r="D13" s="164" t="str">
        <f>RSD_Comm!D9</f>
        <v>RSD_DH</v>
      </c>
      <c r="E13" s="164" t="str">
        <f t="shared" ref="E13:E18" si="11">E12</f>
        <v>RSD_DTH_WH</v>
      </c>
      <c r="F13" s="166">
        <f t="shared" si="10"/>
        <v>3.0763630411263296</v>
      </c>
      <c r="G13" s="166">
        <f t="shared" si="6"/>
        <v>3.0763630411263296</v>
      </c>
      <c r="H13" s="166">
        <f t="shared" si="7"/>
        <v>3.0763630411263296</v>
      </c>
      <c r="I13" s="166">
        <f t="shared" si="7"/>
        <v>3.0763630411263296</v>
      </c>
      <c r="J13" s="166">
        <f t="shared" si="8"/>
        <v>3.0763630411263296</v>
      </c>
      <c r="K13" s="340">
        <v>31.536000000000001</v>
      </c>
      <c r="L13" s="166">
        <v>0.8</v>
      </c>
      <c r="M13" s="166">
        <v>1</v>
      </c>
      <c r="N13" s="340">
        <v>0.08</v>
      </c>
      <c r="O13" s="533">
        <v>20</v>
      </c>
      <c r="P13" s="98"/>
      <c r="Q13" s="302">
        <f t="shared" si="9"/>
        <v>0.1416350702748902</v>
      </c>
      <c r="R13" s="277">
        <f>AB8*AB4</f>
        <v>7.7612947891967954</v>
      </c>
      <c r="S13" s="294">
        <f t="shared" si="4"/>
        <v>7.7612947891967954</v>
      </c>
      <c r="T13" s="288">
        <f t="shared" si="5"/>
        <v>9.7016184864959936</v>
      </c>
      <c r="V13" s="260" t="s">
        <v>416</v>
      </c>
      <c r="W13" s="299">
        <v>0.12476457400490873</v>
      </c>
      <c r="X13" s="261"/>
      <c r="Z13" s="246">
        <f t="shared" si="0"/>
        <v>0</v>
      </c>
      <c r="AA13" s="263"/>
      <c r="AB13" s="263"/>
      <c r="AC13" s="263"/>
      <c r="AD13" s="301"/>
      <c r="AE13" s="97">
        <f t="shared" si="2"/>
        <v>0</v>
      </c>
      <c r="AI13" s="158"/>
    </row>
    <row r="14" spans="1:35" ht="15.75" customHeight="1">
      <c r="C14" s="161" t="str">
        <f>RSD_Procesess!D69</f>
        <v>RSD_DTH_WH_OIL</v>
      </c>
      <c r="D14" s="161" t="str">
        <f>RSD_Comm!D10</f>
        <v>RSD_OIL</v>
      </c>
      <c r="E14" s="161" t="str">
        <f t="shared" si="11"/>
        <v>RSD_DTH_WH</v>
      </c>
      <c r="F14" s="163">
        <f t="shared" si="10"/>
        <v>0.12863954687500001</v>
      </c>
      <c r="G14" s="163">
        <f t="shared" si="6"/>
        <v>0.12863954687500001</v>
      </c>
      <c r="H14" s="163">
        <f t="shared" si="6"/>
        <v>0.12863954687500001</v>
      </c>
      <c r="I14" s="163">
        <f t="shared" si="6"/>
        <v>0.12863954687500001</v>
      </c>
      <c r="J14" s="163">
        <v>0</v>
      </c>
      <c r="K14" s="339">
        <v>31.536000000000001</v>
      </c>
      <c r="L14" s="163">
        <v>0.95</v>
      </c>
      <c r="M14" s="163">
        <v>1</v>
      </c>
      <c r="N14" s="339">
        <v>0.08</v>
      </c>
      <c r="O14" s="535">
        <v>20</v>
      </c>
      <c r="P14" s="98"/>
      <c r="Q14" s="302">
        <f t="shared" si="9"/>
        <v>5.9225361305536711E-3</v>
      </c>
      <c r="R14" s="277">
        <f>AB11*AB4</f>
        <v>0.32454214002000004</v>
      </c>
      <c r="S14" s="294">
        <f t="shared" si="4"/>
        <v>0.32454214002000004</v>
      </c>
      <c r="T14" s="288">
        <f t="shared" si="5"/>
        <v>0.34162330528421059</v>
      </c>
      <c r="V14" s="260" t="s">
        <v>417</v>
      </c>
      <c r="W14" s="299">
        <v>0.2037497621775276</v>
      </c>
      <c r="X14" s="261"/>
      <c r="Z14" s="246">
        <f t="shared" si="0"/>
        <v>0</v>
      </c>
      <c r="AA14" s="263"/>
      <c r="AB14" s="263"/>
      <c r="AC14" s="263"/>
      <c r="AD14" s="301"/>
      <c r="AE14" s="97">
        <f t="shared" si="2"/>
        <v>0</v>
      </c>
      <c r="AI14" s="158"/>
    </row>
    <row r="15" spans="1:35" ht="15.75" customHeight="1">
      <c r="C15" s="164" t="str">
        <f>RSD_Procesess!D70</f>
        <v>RSD_DTH_WH_BIO</v>
      </c>
      <c r="D15" s="164" t="str">
        <f>RSD_Comm!D11</f>
        <v>RSD_BIO</v>
      </c>
      <c r="E15" s="164" t="str">
        <f t="shared" si="11"/>
        <v>RSD_DTH_WH</v>
      </c>
      <c r="F15" s="166">
        <f t="shared" si="10"/>
        <v>2.2075035809111254</v>
      </c>
      <c r="G15" s="166">
        <f t="shared" si="6"/>
        <v>2.2075035809111254</v>
      </c>
      <c r="H15" s="166">
        <f t="shared" si="7"/>
        <v>2.2075035809111254</v>
      </c>
      <c r="I15" s="166">
        <f t="shared" si="7"/>
        <v>2.2075035809111254</v>
      </c>
      <c r="J15" s="166">
        <f t="shared" si="8"/>
        <v>2.2075035809111254</v>
      </c>
      <c r="K15" s="340">
        <v>31.536000000000001</v>
      </c>
      <c r="L15" s="166">
        <v>0.75</v>
      </c>
      <c r="M15" s="166">
        <v>1</v>
      </c>
      <c r="N15" s="340">
        <v>0.08</v>
      </c>
      <c r="O15" s="533">
        <v>20</v>
      </c>
      <c r="P15" s="98"/>
      <c r="Q15" s="302">
        <f t="shared" si="9"/>
        <v>0.10163297394833697</v>
      </c>
      <c r="R15" s="277">
        <f>(AB15+AB16)*AB4*1/3</f>
        <v>5.5692666342090602</v>
      </c>
      <c r="S15" s="294">
        <f t="shared" si="4"/>
        <v>5.5692666342090602</v>
      </c>
      <c r="T15" s="288">
        <f t="shared" si="5"/>
        <v>7.42568884561208</v>
      </c>
      <c r="V15" s="260" t="s">
        <v>418</v>
      </c>
      <c r="W15" s="299">
        <v>12.182655558983503</v>
      </c>
      <c r="X15" s="261">
        <v>0.12</v>
      </c>
      <c r="Z15" s="246">
        <f t="shared" si="0"/>
        <v>1801.83996</v>
      </c>
      <c r="AA15" s="263"/>
      <c r="AB15" s="263">
        <v>1801.83996</v>
      </c>
      <c r="AC15" s="263"/>
      <c r="AD15" s="301">
        <f t="shared" si="1"/>
        <v>1801.83996</v>
      </c>
      <c r="AE15" s="97">
        <f t="shared" si="2"/>
        <v>0</v>
      </c>
      <c r="AI15" s="158"/>
    </row>
    <row r="16" spans="1:35" ht="15.75" customHeight="1">
      <c r="C16" s="161" t="str">
        <f>RSD_Procesess!D71</f>
        <v>RSD_DTH_WH_HC</v>
      </c>
      <c r="D16" s="161" t="str">
        <f>RSD_Comm!D12</f>
        <v>RSD_HC</v>
      </c>
      <c r="E16" s="161" t="str">
        <f t="shared" si="11"/>
        <v>RSD_DTH_WH</v>
      </c>
      <c r="F16" s="163">
        <f t="shared" si="10"/>
        <v>4.8178294260504035</v>
      </c>
      <c r="G16" s="163">
        <f t="shared" si="6"/>
        <v>4.8178294260504035</v>
      </c>
      <c r="H16" s="163">
        <v>0</v>
      </c>
      <c r="I16" s="163">
        <v>0</v>
      </c>
      <c r="J16" s="163">
        <v>0</v>
      </c>
      <c r="K16" s="339">
        <v>31.536000000000001</v>
      </c>
      <c r="L16" s="163">
        <v>0.8</v>
      </c>
      <c r="M16" s="163">
        <v>1</v>
      </c>
      <c r="N16" s="339">
        <v>0.08</v>
      </c>
      <c r="O16" s="535">
        <v>20</v>
      </c>
      <c r="P16" s="98"/>
      <c r="Q16" s="302">
        <f t="shared" si="9"/>
        <v>0.22181179535990314</v>
      </c>
      <c r="R16" s="277">
        <f>AB12*AB4*2/3</f>
        <v>12.154805502394042</v>
      </c>
      <c r="S16" s="294">
        <f t="shared" si="4"/>
        <v>12.154805502394042</v>
      </c>
      <c r="T16" s="288">
        <f t="shared" si="5"/>
        <v>15.193506877992553</v>
      </c>
      <c r="V16" s="260" t="s">
        <v>419</v>
      </c>
      <c r="W16" s="299"/>
      <c r="X16" s="261"/>
      <c r="Z16" s="246"/>
      <c r="AA16" s="263"/>
      <c r="AB16" s="263"/>
      <c r="AC16" s="263"/>
      <c r="AD16" s="301">
        <f t="shared" si="1"/>
        <v>0</v>
      </c>
      <c r="AE16" s="97">
        <f t="shared" si="2"/>
        <v>0</v>
      </c>
      <c r="AI16" s="158"/>
    </row>
    <row r="17" spans="1:36" ht="15.75" customHeight="1">
      <c r="C17" s="164" t="str">
        <f>RSD_Procesess!D72</f>
        <v>RSD_DTH_WH_LPG</v>
      </c>
      <c r="D17" s="164" t="str">
        <f>RSD_Comm!D13</f>
        <v>RSD_LPG</v>
      </c>
      <c r="E17" s="164" t="str">
        <f t="shared" si="11"/>
        <v>RSD_DTH_WH</v>
      </c>
      <c r="F17" s="166">
        <f t="shared" si="10"/>
        <v>0.55780487268067336</v>
      </c>
      <c r="G17" s="166">
        <f t="shared" si="6"/>
        <v>0.55780487268067336</v>
      </c>
      <c r="H17" s="166">
        <f t="shared" si="6"/>
        <v>0.55780487268067336</v>
      </c>
      <c r="I17" s="166">
        <f t="shared" si="6"/>
        <v>0.55780487268067336</v>
      </c>
      <c r="J17" s="166">
        <v>0</v>
      </c>
      <c r="K17" s="340">
        <v>31.536000000000001</v>
      </c>
      <c r="L17" s="166">
        <v>0.95</v>
      </c>
      <c r="M17" s="166">
        <v>1</v>
      </c>
      <c r="N17" s="340">
        <v>0.08</v>
      </c>
      <c r="O17" s="535">
        <v>20</v>
      </c>
      <c r="P17" s="98"/>
      <c r="Q17" s="302">
        <f t="shared" si="9"/>
        <v>2.5681212290496715E-2</v>
      </c>
      <c r="R17" s="277">
        <f>AB10*AB4</f>
        <v>1.4072747571886173</v>
      </c>
      <c r="S17" s="294">
        <f t="shared" si="4"/>
        <v>1.4072747571886175</v>
      </c>
      <c r="T17" s="288">
        <f t="shared" si="5"/>
        <v>1.481341849672229</v>
      </c>
      <c r="V17" s="260" t="s">
        <v>443</v>
      </c>
      <c r="W17" s="299">
        <v>1.9687646289998479</v>
      </c>
      <c r="X17" s="261">
        <v>1.968764628999848E-2</v>
      </c>
      <c r="Z17" s="246">
        <f>$AB$2*X17</f>
        <v>295.61656503054178</v>
      </c>
      <c r="AA17" s="263">
        <v>167.61656503054178</v>
      </c>
      <c r="AB17" s="263">
        <v>110</v>
      </c>
      <c r="AC17" s="263">
        <v>18</v>
      </c>
      <c r="AD17" s="301">
        <f t="shared" si="1"/>
        <v>295.61656503054178</v>
      </c>
      <c r="AE17" s="97">
        <f t="shared" si="2"/>
        <v>0</v>
      </c>
      <c r="AI17" s="158"/>
    </row>
    <row r="18" spans="1:36" ht="15.75" customHeight="1">
      <c r="C18" s="161" t="str">
        <f>RSD_Procesess!D73</f>
        <v>RSD_DTH_WH_GEO</v>
      </c>
      <c r="D18" s="161" t="str">
        <f>RSD_Comm!D14</f>
        <v>RSD_GEO</v>
      </c>
      <c r="E18" s="161" t="str">
        <f t="shared" si="11"/>
        <v>RSD_DTH_WH</v>
      </c>
      <c r="F18" s="163">
        <v>0.6</v>
      </c>
      <c r="G18" s="163">
        <f t="shared" si="6"/>
        <v>0.6</v>
      </c>
      <c r="H18" s="163">
        <f t="shared" si="7"/>
        <v>0.6</v>
      </c>
      <c r="I18" s="163">
        <f t="shared" si="7"/>
        <v>0.6</v>
      </c>
      <c r="J18" s="163">
        <f t="shared" si="8"/>
        <v>0.6</v>
      </c>
      <c r="K18" s="339">
        <v>31.536000000000001</v>
      </c>
      <c r="L18" s="163">
        <v>0.95</v>
      </c>
      <c r="M18" s="163">
        <v>1</v>
      </c>
      <c r="N18" s="339">
        <v>0.08</v>
      </c>
      <c r="O18" s="535">
        <v>20</v>
      </c>
      <c r="P18" s="98"/>
      <c r="Q18" s="302">
        <f t="shared" si="9"/>
        <v>2.7623866568693575E-2</v>
      </c>
      <c r="R18" s="277">
        <f>AB21*AB4</f>
        <v>2.5036107944400001</v>
      </c>
      <c r="S18" s="294">
        <f t="shared" si="4"/>
        <v>1.5137280000000002</v>
      </c>
      <c r="T18" s="288">
        <f t="shared" si="5"/>
        <v>1.5933978947368423</v>
      </c>
      <c r="V18" s="260" t="s">
        <v>421</v>
      </c>
      <c r="W18" s="300">
        <v>0.81437172787603174</v>
      </c>
      <c r="X18" s="261">
        <v>8.1437172787603169E-3</v>
      </c>
      <c r="Z18" s="97"/>
      <c r="AA18" s="264"/>
      <c r="AB18" s="264"/>
      <c r="AC18" s="264"/>
      <c r="AD18" s="301"/>
      <c r="AE18" s="97">
        <f t="shared" si="2"/>
        <v>0</v>
      </c>
      <c r="AI18" s="158"/>
    </row>
    <row r="19" spans="1:36" ht="15.75" customHeight="1" thickBot="1">
      <c r="C19" s="210" t="str">
        <f>RSD_Procesess!D74</f>
        <v>RSD_DTH_WH_SOL</v>
      </c>
      <c r="D19" s="210" t="str">
        <f>SECTF!E13</f>
        <v>RSD_SOL</v>
      </c>
      <c r="E19" s="210" t="str">
        <f>E18</f>
        <v>RSD_DTH_WH</v>
      </c>
      <c r="F19" s="315">
        <f t="shared" ref="F19" si="12">R19/(M19*700.8*3.6*0.001)</f>
        <v>0.40429571874999998</v>
      </c>
      <c r="G19" s="315">
        <f t="shared" si="6"/>
        <v>0.40429571874999998</v>
      </c>
      <c r="H19" s="315">
        <f t="shared" si="7"/>
        <v>0.40429571874999998</v>
      </c>
      <c r="I19" s="315">
        <f t="shared" si="7"/>
        <v>0.40429571874999998</v>
      </c>
      <c r="J19" s="315">
        <f t="shared" si="8"/>
        <v>0.40429571874999998</v>
      </c>
      <c r="K19" s="342">
        <v>31.536000000000001</v>
      </c>
      <c r="L19" s="315">
        <v>0.95</v>
      </c>
      <c r="M19" s="315">
        <v>1</v>
      </c>
      <c r="N19" s="342">
        <v>0.08</v>
      </c>
      <c r="O19" s="341">
        <v>20</v>
      </c>
      <c r="P19" s="98"/>
      <c r="Q19" s="302">
        <f t="shared" si="9"/>
        <v>1.8613684981740108E-2</v>
      </c>
      <c r="R19" s="277">
        <f>AB17*AB4</f>
        <v>1.0199895829200001</v>
      </c>
      <c r="S19" s="294">
        <f t="shared" si="4"/>
        <v>1.0199895829200001</v>
      </c>
      <c r="T19" s="288">
        <f t="shared" si="5"/>
        <v>1.0736732451789475</v>
      </c>
      <c r="V19" s="249" t="s">
        <v>422</v>
      </c>
      <c r="W19" s="248"/>
      <c r="X19" s="261">
        <v>0.8</v>
      </c>
      <c r="Z19" s="97">
        <f>AB2*X18*X19</f>
        <v>97.824501438752009</v>
      </c>
      <c r="AA19" s="263">
        <v>54.703461204550123</v>
      </c>
      <c r="AB19" s="263">
        <v>37.153745646438011</v>
      </c>
      <c r="AC19" s="263">
        <v>5.9672945877638721</v>
      </c>
      <c r="AD19" s="301">
        <f t="shared" si="1"/>
        <v>97.824501438752009</v>
      </c>
      <c r="AE19" s="97">
        <f t="shared" si="2"/>
        <v>0</v>
      </c>
      <c r="AI19" s="158"/>
    </row>
    <row r="20" spans="1:36">
      <c r="N20" s="105"/>
      <c r="O20" s="98"/>
      <c r="P20" s="98"/>
      <c r="Q20" s="276"/>
      <c r="R20" s="277"/>
      <c r="S20" s="285">
        <f>SUM(S9:S19)</f>
        <v>54.797832020935296</v>
      </c>
      <c r="T20" s="288"/>
      <c r="U20" s="101"/>
      <c r="V20" s="249" t="s">
        <v>423</v>
      </c>
      <c r="W20" s="292"/>
      <c r="X20" s="261">
        <v>0.2</v>
      </c>
      <c r="Z20" s="97">
        <f>X18*X20*AB2</f>
        <v>24.456125359687999</v>
      </c>
      <c r="AA20" s="263">
        <v>13.675865301137531</v>
      </c>
      <c r="AB20" s="263">
        <v>9.2884364116095028</v>
      </c>
      <c r="AC20" s="263">
        <v>1.491823646940968</v>
      </c>
      <c r="AD20" s="301">
        <f t="shared" si="1"/>
        <v>24.456125359688002</v>
      </c>
      <c r="AE20" s="97">
        <f t="shared" si="2"/>
        <v>0</v>
      </c>
      <c r="AI20" s="158"/>
    </row>
    <row r="21" spans="1:36">
      <c r="N21" s="105"/>
      <c r="O21" s="98"/>
      <c r="P21" s="98"/>
      <c r="Q21" s="280"/>
      <c r="R21" s="277"/>
      <c r="S21" s="280"/>
      <c r="T21" s="278"/>
      <c r="U21" s="101"/>
      <c r="V21" s="260" t="s">
        <v>444</v>
      </c>
      <c r="W21" s="248"/>
      <c r="X21" s="261">
        <v>0.03</v>
      </c>
      <c r="Z21" s="97">
        <f>X21*AB2</f>
        <v>450.45999</v>
      </c>
      <c r="AA21" s="263">
        <v>150</v>
      </c>
      <c r="AB21" s="263">
        <v>270</v>
      </c>
      <c r="AC21" s="263">
        <v>30.46</v>
      </c>
      <c r="AD21" s="301">
        <f t="shared" si="1"/>
        <v>450.46</v>
      </c>
      <c r="AE21" s="97">
        <f t="shared" si="2"/>
        <v>-9.9999999747524271E-6</v>
      </c>
      <c r="AI21" s="158"/>
    </row>
    <row r="22" spans="1:36" ht="30">
      <c r="A22" s="30" t="s">
        <v>306</v>
      </c>
      <c r="N22" s="105"/>
      <c r="O22" s="98"/>
      <c r="P22" s="98"/>
      <c r="Q22" s="281"/>
      <c r="R22" s="277"/>
      <c r="S22" s="295"/>
      <c r="T22" s="278"/>
      <c r="U22" s="101"/>
      <c r="V22" s="95"/>
      <c r="W22" s="104"/>
      <c r="X22" s="95"/>
      <c r="Y22" s="95"/>
      <c r="AA22" s="97"/>
      <c r="AB22" s="97"/>
      <c r="AC22" s="97"/>
      <c r="AE22" s="95"/>
      <c r="AF22" s="95"/>
      <c r="AI22" s="158"/>
    </row>
    <row r="23" spans="1:36">
      <c r="E23" s="126" t="s">
        <v>516</v>
      </c>
      <c r="N23" s="105"/>
      <c r="P23" s="104"/>
      <c r="Q23" s="283">
        <f>S7-S20</f>
        <v>0</v>
      </c>
      <c r="R23" s="282"/>
      <c r="S23" s="285">
        <f>SUM(BUILD_STOCK!I96:I101)</f>
        <v>5.9687516238811149</v>
      </c>
      <c r="T23" s="278"/>
      <c r="U23" s="101"/>
      <c r="V23" s="95"/>
      <c r="W23" s="95"/>
      <c r="X23" s="95"/>
      <c r="Y23" s="95"/>
      <c r="Z23" s="97"/>
      <c r="AA23" s="104"/>
      <c r="AB23" s="104"/>
      <c r="AC23" s="104"/>
      <c r="AE23" s="95"/>
      <c r="AF23" s="95"/>
      <c r="AI23" s="158"/>
    </row>
    <row r="24" spans="1:36" ht="15.75" thickBot="1">
      <c r="C24" s="100" t="s">
        <v>82</v>
      </c>
      <c r="D24" s="100" t="s">
        <v>214</v>
      </c>
      <c r="E24" s="100" t="s">
        <v>215</v>
      </c>
      <c r="F24" s="114" t="s">
        <v>404</v>
      </c>
      <c r="G24" s="114" t="s">
        <v>697</v>
      </c>
      <c r="H24" s="114" t="s">
        <v>698</v>
      </c>
      <c r="I24" s="114" t="s">
        <v>699</v>
      </c>
      <c r="J24" s="114" t="s">
        <v>700</v>
      </c>
      <c r="K24" s="114" t="s">
        <v>405</v>
      </c>
      <c r="L24" s="114" t="s">
        <v>216</v>
      </c>
      <c r="M24" s="114" t="s">
        <v>406</v>
      </c>
      <c r="N24" s="114" t="s">
        <v>642</v>
      </c>
      <c r="O24" s="114" t="s">
        <v>701</v>
      </c>
      <c r="P24" s="98"/>
      <c r="Q24" s="115" t="s">
        <v>407</v>
      </c>
      <c r="R24" s="115" t="s">
        <v>408</v>
      </c>
      <c r="S24" s="115" t="s">
        <v>409</v>
      </c>
      <c r="T24" s="115" t="s">
        <v>410</v>
      </c>
      <c r="U24" s="101"/>
      <c r="V24" s="95"/>
      <c r="W24" s="95"/>
      <c r="X24" s="95"/>
      <c r="Y24" s="95"/>
      <c r="Z24" s="95"/>
      <c r="AA24" s="95"/>
      <c r="AB24" s="95"/>
      <c r="AC24" s="95"/>
      <c r="AI24" s="158"/>
    </row>
    <row r="25" spans="1:36" ht="15.75" customHeight="1">
      <c r="C25" s="336" t="str">
        <f>RSD_Procesess!D75</f>
        <v>RSD_SDTH_WH_ELC</v>
      </c>
      <c r="D25" s="336" t="str">
        <f>D9</f>
        <v>RSD_ELC</v>
      </c>
      <c r="E25" s="336" t="str">
        <f>RSD_Comm!D20</f>
        <v>RSD_SDTH_WH</v>
      </c>
      <c r="F25" s="163">
        <f t="shared" ref="F25:F27" si="13">R25/(M25*700.8*3.6*0.001)</f>
        <v>0.38715600000000022</v>
      </c>
      <c r="G25" s="337">
        <f>F25</f>
        <v>0.38715600000000022</v>
      </c>
      <c r="H25" s="337">
        <f>F25</f>
        <v>0.38715600000000022</v>
      </c>
      <c r="I25" s="337">
        <f>G25</f>
        <v>0.38715600000000022</v>
      </c>
      <c r="J25" s="337">
        <f>F25</f>
        <v>0.38715600000000022</v>
      </c>
      <c r="K25" s="338">
        <v>31.536000000000001</v>
      </c>
      <c r="L25" s="337">
        <v>0.9</v>
      </c>
      <c r="M25" s="337">
        <v>1</v>
      </c>
      <c r="N25" s="339">
        <v>5.5291879614190714E-2</v>
      </c>
      <c r="O25" s="542">
        <v>20</v>
      </c>
      <c r="P25" s="98"/>
      <c r="Q25" s="302">
        <f>S25/$S$23</f>
        <v>0.11310204248040653</v>
      </c>
      <c r="R25" s="277">
        <f>AC7*AC4</f>
        <v>0.97674812928000065</v>
      </c>
      <c r="S25" s="294">
        <f>F25*K25*M25*N25</f>
        <v>0.67507799971919735</v>
      </c>
      <c r="T25" s="288">
        <f t="shared" ref="T25:T35" si="14">F25*K25*N25/L25</f>
        <v>0.7500866663546637</v>
      </c>
      <c r="U25" s="101"/>
      <c r="V25" s="95"/>
      <c r="W25" s="95"/>
      <c r="X25" s="95"/>
      <c r="Y25" s="95"/>
      <c r="Z25" s="95"/>
      <c r="AA25" s="95"/>
      <c r="AB25" s="95">
        <f>AB15*1/3</f>
        <v>600.61332000000004</v>
      </c>
      <c r="AC25" s="95"/>
      <c r="AG25" s="95"/>
      <c r="AH25" s="95"/>
      <c r="AI25" s="158"/>
    </row>
    <row r="26" spans="1:36" ht="15.75" customHeight="1">
      <c r="A26" s="106"/>
      <c r="C26" s="161" t="str">
        <f>RSD_Procesess!D76</f>
        <v>RSD_SDTH_WH_ELC_HPA</v>
      </c>
      <c r="D26" s="161" t="str">
        <f>D25</f>
        <v>RSD_ELC</v>
      </c>
      <c r="E26" s="161" t="str">
        <f>E25</f>
        <v>RSD_SDTH_WH</v>
      </c>
      <c r="F26" s="163">
        <f t="shared" si="13"/>
        <v>1.6501956453002217E-2</v>
      </c>
      <c r="G26" s="163">
        <f t="shared" ref="G26:I35" si="15">F26</f>
        <v>1.6501956453002217E-2</v>
      </c>
      <c r="H26" s="163">
        <f t="shared" ref="H26:I35" si="16">F26</f>
        <v>1.6501956453002217E-2</v>
      </c>
      <c r="I26" s="163">
        <f t="shared" si="16"/>
        <v>1.6501956453002217E-2</v>
      </c>
      <c r="J26" s="163">
        <f t="shared" ref="J26:J35" si="17">F26</f>
        <v>1.6501956453002217E-2</v>
      </c>
      <c r="K26" s="339">
        <v>31.536000000000001</v>
      </c>
      <c r="L26" s="163">
        <v>2.5</v>
      </c>
      <c r="M26" s="163">
        <v>1</v>
      </c>
      <c r="N26" s="339">
        <v>0.08</v>
      </c>
      <c r="O26" s="535">
        <v>20</v>
      </c>
      <c r="P26" s="98"/>
      <c r="Q26" s="302">
        <f t="shared" ref="Q26:Q35" si="18">S26/$S$23</f>
        <v>6.9750692472405462E-3</v>
      </c>
      <c r="R26" s="277">
        <f>AC19*AC4</f>
        <v>4.1632455896150236E-2</v>
      </c>
      <c r="S26" s="294">
        <f t="shared" ref="S26:S28" si="19">F26*K26*M26*N26</f>
        <v>4.1632455896150236E-2</v>
      </c>
      <c r="T26" s="288">
        <f t="shared" si="14"/>
        <v>1.6652982358460095E-2</v>
      </c>
      <c r="U26" s="101"/>
      <c r="V26" s="244"/>
      <c r="W26" s="95"/>
      <c r="X26" s="95"/>
      <c r="Y26" s="95"/>
      <c r="Z26" s="95"/>
      <c r="AA26" s="97"/>
      <c r="AB26" s="97">
        <f>AB15*2/3</f>
        <v>1201.2266400000001</v>
      </c>
      <c r="AC26" s="97"/>
      <c r="AG26" s="95"/>
      <c r="AH26" s="95"/>
      <c r="AI26" s="158"/>
      <c r="AJ26" s="95"/>
    </row>
    <row r="27" spans="1:36" ht="15.75" customHeight="1">
      <c r="A27" s="106"/>
      <c r="C27" s="164" t="str">
        <f>RSD_Procesess!D77</f>
        <v>RSD_SDTH_WH_ELC_HPG</v>
      </c>
      <c r="D27" s="164" t="str">
        <f>D25</f>
        <v>RSD_ELC</v>
      </c>
      <c r="E27" s="164" t="str">
        <f>E25</f>
        <v>RSD_SDTH_WH</v>
      </c>
      <c r="F27" s="166">
        <f t="shared" si="13"/>
        <v>4.1254891132505543E-3</v>
      </c>
      <c r="G27" s="166">
        <f t="shared" si="15"/>
        <v>4.1254891132505543E-3</v>
      </c>
      <c r="H27" s="166">
        <f t="shared" si="16"/>
        <v>4.1254891132505543E-3</v>
      </c>
      <c r="I27" s="166">
        <f t="shared" si="16"/>
        <v>4.1254891132505543E-3</v>
      </c>
      <c r="J27" s="166">
        <f t="shared" si="17"/>
        <v>4.1254891132505543E-3</v>
      </c>
      <c r="K27" s="340">
        <v>31.536000000000001</v>
      </c>
      <c r="L27" s="166">
        <v>3</v>
      </c>
      <c r="M27" s="166">
        <v>1</v>
      </c>
      <c r="N27" s="340">
        <v>0.08</v>
      </c>
      <c r="O27" s="533">
        <v>20</v>
      </c>
      <c r="P27" s="98"/>
      <c r="Q27" s="302">
        <f t="shared" si="18"/>
        <v>1.7437673118101365E-3</v>
      </c>
      <c r="R27" s="277">
        <f>AC20*AC4</f>
        <v>1.0408113974037559E-2</v>
      </c>
      <c r="S27" s="294">
        <f t="shared" si="19"/>
        <v>1.0408113974037559E-2</v>
      </c>
      <c r="T27" s="288">
        <f t="shared" si="14"/>
        <v>3.4693713246791865E-3</v>
      </c>
      <c r="U27" s="101"/>
      <c r="V27" s="95"/>
      <c r="W27" s="95"/>
      <c r="X27" s="95"/>
      <c r="Y27" s="95"/>
      <c r="Z27" s="95"/>
      <c r="AA27" s="97"/>
      <c r="AB27" s="95"/>
      <c r="AC27" s="95"/>
    </row>
    <row r="28" spans="1:36" ht="15.75" customHeight="1">
      <c r="C28" s="161" t="str">
        <f>RSD_Procesess!D78</f>
        <v>RSD_SDTH_WH_GAS</v>
      </c>
      <c r="D28" s="161" t="str">
        <f t="shared" ref="D28:D34" si="20">D12</f>
        <v>RSD_GAS</v>
      </c>
      <c r="E28" s="161" t="str">
        <f>E25</f>
        <v>RSD_SDTH_WH</v>
      </c>
      <c r="F28" s="163">
        <f>R28/(M28*700.8*3.6*0.001)</f>
        <v>0.674425165871263</v>
      </c>
      <c r="G28" s="163">
        <f t="shared" si="15"/>
        <v>0.674425165871263</v>
      </c>
      <c r="H28" s="163">
        <f t="shared" si="15"/>
        <v>0.674425165871263</v>
      </c>
      <c r="I28" s="163">
        <f t="shared" si="15"/>
        <v>0.674425165871263</v>
      </c>
      <c r="J28" s="163">
        <v>0</v>
      </c>
      <c r="K28" s="339">
        <v>31.536000000000001</v>
      </c>
      <c r="L28" s="163">
        <v>0.8</v>
      </c>
      <c r="M28" s="163">
        <v>1</v>
      </c>
      <c r="N28" s="339">
        <v>0.08</v>
      </c>
      <c r="O28" s="535">
        <v>20</v>
      </c>
      <c r="P28" s="98"/>
      <c r="Q28" s="302">
        <f t="shared" si="18"/>
        <v>0.28506694024016271</v>
      </c>
      <c r="R28" s="277">
        <f>AC9*AC4</f>
        <v>1.7014937624732922</v>
      </c>
      <c r="S28" s="294">
        <f t="shared" si="19"/>
        <v>1.701493762473292</v>
      </c>
      <c r="T28" s="288">
        <f t="shared" si="14"/>
        <v>2.1268672030916149</v>
      </c>
      <c r="U28" s="101"/>
      <c r="V28" s="95"/>
      <c r="W28" s="95"/>
      <c r="X28" s="95"/>
      <c r="Y28" s="95"/>
      <c r="Z28" s="95"/>
      <c r="AA28" s="97"/>
      <c r="AB28" s="95"/>
      <c r="AC28" s="95"/>
    </row>
    <row r="29" spans="1:36" ht="15.75" customHeight="1">
      <c r="C29" s="164" t="str">
        <f>RSD_Procesess!D79</f>
        <v>RSD_SDTH_WH_DH</v>
      </c>
      <c r="D29" s="164" t="str">
        <f t="shared" si="20"/>
        <v>RSD_DH</v>
      </c>
      <c r="E29" s="164" t="str">
        <f t="shared" ref="E29:E34" si="21">E28</f>
        <v>RSD_SDTH_WH</v>
      </c>
      <c r="F29" s="166">
        <f t="shared" ref="F29:F35" si="22">R29/(M29*700.8*3.6*0.001)</f>
        <v>0.55308000000000013</v>
      </c>
      <c r="G29" s="166">
        <f t="shared" si="15"/>
        <v>0.55308000000000013</v>
      </c>
      <c r="H29" s="166">
        <f t="shared" si="16"/>
        <v>0.55308000000000013</v>
      </c>
      <c r="I29" s="166">
        <f t="shared" si="16"/>
        <v>0.55308000000000013</v>
      </c>
      <c r="J29" s="166">
        <f t="shared" si="17"/>
        <v>0.55308000000000013</v>
      </c>
      <c r="K29" s="340">
        <v>31.536000000000001</v>
      </c>
      <c r="L29" s="166">
        <v>0.85</v>
      </c>
      <c r="M29" s="166">
        <v>1</v>
      </c>
      <c r="N29" s="340">
        <v>0.08</v>
      </c>
      <c r="O29" s="533">
        <v>20</v>
      </c>
      <c r="P29" s="98"/>
      <c r="Q29" s="302">
        <f t="shared" si="18"/>
        <v>0.23377660159574318</v>
      </c>
      <c r="R29" s="277">
        <f>AC8*AC4</f>
        <v>1.3953544704000005</v>
      </c>
      <c r="S29" s="294">
        <f t="shared" ref="S29:S35" si="23">F29*K29*M29*N29</f>
        <v>1.3953544704000005</v>
      </c>
      <c r="T29" s="288">
        <f t="shared" si="14"/>
        <v>1.641593494588236</v>
      </c>
      <c r="U29" s="101"/>
      <c r="V29" s="95"/>
      <c r="W29" s="95"/>
      <c r="X29" s="95"/>
      <c r="Y29" s="95"/>
      <c r="Z29" s="95"/>
      <c r="AA29" s="97"/>
      <c r="AB29" s="95"/>
      <c r="AC29" s="95"/>
    </row>
    <row r="30" spans="1:36" ht="15.75" customHeight="1">
      <c r="C30" s="161" t="str">
        <f>RSD_Procesess!D80</f>
        <v>RSD_SDTH_WH_OIL</v>
      </c>
      <c r="D30" s="161" t="str">
        <f t="shared" si="20"/>
        <v>RSD_OIL</v>
      </c>
      <c r="E30" s="161" t="str">
        <f t="shared" si="21"/>
        <v>RSD_SDTH_WH</v>
      </c>
      <c r="F30" s="163">
        <f t="shared" si="22"/>
        <v>1.5674056713926562E-2</v>
      </c>
      <c r="G30" s="163">
        <f t="shared" si="15"/>
        <v>1.5674056713926562E-2</v>
      </c>
      <c r="H30" s="163">
        <f t="shared" si="15"/>
        <v>1.5674056713926562E-2</v>
      </c>
      <c r="I30" s="163">
        <f t="shared" si="15"/>
        <v>1.5674056713926562E-2</v>
      </c>
      <c r="J30" s="163">
        <v>0</v>
      </c>
      <c r="K30" s="339">
        <v>31.536000000000001</v>
      </c>
      <c r="L30" s="163">
        <v>0.95</v>
      </c>
      <c r="M30" s="163">
        <v>1</v>
      </c>
      <c r="N30" s="339">
        <v>0.08</v>
      </c>
      <c r="O30" s="535">
        <v>20</v>
      </c>
      <c r="P30" s="98"/>
      <c r="Q30" s="302">
        <f t="shared" si="18"/>
        <v>6.6251314670584581E-3</v>
      </c>
      <c r="R30" s="277">
        <f>AC11*AC4</f>
        <v>3.9543764202431046E-2</v>
      </c>
      <c r="S30" s="294">
        <f t="shared" si="23"/>
        <v>3.9543764202431046E-2</v>
      </c>
      <c r="T30" s="288">
        <f t="shared" si="14"/>
        <v>4.1625014949927416E-2</v>
      </c>
      <c r="U30" s="101"/>
      <c r="V30" s="95"/>
      <c r="W30" s="95"/>
      <c r="X30" s="95"/>
      <c r="Y30" s="95"/>
      <c r="Z30" s="95"/>
      <c r="AA30" s="97"/>
      <c r="AB30" s="95"/>
      <c r="AC30" s="95"/>
    </row>
    <row r="31" spans="1:36" ht="15.75" customHeight="1">
      <c r="C31" s="164" t="str">
        <f>RSD_Procesess!D81</f>
        <v>RSD_SDTH_WH_BIO</v>
      </c>
      <c r="D31" s="164" t="str">
        <f t="shared" si="20"/>
        <v>RSD_BIO</v>
      </c>
      <c r="E31" s="164" t="str">
        <f t="shared" si="21"/>
        <v>RSD_SDTH_WH</v>
      </c>
      <c r="F31" s="166">
        <f t="shared" si="22"/>
        <v>0</v>
      </c>
      <c r="G31" s="166">
        <f t="shared" si="15"/>
        <v>0</v>
      </c>
      <c r="H31" s="166">
        <f t="shared" si="16"/>
        <v>0</v>
      </c>
      <c r="I31" s="166">
        <f t="shared" si="16"/>
        <v>0</v>
      </c>
      <c r="J31" s="166">
        <f t="shared" si="17"/>
        <v>0</v>
      </c>
      <c r="K31" s="340">
        <v>31.536000000000001</v>
      </c>
      <c r="L31" s="166">
        <v>0.75</v>
      </c>
      <c r="M31" s="166">
        <v>1</v>
      </c>
      <c r="N31" s="340">
        <v>0.08</v>
      </c>
      <c r="O31" s="533">
        <v>20</v>
      </c>
      <c r="P31" s="98"/>
      <c r="Q31" s="302">
        <f t="shared" si="18"/>
        <v>0</v>
      </c>
      <c r="R31" s="277">
        <f>(AC15+AC16)*AC4</f>
        <v>0</v>
      </c>
      <c r="S31" s="294">
        <f t="shared" si="23"/>
        <v>0</v>
      </c>
      <c r="T31" s="288">
        <f t="shared" si="14"/>
        <v>0</v>
      </c>
      <c r="U31" s="101"/>
      <c r="V31" s="95"/>
      <c r="W31" s="95"/>
      <c r="X31" s="95"/>
      <c r="Y31" s="95"/>
      <c r="Z31" s="95"/>
      <c r="AA31" s="97"/>
      <c r="AB31" s="95"/>
      <c r="AC31" s="95"/>
    </row>
    <row r="32" spans="1:36" ht="15.75" customHeight="1">
      <c r="C32" s="161" t="str">
        <f>RSD_Procesess!D82</f>
        <v>RSD_SDTH_WH_HC</v>
      </c>
      <c r="D32" s="161" t="str">
        <f t="shared" si="20"/>
        <v>RSD_HC</v>
      </c>
      <c r="E32" s="161" t="str">
        <f t="shared" si="21"/>
        <v>RSD_SDTH_WH</v>
      </c>
      <c r="F32" s="163">
        <f t="shared" si="22"/>
        <v>0.55308000000000024</v>
      </c>
      <c r="G32" s="163">
        <f t="shared" si="15"/>
        <v>0.55308000000000024</v>
      </c>
      <c r="H32" s="163">
        <v>0</v>
      </c>
      <c r="I32" s="163">
        <v>0</v>
      </c>
      <c r="J32" s="163">
        <v>0</v>
      </c>
      <c r="K32" s="339">
        <v>31.536000000000001</v>
      </c>
      <c r="L32" s="163">
        <v>0.8</v>
      </c>
      <c r="M32" s="163">
        <v>1</v>
      </c>
      <c r="N32" s="339">
        <v>0.08</v>
      </c>
      <c r="O32" s="535">
        <v>20</v>
      </c>
      <c r="P32" s="98"/>
      <c r="Q32" s="302">
        <f t="shared" si="18"/>
        <v>0.23377660159574321</v>
      </c>
      <c r="R32" s="277">
        <f>(AC12+AC13+AC14)*AC4*2/3</f>
        <v>1.3953544704000007</v>
      </c>
      <c r="S32" s="294">
        <f t="shared" si="23"/>
        <v>1.3953544704000007</v>
      </c>
      <c r="T32" s="288">
        <f t="shared" si="14"/>
        <v>1.7441930880000007</v>
      </c>
      <c r="U32" s="101"/>
      <c r="V32" s="95"/>
      <c r="W32" s="95"/>
      <c r="X32" s="95"/>
      <c r="Y32" s="95"/>
      <c r="Z32" s="95"/>
      <c r="AA32" s="97"/>
      <c r="AB32" s="95"/>
      <c r="AC32" s="95"/>
    </row>
    <row r="33" spans="1:29" ht="15.75" customHeight="1">
      <c r="C33" s="164" t="str">
        <f>RSD_Procesess!D83</f>
        <v>RSD_SDTH_WH_LPG</v>
      </c>
      <c r="D33" s="164" t="str">
        <f t="shared" si="20"/>
        <v>RSD_LPG</v>
      </c>
      <c r="E33" s="164" t="str">
        <f t="shared" si="21"/>
        <v>RSD_SDTH_WH</v>
      </c>
      <c r="F33" s="166">
        <f t="shared" si="22"/>
        <v>0.13827000000000003</v>
      </c>
      <c r="G33" s="166">
        <f t="shared" si="15"/>
        <v>0.13827000000000003</v>
      </c>
      <c r="H33" s="166">
        <f t="shared" si="15"/>
        <v>0.13827000000000003</v>
      </c>
      <c r="I33" s="166">
        <f t="shared" si="15"/>
        <v>0.13827000000000003</v>
      </c>
      <c r="J33" s="166">
        <v>0</v>
      </c>
      <c r="K33" s="340">
        <v>31.536000000000001</v>
      </c>
      <c r="L33" s="166">
        <v>0.95</v>
      </c>
      <c r="M33" s="166">
        <v>1</v>
      </c>
      <c r="N33" s="340">
        <v>0.08</v>
      </c>
      <c r="O33" s="535">
        <v>20</v>
      </c>
      <c r="P33" s="98"/>
      <c r="Q33" s="302">
        <f t="shared" si="18"/>
        <v>5.8444150398935794E-2</v>
      </c>
      <c r="R33" s="277">
        <f>AC10*AC4</f>
        <v>0.34883861760000012</v>
      </c>
      <c r="S33" s="294">
        <f t="shared" si="23"/>
        <v>0.34883861760000012</v>
      </c>
      <c r="T33" s="288">
        <f t="shared" si="14"/>
        <v>0.3671985448421054</v>
      </c>
      <c r="U33" s="101"/>
      <c r="V33" s="95"/>
      <c r="W33" s="95"/>
      <c r="X33" s="95"/>
      <c r="Y33" s="95"/>
      <c r="Z33" s="95"/>
      <c r="AA33" s="97"/>
      <c r="AB33" s="95"/>
      <c r="AC33" s="95"/>
    </row>
    <row r="34" spans="1:29" ht="15.75" customHeight="1">
      <c r="C34" s="161" t="str">
        <f>RSD_Procesess!D84</f>
        <v>RSD_SDTH_WH_GEO</v>
      </c>
      <c r="D34" s="161" t="str">
        <f t="shared" si="20"/>
        <v>RSD_GEO</v>
      </c>
      <c r="E34" s="161" t="str">
        <f t="shared" si="21"/>
        <v>RSD_SDTH_WH</v>
      </c>
      <c r="F34" s="163">
        <v>9.3332250000000005E-2</v>
      </c>
      <c r="G34" s="163">
        <f t="shared" si="15"/>
        <v>9.3332250000000005E-2</v>
      </c>
      <c r="H34" s="163">
        <f t="shared" si="16"/>
        <v>9.3332250000000005E-2</v>
      </c>
      <c r="I34" s="163">
        <f t="shared" si="16"/>
        <v>9.3332250000000005E-2</v>
      </c>
      <c r="J34" s="163">
        <f t="shared" si="17"/>
        <v>9.3332250000000005E-2</v>
      </c>
      <c r="K34" s="339">
        <v>31.536000000000001</v>
      </c>
      <c r="L34" s="163">
        <v>0.95</v>
      </c>
      <c r="M34" s="163">
        <v>1</v>
      </c>
      <c r="N34" s="339">
        <v>0.08</v>
      </c>
      <c r="O34" s="535">
        <v>20</v>
      </c>
      <c r="P34" s="98"/>
      <c r="Q34" s="302">
        <f t="shared" si="18"/>
        <v>3.9449801519281652E-2</v>
      </c>
      <c r="R34" s="277">
        <f>AC21*AC4</f>
        <v>0.21251248584192009</v>
      </c>
      <c r="S34" s="294">
        <f t="shared" si="23"/>
        <v>0.23546606688000002</v>
      </c>
      <c r="T34" s="288">
        <f t="shared" si="14"/>
        <v>0.24785901776842109</v>
      </c>
      <c r="U34" s="101"/>
      <c r="V34" s="247"/>
      <c r="W34" s="95"/>
      <c r="X34" s="95"/>
      <c r="Y34" s="95"/>
      <c r="Z34" s="95"/>
      <c r="AA34" s="97"/>
      <c r="AB34" s="95"/>
      <c r="AC34" s="95"/>
    </row>
    <row r="35" spans="1:29" ht="15.75" customHeight="1" thickBot="1">
      <c r="C35" s="210" t="str">
        <f>RSD_Procesess!D85</f>
        <v>RSD_SDTH_WH_SOL</v>
      </c>
      <c r="D35" s="210" t="str">
        <f>SECTF!E13</f>
        <v>RSD_SOL</v>
      </c>
      <c r="E35" s="210" t="str">
        <f>E34</f>
        <v>RSD_SDTH_WH</v>
      </c>
      <c r="F35" s="315">
        <f t="shared" si="22"/>
        <v>4.9777200000000014E-2</v>
      </c>
      <c r="G35" s="315">
        <f t="shared" si="15"/>
        <v>4.9777200000000014E-2</v>
      </c>
      <c r="H35" s="315">
        <f t="shared" si="16"/>
        <v>4.9777200000000014E-2</v>
      </c>
      <c r="I35" s="315">
        <f t="shared" si="16"/>
        <v>4.9777200000000014E-2</v>
      </c>
      <c r="J35" s="315">
        <f t="shared" si="17"/>
        <v>4.9777200000000014E-2</v>
      </c>
      <c r="K35" s="342">
        <v>31.536000000000001</v>
      </c>
      <c r="L35" s="315">
        <v>0.95</v>
      </c>
      <c r="M35" s="315">
        <v>1</v>
      </c>
      <c r="N35" s="342">
        <v>0.08</v>
      </c>
      <c r="O35" s="341">
        <v>20</v>
      </c>
      <c r="P35" s="98"/>
      <c r="Q35" s="302">
        <f t="shared" si="18"/>
        <v>2.1039894143616886E-2</v>
      </c>
      <c r="R35" s="277">
        <f>AC17*AC4</f>
        <v>0.12558190233600006</v>
      </c>
      <c r="S35" s="294">
        <f t="shared" si="23"/>
        <v>0.12558190233600006</v>
      </c>
      <c r="T35" s="288">
        <f t="shared" si="14"/>
        <v>0.13219147614315796</v>
      </c>
      <c r="U35" s="101"/>
      <c r="V35" s="247"/>
      <c r="W35" s="95"/>
      <c r="X35" s="95"/>
      <c r="Y35" s="95"/>
      <c r="Z35" s="95"/>
      <c r="AA35" s="97"/>
      <c r="AB35" s="95"/>
      <c r="AC35" s="95"/>
    </row>
    <row r="36" spans="1:29">
      <c r="Q36" s="281"/>
      <c r="R36" s="280">
        <f>SUM(R25:R35)</f>
        <v>6.247468172403833</v>
      </c>
      <c r="S36" s="285">
        <f>SUM(S25:S35)</f>
        <v>5.9687516238811096</v>
      </c>
      <c r="T36" s="288"/>
      <c r="U36" s="101"/>
      <c r="V36" s="247"/>
      <c r="W36" s="95"/>
      <c r="X36" s="95"/>
      <c r="Y36" s="95"/>
      <c r="Z36" s="95"/>
      <c r="AA36" s="97"/>
      <c r="AB36" s="95"/>
      <c r="AC36" s="95"/>
    </row>
    <row r="37" spans="1:29">
      <c r="Q37" s="282"/>
      <c r="R37" s="282"/>
      <c r="S37" s="294"/>
      <c r="T37" s="284"/>
      <c r="V37" s="247"/>
      <c r="W37" s="95"/>
      <c r="X37" s="95"/>
      <c r="Y37" s="95"/>
      <c r="Z37" s="95"/>
      <c r="AA37" s="97"/>
      <c r="AB37" s="95"/>
      <c r="AC37" s="95"/>
    </row>
    <row r="38" spans="1:29">
      <c r="Q38" s="282"/>
      <c r="R38" s="284"/>
      <c r="S38" s="294"/>
      <c r="T38" s="282"/>
      <c r="V38" s="247"/>
      <c r="W38" s="95"/>
      <c r="X38" s="95"/>
      <c r="Y38" s="95"/>
      <c r="Z38" s="95"/>
      <c r="AA38" s="95"/>
      <c r="AB38" s="95"/>
      <c r="AC38" s="95"/>
    </row>
    <row r="39" spans="1:29">
      <c r="Q39" s="282"/>
      <c r="R39" s="282"/>
      <c r="S39" s="294"/>
      <c r="T39" s="282"/>
      <c r="V39" s="247"/>
      <c r="W39" s="95"/>
      <c r="X39" s="95"/>
      <c r="Y39" s="95"/>
      <c r="Z39" s="95"/>
      <c r="AA39" s="95"/>
      <c r="AB39" s="95"/>
      <c r="AC39" s="95"/>
    </row>
    <row r="40" spans="1:29">
      <c r="E40" s="126" t="s">
        <v>516</v>
      </c>
      <c r="F40" s="116"/>
      <c r="G40" s="116"/>
      <c r="H40" s="116"/>
      <c r="I40" s="116"/>
      <c r="J40" s="116"/>
      <c r="Q40" s="281"/>
      <c r="R40" s="282"/>
      <c r="S40" s="285">
        <f>SUM(BUILD_STOCK!I102:I107)</f>
        <v>47.421312447815858</v>
      </c>
      <c r="T40" s="278"/>
      <c r="U40" s="101"/>
      <c r="V40" s="247"/>
      <c r="W40" s="95"/>
      <c r="X40" s="95"/>
      <c r="Y40" s="95"/>
      <c r="Z40" s="95"/>
      <c r="AA40" s="95"/>
      <c r="AB40" s="95"/>
      <c r="AC40" s="95"/>
    </row>
    <row r="41" spans="1:29" ht="15.75" thickBot="1">
      <c r="A41" s="30" t="s">
        <v>307</v>
      </c>
      <c r="C41" s="100" t="s">
        <v>82</v>
      </c>
      <c r="D41" s="100" t="s">
        <v>214</v>
      </c>
      <c r="E41" s="100" t="s">
        <v>215</v>
      </c>
      <c r="F41" s="114" t="s">
        <v>404</v>
      </c>
      <c r="G41" s="114" t="s">
        <v>697</v>
      </c>
      <c r="H41" s="114" t="s">
        <v>698</v>
      </c>
      <c r="I41" s="114" t="s">
        <v>699</v>
      </c>
      <c r="J41" s="114" t="s">
        <v>700</v>
      </c>
      <c r="K41" s="114" t="s">
        <v>405</v>
      </c>
      <c r="L41" s="114" t="s">
        <v>216</v>
      </c>
      <c r="M41" s="114" t="s">
        <v>406</v>
      </c>
      <c r="N41" s="114" t="s">
        <v>642</v>
      </c>
      <c r="O41" s="114" t="s">
        <v>701</v>
      </c>
      <c r="P41" s="98"/>
      <c r="Q41" s="115" t="s">
        <v>407</v>
      </c>
      <c r="R41" s="115" t="s">
        <v>408</v>
      </c>
      <c r="S41" s="115" t="s">
        <v>409</v>
      </c>
      <c r="T41" s="115" t="s">
        <v>410</v>
      </c>
      <c r="U41" s="101"/>
      <c r="V41" s="247"/>
      <c r="W41" s="95"/>
      <c r="X41" s="95"/>
      <c r="Y41" s="95"/>
      <c r="Z41" s="95"/>
      <c r="AA41" s="95"/>
      <c r="AB41" s="95"/>
      <c r="AC41" s="95"/>
    </row>
    <row r="42" spans="1:29" ht="15.75" customHeight="1">
      <c r="C42" s="336" t="str">
        <f>RSD_Procesess!D53</f>
        <v>RSD_FLAT_WH_ELC_R</v>
      </c>
      <c r="D42" s="336" t="str">
        <f t="shared" ref="D42:D51" si="24">D25</f>
        <v>RSD_ELC</v>
      </c>
      <c r="E42" s="336" t="str">
        <f>RSD_Comm!D21</f>
        <v>RSD_FLAT_WH</v>
      </c>
      <c r="F42" s="163">
        <f t="shared" ref="F42:F44" si="25">R42/(M42*700.8*3.6*0.001)</f>
        <v>2.7235318994014484</v>
      </c>
      <c r="G42" s="337">
        <f>F42</f>
        <v>2.7235318994014484</v>
      </c>
      <c r="H42" s="337">
        <f>F42</f>
        <v>2.7235318994014484</v>
      </c>
      <c r="I42" s="337">
        <f>G42</f>
        <v>2.7235318994014484</v>
      </c>
      <c r="J42" s="337">
        <f>F42</f>
        <v>2.7235318994014484</v>
      </c>
      <c r="K42" s="338">
        <v>31.536000000000001</v>
      </c>
      <c r="L42" s="337">
        <v>0.9</v>
      </c>
      <c r="M42" s="337">
        <v>1</v>
      </c>
      <c r="N42" s="339">
        <v>2.8805748622573849E-2</v>
      </c>
      <c r="O42" s="542">
        <v>20</v>
      </c>
      <c r="P42" s="98"/>
      <c r="Q42" s="302">
        <f>S42/$S$40</f>
        <v>5.2172863096378891E-2</v>
      </c>
      <c r="R42" s="277">
        <f>AA7*AA4</f>
        <v>6.8711441583619264</v>
      </c>
      <c r="S42" s="294">
        <f t="shared" ref="S42:S52" si="26">F42*K42*M42*N42</f>
        <v>2.474105642190505</v>
      </c>
      <c r="T42" s="288">
        <f t="shared" ref="T42:T52" si="27">F42*K42*N42/L42</f>
        <v>2.749006269100561</v>
      </c>
      <c r="U42" s="101"/>
      <c r="V42" s="247"/>
      <c r="W42" s="95"/>
      <c r="X42" s="95"/>
      <c r="Y42" s="95"/>
      <c r="Z42" s="95"/>
      <c r="AA42" s="95"/>
      <c r="AB42" s="95"/>
      <c r="AC42" s="95"/>
    </row>
    <row r="43" spans="1:29" ht="15.75" customHeight="1">
      <c r="A43" s="106"/>
      <c r="C43" s="161" t="str">
        <f>RSD_Procesess!D54</f>
        <v>RSD_FLAT_WH_ELC_HPA</v>
      </c>
      <c r="D43" s="161" t="str">
        <f t="shared" si="24"/>
        <v>RSD_ELC</v>
      </c>
      <c r="E43" s="161" t="str">
        <f>E42</f>
        <v>RSD_FLAT_WH</v>
      </c>
      <c r="F43" s="163">
        <f t="shared" si="25"/>
        <v>0.12463157945559161</v>
      </c>
      <c r="G43" s="163">
        <f t="shared" ref="G43:I52" si="28">F43</f>
        <v>0.12463157945559161</v>
      </c>
      <c r="H43" s="163">
        <f t="shared" ref="H43:I52" si="29">F43</f>
        <v>0.12463157945559161</v>
      </c>
      <c r="I43" s="163">
        <f t="shared" si="29"/>
        <v>0.12463157945559161</v>
      </c>
      <c r="J43" s="163">
        <f t="shared" ref="J43:J52" si="30">F43</f>
        <v>0.12463157945559161</v>
      </c>
      <c r="K43" s="339">
        <v>31.536000000000001</v>
      </c>
      <c r="L43" s="163">
        <v>2.5</v>
      </c>
      <c r="M43" s="163">
        <v>1</v>
      </c>
      <c r="N43" s="339">
        <v>0.08</v>
      </c>
      <c r="O43" s="535">
        <v>20</v>
      </c>
      <c r="P43" s="98"/>
      <c r="Q43" s="302">
        <f t="shared" ref="Q43:Q52" si="31">S43/$S$40</f>
        <v>6.6305739539143675E-3</v>
      </c>
      <c r="R43" s="277">
        <f>AA19*AA4</f>
        <v>0.314430519176923</v>
      </c>
      <c r="S43" s="294">
        <f t="shared" si="26"/>
        <v>0.314430519176923</v>
      </c>
      <c r="T43" s="288">
        <f t="shared" si="27"/>
        <v>0.12577220767076919</v>
      </c>
      <c r="U43" s="101"/>
      <c r="V43" s="247"/>
      <c r="W43" s="95"/>
      <c r="X43" s="95"/>
      <c r="Y43" s="95"/>
      <c r="Z43" s="95"/>
      <c r="AA43" s="95"/>
      <c r="AB43" s="95"/>
      <c r="AC43" s="95"/>
    </row>
    <row r="44" spans="1:29" ht="15.75" customHeight="1">
      <c r="A44" s="106"/>
      <c r="C44" s="164" t="str">
        <f>RSD_Procesess!D55</f>
        <v>RSD_FLAT_WH_ELC_HPG</v>
      </c>
      <c r="D44" s="164" t="str">
        <f t="shared" si="24"/>
        <v>RSD_ELC</v>
      </c>
      <c r="E44" s="164" t="str">
        <f t="shared" ref="E44:E51" si="32">E43</f>
        <v>RSD_FLAT_WH</v>
      </c>
      <c r="F44" s="166">
        <f t="shared" si="25"/>
        <v>3.1157894863897903E-2</v>
      </c>
      <c r="G44" s="166">
        <f t="shared" si="28"/>
        <v>3.1157894863897903E-2</v>
      </c>
      <c r="H44" s="166">
        <f t="shared" si="29"/>
        <v>3.1157894863897903E-2</v>
      </c>
      <c r="I44" s="166">
        <f t="shared" si="29"/>
        <v>3.1157894863897903E-2</v>
      </c>
      <c r="J44" s="166">
        <f t="shared" si="30"/>
        <v>3.1157894863897903E-2</v>
      </c>
      <c r="K44" s="340">
        <v>31.536000000000001</v>
      </c>
      <c r="L44" s="166">
        <v>3</v>
      </c>
      <c r="M44" s="166">
        <v>1</v>
      </c>
      <c r="N44" s="340">
        <v>0.08</v>
      </c>
      <c r="O44" s="533">
        <v>20</v>
      </c>
      <c r="P44" s="98"/>
      <c r="Q44" s="302">
        <f t="shared" si="31"/>
        <v>1.6576434884785919E-3</v>
      </c>
      <c r="R44" s="277">
        <f>AA20*AA4</f>
        <v>7.8607629794230749E-2</v>
      </c>
      <c r="S44" s="294">
        <f t="shared" si="26"/>
        <v>7.8607629794230749E-2</v>
      </c>
      <c r="T44" s="288">
        <f t="shared" si="27"/>
        <v>2.6202543264743583E-2</v>
      </c>
      <c r="U44" s="101"/>
      <c r="V44" s="247"/>
      <c r="W44" s="95"/>
      <c r="X44" s="95"/>
      <c r="Y44" s="95"/>
      <c r="Z44" s="95"/>
      <c r="AA44" s="95"/>
      <c r="AB44" s="95"/>
      <c r="AC44" s="95"/>
    </row>
    <row r="45" spans="1:29" ht="15.75" customHeight="1">
      <c r="C45" s="161" t="str">
        <f>RSD_Procesess!D56</f>
        <v>RSD_FLAT_WH_GAS</v>
      </c>
      <c r="D45" s="161" t="str">
        <f t="shared" si="24"/>
        <v>RSD_GAS</v>
      </c>
      <c r="E45" s="161" t="str">
        <f t="shared" si="32"/>
        <v>RSD_FLAT_WH</v>
      </c>
      <c r="F45" s="163">
        <f>R45/(M45*700.8*3.6*0.001)</f>
        <v>4.4450749568787771</v>
      </c>
      <c r="G45" s="163">
        <f t="shared" si="28"/>
        <v>4.4450749568787771</v>
      </c>
      <c r="H45" s="163">
        <f t="shared" si="28"/>
        <v>4.4450749568787771</v>
      </c>
      <c r="I45" s="163">
        <f t="shared" si="28"/>
        <v>4.4450749568787771</v>
      </c>
      <c r="J45" s="163">
        <v>0</v>
      </c>
      <c r="K45" s="339">
        <v>31.536000000000001</v>
      </c>
      <c r="L45" s="163">
        <v>0.8</v>
      </c>
      <c r="M45" s="163">
        <v>1</v>
      </c>
      <c r="N45" s="339">
        <v>0.08</v>
      </c>
      <c r="O45" s="535">
        <v>20</v>
      </c>
      <c r="P45" s="98"/>
      <c r="Q45" s="302">
        <f t="shared" si="31"/>
        <v>0.23648419093316014</v>
      </c>
      <c r="R45" s="277">
        <f>AA9*AA4</f>
        <v>11.214390707210331</v>
      </c>
      <c r="S45" s="294">
        <f t="shared" si="26"/>
        <v>11.214390707210329</v>
      </c>
      <c r="T45" s="288">
        <f t="shared" si="27"/>
        <v>14.017988384012911</v>
      </c>
      <c r="U45" s="101"/>
      <c r="V45" s="247"/>
      <c r="W45" s="95"/>
      <c r="X45" s="95"/>
      <c r="Y45" s="95"/>
      <c r="Z45" s="95"/>
      <c r="AA45" s="95"/>
      <c r="AB45" s="95"/>
      <c r="AC45" s="95"/>
    </row>
    <row r="46" spans="1:29" ht="15.75" customHeight="1">
      <c r="C46" s="164" t="str">
        <f>RSD_Procesess!D57</f>
        <v>RSD_FLAT_WH_DH</v>
      </c>
      <c r="D46" s="164" t="str">
        <f t="shared" si="24"/>
        <v>RSD_DH</v>
      </c>
      <c r="E46" s="164" t="str">
        <f t="shared" si="32"/>
        <v>RSD_FLAT_WH</v>
      </c>
      <c r="F46" s="166">
        <f t="shared" ref="F46:F52" si="33">R46/(M46*700.8*3.6*0.001)</f>
        <v>11.889044844250824</v>
      </c>
      <c r="G46" s="166">
        <f t="shared" si="28"/>
        <v>11.889044844250824</v>
      </c>
      <c r="H46" s="166">
        <f t="shared" si="29"/>
        <v>11.889044844250824</v>
      </c>
      <c r="I46" s="166">
        <f t="shared" si="29"/>
        <v>11.889044844250824</v>
      </c>
      <c r="J46" s="166">
        <f t="shared" si="30"/>
        <v>11.889044844250824</v>
      </c>
      <c r="K46" s="340">
        <v>31.536000000000001</v>
      </c>
      <c r="L46" s="166">
        <v>0.85</v>
      </c>
      <c r="M46" s="166">
        <v>1</v>
      </c>
      <c r="N46" s="340">
        <v>0.08</v>
      </c>
      <c r="O46" s="533">
        <v>20</v>
      </c>
      <c r="P46" s="98"/>
      <c r="Q46" s="302">
        <f t="shared" si="31"/>
        <v>0.63251377721084179</v>
      </c>
      <c r="R46" s="277">
        <f>AA8*AA4</f>
        <v>29.994633456663522</v>
      </c>
      <c r="S46" s="294">
        <f t="shared" si="26"/>
        <v>29.994633456663518</v>
      </c>
      <c r="T46" s="288">
        <f t="shared" si="27"/>
        <v>35.287804066662964</v>
      </c>
      <c r="U46" s="101"/>
      <c r="V46" s="95"/>
      <c r="W46" s="95"/>
      <c r="X46" s="95"/>
      <c r="Y46" s="95"/>
      <c r="Z46" s="95"/>
      <c r="AA46" s="95"/>
      <c r="AB46" s="95"/>
      <c r="AC46" s="95"/>
    </row>
    <row r="47" spans="1:29" ht="15.75" customHeight="1">
      <c r="C47" s="161" t="str">
        <f>RSD_Procesess!D58</f>
        <v>RSD_FLAT_WH_OIL</v>
      </c>
      <c r="D47" s="161" t="str">
        <f t="shared" si="24"/>
        <v>RSD_OIL</v>
      </c>
      <c r="E47" s="161" t="str">
        <f t="shared" si="32"/>
        <v>RSD_FLAT_WH</v>
      </c>
      <c r="F47" s="163">
        <f t="shared" si="33"/>
        <v>0</v>
      </c>
      <c r="G47" s="163">
        <f t="shared" si="28"/>
        <v>0</v>
      </c>
      <c r="H47" s="163">
        <f t="shared" si="29"/>
        <v>0</v>
      </c>
      <c r="I47" s="163">
        <f t="shared" si="29"/>
        <v>0</v>
      </c>
      <c r="J47" s="163">
        <f t="shared" si="30"/>
        <v>0</v>
      </c>
      <c r="K47" s="339">
        <v>31.536000000000001</v>
      </c>
      <c r="L47" s="163">
        <v>0.95</v>
      </c>
      <c r="M47" s="163">
        <v>1</v>
      </c>
      <c r="N47" s="339">
        <v>0.08</v>
      </c>
      <c r="O47" s="535">
        <v>20</v>
      </c>
      <c r="P47" s="98"/>
      <c r="Q47" s="302">
        <f t="shared" si="31"/>
        <v>0</v>
      </c>
      <c r="R47" s="277">
        <f>AA11*AA4</f>
        <v>0</v>
      </c>
      <c r="S47" s="294">
        <f t="shared" si="26"/>
        <v>0</v>
      </c>
      <c r="T47" s="288">
        <f t="shared" si="27"/>
        <v>0</v>
      </c>
      <c r="U47" s="101"/>
      <c r="V47" s="95"/>
      <c r="W47" s="95"/>
      <c r="X47" s="95"/>
      <c r="Y47" s="95"/>
      <c r="Z47" s="95"/>
      <c r="AA47" s="95"/>
      <c r="AB47" s="95"/>
      <c r="AC47" s="95"/>
    </row>
    <row r="48" spans="1:29" ht="15.75" customHeight="1">
      <c r="C48" s="164" t="str">
        <f>RSD_Procesess!D59</f>
        <v>RSD_FLAT_WH_BIO</v>
      </c>
      <c r="D48" s="164" t="str">
        <f t="shared" si="24"/>
        <v>RSD_BIO</v>
      </c>
      <c r="E48" s="164" t="str">
        <f t="shared" si="32"/>
        <v>RSD_FLAT_WH</v>
      </c>
      <c r="F48" s="166">
        <f t="shared" si="33"/>
        <v>0</v>
      </c>
      <c r="G48" s="166">
        <f t="shared" si="28"/>
        <v>0</v>
      </c>
      <c r="H48" s="166">
        <f t="shared" si="29"/>
        <v>0</v>
      </c>
      <c r="I48" s="166">
        <f t="shared" si="29"/>
        <v>0</v>
      </c>
      <c r="J48" s="166">
        <f t="shared" si="30"/>
        <v>0</v>
      </c>
      <c r="K48" s="340">
        <v>31.536000000000001</v>
      </c>
      <c r="L48" s="166">
        <v>0.75</v>
      </c>
      <c r="M48" s="166">
        <v>1</v>
      </c>
      <c r="N48" s="340">
        <v>0.08</v>
      </c>
      <c r="O48" s="533">
        <v>20</v>
      </c>
      <c r="P48" s="98"/>
      <c r="Q48" s="302">
        <f t="shared" si="31"/>
        <v>0</v>
      </c>
      <c r="R48" s="277">
        <f>(AA15+AA16)*AA4</f>
        <v>0</v>
      </c>
      <c r="S48" s="294">
        <f t="shared" si="26"/>
        <v>0</v>
      </c>
      <c r="T48" s="288">
        <f t="shared" si="27"/>
        <v>0</v>
      </c>
      <c r="U48" s="101"/>
      <c r="V48" s="95"/>
      <c r="W48" s="95"/>
      <c r="X48" s="95"/>
      <c r="Y48" s="95"/>
      <c r="Z48" s="95"/>
      <c r="AA48" s="95"/>
      <c r="AB48" s="95"/>
      <c r="AC48" s="95"/>
    </row>
    <row r="49" spans="1:29" ht="15.75" customHeight="1">
      <c r="C49" s="161" t="str">
        <f>RSD_Procesess!D60</f>
        <v>RSD_FLAT_WH_HC</v>
      </c>
      <c r="D49" s="161" t="str">
        <f t="shared" si="24"/>
        <v>RSD_HC</v>
      </c>
      <c r="E49" s="161" t="str">
        <f t="shared" si="32"/>
        <v>RSD_FLAT_WH</v>
      </c>
      <c r="F49" s="163">
        <f t="shared" si="33"/>
        <v>0.55957480058012499</v>
      </c>
      <c r="G49" s="163">
        <f t="shared" si="28"/>
        <v>0.55957480058012499</v>
      </c>
      <c r="H49" s="163">
        <v>0</v>
      </c>
      <c r="I49" s="163">
        <v>0</v>
      </c>
      <c r="J49" s="163">
        <v>0</v>
      </c>
      <c r="K49" s="339">
        <v>31.536000000000001</v>
      </c>
      <c r="L49" s="163">
        <v>0.8</v>
      </c>
      <c r="M49" s="163">
        <v>1</v>
      </c>
      <c r="N49" s="339">
        <v>0.08</v>
      </c>
      <c r="O49" s="535">
        <v>20</v>
      </c>
      <c r="P49" s="98"/>
      <c r="Q49" s="302">
        <f t="shared" si="31"/>
        <v>2.9770160293246126E-2</v>
      </c>
      <c r="R49" s="277">
        <f>(AA12+AA13+AA14)*AA4*1/3</f>
        <v>1.411740072887586</v>
      </c>
      <c r="S49" s="294">
        <f t="shared" si="26"/>
        <v>1.411740072887586</v>
      </c>
      <c r="T49" s="288">
        <f t="shared" si="27"/>
        <v>1.7646750911094824</v>
      </c>
      <c r="U49" s="101"/>
      <c r="V49" s="95"/>
      <c r="W49" s="95"/>
      <c r="X49" s="95"/>
      <c r="Y49" s="95"/>
      <c r="Z49" s="95"/>
      <c r="AA49" s="95"/>
      <c r="AB49" s="95"/>
      <c r="AC49" s="95"/>
    </row>
    <row r="50" spans="1:29" ht="15.75" customHeight="1">
      <c r="C50" s="164" t="str">
        <f>RSD_Procesess!D61</f>
        <v>RSD_FLAT_WH_LPG</v>
      </c>
      <c r="D50" s="164" t="str">
        <f t="shared" si="24"/>
        <v>RSD_LPG</v>
      </c>
      <c r="E50" s="164" t="str">
        <f t="shared" si="32"/>
        <v>RSD_FLAT_WH</v>
      </c>
      <c r="F50" s="166">
        <f t="shared" si="33"/>
        <v>0</v>
      </c>
      <c r="G50" s="166">
        <f t="shared" si="28"/>
        <v>0</v>
      </c>
      <c r="H50" s="166">
        <f t="shared" si="29"/>
        <v>0</v>
      </c>
      <c r="I50" s="166">
        <f t="shared" si="29"/>
        <v>0</v>
      </c>
      <c r="J50" s="166">
        <f t="shared" si="30"/>
        <v>0</v>
      </c>
      <c r="K50" s="340">
        <v>31.536000000000001</v>
      </c>
      <c r="L50" s="166">
        <v>0.95</v>
      </c>
      <c r="M50" s="166">
        <v>1</v>
      </c>
      <c r="N50" s="340">
        <v>0.08</v>
      </c>
      <c r="O50" s="535">
        <v>20</v>
      </c>
      <c r="P50" s="98"/>
      <c r="Q50" s="302">
        <f t="shared" si="31"/>
        <v>0</v>
      </c>
      <c r="R50" s="277">
        <f>AA10*AA4</f>
        <v>0</v>
      </c>
      <c r="S50" s="294">
        <f t="shared" si="26"/>
        <v>0</v>
      </c>
      <c r="T50" s="288">
        <f t="shared" si="27"/>
        <v>0</v>
      </c>
      <c r="U50" s="101"/>
      <c r="V50" s="95"/>
      <c r="W50" s="95"/>
      <c r="X50" s="95"/>
      <c r="Y50" s="95"/>
      <c r="Z50" s="95"/>
      <c r="AA50" s="95"/>
      <c r="AB50" s="95"/>
      <c r="AC50" s="95"/>
    </row>
    <row r="51" spans="1:29" ht="15.75" customHeight="1">
      <c r="C51" s="161" t="str">
        <f>RSD_Procesess!D62</f>
        <v>RSD_FLAT_WH_GEO</v>
      </c>
      <c r="D51" s="161" t="str">
        <f t="shared" si="24"/>
        <v>RSD_GEO</v>
      </c>
      <c r="E51" s="161" t="str">
        <f t="shared" si="32"/>
        <v>RSD_FLAT_WH</v>
      </c>
      <c r="F51" s="163">
        <v>0.38446523437500002</v>
      </c>
      <c r="G51" s="163">
        <f t="shared" si="28"/>
        <v>0.38446523437500002</v>
      </c>
      <c r="H51" s="163">
        <f t="shared" si="29"/>
        <v>0.38446523437500002</v>
      </c>
      <c r="I51" s="163">
        <f t="shared" si="29"/>
        <v>0.38446523437500002</v>
      </c>
      <c r="J51" s="163">
        <f t="shared" si="30"/>
        <v>0.38446523437500002</v>
      </c>
      <c r="K51" s="339">
        <v>31.536000000000001</v>
      </c>
      <c r="L51" s="163">
        <v>0.95</v>
      </c>
      <c r="M51" s="163">
        <v>1</v>
      </c>
      <c r="N51" s="339">
        <v>0.08</v>
      </c>
      <c r="O51" s="535">
        <v>20</v>
      </c>
      <c r="P51" s="98"/>
      <c r="Q51" s="302">
        <f t="shared" si="31"/>
        <v>2.0454087000805369E-2</v>
      </c>
      <c r="R51" s="277">
        <f>AA21*AA4</f>
        <v>0.86218635600000004</v>
      </c>
      <c r="S51" s="294">
        <f t="shared" si="26"/>
        <v>0.9699596505000001</v>
      </c>
      <c r="T51" s="288">
        <f t="shared" si="27"/>
        <v>1.0210101584210527</v>
      </c>
      <c r="U51" s="101"/>
      <c r="V51" s="95"/>
      <c r="W51" s="95"/>
      <c r="X51" s="95"/>
      <c r="Y51" s="95"/>
      <c r="Z51" s="95"/>
      <c r="AA51" s="95"/>
      <c r="AB51" s="95"/>
      <c r="AC51" s="95"/>
    </row>
    <row r="52" spans="1:29" ht="15.75" customHeight="1" thickBot="1">
      <c r="C52" s="210" t="str">
        <f>RSD_Procesess!D63</f>
        <v>RSD_FLAT_WH_SOL</v>
      </c>
      <c r="D52" s="210" t="str">
        <f>SECTF!E13</f>
        <v>RSD_SOL</v>
      </c>
      <c r="E52" s="210" t="str">
        <f>E51</f>
        <v>RSD_FLAT_WH</v>
      </c>
      <c r="F52" s="315">
        <f t="shared" si="33"/>
        <v>0.38188291531614621</v>
      </c>
      <c r="G52" s="315">
        <f t="shared" si="28"/>
        <v>0.38188291531614621</v>
      </c>
      <c r="H52" s="315">
        <f t="shared" si="29"/>
        <v>0.38188291531614621</v>
      </c>
      <c r="I52" s="315">
        <f t="shared" si="29"/>
        <v>0.38188291531614621</v>
      </c>
      <c r="J52" s="315">
        <f t="shared" si="30"/>
        <v>0.38188291531614621</v>
      </c>
      <c r="K52" s="342">
        <v>31.536000000000001</v>
      </c>
      <c r="L52" s="315">
        <v>0.95</v>
      </c>
      <c r="M52" s="315">
        <v>1</v>
      </c>
      <c r="N52" s="342">
        <v>0.08</v>
      </c>
      <c r="O52" s="341">
        <v>20</v>
      </c>
      <c r="P52" s="98"/>
      <c r="Q52" s="302">
        <f t="shared" si="31"/>
        <v>2.0316704023175418E-2</v>
      </c>
      <c r="R52" s="277">
        <f>AA17*AA4</f>
        <v>0.96344476939279911</v>
      </c>
      <c r="S52" s="294">
        <f t="shared" si="26"/>
        <v>0.96344476939279899</v>
      </c>
      <c r="T52" s="288">
        <f t="shared" si="27"/>
        <v>1.0141523888345254</v>
      </c>
      <c r="U52" s="101"/>
      <c r="V52" s="95"/>
      <c r="W52" s="95"/>
      <c r="X52" s="95"/>
      <c r="Y52" s="95"/>
      <c r="Z52" s="95"/>
      <c r="AA52" s="95"/>
      <c r="AB52" s="95"/>
      <c r="AC52" s="95"/>
    </row>
    <row r="53" spans="1:29">
      <c r="A53" s="106"/>
      <c r="N53" s="105"/>
      <c r="O53" s="105"/>
      <c r="P53" s="98"/>
      <c r="Q53" s="281"/>
      <c r="R53" s="280">
        <f>SUM(R42:R52)</f>
        <v>51.710577669487328</v>
      </c>
      <c r="S53" s="285">
        <f>SUM(S42:S52)</f>
        <v>47.4213124478159</v>
      </c>
      <c r="T53" s="282"/>
      <c r="V53" s="95"/>
      <c r="W53" s="95"/>
      <c r="X53" s="95"/>
      <c r="Y53" s="95"/>
      <c r="Z53" s="95"/>
      <c r="AA53" s="95"/>
      <c r="AB53" s="95"/>
      <c r="AC53" s="95"/>
    </row>
    <row r="54" spans="1:29">
      <c r="N54" s="105"/>
      <c r="O54" s="105"/>
      <c r="P54" s="98"/>
      <c r="Q54" s="98"/>
      <c r="R54" s="98"/>
      <c r="S54" s="98"/>
      <c r="V54" s="95"/>
      <c r="W54" s="95"/>
      <c r="X54" s="95"/>
      <c r="Y54" s="95"/>
      <c r="Z54" s="95"/>
      <c r="AA54" s="95"/>
      <c r="AB54" s="95"/>
      <c r="AC54" s="95"/>
    </row>
    <row r="55" spans="1:29">
      <c r="N55" s="105"/>
      <c r="O55" s="105"/>
      <c r="P55" s="98"/>
      <c r="Q55" s="98"/>
      <c r="R55" s="98"/>
      <c r="S55" s="98"/>
      <c r="V55" s="95"/>
      <c r="W55" s="95"/>
      <c r="X55" s="95"/>
      <c r="Y55" s="95"/>
      <c r="Z55" s="95"/>
      <c r="AA55" s="95"/>
      <c r="AB55" s="95"/>
      <c r="AC55" s="95"/>
    </row>
    <row r="56" spans="1:29">
      <c r="E56" s="253"/>
      <c r="F56" s="253"/>
      <c r="G56" s="253"/>
      <c r="H56" s="253"/>
      <c r="I56" s="253"/>
      <c r="J56" s="253"/>
      <c r="N56" s="105"/>
      <c r="O56" s="105"/>
      <c r="P56" s="98"/>
      <c r="Q56" s="98"/>
      <c r="R56" s="244"/>
      <c r="S56" s="244"/>
      <c r="W56" s="95"/>
      <c r="X56" s="95"/>
      <c r="Y56" s="95"/>
      <c r="Z56" s="95"/>
      <c r="AA56" s="95"/>
      <c r="AB56" s="95"/>
      <c r="AC56" s="95"/>
    </row>
    <row r="57" spans="1:29" ht="15.75">
      <c r="D57" s="255"/>
      <c r="E57" s="253"/>
      <c r="F57" s="253"/>
      <c r="G57" s="253"/>
      <c r="H57" s="253"/>
      <c r="I57" s="253"/>
      <c r="J57" s="253"/>
      <c r="N57" s="105"/>
      <c r="O57" s="105"/>
      <c r="P57" s="254" t="s">
        <v>425</v>
      </c>
      <c r="Q57" s="98"/>
      <c r="R57" s="98"/>
      <c r="S57" s="98"/>
      <c r="W57" s="95"/>
      <c r="X57" s="95"/>
      <c r="Y57" s="95"/>
      <c r="Z57" s="95"/>
      <c r="AA57" s="95"/>
      <c r="AB57" s="95"/>
      <c r="AC57" s="95"/>
    </row>
    <row r="58" spans="1:29" ht="75">
      <c r="N58" s="98"/>
      <c r="O58" s="98"/>
      <c r="P58" s="296" t="s">
        <v>426</v>
      </c>
      <c r="Q58" s="296" t="s">
        <v>427</v>
      </c>
      <c r="R58" s="296" t="s">
        <v>445</v>
      </c>
      <c r="S58" s="115" t="s">
        <v>409</v>
      </c>
      <c r="T58" s="287" t="s">
        <v>410</v>
      </c>
      <c r="V58" s="98"/>
      <c r="W58" s="95"/>
      <c r="X58" s="95"/>
      <c r="Y58" s="95"/>
      <c r="Z58" s="95"/>
      <c r="AA58" s="289" t="s">
        <v>298</v>
      </c>
      <c r="AB58" s="290" t="s">
        <v>299</v>
      </c>
      <c r="AC58" s="291" t="s">
        <v>300</v>
      </c>
    </row>
    <row r="59" spans="1:29">
      <c r="P59" s="266" t="s">
        <v>429</v>
      </c>
      <c r="Q59" s="267" t="s">
        <v>430</v>
      </c>
      <c r="R59" s="268">
        <v>7653.6</v>
      </c>
      <c r="T59" s="288">
        <f>T9+T25+T42</f>
        <v>7.0540468968218999</v>
      </c>
      <c r="U59" s="95" t="s">
        <v>96</v>
      </c>
      <c r="W59" s="95"/>
      <c r="X59" s="95"/>
      <c r="Y59" s="95"/>
      <c r="Z59" s="248" t="s">
        <v>137</v>
      </c>
      <c r="AA59" s="303">
        <f>Q42</f>
        <v>5.2172863096378891E-2</v>
      </c>
      <c r="AB59" s="303">
        <f>Q9</f>
        <v>5.83865902579443E-2</v>
      </c>
      <c r="AC59" s="303">
        <f>Q25</f>
        <v>0.11310204248040653</v>
      </c>
    </row>
    <row r="60" spans="1:29">
      <c r="P60" s="266" t="s">
        <v>431</v>
      </c>
      <c r="Q60" s="269" t="s">
        <v>430</v>
      </c>
      <c r="R60" s="270">
        <v>49750</v>
      </c>
      <c r="T60" s="288">
        <f>T13+T29+T46</f>
        <v>46.631016047747195</v>
      </c>
      <c r="U60" s="95" t="s">
        <v>105</v>
      </c>
      <c r="W60" s="95"/>
      <c r="X60" s="95"/>
      <c r="Y60" s="95"/>
      <c r="Z60" s="248" t="s">
        <v>139</v>
      </c>
      <c r="AA60" s="303">
        <f t="shared" ref="AA60:AA69" si="34">Q43</f>
        <v>6.6305739539143675E-3</v>
      </c>
      <c r="AB60" s="303">
        <f t="shared" ref="AB60:AB69" si="35">Q10</f>
        <v>6.2869828850408644E-3</v>
      </c>
      <c r="AC60" s="303">
        <f t="shared" ref="AC60:AC69" si="36">Q26</f>
        <v>6.9750692472405462E-3</v>
      </c>
    </row>
    <row r="61" spans="1:29">
      <c r="P61" s="266" t="s">
        <v>412</v>
      </c>
      <c r="Q61" s="269" t="s">
        <v>432</v>
      </c>
      <c r="R61" s="270">
        <v>44845</v>
      </c>
      <c r="T61" s="288">
        <f>T12+T28+T45</f>
        <v>41.341127069116972</v>
      </c>
      <c r="U61" s="95" t="s">
        <v>103</v>
      </c>
      <c r="W61" s="95"/>
      <c r="X61" s="95"/>
      <c r="Y61" s="95"/>
      <c r="Z61" s="248" t="s">
        <v>140</v>
      </c>
      <c r="AA61" s="303">
        <f t="shared" si="34"/>
        <v>1.6576434884785919E-3</v>
      </c>
      <c r="AB61" s="303">
        <f t="shared" si="35"/>
        <v>1.5717457212602161E-3</v>
      </c>
      <c r="AC61" s="303">
        <f t="shared" si="36"/>
        <v>1.7437673118101365E-3</v>
      </c>
    </row>
    <row r="62" spans="1:29">
      <c r="P62" s="266" t="s">
        <v>433</v>
      </c>
      <c r="Q62" s="267" t="s">
        <v>430</v>
      </c>
      <c r="R62" s="268">
        <v>19467.240000000002</v>
      </c>
      <c r="T62" s="288">
        <f>T16+T32+T49</f>
        <v>18.702375057102035</v>
      </c>
      <c r="U62" s="95" t="s">
        <v>111</v>
      </c>
      <c r="W62" s="95"/>
      <c r="X62" s="95"/>
      <c r="Y62" s="95"/>
      <c r="Z62" s="248" t="s">
        <v>141</v>
      </c>
      <c r="AA62" s="303">
        <f t="shared" si="34"/>
        <v>0.23648419093316014</v>
      </c>
      <c r="AB62" s="303">
        <f t="shared" si="35"/>
        <v>0.39083354158114086</v>
      </c>
      <c r="AC62" s="303">
        <f t="shared" si="36"/>
        <v>0.28506694024016271</v>
      </c>
    </row>
    <row r="63" spans="1:29">
      <c r="P63" s="272" t="s">
        <v>434</v>
      </c>
      <c r="Q63" s="267" t="s">
        <v>430</v>
      </c>
      <c r="R63" s="271">
        <v>1150</v>
      </c>
      <c r="T63" s="288">
        <f>T17+T33+T50</f>
        <v>1.8485403945143344</v>
      </c>
      <c r="U63" s="95" t="s">
        <v>113</v>
      </c>
      <c r="W63" s="95"/>
      <c r="X63" s="95"/>
      <c r="Y63" s="95"/>
      <c r="Z63" s="248" t="s">
        <v>143</v>
      </c>
      <c r="AA63" s="303">
        <f t="shared" si="34"/>
        <v>0.63251377721084179</v>
      </c>
      <c r="AB63" s="303">
        <f t="shared" si="35"/>
        <v>0.1416350702748902</v>
      </c>
      <c r="AC63" s="303">
        <f t="shared" si="36"/>
        <v>0.23377660159574318</v>
      </c>
    </row>
    <row r="64" spans="1:29">
      <c r="P64" s="272" t="s">
        <v>435</v>
      </c>
      <c r="Q64" s="267" t="s">
        <v>430</v>
      </c>
      <c r="R64" s="271">
        <v>344</v>
      </c>
      <c r="T64" s="288">
        <f>T14+T30+T47</f>
        <v>0.38324832023413802</v>
      </c>
      <c r="U64" s="95" t="s">
        <v>107</v>
      </c>
      <c r="W64" s="95"/>
      <c r="X64" s="95"/>
      <c r="Y64" s="95"/>
      <c r="Z64" s="248" t="s">
        <v>145</v>
      </c>
      <c r="AA64" s="303">
        <f t="shared" si="34"/>
        <v>0</v>
      </c>
      <c r="AB64" s="303">
        <f t="shared" si="35"/>
        <v>5.9225361305536711E-3</v>
      </c>
      <c r="AC64" s="303">
        <f t="shared" si="36"/>
        <v>6.6251314670584581E-3</v>
      </c>
    </row>
    <row r="65" spans="16:29">
      <c r="P65" s="272" t="s">
        <v>437</v>
      </c>
      <c r="Q65" s="269" t="s">
        <v>430</v>
      </c>
      <c r="R65" s="270">
        <v>2626</v>
      </c>
      <c r="T65" s="288">
        <f>T19+T35+T52</f>
        <v>2.2200171101566308</v>
      </c>
      <c r="U65" s="95" t="s">
        <v>446</v>
      </c>
      <c r="W65" s="95"/>
      <c r="X65" s="95"/>
      <c r="Y65" s="95"/>
      <c r="Z65" s="248" t="s">
        <v>147</v>
      </c>
      <c r="AA65" s="303">
        <f t="shared" si="34"/>
        <v>0</v>
      </c>
      <c r="AB65" s="303">
        <f t="shared" si="35"/>
        <v>0.10163297394833697</v>
      </c>
      <c r="AC65" s="303">
        <f t="shared" si="36"/>
        <v>0</v>
      </c>
    </row>
    <row r="66" spans="16:29" ht="26.25">
      <c r="P66" s="272" t="s">
        <v>438</v>
      </c>
      <c r="Q66" s="269" t="s">
        <v>430</v>
      </c>
      <c r="R66" s="270">
        <v>8550</v>
      </c>
      <c r="T66" s="288">
        <f>T15+T31+T48</f>
        <v>7.42568884561208</v>
      </c>
      <c r="U66" s="95" t="s">
        <v>109</v>
      </c>
      <c r="W66" s="95"/>
      <c r="X66" s="95"/>
      <c r="Y66" s="95"/>
      <c r="Z66" s="248" t="s">
        <v>149</v>
      </c>
      <c r="AA66" s="303">
        <f t="shared" si="34"/>
        <v>2.9770160293246126E-2</v>
      </c>
      <c r="AB66" s="303">
        <f t="shared" si="35"/>
        <v>0.22181179535990314</v>
      </c>
      <c r="AC66" s="303">
        <f t="shared" si="36"/>
        <v>0.23377660159574321</v>
      </c>
    </row>
    <row r="67" spans="16:29" ht="26.25">
      <c r="P67" s="272" t="s">
        <v>439</v>
      </c>
      <c r="Q67" s="269" t="s">
        <v>430</v>
      </c>
      <c r="R67" s="270">
        <v>2972</v>
      </c>
      <c r="T67" s="288">
        <f>T18+T34+T51</f>
        <v>2.862267070926316</v>
      </c>
      <c r="U67" s="95" t="s">
        <v>115</v>
      </c>
      <c r="W67" s="95"/>
      <c r="X67" s="95"/>
      <c r="Y67" s="95"/>
      <c r="Z67" s="248" t="s">
        <v>151</v>
      </c>
      <c r="AA67" s="303">
        <f t="shared" si="34"/>
        <v>0</v>
      </c>
      <c r="AB67" s="303">
        <f t="shared" si="35"/>
        <v>2.5681212290496715E-2</v>
      </c>
      <c r="AC67" s="303">
        <f t="shared" si="36"/>
        <v>5.8444150398935794E-2</v>
      </c>
    </row>
    <row r="68" spans="16:29">
      <c r="P68" s="248"/>
      <c r="Q68" s="248"/>
      <c r="R68" s="248"/>
      <c r="T68" s="288">
        <f>T10+T26+T43</f>
        <v>0.28023040285041501</v>
      </c>
      <c r="U68" s="95" t="s">
        <v>99</v>
      </c>
      <c r="W68" s="95"/>
      <c r="X68" s="95"/>
      <c r="Y68" s="95"/>
      <c r="Z68" s="248" t="s">
        <v>153</v>
      </c>
      <c r="AA68" s="303">
        <f t="shared" si="34"/>
        <v>2.0454087000805369E-2</v>
      </c>
      <c r="AB68" s="303">
        <f t="shared" si="35"/>
        <v>2.7623866568693575E-2</v>
      </c>
      <c r="AC68" s="303">
        <f t="shared" si="36"/>
        <v>3.9449801519281652E-2</v>
      </c>
    </row>
    <row r="69" spans="16:29">
      <c r="P69" s="248"/>
      <c r="Q69" s="248"/>
      <c r="R69" s="248"/>
      <c r="T69" s="288">
        <f>T11+T27+T44</f>
        <v>5.8381333927169793E-2</v>
      </c>
      <c r="U69" s="95" t="s">
        <v>101</v>
      </c>
      <c r="W69" s="95"/>
      <c r="X69" s="95"/>
      <c r="Y69" s="95"/>
      <c r="Z69" s="248" t="s">
        <v>154</v>
      </c>
      <c r="AA69" s="303">
        <f t="shared" si="34"/>
        <v>2.0316704023175418E-2</v>
      </c>
      <c r="AB69" s="303">
        <f t="shared" si="35"/>
        <v>1.8613684981740108E-2</v>
      </c>
      <c r="AC69" s="303">
        <f t="shared" si="36"/>
        <v>2.1039894143616886E-2</v>
      </c>
    </row>
    <row r="70" spans="16:29">
      <c r="P70" s="273" t="s">
        <v>440</v>
      </c>
      <c r="Q70" s="274" t="s">
        <v>430</v>
      </c>
      <c r="R70" s="275">
        <v>137371.016</v>
      </c>
      <c r="S70" s="246">
        <f>S7+S23+S40</f>
        <v>108.18789609263226</v>
      </c>
      <c r="T70" s="284">
        <f>SUM(T59:T69)</f>
        <v>128.80693854900917</v>
      </c>
      <c r="W70" s="95"/>
      <c r="X70" s="95"/>
      <c r="Y70" s="95"/>
      <c r="Z70" s="95"/>
      <c r="AA70" s="172">
        <f>SUM(AA59:AA69)</f>
        <v>1.0000000000000007</v>
      </c>
      <c r="AB70" s="172">
        <f t="shared" ref="AB70:AC70" si="37">SUM(AB59:AB69)</f>
        <v>1.0000000000000007</v>
      </c>
      <c r="AC70" s="172">
        <f t="shared" si="37"/>
        <v>0.99999999999999911</v>
      </c>
    </row>
    <row r="71" spans="16:29">
      <c r="W71" s="95"/>
      <c r="X71" s="95"/>
      <c r="Y71" s="95"/>
      <c r="Z71" s="95"/>
      <c r="AA71" s="95"/>
      <c r="AB71" s="95"/>
      <c r="AC71" s="95"/>
    </row>
    <row r="72" spans="16:29">
      <c r="W72" s="95"/>
      <c r="X72" s="95"/>
      <c r="Y72" s="95"/>
      <c r="Z72" s="95"/>
      <c r="AA72" s="95"/>
      <c r="AB72" s="95"/>
      <c r="AC72" s="95"/>
    </row>
    <row r="73" spans="16:29">
      <c r="W73" s="95"/>
      <c r="X73" s="95"/>
      <c r="Y73" s="95"/>
      <c r="Z73" s="95"/>
      <c r="AA73" s="95"/>
      <c r="AB73" s="95"/>
      <c r="AC73" s="95"/>
    </row>
  </sheetData>
  <phoneticPr fontId="30" type="noConversion"/>
  <pageMargins left="0.7" right="0.7" top="0.75" bottom="0.75" header="0.3" footer="0.3"/>
  <pageSetup paperSize="9" orientation="portrait" r:id="rId1"/>
  <ignoredErrors>
    <ignoredError sqref="T64" formula="1"/>
  </ignoredErrors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4757E-3BAA-41C0-B021-8EB0F6379850}">
  <sheetPr>
    <tabColor theme="0"/>
  </sheetPr>
  <dimension ref="B2:P55"/>
  <sheetViews>
    <sheetView zoomScaleNormal="100" workbookViewId="0"/>
  </sheetViews>
  <sheetFormatPr defaultRowHeight="15"/>
  <cols>
    <col min="2" max="2" width="34.140625" customWidth="1"/>
    <col min="3" max="3" width="17.140625" customWidth="1"/>
    <col min="4" max="4" width="15.42578125" customWidth="1"/>
    <col min="5" max="5" width="10.5703125" bestFit="1" customWidth="1"/>
    <col min="6" max="6" width="12.5703125" bestFit="1" customWidth="1"/>
    <col min="7" max="7" width="14" customWidth="1"/>
    <col min="8" max="8" width="13.7109375" customWidth="1"/>
    <col min="9" max="9" width="13.85546875" customWidth="1"/>
    <col min="10" max="10" width="16.28515625" customWidth="1"/>
    <col min="11" max="11" width="10.140625" customWidth="1"/>
    <col min="12" max="12" width="10.42578125" customWidth="1"/>
  </cols>
  <sheetData>
    <row r="2" spans="2:16">
      <c r="D2" s="126" t="s">
        <v>516</v>
      </c>
    </row>
    <row r="3" spans="2:16" ht="15.75" customHeight="1">
      <c r="B3" s="159" t="s">
        <v>82</v>
      </c>
      <c r="C3" s="159" t="s">
        <v>214</v>
      </c>
      <c r="D3" s="320" t="s">
        <v>215</v>
      </c>
      <c r="E3" s="159" t="s">
        <v>345</v>
      </c>
      <c r="F3" s="159" t="s">
        <v>447</v>
      </c>
      <c r="G3" s="159" t="s">
        <v>234</v>
      </c>
      <c r="H3" s="159" t="s">
        <v>235</v>
      </c>
      <c r="I3" s="159" t="s">
        <v>236</v>
      </c>
      <c r="J3" s="159" t="s">
        <v>237</v>
      </c>
      <c r="K3" s="159" t="s">
        <v>245</v>
      </c>
      <c r="L3" s="159" t="s">
        <v>448</v>
      </c>
      <c r="M3" s="159" t="s">
        <v>449</v>
      </c>
    </row>
    <row r="4" spans="2:16" ht="26.25" thickBot="1">
      <c r="B4" s="192" t="s">
        <v>89</v>
      </c>
      <c r="C4" s="192"/>
      <c r="D4" s="319"/>
      <c r="E4" s="192" t="s">
        <v>450</v>
      </c>
      <c r="F4" s="192" t="s">
        <v>194</v>
      </c>
      <c r="G4" s="192" t="s">
        <v>194</v>
      </c>
      <c r="H4" s="192" t="s">
        <v>194</v>
      </c>
      <c r="I4" s="192" t="s">
        <v>194</v>
      </c>
      <c r="J4" s="192" t="s">
        <v>194</v>
      </c>
      <c r="K4" s="192" t="s">
        <v>451</v>
      </c>
      <c r="L4" s="192" t="s">
        <v>452</v>
      </c>
      <c r="M4" s="192" t="s">
        <v>453</v>
      </c>
    </row>
    <row r="5" spans="2:16" ht="15.75" customHeight="1">
      <c r="B5" s="184" t="str">
        <f>RSD_Procesess!D101</f>
        <v>RSD_COOK_HC</v>
      </c>
      <c r="C5" s="317" t="str">
        <f>RSD_Comm!D12</f>
        <v>RSD_HC</v>
      </c>
      <c r="D5" s="318" t="str">
        <f>RSD_Comm!$D$31</f>
        <v>RSD_COOK</v>
      </c>
      <c r="E5" s="165">
        <f>C17/1000/F5</f>
        <v>11.403051629381373</v>
      </c>
      <c r="F5" s="166">
        <f>C50</f>
        <v>0.24075835918572785</v>
      </c>
      <c r="G5" s="166">
        <f>F5</f>
        <v>0.24075835918572785</v>
      </c>
      <c r="H5" s="166">
        <v>0</v>
      </c>
      <c r="I5" s="166">
        <f>H5</f>
        <v>0</v>
      </c>
      <c r="J5" s="166">
        <f>I5</f>
        <v>0</v>
      </c>
      <c r="K5" s="164">
        <v>1</v>
      </c>
      <c r="L5" s="164">
        <v>1000</v>
      </c>
      <c r="M5" s="164">
        <v>25</v>
      </c>
      <c r="O5" s="105">
        <f>E5*F5</f>
        <v>2.7453799999999999</v>
      </c>
      <c r="P5" s="105"/>
    </row>
    <row r="6" spans="2:16" ht="15.75" customHeight="1">
      <c r="B6" s="182" t="str">
        <f>RSD_Procesess!D102</f>
        <v>RSD_COOK_GAS</v>
      </c>
      <c r="C6" s="182" t="str">
        <f>RSD_Comm!D8</f>
        <v>RSD_GAS</v>
      </c>
      <c r="D6" s="208" t="str">
        <f>RSD_Comm!$D$31</f>
        <v>RSD_COOK</v>
      </c>
      <c r="E6" s="162">
        <f t="shared" ref="E6:E9" si="0">C18/1000/F6</f>
        <v>6.5141362891278911</v>
      </c>
      <c r="F6" s="163">
        <f t="shared" ref="F6:F9" si="1">C51</f>
        <v>5.2158871862579375</v>
      </c>
      <c r="G6" s="163">
        <f t="shared" ref="G6:H9" si="2">F6</f>
        <v>5.2158871862579375</v>
      </c>
      <c r="H6" s="163">
        <f>G6</f>
        <v>5.2158871862579375</v>
      </c>
      <c r="I6" s="163">
        <f>H6</f>
        <v>5.2158871862579375</v>
      </c>
      <c r="J6" s="163">
        <v>0</v>
      </c>
      <c r="K6" s="161">
        <v>1</v>
      </c>
      <c r="L6" s="161">
        <v>1000</v>
      </c>
      <c r="M6" s="161">
        <v>25</v>
      </c>
      <c r="O6" s="105">
        <f>E6*F6</f>
        <v>33.976999999999997</v>
      </c>
      <c r="P6" s="105"/>
    </row>
    <row r="7" spans="2:16" ht="15.75" customHeight="1">
      <c r="B7" s="184" t="str">
        <f>RSD_Procesess!D103</f>
        <v>RSD_COOK_LPG</v>
      </c>
      <c r="C7" s="164" t="str">
        <f>RSD_Comm!D13</f>
        <v>RSD_LPG</v>
      </c>
      <c r="D7" s="185" t="str">
        <f>RSD_Comm!$D$31</f>
        <v>RSD_COOK</v>
      </c>
      <c r="E7" s="165">
        <f t="shared" si="0"/>
        <v>6.514136289127892</v>
      </c>
      <c r="F7" s="166">
        <f t="shared" si="1"/>
        <v>3.4177976959368603</v>
      </c>
      <c r="G7" s="166">
        <f t="shared" si="2"/>
        <v>3.4177976959368603</v>
      </c>
      <c r="H7" s="166">
        <f>G7</f>
        <v>3.4177976959368603</v>
      </c>
      <c r="I7" s="166">
        <f>H7</f>
        <v>3.4177976959368603</v>
      </c>
      <c r="J7" s="166">
        <v>0</v>
      </c>
      <c r="K7" s="164">
        <v>1</v>
      </c>
      <c r="L7" s="164">
        <v>1000</v>
      </c>
      <c r="M7" s="164">
        <v>25</v>
      </c>
      <c r="O7" s="105">
        <f>E7*F7</f>
        <v>22.263999999999999</v>
      </c>
      <c r="P7" s="105"/>
    </row>
    <row r="8" spans="2:16" ht="15.75" customHeight="1">
      <c r="B8" s="182" t="str">
        <f>RSD_Procesess!D104</f>
        <v>RSD_COOK_ELC</v>
      </c>
      <c r="C8" s="161" t="str">
        <f>RSD_Comm!D7</f>
        <v>RSD_ELC</v>
      </c>
      <c r="D8" s="183" t="str">
        <f>RSD_Comm!$D$31</f>
        <v>RSD_COOK</v>
      </c>
      <c r="E8" s="162">
        <f t="shared" si="0"/>
        <v>0.73956572199691029</v>
      </c>
      <c r="F8" s="163">
        <f t="shared" si="1"/>
        <v>15.479354517796089</v>
      </c>
      <c r="G8" s="163">
        <f t="shared" si="2"/>
        <v>15.479354517796089</v>
      </c>
      <c r="H8" s="163">
        <f t="shared" si="2"/>
        <v>15.479354517796089</v>
      </c>
      <c r="I8" s="163">
        <f>H8</f>
        <v>15.479354517796089</v>
      </c>
      <c r="J8" s="163">
        <f>I8</f>
        <v>15.479354517796089</v>
      </c>
      <c r="K8" s="161">
        <v>1</v>
      </c>
      <c r="L8" s="161">
        <v>1000</v>
      </c>
      <c r="M8" s="161">
        <v>25</v>
      </c>
      <c r="O8" s="105">
        <f>E8*F8</f>
        <v>11.448</v>
      </c>
      <c r="P8" s="105"/>
    </row>
    <row r="9" spans="2:16" ht="15.75" customHeight="1" thickBot="1">
      <c r="B9" s="209" t="str">
        <f>RSD_Procesess!D105</f>
        <v>RSD_COOK_BIO</v>
      </c>
      <c r="C9" s="210" t="str">
        <f>RSD_Comm!D11</f>
        <v>RSD_BIO</v>
      </c>
      <c r="D9" s="210" t="str">
        <f>RSD_Comm!$D$31</f>
        <v>RSD_COOK</v>
      </c>
      <c r="E9" s="314">
        <f t="shared" si="0"/>
        <v>11.403051629381375</v>
      </c>
      <c r="F9" s="315">
        <f t="shared" si="1"/>
        <v>0.18416122878801056</v>
      </c>
      <c r="G9" s="315">
        <f t="shared" si="2"/>
        <v>0.18416122878801056</v>
      </c>
      <c r="H9" s="315">
        <f>G9</f>
        <v>0.18416122878801056</v>
      </c>
      <c r="I9" s="315">
        <f>H9</f>
        <v>0.18416122878801056</v>
      </c>
      <c r="J9" s="315">
        <f>I9</f>
        <v>0.18416122878801056</v>
      </c>
      <c r="K9" s="210">
        <v>1</v>
      </c>
      <c r="L9" s="210">
        <v>1000</v>
      </c>
      <c r="M9" s="210">
        <v>25</v>
      </c>
      <c r="O9" s="235">
        <f>E9*F9</f>
        <v>2.1</v>
      </c>
      <c r="P9" s="105"/>
    </row>
    <row r="10" spans="2:16">
      <c r="O10" s="236">
        <f>SUM(O5:O9)</f>
        <v>72.534379999999999</v>
      </c>
      <c r="P10" s="105"/>
    </row>
    <row r="13" spans="2:16">
      <c r="B13" s="124"/>
    </row>
    <row r="14" spans="2:16">
      <c r="B14" t="s">
        <v>454</v>
      </c>
    </row>
    <row r="15" spans="2:16">
      <c r="B15" t="s">
        <v>455</v>
      </c>
    </row>
    <row r="16" spans="2:16">
      <c r="B16" t="s">
        <v>456</v>
      </c>
      <c r="C16" s="148" t="s">
        <v>457</v>
      </c>
    </row>
    <row r="17" spans="2:13">
      <c r="B17" t="s">
        <v>433</v>
      </c>
      <c r="C17" s="225">
        <v>2745.38</v>
      </c>
    </row>
    <row r="18" spans="2:13">
      <c r="B18" t="s">
        <v>412</v>
      </c>
      <c r="C18" s="224">
        <v>33977</v>
      </c>
      <c r="L18" s="164"/>
      <c r="M18" s="164"/>
    </row>
    <row r="19" spans="2:13">
      <c r="B19" t="s">
        <v>434</v>
      </c>
      <c r="C19" s="226">
        <v>22264</v>
      </c>
    </row>
    <row r="20" spans="2:13">
      <c r="B20" t="s">
        <v>429</v>
      </c>
      <c r="C20" s="223">
        <v>11448</v>
      </c>
    </row>
    <row r="21" spans="2:13" ht="15.75" thickBot="1">
      <c r="B21" t="s">
        <v>438</v>
      </c>
      <c r="C21" s="238">
        <v>2100</v>
      </c>
    </row>
    <row r="22" spans="2:13">
      <c r="C22" s="237">
        <f>SUM(C17:C21)</f>
        <v>72534.38</v>
      </c>
    </row>
    <row r="24" spans="2:13" ht="15.75">
      <c r="B24" s="212" t="s">
        <v>458</v>
      </c>
      <c r="C24" s="213"/>
      <c r="D24" s="213"/>
      <c r="E24" s="213"/>
    </row>
    <row r="25" spans="2:13" ht="15.75">
      <c r="B25" s="212"/>
      <c r="C25" s="213"/>
      <c r="D25" s="213"/>
      <c r="E25" s="239">
        <v>2019</v>
      </c>
    </row>
    <row r="26" spans="2:13" ht="47.25" customHeight="1">
      <c r="B26" s="743" t="s">
        <v>459</v>
      </c>
      <c r="C26" s="22" t="s">
        <v>460</v>
      </c>
      <c r="D26" s="745" t="s">
        <v>461</v>
      </c>
      <c r="E26" s="214" t="s">
        <v>462</v>
      </c>
    </row>
    <row r="27" spans="2:13" ht="28.5" customHeight="1">
      <c r="B27" s="744"/>
      <c r="C27" s="215" t="s">
        <v>463</v>
      </c>
      <c r="D27" s="746"/>
      <c r="E27" s="216" t="s">
        <v>464</v>
      </c>
    </row>
    <row r="28" spans="2:13" ht="30">
      <c r="B28" s="217" t="s">
        <v>465</v>
      </c>
      <c r="C28" s="218">
        <v>10.990119391203303</v>
      </c>
      <c r="D28" s="219">
        <v>1.0009953100104001</v>
      </c>
      <c r="E28" s="220">
        <v>7.7072114706633936</v>
      </c>
      <c r="G28">
        <f>BUILD_STOCK!B$3/1000</f>
        <v>15.015333</v>
      </c>
      <c r="H28" s="227">
        <f>G28*D28*C28/100</f>
        <v>1.6518454872754165</v>
      </c>
    </row>
    <row r="29" spans="2:13">
      <c r="B29" s="221" t="s">
        <v>466</v>
      </c>
      <c r="C29" s="218">
        <v>5.9318799286363797</v>
      </c>
      <c r="D29" s="219">
        <v>1.00032499849979</v>
      </c>
      <c r="E29" s="220">
        <v>6.0938817585148186</v>
      </c>
      <c r="G29">
        <f>BUILD_STOCK!B$3/1000</f>
        <v>15.015333</v>
      </c>
      <c r="H29" s="227">
        <f t="shared" ref="H29:H34" si="3">G29*D29*C29/100</f>
        <v>0.89098099785413509</v>
      </c>
    </row>
    <row r="30" spans="2:13">
      <c r="B30" s="221" t="s">
        <v>467</v>
      </c>
      <c r="C30" s="218">
        <v>9.8758904429094265</v>
      </c>
      <c r="D30" s="219">
        <v>1.0006980974332802</v>
      </c>
      <c r="E30" s="220">
        <v>6.408512823591515</v>
      </c>
      <c r="G30">
        <f>BUILD_STOCK!B$3/1000</f>
        <v>15.015333</v>
      </c>
      <c r="H30" s="227">
        <f t="shared" si="3"/>
        <v>1.4839330438916547</v>
      </c>
      <c r="J30" t="s">
        <v>210</v>
      </c>
      <c r="K30" t="s">
        <v>468</v>
      </c>
    </row>
    <row r="31" spans="2:13">
      <c r="B31" s="221" t="s">
        <v>469</v>
      </c>
      <c r="C31" s="218">
        <v>56.611339459338957</v>
      </c>
      <c r="D31" s="219">
        <v>1.0067375104848293</v>
      </c>
      <c r="E31" s="220">
        <v>8.2615156262727858</v>
      </c>
      <c r="G31">
        <f>BUILD_STOCK!B$3/1000</f>
        <v>15.015333</v>
      </c>
      <c r="H31" s="228">
        <f t="shared" si="3"/>
        <v>8.55765254260616</v>
      </c>
      <c r="J31">
        <v>0.5</v>
      </c>
      <c r="K31">
        <f>1-J31</f>
        <v>0.5</v>
      </c>
    </row>
    <row r="32" spans="2:13">
      <c r="B32" s="221" t="s">
        <v>470</v>
      </c>
      <c r="C32" s="218">
        <v>28.822390219590698</v>
      </c>
      <c r="D32" s="219">
        <v>1.0062574239422666</v>
      </c>
      <c r="E32" s="220">
        <v>10.861759475839753</v>
      </c>
      <c r="G32">
        <f>BUILD_STOCK!B$3/1000</f>
        <v>15.015333</v>
      </c>
      <c r="H32" s="228">
        <f t="shared" si="3"/>
        <v>4.3548586108917178</v>
      </c>
    </row>
    <row r="33" spans="2:8">
      <c r="B33" s="221" t="s">
        <v>471</v>
      </c>
      <c r="C33" s="218">
        <v>2.8157041446740316</v>
      </c>
      <c r="D33" s="219">
        <v>1.0050432784658438</v>
      </c>
      <c r="E33" s="220">
        <v>28.596756538664394</v>
      </c>
      <c r="G33">
        <f>BUILD_STOCK!B$3/1000</f>
        <v>15.015333</v>
      </c>
      <c r="H33" s="229">
        <f t="shared" si="3"/>
        <v>0.42491958797373841</v>
      </c>
    </row>
    <row r="34" spans="2:8">
      <c r="B34" s="221" t="s">
        <v>472</v>
      </c>
      <c r="C34" s="218">
        <v>47.43199679689446</v>
      </c>
      <c r="D34" s="219">
        <v>1.0072586247269526</v>
      </c>
      <c r="E34" s="222" t="s">
        <v>473</v>
      </c>
      <c r="G34">
        <f>BUILD_STOCK!B$3/1000</f>
        <v>15.015333</v>
      </c>
      <c r="H34" s="230">
        <f t="shared" si="3"/>
        <v>7.1737687174718046</v>
      </c>
    </row>
    <row r="35" spans="2:8">
      <c r="H35" s="232">
        <f>SUM(H28:H34)</f>
        <v>24.537958987964629</v>
      </c>
    </row>
    <row r="36" spans="2:8">
      <c r="B36" t="s">
        <v>474</v>
      </c>
    </row>
    <row r="37" spans="2:8">
      <c r="B37" s="221" t="s">
        <v>210</v>
      </c>
      <c r="C37" s="104">
        <f>H28+H29+H30+J31*H31+H34</f>
        <v>15.479354517796089</v>
      </c>
    </row>
    <row r="38" spans="2:8">
      <c r="B38" s="221" t="s">
        <v>468</v>
      </c>
      <c r="C38" s="104">
        <f>H31*K31+H32</f>
        <v>8.6336848821947978</v>
      </c>
    </row>
    <row r="39" spans="2:8">
      <c r="B39" s="221" t="s">
        <v>475</v>
      </c>
      <c r="C39" s="233">
        <f>H33</f>
        <v>0.42491958797373841</v>
      </c>
    </row>
    <row r="40" spans="2:8">
      <c r="C40" s="234">
        <f>SUM(C37:C39)</f>
        <v>24.537958987964629</v>
      </c>
    </row>
    <row r="42" spans="2:8">
      <c r="B42" s="221" t="s">
        <v>476</v>
      </c>
    </row>
    <row r="43" spans="2:8">
      <c r="B43" s="221" t="s">
        <v>468</v>
      </c>
      <c r="C43" t="s">
        <v>477</v>
      </c>
      <c r="D43" s="211">
        <f>C18</f>
        <v>33977</v>
      </c>
      <c r="E43" s="104">
        <f>D43/(D43+D44)</f>
        <v>0.60413221671022921</v>
      </c>
    </row>
    <row r="44" spans="2:8">
      <c r="C44" s="103" t="s">
        <v>478</v>
      </c>
      <c r="D44" s="231">
        <f>C19</f>
        <v>22264</v>
      </c>
      <c r="E44" s="233">
        <f>D44/(D44+D43)</f>
        <v>0.39586778328977079</v>
      </c>
    </row>
    <row r="45" spans="2:8">
      <c r="B45" t="s">
        <v>475</v>
      </c>
      <c r="C45" t="s">
        <v>479</v>
      </c>
      <c r="D45" s="211">
        <f>C17</f>
        <v>2745.38</v>
      </c>
      <c r="E45" s="104">
        <f>D45/(D45+D46)</f>
        <v>0.56659745984835042</v>
      </c>
    </row>
    <row r="46" spans="2:8">
      <c r="C46" s="103" t="s">
        <v>480</v>
      </c>
      <c r="D46" s="231">
        <f>C21</f>
        <v>2100</v>
      </c>
      <c r="E46" s="233">
        <f>D46/(D45+D46)</f>
        <v>0.43340254015164958</v>
      </c>
    </row>
    <row r="48" spans="2:8">
      <c r="B48" t="s">
        <v>481</v>
      </c>
    </row>
    <row r="49" spans="2:4">
      <c r="C49" t="s">
        <v>404</v>
      </c>
      <c r="D49" t="s">
        <v>482</v>
      </c>
    </row>
    <row r="50" spans="2:4">
      <c r="B50" t="str">
        <f>B5</f>
        <v>RSD_COOK_HC</v>
      </c>
      <c r="C50" s="104">
        <f>E45*C39</f>
        <v>0.24075835918572785</v>
      </c>
      <c r="D50" s="104">
        <f>C50/G28</f>
        <v>1.6034167153384335E-2</v>
      </c>
    </row>
    <row r="51" spans="2:4">
      <c r="B51" t="str">
        <f t="shared" ref="B51:B54" si="4">B6</f>
        <v>RSD_COOK_GAS</v>
      </c>
      <c r="C51" s="104">
        <f>C38*E43</f>
        <v>5.2158871862579375</v>
      </c>
      <c r="D51" s="104">
        <f t="shared" ref="D51:D55" si="5">C51/G29</f>
        <v>0.34737073005693164</v>
      </c>
    </row>
    <row r="52" spans="2:4">
      <c r="B52" t="str">
        <f t="shared" si="4"/>
        <v>RSD_COOK_LPG</v>
      </c>
      <c r="C52" s="104">
        <f>C38*E44</f>
        <v>3.4177976959368603</v>
      </c>
      <c r="D52" s="104">
        <f t="shared" si="5"/>
        <v>0.22762050604784193</v>
      </c>
    </row>
    <row r="53" spans="2:4">
      <c r="B53" t="str">
        <f t="shared" si="4"/>
        <v>RSD_COOK_ELC</v>
      </c>
      <c r="C53" s="104">
        <f>C37</f>
        <v>15.479354517796089</v>
      </c>
      <c r="D53" s="104">
        <f t="shared" si="5"/>
        <v>1.0309031786238834</v>
      </c>
    </row>
    <row r="54" spans="2:4">
      <c r="B54" t="str">
        <f t="shared" si="4"/>
        <v>RSD_COOK_BIO</v>
      </c>
      <c r="C54" s="233">
        <f>C39*E46</f>
        <v>0.18416122878801056</v>
      </c>
      <c r="D54" s="233">
        <f t="shared" si="5"/>
        <v>1.2264878094146201E-2</v>
      </c>
    </row>
    <row r="55" spans="2:4">
      <c r="C55" s="234">
        <f>SUM(C50:C54)</f>
        <v>24.537958987964625</v>
      </c>
      <c r="D55" s="104">
        <f t="shared" si="5"/>
        <v>1.6341934599761874</v>
      </c>
    </row>
  </sheetData>
  <mergeCells count="2">
    <mergeCell ref="B26:B27"/>
    <mergeCell ref="D26:D27"/>
  </mergeCells>
  <phoneticPr fontId="30" type="noConversion"/>
  <pageMargins left="0.7" right="0.7" top="0.75" bottom="0.75" header="0.3" footer="0.3"/>
  <pageSetup paperSize="9" orientation="portrait" r:id="rId1"/>
  <ignoredErrors>
    <ignoredError sqref="E44" formula="1"/>
  </ignoredError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22280B-9440-4917-AF3E-83B48F221F50}">
  <sheetPr>
    <tabColor theme="0"/>
  </sheetPr>
  <dimension ref="B2:O12"/>
  <sheetViews>
    <sheetView workbookViewId="0"/>
  </sheetViews>
  <sheetFormatPr defaultRowHeight="15"/>
  <cols>
    <col min="2" max="2" width="19.85546875" customWidth="1"/>
    <col min="3" max="3" width="17.140625" customWidth="1"/>
    <col min="4" max="4" width="17.7109375" customWidth="1"/>
    <col min="5" max="5" width="10.42578125" customWidth="1"/>
    <col min="6" max="6" width="12.5703125" bestFit="1" customWidth="1"/>
    <col min="7" max="7" width="12.5703125" customWidth="1"/>
    <col min="8" max="9" width="9.7109375" customWidth="1"/>
    <col min="10" max="10" width="13.7109375" customWidth="1"/>
    <col min="11" max="11" width="13.85546875" customWidth="1"/>
    <col min="13" max="13" width="20.5703125" customWidth="1"/>
    <col min="14" max="14" width="10.42578125" customWidth="1"/>
    <col min="15" max="15" width="13.42578125" customWidth="1"/>
    <col min="26" max="26" width="14.5703125" customWidth="1"/>
    <col min="31" max="31" width="14.85546875" customWidth="1"/>
  </cols>
  <sheetData>
    <row r="2" spans="2:15">
      <c r="D2" s="126" t="s">
        <v>516</v>
      </c>
    </row>
    <row r="3" spans="2:15" ht="15.75" customHeight="1">
      <c r="B3" s="159" t="s">
        <v>82</v>
      </c>
      <c r="C3" s="159" t="s">
        <v>214</v>
      </c>
      <c r="D3" s="159" t="s">
        <v>215</v>
      </c>
      <c r="E3" s="160" t="s">
        <v>345</v>
      </c>
      <c r="F3" s="159" t="s">
        <v>447</v>
      </c>
      <c r="G3" s="159" t="s">
        <v>237</v>
      </c>
      <c r="H3" s="159" t="s">
        <v>245</v>
      </c>
      <c r="I3" s="159" t="s">
        <v>448</v>
      </c>
      <c r="J3" s="159" t="s">
        <v>449</v>
      </c>
      <c r="M3" s="747" t="s">
        <v>483</v>
      </c>
      <c r="N3" s="747" t="s">
        <v>484</v>
      </c>
      <c r="O3" s="747" t="s">
        <v>485</v>
      </c>
    </row>
    <row r="4" spans="2:15" ht="26.25" thickBot="1">
      <c r="B4" s="192" t="s">
        <v>89</v>
      </c>
      <c r="C4" s="192"/>
      <c r="D4" s="192"/>
      <c r="E4" s="316" t="s">
        <v>450</v>
      </c>
      <c r="F4" s="192" t="s">
        <v>194</v>
      </c>
      <c r="G4" s="192" t="s">
        <v>194</v>
      </c>
      <c r="H4" s="192" t="s">
        <v>451</v>
      </c>
      <c r="I4" s="192" t="s">
        <v>452</v>
      </c>
      <c r="J4" s="192" t="s">
        <v>453</v>
      </c>
      <c r="M4" s="747"/>
      <c r="N4" s="747"/>
      <c r="O4" s="747"/>
    </row>
    <row r="5" spans="2:15" ht="15.75" customHeight="1">
      <c r="B5" s="184" t="str">
        <f>RSD_Procesess!D95</f>
        <v>RSD_ELC_LTG</v>
      </c>
      <c r="C5" s="164" t="str">
        <f>RSD_Comm!$D$7</f>
        <v>RSD_ELC</v>
      </c>
      <c r="D5" s="185" t="str">
        <f>RSD_Comm!D25</f>
        <v>RSD_LTG</v>
      </c>
      <c r="E5" s="165">
        <v>7.5221936080501442E-2</v>
      </c>
      <c r="F5" s="166">
        <f>M5*N5</f>
        <v>282.86258228514305</v>
      </c>
      <c r="G5" s="166">
        <f>F5</f>
        <v>282.86258228514305</v>
      </c>
      <c r="H5" s="164">
        <v>1</v>
      </c>
      <c r="I5" s="164">
        <v>1000</v>
      </c>
      <c r="J5" s="164">
        <v>5</v>
      </c>
      <c r="M5" s="105">
        <v>18.838249027520273</v>
      </c>
      <c r="N5" s="105">
        <f>BUILD_STOCK!$B$3/1000</f>
        <v>15.015333</v>
      </c>
      <c r="O5" s="97">
        <f>E5*F5</f>
        <v>21.277471084218611</v>
      </c>
    </row>
    <row r="6" spans="2:15" ht="15.75" customHeight="1">
      <c r="B6" s="182" t="str">
        <f>RSD_Procesess!D96</f>
        <v>RSD_ELC_REF</v>
      </c>
      <c r="C6" s="161" t="str">
        <f>RSD_Comm!$D$7</f>
        <v>RSD_ELC</v>
      </c>
      <c r="D6" s="183" t="str">
        <f>RSD_Comm!D26</f>
        <v>RSD_REF</v>
      </c>
      <c r="E6" s="162">
        <v>1.0997340508961591</v>
      </c>
      <c r="F6" s="163">
        <f t="shared" ref="F6:F10" si="0">M6*N6</f>
        <v>16.873603356606594</v>
      </c>
      <c r="G6" s="163">
        <f t="shared" ref="G6:G10" si="1">F6</f>
        <v>16.873603356606594</v>
      </c>
      <c r="H6" s="161">
        <v>1</v>
      </c>
      <c r="I6" s="161">
        <v>1000</v>
      </c>
      <c r="J6" s="161">
        <v>10</v>
      </c>
      <c r="M6" s="105">
        <v>1.1237581848239127</v>
      </c>
      <c r="N6" s="105">
        <f>BUILD_STOCK!$B$3/1000</f>
        <v>15.015333</v>
      </c>
      <c r="O6" s="97">
        <f t="shared" ref="O6:O10" si="2">E6*F6</f>
        <v>18.556476172575998</v>
      </c>
    </row>
    <row r="7" spans="2:15" ht="15.75" customHeight="1">
      <c r="B7" s="184" t="str">
        <f>RSD_Procesess!D97</f>
        <v>RSD_ELC_WM</v>
      </c>
      <c r="C7" s="164" t="str">
        <f>RSD_Comm!$D$7</f>
        <v>RSD_ELC</v>
      </c>
      <c r="D7" s="185" t="str">
        <f>RSD_Comm!D27</f>
        <v>RSD_WM</v>
      </c>
      <c r="E7" s="165">
        <v>0.43270811238224877</v>
      </c>
      <c r="F7" s="166">
        <f t="shared" si="0"/>
        <v>14.672781664376553</v>
      </c>
      <c r="G7" s="166">
        <f t="shared" si="1"/>
        <v>14.672781664376553</v>
      </c>
      <c r="H7" s="164">
        <v>1</v>
      </c>
      <c r="I7" s="164">
        <v>1000</v>
      </c>
      <c r="J7" s="164">
        <v>10</v>
      </c>
      <c r="M7" s="105">
        <v>0.97718656418585936</v>
      </c>
      <c r="N7" s="105">
        <f>BUILD_STOCK!$B$3/1000</f>
        <v>15.015333</v>
      </c>
      <c r="O7" s="97">
        <f t="shared" si="2"/>
        <v>6.349031657389248</v>
      </c>
    </row>
    <row r="8" spans="2:15" ht="15.75" customHeight="1">
      <c r="B8" s="182" t="str">
        <f>RSD_Procesess!D98</f>
        <v>RSD_ELC_DRY</v>
      </c>
      <c r="C8" s="161" t="str">
        <f>RSD_Comm!$D$7</f>
        <v>RSD_ELC</v>
      </c>
      <c r="D8" s="183" t="str">
        <f>RSD_Comm!D28</f>
        <v>RSD_DRY</v>
      </c>
      <c r="E8" s="162">
        <v>0.94336131936070511</v>
      </c>
      <c r="F8" s="163">
        <f t="shared" si="0"/>
        <v>0.18133086147763638</v>
      </c>
      <c r="G8" s="163">
        <f t="shared" si="1"/>
        <v>0.18133086147763638</v>
      </c>
      <c r="H8" s="161">
        <v>1</v>
      </c>
      <c r="I8" s="161">
        <v>1000</v>
      </c>
      <c r="J8" s="161">
        <v>15</v>
      </c>
      <c r="M8" s="105">
        <v>1.2076379623258198E-2</v>
      </c>
      <c r="N8" s="105">
        <f>BUILD_STOCK!$B$3/1000</f>
        <v>15.015333</v>
      </c>
      <c r="O8" s="97">
        <f t="shared" si="2"/>
        <v>0.17106052072435632</v>
      </c>
    </row>
    <row r="9" spans="2:15" ht="15.75" customHeight="1">
      <c r="B9" s="184" t="str">
        <f>RSD_Procesess!D99</f>
        <v>RSD_ELC_DSHWR</v>
      </c>
      <c r="C9" s="164" t="str">
        <f>RSD_Comm!$D$7</f>
        <v>RSD_ELC</v>
      </c>
      <c r="D9" s="185" t="str">
        <f>RSD_Comm!D29</f>
        <v>RSD_DSHWR</v>
      </c>
      <c r="E9" s="165">
        <v>0.5533065024946795</v>
      </c>
      <c r="F9" s="166">
        <f t="shared" si="0"/>
        <v>5.0483880780290038</v>
      </c>
      <c r="G9" s="166">
        <f t="shared" si="1"/>
        <v>5.0483880780290038</v>
      </c>
      <c r="H9" s="164">
        <v>1</v>
      </c>
      <c r="I9" s="164">
        <v>1000</v>
      </c>
      <c r="J9" s="164">
        <v>15</v>
      </c>
      <c r="M9" s="105">
        <v>0.33621552569157165</v>
      </c>
      <c r="N9" s="105">
        <f>BUILD_STOCK!$B$3/1000</f>
        <v>15.015333</v>
      </c>
      <c r="O9" s="97">
        <f t="shared" si="2"/>
        <v>2.793305950690065</v>
      </c>
    </row>
    <row r="10" spans="2:15" ht="15.75" customHeight="1" thickBot="1">
      <c r="B10" s="169" t="str">
        <f>RSD_Procesess!D100</f>
        <v>RSD_ELC_OTH_APP</v>
      </c>
      <c r="C10" s="187" t="str">
        <f>RSD_Comm!$D$7</f>
        <v>RSD_ELC</v>
      </c>
      <c r="D10" s="188" t="str">
        <f>RSD_Comm!D30</f>
        <v>RSD_ELC_OTH</v>
      </c>
      <c r="E10" s="186">
        <v>0.72467999890919232</v>
      </c>
      <c r="F10" s="168">
        <f t="shared" si="0"/>
        <v>45.354990704690742</v>
      </c>
      <c r="G10" s="168">
        <f t="shared" si="1"/>
        <v>45.354990704690742</v>
      </c>
      <c r="H10" s="167">
        <v>1</v>
      </c>
      <c r="I10" s="167">
        <v>1000</v>
      </c>
      <c r="J10" s="167">
        <v>35</v>
      </c>
      <c r="M10" s="105">
        <v>3.0205784117269157</v>
      </c>
      <c r="N10" s="105">
        <f>BUILD_STOCK!$B$3/1000</f>
        <v>15.015333</v>
      </c>
      <c r="O10" s="97">
        <f t="shared" si="2"/>
        <v>32.867854614401715</v>
      </c>
    </row>
    <row r="11" spans="2:15">
      <c r="O11" s="170">
        <f>SUM(O5:O10)</f>
        <v>82.015199999999993</v>
      </c>
    </row>
    <row r="12" spans="2:15">
      <c r="O12" s="97"/>
    </row>
  </sheetData>
  <mergeCells count="3">
    <mergeCell ref="M3:M4"/>
    <mergeCell ref="N3:N4"/>
    <mergeCell ref="O3:O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AB506A-0384-4040-BC95-613472382341}">
  <dimension ref="A1:I40"/>
  <sheetViews>
    <sheetView workbookViewId="0">
      <selection activeCell="F43" sqref="F43"/>
    </sheetView>
  </sheetViews>
  <sheetFormatPr defaultColWidth="9.140625" defaultRowHeight="12.75"/>
  <cols>
    <col min="1" max="3" width="4" style="508" customWidth="1"/>
    <col min="4" max="4" width="17.140625" style="508" customWidth="1"/>
    <col min="5" max="5" width="24.28515625" style="508" customWidth="1"/>
    <col min="6" max="6" width="44.28515625" style="508" customWidth="1"/>
    <col min="7" max="9" width="4" style="508" customWidth="1"/>
    <col min="10" max="16384" width="9.140625" style="508"/>
  </cols>
  <sheetData>
    <row r="1" spans="1:9" ht="22.5" customHeight="1">
      <c r="A1" s="491"/>
      <c r="B1" s="491"/>
      <c r="C1" s="491"/>
      <c r="D1" s="491"/>
      <c r="E1" s="491"/>
      <c r="F1" s="491"/>
      <c r="G1" s="491"/>
      <c r="H1" s="491"/>
      <c r="I1" s="491"/>
    </row>
    <row r="2" spans="1:9" ht="22.5" customHeight="1">
      <c r="A2" s="491"/>
      <c r="B2" s="507"/>
      <c r="C2" s="18"/>
      <c r="D2" s="18"/>
      <c r="E2" s="18"/>
      <c r="F2" s="18"/>
      <c r="G2" s="18"/>
      <c r="H2" s="506"/>
      <c r="I2" s="491"/>
    </row>
    <row r="3" spans="1:9" ht="18.75">
      <c r="A3" s="491"/>
      <c r="B3" s="499"/>
      <c r="C3" s="505"/>
      <c r="D3" s="17"/>
      <c r="E3" s="17"/>
      <c r="F3" s="17"/>
      <c r="G3" s="504"/>
      <c r="H3" s="495"/>
      <c r="I3" s="491"/>
    </row>
    <row r="4" spans="1:9" ht="18.75">
      <c r="A4" s="491"/>
      <c r="B4" s="499"/>
      <c r="C4" s="501"/>
      <c r="D4" s="713" t="s">
        <v>528</v>
      </c>
      <c r="E4" s="713"/>
      <c r="F4" s="713"/>
      <c r="G4" s="500"/>
      <c r="H4" s="495"/>
      <c r="I4" s="491"/>
    </row>
    <row r="5" spans="1:9" ht="18.75">
      <c r="A5" s="491"/>
      <c r="B5" s="499"/>
      <c r="C5" s="501"/>
      <c r="D5" s="509"/>
      <c r="E5" s="509"/>
      <c r="F5" s="509"/>
      <c r="G5" s="500"/>
      <c r="H5" s="495"/>
      <c r="I5" s="491"/>
    </row>
    <row r="6" spans="1:9" ht="18.75">
      <c r="A6" s="491"/>
      <c r="B6" s="499"/>
      <c r="C6" s="501"/>
      <c r="D6" s="14" t="s">
        <v>645</v>
      </c>
      <c r="E6" s="510"/>
      <c r="F6" s="510"/>
      <c r="G6" s="500"/>
      <c r="H6" s="495"/>
      <c r="I6" s="491"/>
    </row>
    <row r="7" spans="1:9" ht="18.75">
      <c r="A7" s="491"/>
      <c r="B7" s="499"/>
      <c r="C7" s="501"/>
      <c r="D7" s="511"/>
      <c r="E7" s="512"/>
      <c r="F7" s="512"/>
      <c r="G7" s="500"/>
      <c r="H7" s="495"/>
      <c r="I7" s="491"/>
    </row>
    <row r="8" spans="1:9" ht="18.75">
      <c r="A8" s="491"/>
      <c r="B8" s="499"/>
      <c r="C8" s="501"/>
      <c r="D8" s="511"/>
      <c r="E8" s="513"/>
      <c r="F8" s="512"/>
      <c r="G8" s="500"/>
      <c r="H8" s="495"/>
      <c r="I8" s="491"/>
    </row>
    <row r="9" spans="1:9" ht="18.75">
      <c r="A9" s="491"/>
      <c r="B9" s="499"/>
      <c r="C9" s="501"/>
      <c r="D9" s="514"/>
      <c r="E9" s="515"/>
      <c r="F9" s="515"/>
      <c r="G9" s="500"/>
      <c r="H9" s="495"/>
      <c r="I9" s="491"/>
    </row>
    <row r="10" spans="1:9" ht="18.75">
      <c r="A10" s="491"/>
      <c r="B10" s="499"/>
      <c r="C10" s="501"/>
      <c r="D10" s="514"/>
      <c r="E10" s="515"/>
      <c r="F10" s="515"/>
      <c r="G10" s="500"/>
      <c r="H10" s="495"/>
      <c r="I10" s="491"/>
    </row>
    <row r="11" spans="1:9" ht="18.75">
      <c r="A11" s="491"/>
      <c r="B11" s="499"/>
      <c r="C11" s="501"/>
      <c r="D11" s="514"/>
      <c r="E11" s="515"/>
      <c r="F11" s="515"/>
      <c r="G11" s="500"/>
      <c r="H11" s="495"/>
      <c r="I11" s="491"/>
    </row>
    <row r="12" spans="1:9" ht="18.75">
      <c r="A12" s="491"/>
      <c r="B12" s="499"/>
      <c r="C12" s="501"/>
      <c r="D12" s="514"/>
      <c r="E12" s="515"/>
      <c r="F12" s="515"/>
      <c r="G12" s="500"/>
      <c r="H12" s="495"/>
      <c r="I12" s="491"/>
    </row>
    <row r="13" spans="1:9" ht="18.75">
      <c r="A13" s="491"/>
      <c r="B13" s="499"/>
      <c r="C13" s="501"/>
      <c r="D13" s="514"/>
      <c r="E13" s="515"/>
      <c r="F13" s="515"/>
      <c r="G13" s="500"/>
      <c r="H13" s="495"/>
      <c r="I13" s="491"/>
    </row>
    <row r="14" spans="1:9" ht="18.75">
      <c r="A14" s="491"/>
      <c r="B14" s="499"/>
      <c r="C14" s="501"/>
      <c r="D14" s="516"/>
      <c r="E14" s="515"/>
      <c r="F14" s="515"/>
      <c r="G14" s="500"/>
      <c r="H14" s="495"/>
      <c r="I14" s="491"/>
    </row>
    <row r="15" spans="1:9" ht="18.75">
      <c r="A15" s="491"/>
      <c r="B15" s="499"/>
      <c r="C15" s="501"/>
      <c r="D15" s="517"/>
      <c r="E15" s="515"/>
      <c r="F15" s="515"/>
      <c r="G15" s="500"/>
      <c r="H15" s="495"/>
      <c r="I15" s="491"/>
    </row>
    <row r="16" spans="1:9" ht="18.75">
      <c r="A16" s="491"/>
      <c r="B16" s="499"/>
      <c r="C16" s="501"/>
      <c r="D16" s="514"/>
      <c r="E16" s="515"/>
      <c r="F16" s="515"/>
      <c r="G16" s="500"/>
      <c r="H16" s="495"/>
      <c r="I16" s="491"/>
    </row>
    <row r="17" spans="1:9" ht="18.75">
      <c r="A17" s="491"/>
      <c r="B17" s="499"/>
      <c r="C17" s="501"/>
      <c r="D17" s="514"/>
      <c r="E17" s="515"/>
      <c r="F17" s="515"/>
      <c r="G17" s="500"/>
      <c r="H17" s="495"/>
      <c r="I17" s="491"/>
    </row>
    <row r="18" spans="1:9" ht="18.75">
      <c r="A18" s="491"/>
      <c r="B18" s="499"/>
      <c r="C18" s="501"/>
      <c r="D18" s="516"/>
      <c r="E18" s="515"/>
      <c r="F18" s="515"/>
      <c r="G18" s="500"/>
      <c r="H18" s="495"/>
      <c r="I18" s="491"/>
    </row>
    <row r="19" spans="1:9" ht="18.75">
      <c r="A19" s="491"/>
      <c r="B19" s="499"/>
      <c r="C19" s="501"/>
      <c r="D19" s="517"/>
      <c r="E19" s="515"/>
      <c r="F19" s="515"/>
      <c r="G19" s="500"/>
      <c r="H19" s="495"/>
      <c r="I19" s="491"/>
    </row>
    <row r="20" spans="1:9" ht="18.75">
      <c r="A20" s="491"/>
      <c r="B20" s="499"/>
      <c r="C20" s="501"/>
      <c r="D20" s="517"/>
      <c r="E20" s="515"/>
      <c r="F20" s="515"/>
      <c r="G20" s="500"/>
      <c r="H20" s="495"/>
      <c r="I20" s="491"/>
    </row>
    <row r="21" spans="1:9" ht="18.75">
      <c r="A21" s="491"/>
      <c r="B21" s="499"/>
      <c r="C21" s="501"/>
      <c r="D21" s="514"/>
      <c r="E21" s="515"/>
      <c r="F21" s="515"/>
      <c r="G21" s="500"/>
      <c r="H21" s="495"/>
      <c r="I21" s="491"/>
    </row>
    <row r="22" spans="1:9" ht="18.75">
      <c r="A22" s="491"/>
      <c r="B22" s="499"/>
      <c r="C22" s="501"/>
      <c r="D22" s="516"/>
      <c r="E22" s="515"/>
      <c r="F22" s="515"/>
      <c r="G22" s="500"/>
      <c r="H22" s="495"/>
      <c r="I22" s="491"/>
    </row>
    <row r="23" spans="1:9" ht="18.75">
      <c r="A23" s="491"/>
      <c r="B23" s="499"/>
      <c r="C23" s="501"/>
      <c r="D23" s="517"/>
      <c r="E23" s="515"/>
      <c r="F23" s="515"/>
      <c r="G23" s="500"/>
      <c r="H23" s="495"/>
      <c r="I23" s="491"/>
    </row>
    <row r="24" spans="1:9" ht="18.75">
      <c r="A24" s="491"/>
      <c r="B24" s="499"/>
      <c r="C24" s="501"/>
      <c r="D24" s="517"/>
      <c r="E24" s="515"/>
      <c r="F24" s="515"/>
      <c r="G24" s="500"/>
      <c r="H24" s="495"/>
      <c r="I24" s="491"/>
    </row>
    <row r="25" spans="1:9" ht="18.75">
      <c r="A25" s="491"/>
      <c r="B25" s="499"/>
      <c r="C25" s="501"/>
      <c r="D25" s="517"/>
      <c r="E25" s="515"/>
      <c r="F25" s="515"/>
      <c r="G25" s="500"/>
      <c r="H25" s="495"/>
      <c r="I25" s="491"/>
    </row>
    <row r="26" spans="1:9" ht="18.75">
      <c r="A26" s="491"/>
      <c r="B26" s="499"/>
      <c r="C26" s="501"/>
      <c r="D26" s="517"/>
      <c r="E26" s="515"/>
      <c r="F26" s="515"/>
      <c r="G26" s="500"/>
      <c r="H26" s="495"/>
      <c r="I26" s="491"/>
    </row>
    <row r="27" spans="1:9" ht="18.75">
      <c r="A27" s="491"/>
      <c r="B27" s="499"/>
      <c r="C27" s="501"/>
      <c r="D27" s="514"/>
      <c r="E27" s="515"/>
      <c r="F27" s="515"/>
      <c r="G27" s="500"/>
      <c r="H27" s="495"/>
      <c r="I27" s="491"/>
    </row>
    <row r="28" spans="1:9" ht="18.75">
      <c r="A28" s="491"/>
      <c r="B28" s="499"/>
      <c r="C28" s="501"/>
      <c r="D28" s="516"/>
      <c r="E28" s="515"/>
      <c r="F28" s="515"/>
      <c r="G28" s="500"/>
      <c r="H28" s="495"/>
      <c r="I28" s="491"/>
    </row>
    <row r="29" spans="1:9" ht="18.75">
      <c r="A29" s="491"/>
      <c r="B29" s="499"/>
      <c r="C29" s="501"/>
      <c r="D29" s="514"/>
      <c r="E29" s="515"/>
      <c r="F29" s="515"/>
      <c r="G29" s="500"/>
      <c r="H29" s="495"/>
      <c r="I29" s="491"/>
    </row>
    <row r="30" spans="1:9" ht="18.75">
      <c r="A30" s="491"/>
      <c r="B30" s="499"/>
      <c r="C30" s="501"/>
      <c r="D30" s="514"/>
      <c r="E30" s="515"/>
      <c r="F30" s="515"/>
      <c r="G30" s="500"/>
      <c r="H30" s="495"/>
      <c r="I30" s="491"/>
    </row>
    <row r="31" spans="1:9" ht="18.75">
      <c r="A31" s="491"/>
      <c r="B31" s="499"/>
      <c r="C31" s="501"/>
      <c r="D31" s="514"/>
      <c r="E31" s="515"/>
      <c r="F31" s="515"/>
      <c r="G31" s="500"/>
      <c r="H31" s="495"/>
      <c r="I31" s="491"/>
    </row>
    <row r="32" spans="1:9" ht="18.75">
      <c r="A32" s="491"/>
      <c r="B32" s="499"/>
      <c r="C32" s="501"/>
      <c r="D32" s="516"/>
      <c r="E32" s="515"/>
      <c r="F32" s="515"/>
      <c r="G32" s="500"/>
      <c r="H32" s="495"/>
      <c r="I32" s="491"/>
    </row>
    <row r="33" spans="1:9" ht="18.75">
      <c r="A33" s="491"/>
      <c r="B33" s="499"/>
      <c r="C33" s="501"/>
      <c r="D33" s="514"/>
      <c r="E33" s="515"/>
      <c r="F33" s="515"/>
      <c r="G33" s="500"/>
      <c r="H33" s="495"/>
      <c r="I33" s="491"/>
    </row>
    <row r="34" spans="1:9" ht="18.75">
      <c r="A34" s="491"/>
      <c r="B34" s="499"/>
      <c r="C34" s="501"/>
      <c r="D34" s="514"/>
      <c r="E34" s="515"/>
      <c r="F34" s="515"/>
      <c r="G34" s="500"/>
      <c r="H34" s="495"/>
      <c r="I34" s="491"/>
    </row>
    <row r="35" spans="1:9" ht="18.75">
      <c r="A35" s="491"/>
      <c r="B35" s="499"/>
      <c r="C35" s="501"/>
      <c r="D35" s="514"/>
      <c r="E35" s="515"/>
      <c r="F35" s="515"/>
      <c r="G35" s="500"/>
      <c r="H35" s="495"/>
      <c r="I35" s="491"/>
    </row>
    <row r="36" spans="1:9" ht="18.75">
      <c r="A36" s="491"/>
      <c r="B36" s="499"/>
      <c r="C36" s="501"/>
      <c r="D36" s="514"/>
      <c r="E36" s="515"/>
      <c r="F36" s="515"/>
      <c r="G36" s="500"/>
      <c r="H36" s="495"/>
      <c r="I36" s="491"/>
    </row>
    <row r="37" spans="1:9" ht="18.75">
      <c r="A37" s="491"/>
      <c r="B37" s="499"/>
      <c r="C37" s="501"/>
      <c r="D37" s="514"/>
      <c r="E37" s="515"/>
      <c r="F37" s="515"/>
      <c r="G37" s="500"/>
      <c r="H37" s="495"/>
      <c r="I37" s="491"/>
    </row>
    <row r="38" spans="1:9" ht="18.75">
      <c r="A38" s="491"/>
      <c r="B38" s="499"/>
      <c r="C38" s="498"/>
      <c r="D38" s="518"/>
      <c r="E38" s="518"/>
      <c r="F38" s="518"/>
      <c r="G38" s="496"/>
      <c r="H38" s="495"/>
      <c r="I38" s="491"/>
    </row>
    <row r="39" spans="1:9" ht="22.5" customHeight="1">
      <c r="A39" s="491"/>
      <c r="B39" s="494"/>
      <c r="C39" s="493"/>
      <c r="D39" s="493"/>
      <c r="E39" s="493"/>
      <c r="F39" s="493"/>
      <c r="G39" s="493"/>
      <c r="H39" s="492"/>
      <c r="I39" s="491"/>
    </row>
    <row r="40" spans="1:9" ht="22.5" customHeight="1">
      <c r="A40" s="491"/>
      <c r="B40" s="491"/>
      <c r="C40" s="491"/>
      <c r="D40" s="491"/>
      <c r="E40" s="491"/>
      <c r="F40" s="491"/>
      <c r="G40" s="491"/>
      <c r="H40" s="491"/>
      <c r="I40" s="491"/>
    </row>
  </sheetData>
  <mergeCells count="1">
    <mergeCell ref="D4:F4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72DF5-FE97-4215-8C76-8A112F41338E}">
  <dimension ref="B2:H23"/>
  <sheetViews>
    <sheetView workbookViewId="0"/>
  </sheetViews>
  <sheetFormatPr defaultRowHeight="15"/>
  <cols>
    <col min="2" max="2" width="20.85546875" customWidth="1"/>
    <col min="3" max="3" width="15.140625" customWidth="1"/>
  </cols>
  <sheetData>
    <row r="2" spans="2:8" ht="18">
      <c r="B2" s="442" t="s">
        <v>486</v>
      </c>
      <c r="C2" s="443"/>
      <c r="D2" s="443"/>
      <c r="E2" s="443"/>
      <c r="F2" s="443"/>
      <c r="G2" s="443"/>
    </row>
    <row r="4" spans="2:8">
      <c r="B4" s="444"/>
      <c r="C4" s="445" t="s">
        <v>517</v>
      </c>
    </row>
    <row r="5" spans="2:8" ht="15.75" customHeight="1">
      <c r="B5" s="129" t="s">
        <v>82</v>
      </c>
      <c r="C5" s="129" t="s">
        <v>3</v>
      </c>
      <c r="D5" s="449" t="str">
        <f>SECTF!E7</f>
        <v>RSD_HC</v>
      </c>
      <c r="E5" s="447" t="str">
        <f>SECTF!E9</f>
        <v>RSD_OIL</v>
      </c>
      <c r="F5" s="447" t="str">
        <f>SECTF!E11</f>
        <v>RSD_GAS</v>
      </c>
      <c r="G5" s="447" t="str">
        <f>SECTF!E17</f>
        <v>RSD_BIO</v>
      </c>
      <c r="H5" s="447" t="str">
        <f>SECTF!E23</f>
        <v>RSD_LPG</v>
      </c>
    </row>
    <row r="6" spans="2:8" ht="15.75" customHeight="1" thickBot="1">
      <c r="B6" s="20" t="s">
        <v>89</v>
      </c>
      <c r="C6" s="20"/>
      <c r="D6" s="748" t="s">
        <v>487</v>
      </c>
      <c r="E6" s="749"/>
      <c r="F6" s="749"/>
      <c r="G6" s="749"/>
      <c r="H6" s="749"/>
    </row>
    <row r="7" spans="2:8" ht="15.75" customHeight="1">
      <c r="B7" s="130" t="s">
        <v>488</v>
      </c>
      <c r="C7" s="130" t="str">
        <f>RSD_Comm!D32</f>
        <v>RSD_CO2</v>
      </c>
      <c r="D7" s="448">
        <v>73.33</v>
      </c>
      <c r="E7" s="130">
        <v>68.61</v>
      </c>
      <c r="F7" s="130">
        <v>62.44</v>
      </c>
      <c r="G7" s="130">
        <v>55.82</v>
      </c>
      <c r="H7" s="130">
        <v>0</v>
      </c>
    </row>
    <row r="8" spans="2:8" ht="15.75" customHeight="1">
      <c r="B8" s="134" t="s">
        <v>488</v>
      </c>
      <c r="C8" s="134" t="str">
        <f>RSD_Comm!D33</f>
        <v>RSD_SO2</v>
      </c>
      <c r="D8" s="450">
        <v>0.56799999999999995</v>
      </c>
      <c r="E8" s="161">
        <v>2.7999999999999998E-4</v>
      </c>
      <c r="F8" s="161"/>
      <c r="G8" s="161">
        <v>2.5000000000000001E-2</v>
      </c>
      <c r="H8" s="161"/>
    </row>
    <row r="9" spans="2:8" ht="15.75" customHeight="1">
      <c r="B9" s="138" t="s">
        <v>488</v>
      </c>
      <c r="C9" s="138" t="str">
        <f>RSD_Comm!D34</f>
        <v>RSD_NOX</v>
      </c>
      <c r="D9" s="451">
        <v>0.1724</v>
      </c>
      <c r="E9" s="164">
        <v>4.2000000000000003E-2</v>
      </c>
      <c r="F9" s="164">
        <v>0.05</v>
      </c>
      <c r="G9" s="164">
        <v>0.08</v>
      </c>
      <c r="H9" s="164">
        <v>0.05</v>
      </c>
    </row>
    <row r="10" spans="2:8" ht="15.75" customHeight="1">
      <c r="B10" s="134" t="s">
        <v>488</v>
      </c>
      <c r="C10" s="134" t="str">
        <f>RSD_Comm!D35</f>
        <v>RSD_TSP</v>
      </c>
      <c r="D10" s="450">
        <v>0.55400000000000005</v>
      </c>
      <c r="E10" s="161">
        <v>2.3999999999999998E-3</v>
      </c>
      <c r="F10" s="161">
        <v>1.1999999999999999E-3</v>
      </c>
      <c r="G10" s="161">
        <v>0.72099999999999997</v>
      </c>
      <c r="H10" s="161">
        <v>1.1999999999999999E-3</v>
      </c>
    </row>
    <row r="11" spans="2:8" ht="15.75" customHeight="1">
      <c r="B11" s="138" t="s">
        <v>488</v>
      </c>
      <c r="C11" s="138" t="str">
        <f>RSD_Comm!D36</f>
        <v>RSD_PM10</v>
      </c>
      <c r="D11" s="451">
        <v>0.51849999999999996</v>
      </c>
      <c r="E11" s="164">
        <v>2.3999999999999998E-3</v>
      </c>
      <c r="F11" s="164">
        <v>1.1999999999999999E-3</v>
      </c>
      <c r="G11" s="164">
        <v>0.68500000000000005</v>
      </c>
      <c r="H11" s="164">
        <v>1.1999999999999999E-3</v>
      </c>
    </row>
    <row r="12" spans="2:8" ht="15.75" customHeight="1">
      <c r="B12" s="134" t="s">
        <v>488</v>
      </c>
      <c r="C12" s="134" t="str">
        <f>RSD_Comm!D37</f>
        <v>RSD_PM2.5</v>
      </c>
      <c r="D12" s="450">
        <v>0.45550000000000002</v>
      </c>
      <c r="E12" s="161">
        <v>2.3999999999999998E-3</v>
      </c>
      <c r="F12" s="161">
        <v>1.1999999999999999E-3</v>
      </c>
      <c r="G12" s="161">
        <v>0.63500000000000001</v>
      </c>
      <c r="H12" s="161">
        <v>1.1999999999999999E-3</v>
      </c>
    </row>
    <row r="13" spans="2:8">
      <c r="B13" s="19" t="s">
        <v>89</v>
      </c>
      <c r="C13" s="19"/>
      <c r="D13" s="750" t="s">
        <v>489</v>
      </c>
      <c r="E13" s="751"/>
      <c r="F13" s="751"/>
      <c r="G13" s="751"/>
      <c r="H13" s="751"/>
    </row>
    <row r="14" spans="2:8" ht="15.75" customHeight="1">
      <c r="B14" s="454" t="s">
        <v>488</v>
      </c>
      <c r="C14" s="454" t="str">
        <f>RSD_Comm!D38</f>
        <v>RSD_HG</v>
      </c>
      <c r="D14" s="455">
        <v>2.1900000000000001E-3</v>
      </c>
      <c r="E14" s="456"/>
      <c r="F14" s="456"/>
      <c r="G14" s="456">
        <v>4.0000000000000002E-4</v>
      </c>
      <c r="H14" s="456"/>
    </row>
    <row r="15" spans="2:8" ht="15.75" customHeight="1">
      <c r="B15" s="19" t="s">
        <v>89</v>
      </c>
      <c r="C15" s="19"/>
      <c r="D15" s="750" t="s">
        <v>487</v>
      </c>
      <c r="E15" s="751"/>
      <c r="F15" s="751"/>
      <c r="G15" s="751"/>
      <c r="H15" s="751"/>
    </row>
    <row r="16" spans="2:8" ht="15.75" customHeight="1">
      <c r="B16" s="454" t="s">
        <v>490</v>
      </c>
      <c r="C16" s="454" t="str">
        <f>C7</f>
        <v>RSD_CO2</v>
      </c>
      <c r="D16" s="457">
        <v>73.33</v>
      </c>
      <c r="E16" s="454">
        <v>68.61</v>
      </c>
      <c r="F16" s="454">
        <v>62.44</v>
      </c>
      <c r="G16" s="454">
        <v>55.82</v>
      </c>
      <c r="H16" s="454">
        <v>0</v>
      </c>
    </row>
    <row r="17" spans="2:8" ht="15.75" customHeight="1">
      <c r="B17" s="134" t="s">
        <v>490</v>
      </c>
      <c r="C17" s="134" t="str">
        <f t="shared" ref="C17:C21" si="0">C8</f>
        <v>RSD_SO2</v>
      </c>
      <c r="D17" s="450">
        <v>0.56799999999999995</v>
      </c>
      <c r="E17" s="161">
        <v>2.7999999999999998E-4</v>
      </c>
      <c r="F17" s="161"/>
      <c r="G17" s="161">
        <v>2.5000000000000001E-2</v>
      </c>
      <c r="H17" s="161"/>
    </row>
    <row r="18" spans="2:8" ht="15.75" customHeight="1">
      <c r="B18" s="138" t="s">
        <v>490</v>
      </c>
      <c r="C18" s="138" t="str">
        <f t="shared" si="0"/>
        <v>RSD_NOX</v>
      </c>
      <c r="D18" s="451">
        <v>0.1724</v>
      </c>
      <c r="E18" s="164">
        <v>4.2000000000000003E-2</v>
      </c>
      <c r="F18" s="164">
        <v>0.05</v>
      </c>
      <c r="G18" s="164">
        <v>0.08</v>
      </c>
      <c r="H18" s="164">
        <v>0.05</v>
      </c>
    </row>
    <row r="19" spans="2:8" ht="15.75" customHeight="1">
      <c r="B19" s="134" t="s">
        <v>490</v>
      </c>
      <c r="C19" s="134" t="str">
        <f t="shared" si="0"/>
        <v>RSD_TSP</v>
      </c>
      <c r="D19" s="450">
        <v>0.55400000000000005</v>
      </c>
      <c r="E19" s="161">
        <v>2.3999999999999998E-3</v>
      </c>
      <c r="F19" s="161">
        <v>1.1999999999999999E-3</v>
      </c>
      <c r="G19" s="161">
        <v>0.72099999999999997</v>
      </c>
      <c r="H19" s="161">
        <v>1.1999999999999999E-3</v>
      </c>
    </row>
    <row r="20" spans="2:8" ht="15.75" customHeight="1">
      <c r="B20" s="138" t="s">
        <v>490</v>
      </c>
      <c r="C20" s="138" t="str">
        <f t="shared" si="0"/>
        <v>RSD_PM10</v>
      </c>
      <c r="D20" s="451">
        <v>0.51849999999999996</v>
      </c>
      <c r="E20" s="164">
        <v>2.3999999999999998E-3</v>
      </c>
      <c r="F20" s="164">
        <v>1.1999999999999999E-3</v>
      </c>
      <c r="G20" s="164">
        <v>0.68500000000000005</v>
      </c>
      <c r="H20" s="164">
        <v>1.1999999999999999E-3</v>
      </c>
    </row>
    <row r="21" spans="2:8" ht="15.75" customHeight="1">
      <c r="B21" s="134" t="s">
        <v>490</v>
      </c>
      <c r="C21" s="134" t="str">
        <f t="shared" si="0"/>
        <v>RSD_PM2.5</v>
      </c>
      <c r="D21" s="450">
        <v>0.45550000000000002</v>
      </c>
      <c r="E21" s="161">
        <v>2.3999999999999998E-3</v>
      </c>
      <c r="F21" s="161">
        <v>1.1999999999999999E-3</v>
      </c>
      <c r="G21" s="161">
        <v>0.63500000000000001</v>
      </c>
      <c r="H21" s="161">
        <v>1.1999999999999999E-3</v>
      </c>
    </row>
    <row r="22" spans="2:8">
      <c r="B22" s="19" t="s">
        <v>89</v>
      </c>
      <c r="C22" s="19"/>
      <c r="D22" s="750" t="s">
        <v>489</v>
      </c>
      <c r="E22" s="751"/>
      <c r="F22" s="751"/>
      <c r="G22" s="751"/>
      <c r="H22" s="751"/>
    </row>
    <row r="23" spans="2:8">
      <c r="B23" s="452" t="s">
        <v>490</v>
      </c>
      <c r="C23" s="452" t="str">
        <f>C12</f>
        <v>RSD_PM2.5</v>
      </c>
      <c r="D23" s="453">
        <f>D14</f>
        <v>2.1900000000000001E-3</v>
      </c>
      <c r="E23" s="210"/>
      <c r="F23" s="210"/>
      <c r="G23" s="210">
        <f>G14</f>
        <v>4.0000000000000002E-4</v>
      </c>
      <c r="H23" s="210"/>
    </row>
  </sheetData>
  <mergeCells count="4">
    <mergeCell ref="D6:H6"/>
    <mergeCell ref="D13:H13"/>
    <mergeCell ref="D22:H22"/>
    <mergeCell ref="D15:H1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A4467-F67B-4D87-9493-C3296A14B495}">
  <sheetPr>
    <tabColor theme="0"/>
  </sheetPr>
  <dimension ref="B2:N98"/>
  <sheetViews>
    <sheetView topLeftCell="A16" zoomScale="70" zoomScaleNormal="70" workbookViewId="0">
      <selection activeCell="J51" sqref="J51"/>
    </sheetView>
  </sheetViews>
  <sheetFormatPr defaultColWidth="13.5703125" defaultRowHeight="15"/>
  <cols>
    <col min="1" max="1" width="7.85546875" style="553" customWidth="1"/>
    <col min="2" max="2" width="55.28515625" style="553" customWidth="1"/>
    <col min="3" max="9" width="17.42578125" style="553" customWidth="1"/>
    <col min="10" max="15" width="39.28515625" style="553" customWidth="1"/>
    <col min="16" max="19" width="9.5703125" style="553" customWidth="1"/>
    <col min="20" max="20" width="8.42578125" style="553" bestFit="1" customWidth="1"/>
    <col min="21" max="16384" width="13.5703125" style="553"/>
  </cols>
  <sheetData>
    <row r="2" spans="2:6" ht="31.5">
      <c r="B2" s="549" t="s">
        <v>649</v>
      </c>
      <c r="C2" s="550">
        <v>15015.333000000001</v>
      </c>
      <c r="D2" s="551"/>
      <c r="E2" s="552"/>
      <c r="F2" s="552"/>
    </row>
    <row r="3" spans="2:6" ht="15.75">
      <c r="B3" s="554"/>
      <c r="C3" s="552"/>
      <c r="D3" s="552"/>
      <c r="E3" s="552"/>
      <c r="F3" s="552"/>
    </row>
    <row r="4" spans="2:6" ht="171">
      <c r="B4" s="555"/>
      <c r="C4" s="555" t="s">
        <v>650</v>
      </c>
      <c r="D4" s="555" t="s">
        <v>651</v>
      </c>
      <c r="E4" s="555" t="s">
        <v>652</v>
      </c>
      <c r="F4" s="552"/>
    </row>
    <row r="5" spans="2:6" ht="30">
      <c r="B5" s="556" t="s">
        <v>653</v>
      </c>
      <c r="C5" s="557">
        <v>0.39357305455149999</v>
      </c>
      <c r="D5" s="558">
        <v>120.3</v>
      </c>
      <c r="E5" s="559">
        <v>0.973874052760063</v>
      </c>
      <c r="F5" s="552"/>
    </row>
    <row r="6" spans="2:6" ht="30">
      <c r="B6" s="560" t="s">
        <v>654</v>
      </c>
      <c r="C6" s="561">
        <v>0.54945067910379997</v>
      </c>
      <c r="D6" s="562">
        <v>52.2</v>
      </c>
      <c r="E6" s="563">
        <v>0.973874052760063</v>
      </c>
      <c r="F6" s="552"/>
    </row>
    <row r="7" spans="2:6" ht="45.75" thickBot="1">
      <c r="B7" s="564" t="s">
        <v>655</v>
      </c>
      <c r="C7" s="565">
        <v>5.6976266344700002E-2</v>
      </c>
      <c r="D7" s="566">
        <v>79.2</v>
      </c>
      <c r="E7" s="567">
        <v>0.973874052760063</v>
      </c>
      <c r="F7" s="552"/>
    </row>
    <row r="8" spans="2:6" ht="15.75">
      <c r="B8" s="568"/>
      <c r="C8" s="568"/>
      <c r="D8" s="568"/>
      <c r="E8" s="552"/>
      <c r="F8" s="552"/>
    </row>
    <row r="9" spans="2:6" ht="78.75">
      <c r="B9" s="555" t="s">
        <v>656</v>
      </c>
      <c r="C9" s="569" t="s">
        <v>657</v>
      </c>
      <c r="D9" s="714" t="s">
        <v>665</v>
      </c>
      <c r="E9" s="714"/>
      <c r="F9" s="714"/>
    </row>
    <row r="10" spans="2:6" ht="105">
      <c r="B10" s="571"/>
      <c r="C10" s="572"/>
      <c r="D10" s="571" t="s">
        <v>658</v>
      </c>
      <c r="E10" s="571" t="s">
        <v>659</v>
      </c>
      <c r="F10" s="571" t="s">
        <v>660</v>
      </c>
    </row>
    <row r="11" spans="2:6" ht="18.75" customHeight="1">
      <c r="B11" s="573" t="s">
        <v>546</v>
      </c>
      <c r="C11" s="574">
        <v>0.18058778867142158</v>
      </c>
      <c r="D11" s="575">
        <f t="shared" ref="D11:D16" si="0">$C$2*$C$5*C11</f>
        <v>1067.2070991500857</v>
      </c>
      <c r="E11" s="575">
        <f t="shared" ref="E11:E16" si="1">$C$2*$C$6*C11</f>
        <v>1489.8826497170221</v>
      </c>
      <c r="F11" s="575">
        <f t="shared" ref="F11:F16" si="2">$C$2*$C$7*C11</f>
        <v>154.49603376791487</v>
      </c>
    </row>
    <row r="12" spans="2:6" ht="18.75" customHeight="1">
      <c r="B12" s="576" t="s">
        <v>547</v>
      </c>
      <c r="C12" s="577">
        <v>0.10693475766896275</v>
      </c>
      <c r="D12" s="578">
        <f t="shared" si="0"/>
        <v>631.94490264153228</v>
      </c>
      <c r="E12" s="578">
        <f t="shared" si="1"/>
        <v>882.23152448344172</v>
      </c>
      <c r="F12" s="578">
        <f t="shared" si="2"/>
        <v>91.48456854880547</v>
      </c>
    </row>
    <row r="13" spans="2:6" ht="18.75" customHeight="1">
      <c r="B13" s="573" t="s">
        <v>548</v>
      </c>
      <c r="C13" s="574">
        <v>0.3177479148375853</v>
      </c>
      <c r="D13" s="575">
        <f t="shared" si="0"/>
        <v>1877.7727605480761</v>
      </c>
      <c r="E13" s="575">
        <f t="shared" si="1"/>
        <v>2621.4790533907121</v>
      </c>
      <c r="F13" s="575">
        <f t="shared" si="2"/>
        <v>271.83893740319576</v>
      </c>
    </row>
    <row r="14" spans="2:6" ht="18.75" customHeight="1">
      <c r="B14" s="576" t="s">
        <v>549</v>
      </c>
      <c r="C14" s="577">
        <v>0.2021021881199937</v>
      </c>
      <c r="D14" s="578">
        <f t="shared" si="0"/>
        <v>1194.3492497594107</v>
      </c>
      <c r="E14" s="578">
        <f t="shared" si="1"/>
        <v>1667.3804234775225</v>
      </c>
      <c r="F14" s="578">
        <f t="shared" si="2"/>
        <v>172.901981413416</v>
      </c>
    </row>
    <row r="15" spans="2:6" ht="18.75" customHeight="1">
      <c r="B15" s="573" t="s">
        <v>550</v>
      </c>
      <c r="C15" s="574">
        <v>0.12101345139438417</v>
      </c>
      <c r="D15" s="575">
        <f t="shared" si="0"/>
        <v>715.14478011424001</v>
      </c>
      <c r="E15" s="575">
        <f t="shared" si="1"/>
        <v>998.38335106320153</v>
      </c>
      <c r="F15" s="575">
        <f t="shared" si="2"/>
        <v>103.52913898855111</v>
      </c>
    </row>
    <row r="16" spans="2:6" ht="18.75" customHeight="1" thickBot="1">
      <c r="B16" s="579" t="s">
        <v>551</v>
      </c>
      <c r="C16" s="580">
        <v>7.1613899307652343E-2</v>
      </c>
      <c r="D16" s="581">
        <f t="shared" si="0"/>
        <v>423.21168170459305</v>
      </c>
      <c r="E16" s="581">
        <f t="shared" si="1"/>
        <v>590.82791168779625</v>
      </c>
      <c r="F16" s="581">
        <f t="shared" si="2"/>
        <v>61.266952140480051</v>
      </c>
    </row>
    <row r="17" spans="2:14">
      <c r="C17" s="582"/>
      <c r="D17" s="582"/>
      <c r="E17" s="582"/>
      <c r="F17" s="582"/>
    </row>
    <row r="18" spans="2:14">
      <c r="C18" s="582"/>
      <c r="D18" s="582"/>
      <c r="E18" s="582"/>
      <c r="F18" s="582"/>
    </row>
    <row r="19" spans="2:14">
      <c r="B19" s="583" t="s">
        <v>661</v>
      </c>
    </row>
    <row r="20" spans="2:14">
      <c r="B20" s="583" t="s">
        <v>662</v>
      </c>
    </row>
    <row r="21" spans="2:14" ht="15.75">
      <c r="B21" s="584"/>
      <c r="C21" s="585"/>
      <c r="D21" s="585"/>
      <c r="E21" s="585"/>
      <c r="F21" s="585"/>
      <c r="G21" s="585"/>
      <c r="H21" s="585"/>
      <c r="I21" s="585"/>
      <c r="J21"/>
      <c r="K21"/>
      <c r="L21"/>
      <c r="M21"/>
      <c r="N21"/>
    </row>
    <row r="22" spans="2:14">
      <c r="B22" s="584"/>
      <c r="C22" s="584"/>
      <c r="D22" s="585"/>
      <c r="E22" s="584"/>
      <c r="F22" s="584"/>
      <c r="G22" s="584"/>
      <c r="H22" s="584"/>
      <c r="I22" s="584"/>
    </row>
    <row r="23" spans="2:14" ht="15.75">
      <c r="B23" s="715" t="s">
        <v>663</v>
      </c>
      <c r="C23" s="715"/>
      <c r="D23" s="585"/>
      <c r="E23" s="584"/>
      <c r="F23" s="584"/>
      <c r="G23" s="584"/>
      <c r="H23" s="584"/>
      <c r="I23" s="584"/>
    </row>
    <row r="24" spans="2:14">
      <c r="B24" s="584"/>
      <c r="C24" s="584"/>
      <c r="D24" s="585"/>
      <c r="E24" s="584"/>
      <c r="F24" s="584"/>
      <c r="G24" s="584"/>
      <c r="H24" s="584"/>
      <c r="I24" s="584"/>
    </row>
    <row r="25" spans="2:14">
      <c r="B25" s="584"/>
      <c r="C25" s="584"/>
      <c r="D25" s="584"/>
      <c r="E25" s="584"/>
      <c r="H25" s="584"/>
      <c r="I25" s="584"/>
    </row>
    <row r="26" spans="2:14" ht="31.5">
      <c r="B26" s="586" t="s">
        <v>658</v>
      </c>
      <c r="C26" s="585"/>
      <c r="D26" s="585"/>
      <c r="E26" s="585"/>
      <c r="F26" s="625"/>
      <c r="G26" s="584" t="s">
        <v>691</v>
      </c>
      <c r="H26" s="585"/>
      <c r="I26" s="585"/>
    </row>
    <row r="27" spans="2:14">
      <c r="B27" s="585"/>
      <c r="C27" s="585"/>
      <c r="D27" s="585"/>
      <c r="E27" s="585"/>
      <c r="F27" s="585"/>
      <c r="G27" s="585"/>
      <c r="H27" s="585"/>
      <c r="I27" s="585"/>
    </row>
    <row r="28" spans="2:14">
      <c r="B28" s="584"/>
      <c r="C28" s="585"/>
      <c r="D28" s="584"/>
      <c r="E28" s="584"/>
      <c r="F28" s="584"/>
      <c r="G28" s="584"/>
      <c r="H28" s="584"/>
      <c r="I28" s="584"/>
    </row>
    <row r="29" spans="2:14" ht="15.75">
      <c r="B29" s="570" t="s">
        <v>664</v>
      </c>
      <c r="C29" s="716" t="s">
        <v>690</v>
      </c>
      <c r="D29" s="716"/>
      <c r="E29" s="716"/>
      <c r="F29" s="716"/>
      <c r="G29" s="716"/>
      <c r="H29" s="716"/>
      <c r="I29" s="716"/>
    </row>
    <row r="30" spans="2:14" ht="16.5" thickBot="1">
      <c r="B30" s="587"/>
      <c r="C30" s="623">
        <v>2020</v>
      </c>
      <c r="D30" s="623">
        <v>2025</v>
      </c>
      <c r="E30" s="623">
        <v>2030</v>
      </c>
      <c r="F30" s="623">
        <v>2035</v>
      </c>
      <c r="G30" s="623">
        <v>2040</v>
      </c>
      <c r="H30" s="623">
        <v>2045</v>
      </c>
      <c r="I30" s="623">
        <v>2050</v>
      </c>
    </row>
    <row r="31" spans="2:14" ht="30">
      <c r="B31" s="571" t="s">
        <v>666</v>
      </c>
      <c r="C31" s="621">
        <f>SUM(BUILD_STOCK!N54:N59)</f>
        <v>0</v>
      </c>
      <c r="D31" s="621">
        <f>SUM(BUILD_STOCK!O54:O59)</f>
        <v>0</v>
      </c>
      <c r="E31" s="621">
        <f>SUM(BUILD_STOCK!P54:P59)</f>
        <v>0</v>
      </c>
      <c r="F31" s="621">
        <f>SUM(BUILD_STOCK!Q54:Q59)</f>
        <v>0</v>
      </c>
      <c r="G31" s="621">
        <f>SUM(BUILD_STOCK!R54:R59)</f>
        <v>0</v>
      </c>
      <c r="H31" s="621">
        <f>SUM(BUILD_STOCK!S54:S59)</f>
        <v>0</v>
      </c>
      <c r="I31" s="621">
        <f>SUM(BUILD_STOCK!T54:T59)</f>
        <v>0</v>
      </c>
    </row>
    <row r="32" spans="2:14">
      <c r="B32" s="588" t="s">
        <v>573</v>
      </c>
      <c r="C32" s="597" t="e">
        <f>RSD_SH_TECH!M9/$C$31</f>
        <v>#DIV/0!</v>
      </c>
      <c r="D32" s="624" t="e">
        <f>C32</f>
        <v>#DIV/0!</v>
      </c>
      <c r="E32" s="624" t="e">
        <f t="shared" ref="E32:I41" si="3">D32</f>
        <v>#DIV/0!</v>
      </c>
      <c r="F32" s="624" t="e">
        <f t="shared" si="3"/>
        <v>#DIV/0!</v>
      </c>
      <c r="G32" s="624" t="e">
        <f t="shared" si="3"/>
        <v>#DIV/0!</v>
      </c>
      <c r="H32" s="624" t="e">
        <f t="shared" si="3"/>
        <v>#DIV/0!</v>
      </c>
      <c r="I32" s="624" t="e">
        <f t="shared" si="3"/>
        <v>#DIV/0!</v>
      </c>
    </row>
    <row r="33" spans="2:11">
      <c r="B33" s="589" t="s">
        <v>574</v>
      </c>
      <c r="C33" s="597" t="e">
        <f>RSD_SH_TECH!M10/$C$31</f>
        <v>#DIV/0!</v>
      </c>
      <c r="D33" s="624" t="e">
        <f t="shared" ref="D33:D41" si="4">C33</f>
        <v>#DIV/0!</v>
      </c>
      <c r="E33" s="624" t="e">
        <f t="shared" si="3"/>
        <v>#DIV/0!</v>
      </c>
      <c r="F33" s="624" t="e">
        <f t="shared" si="3"/>
        <v>#DIV/0!</v>
      </c>
      <c r="G33" s="624" t="e">
        <f t="shared" si="3"/>
        <v>#DIV/0!</v>
      </c>
      <c r="H33" s="624" t="e">
        <f t="shared" si="3"/>
        <v>#DIV/0!</v>
      </c>
      <c r="I33" s="624" t="e">
        <f t="shared" si="3"/>
        <v>#DIV/0!</v>
      </c>
    </row>
    <row r="34" spans="2:11">
      <c r="B34" s="588" t="s">
        <v>575</v>
      </c>
      <c r="C34" s="597" t="e">
        <f>RSD_SH_TECH!M11/$C$31</f>
        <v>#DIV/0!</v>
      </c>
      <c r="D34" s="624" t="e">
        <f t="shared" si="4"/>
        <v>#DIV/0!</v>
      </c>
      <c r="E34" s="624" t="e">
        <f t="shared" si="3"/>
        <v>#DIV/0!</v>
      </c>
      <c r="F34" s="624" t="e">
        <f t="shared" si="3"/>
        <v>#DIV/0!</v>
      </c>
      <c r="G34" s="624" t="e">
        <f t="shared" si="3"/>
        <v>#DIV/0!</v>
      </c>
      <c r="H34" s="624" t="e">
        <f t="shared" si="3"/>
        <v>#DIV/0!</v>
      </c>
      <c r="I34" s="624" t="e">
        <f t="shared" si="3"/>
        <v>#DIV/0!</v>
      </c>
    </row>
    <row r="35" spans="2:11">
      <c r="B35" s="589" t="s">
        <v>576</v>
      </c>
      <c r="C35" s="597" t="e">
        <f>RSD_SH_TECH!M12/$C$31</f>
        <v>#DIV/0!</v>
      </c>
      <c r="D35" s="624" t="e">
        <f t="shared" si="4"/>
        <v>#DIV/0!</v>
      </c>
      <c r="E35" s="624" t="e">
        <f t="shared" si="3"/>
        <v>#DIV/0!</v>
      </c>
      <c r="F35" s="624">
        <v>0.19106799788417719</v>
      </c>
      <c r="G35" s="624">
        <f t="shared" si="3"/>
        <v>0.19106799788417719</v>
      </c>
      <c r="H35" s="624">
        <f t="shared" si="3"/>
        <v>0.19106799788417719</v>
      </c>
      <c r="I35" s="624">
        <f t="shared" si="3"/>
        <v>0.19106799788417719</v>
      </c>
    </row>
    <row r="36" spans="2:11">
      <c r="B36" s="588" t="s">
        <v>577</v>
      </c>
      <c r="C36" s="597" t="e">
        <f>RSD_SH_TECH!M13/$C$31</f>
        <v>#DIV/0!</v>
      </c>
      <c r="D36" s="624" t="e">
        <f t="shared" si="4"/>
        <v>#DIV/0!</v>
      </c>
      <c r="E36" s="624" t="e">
        <f t="shared" si="3"/>
        <v>#DIV/0!</v>
      </c>
      <c r="F36" s="624" t="e">
        <f t="shared" si="3"/>
        <v>#DIV/0!</v>
      </c>
      <c r="G36" s="624" t="e">
        <f t="shared" si="3"/>
        <v>#DIV/0!</v>
      </c>
      <c r="H36" s="624" t="e">
        <f t="shared" si="3"/>
        <v>#DIV/0!</v>
      </c>
      <c r="I36" s="624" t="e">
        <f t="shared" si="3"/>
        <v>#DIV/0!</v>
      </c>
    </row>
    <row r="37" spans="2:11">
      <c r="B37" s="589" t="s">
        <v>578</v>
      </c>
      <c r="C37" s="597" t="e">
        <f>RSD_SH_TECH!M14/$C$31</f>
        <v>#DIV/0!</v>
      </c>
      <c r="D37" s="624" t="e">
        <f t="shared" si="4"/>
        <v>#DIV/0!</v>
      </c>
      <c r="E37" s="624" t="e">
        <f t="shared" si="3"/>
        <v>#DIV/0!</v>
      </c>
      <c r="F37" s="624" t="e">
        <f t="shared" si="3"/>
        <v>#DIV/0!</v>
      </c>
      <c r="G37" s="624" t="e">
        <f t="shared" si="3"/>
        <v>#DIV/0!</v>
      </c>
      <c r="H37" s="624" t="e">
        <f t="shared" si="3"/>
        <v>#DIV/0!</v>
      </c>
      <c r="I37" s="624" t="e">
        <f t="shared" si="3"/>
        <v>#DIV/0!</v>
      </c>
      <c r="K37" s="709"/>
    </row>
    <row r="38" spans="2:11">
      <c r="B38" s="588" t="s">
        <v>579</v>
      </c>
      <c r="C38" s="597" t="e">
        <f>RSD_SH_TECH!M15/$C$31</f>
        <v>#DIV/0!</v>
      </c>
      <c r="D38" s="624" t="e">
        <f t="shared" si="4"/>
        <v>#DIV/0!</v>
      </c>
      <c r="E38" s="624" t="e">
        <f>D38+D39</f>
        <v>#DIV/0!</v>
      </c>
      <c r="F38" s="624">
        <v>0.7</v>
      </c>
      <c r="G38" s="624">
        <f t="shared" si="3"/>
        <v>0.7</v>
      </c>
      <c r="H38" s="624">
        <f t="shared" si="3"/>
        <v>0.7</v>
      </c>
      <c r="I38" s="624">
        <f t="shared" si="3"/>
        <v>0.7</v>
      </c>
    </row>
    <row r="39" spans="2:11">
      <c r="B39" s="589" t="s">
        <v>580</v>
      </c>
      <c r="C39" s="597" t="e">
        <f>RSD_SH_TECH!M16/$C$31</f>
        <v>#DIV/0!</v>
      </c>
      <c r="D39" s="624" t="e">
        <f t="shared" si="4"/>
        <v>#DIV/0!</v>
      </c>
      <c r="E39" s="624">
        <v>0</v>
      </c>
      <c r="F39" s="624">
        <f t="shared" si="3"/>
        <v>0</v>
      </c>
      <c r="G39" s="624">
        <f t="shared" si="3"/>
        <v>0</v>
      </c>
      <c r="H39" s="624">
        <f t="shared" si="3"/>
        <v>0</v>
      </c>
      <c r="I39" s="624">
        <f t="shared" si="3"/>
        <v>0</v>
      </c>
    </row>
    <row r="40" spans="2:11">
      <c r="B40" s="588" t="s">
        <v>581</v>
      </c>
      <c r="C40" s="597" t="e">
        <f>RSD_SH_TECH!M17/$C$31</f>
        <v>#DIV/0!</v>
      </c>
      <c r="D40" s="624" t="e">
        <f t="shared" si="4"/>
        <v>#DIV/0!</v>
      </c>
      <c r="E40" s="624" t="e">
        <f t="shared" si="3"/>
        <v>#DIV/0!</v>
      </c>
      <c r="F40" s="624" t="e">
        <f t="shared" si="3"/>
        <v>#DIV/0!</v>
      </c>
      <c r="G40" s="624" t="e">
        <f t="shared" si="3"/>
        <v>#DIV/0!</v>
      </c>
      <c r="H40" s="624" t="e">
        <f t="shared" si="3"/>
        <v>#DIV/0!</v>
      </c>
      <c r="I40" s="624" t="e">
        <f t="shared" si="3"/>
        <v>#DIV/0!</v>
      </c>
    </row>
    <row r="41" spans="2:11">
      <c r="B41" s="589" t="s">
        <v>582</v>
      </c>
      <c r="C41" s="597" t="e">
        <f>RSD_SH_TECH!M18/$C$31</f>
        <v>#DIV/0!</v>
      </c>
      <c r="D41" s="624" t="e">
        <f t="shared" si="4"/>
        <v>#DIV/0!</v>
      </c>
      <c r="E41" s="624" t="e">
        <f t="shared" si="3"/>
        <v>#DIV/0!</v>
      </c>
      <c r="F41" s="624" t="e">
        <f t="shared" si="3"/>
        <v>#DIV/0!</v>
      </c>
      <c r="G41" s="624" t="e">
        <f t="shared" si="3"/>
        <v>#DIV/0!</v>
      </c>
      <c r="H41" s="624" t="e">
        <f t="shared" si="3"/>
        <v>#DIV/0!</v>
      </c>
      <c r="I41" s="624" t="e">
        <f t="shared" si="3"/>
        <v>#DIV/0!</v>
      </c>
    </row>
    <row r="42" spans="2:11">
      <c r="B42" s="584"/>
      <c r="C42" s="617" t="e">
        <f>SUM(C32:C41)</f>
        <v>#DIV/0!</v>
      </c>
      <c r="D42" s="617" t="e">
        <f>SUM(D32:D41)</f>
        <v>#DIV/0!</v>
      </c>
      <c r="E42" s="617" t="e">
        <f t="shared" ref="E42:I42" si="5">SUM(E32:E41)</f>
        <v>#DIV/0!</v>
      </c>
      <c r="F42" s="617" t="e">
        <f t="shared" si="5"/>
        <v>#DIV/0!</v>
      </c>
      <c r="G42" s="617" t="e">
        <f t="shared" si="5"/>
        <v>#DIV/0!</v>
      </c>
      <c r="H42" s="617" t="e">
        <f t="shared" si="5"/>
        <v>#DIV/0!</v>
      </c>
      <c r="I42" s="617" t="e">
        <f t="shared" si="5"/>
        <v>#DIV/0!</v>
      </c>
      <c r="K42" s="708"/>
    </row>
    <row r="44" spans="2:11">
      <c r="F44" s="708"/>
    </row>
    <row r="45" spans="2:11">
      <c r="F45" s="709"/>
    </row>
    <row r="46" spans="2:11" ht="47.25">
      <c r="B46" s="586" t="s">
        <v>660</v>
      </c>
      <c r="C46" s="590"/>
      <c r="D46" s="591"/>
      <c r="E46" s="591"/>
      <c r="F46" s="591"/>
      <c r="G46" s="591"/>
      <c r="H46" s="591"/>
      <c r="I46" s="591"/>
    </row>
    <row r="47" spans="2:11">
      <c r="B47" s="584"/>
      <c r="C47" s="590"/>
      <c r="D47" s="591"/>
      <c r="E47" s="591"/>
      <c r="F47" s="591"/>
      <c r="G47" s="591"/>
      <c r="H47" s="591"/>
      <c r="I47" s="591"/>
    </row>
    <row r="48" spans="2:11" ht="15.75">
      <c r="B48" s="570" t="s">
        <v>82</v>
      </c>
      <c r="C48" s="716" t="s">
        <v>690</v>
      </c>
      <c r="D48" s="716"/>
      <c r="E48" s="716"/>
      <c r="F48" s="716"/>
      <c r="G48" s="716"/>
      <c r="H48" s="716"/>
      <c r="I48" s="716"/>
    </row>
    <row r="49" spans="2:9" ht="16.5" thickBot="1">
      <c r="B49" s="587"/>
      <c r="C49" s="623">
        <v>2020</v>
      </c>
      <c r="D49" s="623">
        <v>2025</v>
      </c>
      <c r="E49" s="623">
        <v>2030</v>
      </c>
      <c r="F49" s="623">
        <v>2035</v>
      </c>
      <c r="G49" s="623">
        <v>2040</v>
      </c>
      <c r="H49" s="623">
        <v>2045</v>
      </c>
      <c r="I49" s="623">
        <v>2050</v>
      </c>
    </row>
    <row r="50" spans="2:9" ht="23.25">
      <c r="B50" s="571"/>
      <c r="C50" s="621">
        <f>SUM(BUILD_STOCK!N60:N65)</f>
        <v>0</v>
      </c>
      <c r="D50" s="621">
        <f>SUM(BUILD_STOCK!O60:O65)</f>
        <v>0</v>
      </c>
      <c r="E50" s="621">
        <f>SUM(BUILD_STOCK!P60:P65)</f>
        <v>0</v>
      </c>
      <c r="F50" s="621">
        <f>SUM(BUILD_STOCK!Q60:Q65)</f>
        <v>0</v>
      </c>
      <c r="G50" s="621">
        <f>SUM(BUILD_STOCK!R60:R65)</f>
        <v>0</v>
      </c>
      <c r="H50" s="621">
        <f>SUM(BUILD_STOCK!S60:S65)</f>
        <v>0</v>
      </c>
      <c r="I50" s="621">
        <f>SUM(BUILD_STOCK!T60:T65)</f>
        <v>0</v>
      </c>
    </row>
    <row r="51" spans="2:9">
      <c r="B51" s="588" t="s">
        <v>583</v>
      </c>
      <c r="C51" s="597" t="e">
        <f>RSD_SH_TECH!M24/$C$50</f>
        <v>#DIV/0!</v>
      </c>
      <c r="D51" s="624" t="e">
        <f>C51</f>
        <v>#DIV/0!</v>
      </c>
      <c r="E51" s="624" t="e">
        <f t="shared" ref="E51:I51" si="6">D51</f>
        <v>#DIV/0!</v>
      </c>
      <c r="F51" s="624" t="e">
        <f t="shared" si="6"/>
        <v>#DIV/0!</v>
      </c>
      <c r="G51" s="624" t="e">
        <f t="shared" si="6"/>
        <v>#DIV/0!</v>
      </c>
      <c r="H51" s="624" t="e">
        <f t="shared" si="6"/>
        <v>#DIV/0!</v>
      </c>
      <c r="I51" s="624" t="e">
        <f t="shared" si="6"/>
        <v>#DIV/0!</v>
      </c>
    </row>
    <row r="52" spans="2:9">
      <c r="B52" s="589" t="s">
        <v>584</v>
      </c>
      <c r="C52" s="597" t="e">
        <f>RSD_SH_TECH!M25/$C$50</f>
        <v>#DIV/0!</v>
      </c>
      <c r="D52" s="624" t="e">
        <f t="shared" ref="D52:I60" si="7">C52</f>
        <v>#DIV/0!</v>
      </c>
      <c r="E52" s="624" t="e">
        <f t="shared" si="7"/>
        <v>#DIV/0!</v>
      </c>
      <c r="F52" s="624" t="e">
        <f t="shared" si="7"/>
        <v>#DIV/0!</v>
      </c>
      <c r="G52" s="624" t="e">
        <f t="shared" si="7"/>
        <v>#DIV/0!</v>
      </c>
      <c r="H52" s="624" t="e">
        <f t="shared" si="7"/>
        <v>#DIV/0!</v>
      </c>
      <c r="I52" s="624" t="e">
        <f t="shared" si="7"/>
        <v>#DIV/0!</v>
      </c>
    </row>
    <row r="53" spans="2:9">
      <c r="B53" s="588" t="s">
        <v>585</v>
      </c>
      <c r="C53" s="597" t="e">
        <f>RSD_SH_TECH!M26/$C$50</f>
        <v>#DIV/0!</v>
      </c>
      <c r="D53" s="624" t="e">
        <f t="shared" si="7"/>
        <v>#DIV/0!</v>
      </c>
      <c r="E53" s="624" t="e">
        <f t="shared" si="7"/>
        <v>#DIV/0!</v>
      </c>
      <c r="F53" s="624" t="e">
        <f t="shared" si="7"/>
        <v>#DIV/0!</v>
      </c>
      <c r="G53" s="624" t="e">
        <f t="shared" si="7"/>
        <v>#DIV/0!</v>
      </c>
      <c r="H53" s="624" t="e">
        <f t="shared" si="7"/>
        <v>#DIV/0!</v>
      </c>
      <c r="I53" s="624" t="e">
        <f t="shared" si="7"/>
        <v>#DIV/0!</v>
      </c>
    </row>
    <row r="54" spans="2:9">
      <c r="B54" s="589" t="s">
        <v>586</v>
      </c>
      <c r="C54" s="597" t="e">
        <f>RSD_SH_TECH!M27/$C$50</f>
        <v>#DIV/0!</v>
      </c>
      <c r="D54" s="624" t="e">
        <f t="shared" si="7"/>
        <v>#DIV/0!</v>
      </c>
      <c r="E54" s="624" t="e">
        <f t="shared" si="7"/>
        <v>#DIV/0!</v>
      </c>
      <c r="F54" s="624" t="e">
        <f t="shared" si="7"/>
        <v>#DIV/0!</v>
      </c>
      <c r="G54" s="624" t="e">
        <f t="shared" si="7"/>
        <v>#DIV/0!</v>
      </c>
      <c r="H54" s="624" t="e">
        <f t="shared" si="7"/>
        <v>#DIV/0!</v>
      </c>
      <c r="I54" s="624" t="e">
        <f t="shared" si="7"/>
        <v>#DIV/0!</v>
      </c>
    </row>
    <row r="55" spans="2:9">
      <c r="B55" s="588" t="s">
        <v>587</v>
      </c>
      <c r="C55" s="597" t="e">
        <f>RSD_SH_TECH!M28/$C$50</f>
        <v>#DIV/0!</v>
      </c>
      <c r="D55" s="624" t="e">
        <f t="shared" si="7"/>
        <v>#DIV/0!</v>
      </c>
      <c r="E55" s="624" t="e">
        <f t="shared" si="7"/>
        <v>#DIV/0!</v>
      </c>
      <c r="F55" s="624" t="e">
        <f t="shared" si="7"/>
        <v>#DIV/0!</v>
      </c>
      <c r="G55" s="624" t="e">
        <f t="shared" si="7"/>
        <v>#DIV/0!</v>
      </c>
      <c r="H55" s="624" t="e">
        <f t="shared" si="7"/>
        <v>#DIV/0!</v>
      </c>
      <c r="I55" s="624" t="e">
        <f t="shared" si="7"/>
        <v>#DIV/0!</v>
      </c>
    </row>
    <row r="56" spans="2:9">
      <c r="B56" s="589" t="s">
        <v>588</v>
      </c>
      <c r="C56" s="597" t="e">
        <f>RSD_SH_TECH!M29/$C$50</f>
        <v>#DIV/0!</v>
      </c>
      <c r="D56" s="624" t="e">
        <f t="shared" si="7"/>
        <v>#DIV/0!</v>
      </c>
      <c r="E56" s="624" t="e">
        <f t="shared" si="7"/>
        <v>#DIV/0!</v>
      </c>
      <c r="F56" s="624" t="e">
        <f t="shared" si="7"/>
        <v>#DIV/0!</v>
      </c>
      <c r="G56" s="624" t="e">
        <f t="shared" si="7"/>
        <v>#DIV/0!</v>
      </c>
      <c r="H56" s="624" t="e">
        <f t="shared" si="7"/>
        <v>#DIV/0!</v>
      </c>
      <c r="I56" s="624" t="e">
        <f t="shared" si="7"/>
        <v>#DIV/0!</v>
      </c>
    </row>
    <row r="57" spans="2:9">
      <c r="B57" s="588" t="s">
        <v>589</v>
      </c>
      <c r="C57" s="597" t="e">
        <f>RSD_SH_TECH!M30/$C$50</f>
        <v>#DIV/0!</v>
      </c>
      <c r="D57" s="624" t="e">
        <f t="shared" si="7"/>
        <v>#DIV/0!</v>
      </c>
      <c r="E57" s="624" t="e">
        <f t="shared" si="7"/>
        <v>#DIV/0!</v>
      </c>
      <c r="F57" s="624" t="e">
        <f t="shared" si="7"/>
        <v>#DIV/0!</v>
      </c>
      <c r="G57" s="624" t="e">
        <f t="shared" si="7"/>
        <v>#DIV/0!</v>
      </c>
      <c r="H57" s="624" t="e">
        <f t="shared" si="7"/>
        <v>#DIV/0!</v>
      </c>
      <c r="I57" s="624" t="e">
        <f t="shared" si="7"/>
        <v>#DIV/0!</v>
      </c>
    </row>
    <row r="58" spans="2:9">
      <c r="B58" s="589" t="s">
        <v>590</v>
      </c>
      <c r="C58" s="597" t="e">
        <f>RSD_SH_TECH!M31/$C$50</f>
        <v>#DIV/0!</v>
      </c>
      <c r="D58" s="624" t="e">
        <f t="shared" si="7"/>
        <v>#DIV/0!</v>
      </c>
      <c r="E58" s="624" t="e">
        <f t="shared" si="7"/>
        <v>#DIV/0!</v>
      </c>
      <c r="F58" s="624" t="e">
        <f t="shared" si="7"/>
        <v>#DIV/0!</v>
      </c>
      <c r="G58" s="624" t="e">
        <f t="shared" si="7"/>
        <v>#DIV/0!</v>
      </c>
      <c r="H58" s="624" t="e">
        <f t="shared" si="7"/>
        <v>#DIV/0!</v>
      </c>
      <c r="I58" s="624" t="e">
        <f t="shared" si="7"/>
        <v>#DIV/0!</v>
      </c>
    </row>
    <row r="59" spans="2:9">
      <c r="B59" s="588" t="s">
        <v>591</v>
      </c>
      <c r="C59" s="597" t="e">
        <f>RSD_SH_TECH!M32/$C$50</f>
        <v>#DIV/0!</v>
      </c>
      <c r="D59" s="624" t="e">
        <f t="shared" si="7"/>
        <v>#DIV/0!</v>
      </c>
      <c r="E59" s="624" t="e">
        <f t="shared" si="7"/>
        <v>#DIV/0!</v>
      </c>
      <c r="F59" s="624" t="e">
        <f t="shared" si="7"/>
        <v>#DIV/0!</v>
      </c>
      <c r="G59" s="624" t="e">
        <f t="shared" si="7"/>
        <v>#DIV/0!</v>
      </c>
      <c r="H59" s="624" t="e">
        <f t="shared" si="7"/>
        <v>#DIV/0!</v>
      </c>
      <c r="I59" s="624" t="e">
        <f t="shared" si="7"/>
        <v>#DIV/0!</v>
      </c>
    </row>
    <row r="60" spans="2:9">
      <c r="B60" s="589" t="s">
        <v>592</v>
      </c>
      <c r="C60" s="597" t="e">
        <f>RSD_SH_TECH!M33/$C$50</f>
        <v>#DIV/0!</v>
      </c>
      <c r="D60" s="624" t="e">
        <f t="shared" si="7"/>
        <v>#DIV/0!</v>
      </c>
      <c r="E60" s="624" t="e">
        <f t="shared" si="7"/>
        <v>#DIV/0!</v>
      </c>
      <c r="F60" s="624" t="e">
        <f t="shared" si="7"/>
        <v>#DIV/0!</v>
      </c>
      <c r="G60" s="624" t="e">
        <f t="shared" si="7"/>
        <v>#DIV/0!</v>
      </c>
      <c r="H60" s="624" t="e">
        <f t="shared" si="7"/>
        <v>#DIV/0!</v>
      </c>
      <c r="I60" s="624" t="e">
        <f t="shared" si="7"/>
        <v>#DIV/0!</v>
      </c>
    </row>
    <row r="61" spans="2:9">
      <c r="B61" s="584"/>
      <c r="C61" s="622" t="e">
        <f>SUM(C51:C60)</f>
        <v>#DIV/0!</v>
      </c>
      <c r="D61" s="622" t="e">
        <f t="shared" ref="D61:I61" si="8">SUM(D51:D60)</f>
        <v>#DIV/0!</v>
      </c>
      <c r="E61" s="622" t="e">
        <f t="shared" si="8"/>
        <v>#DIV/0!</v>
      </c>
      <c r="F61" s="622" t="e">
        <f t="shared" si="8"/>
        <v>#DIV/0!</v>
      </c>
      <c r="G61" s="622" t="e">
        <f t="shared" si="8"/>
        <v>#DIV/0!</v>
      </c>
      <c r="H61" s="622" t="e">
        <f t="shared" si="8"/>
        <v>#DIV/0!</v>
      </c>
      <c r="I61" s="622" t="e">
        <f t="shared" si="8"/>
        <v>#DIV/0!</v>
      </c>
    </row>
    <row r="62" spans="2:9">
      <c r="B62" s="584"/>
      <c r="C62" s="590"/>
      <c r="D62" s="591"/>
      <c r="E62" s="591"/>
      <c r="F62" s="591"/>
      <c r="G62" s="591"/>
      <c r="H62" s="591"/>
      <c r="I62" s="591"/>
    </row>
    <row r="63" spans="2:9">
      <c r="B63" s="584"/>
      <c r="C63" s="590"/>
      <c r="D63" s="591"/>
      <c r="E63" s="591"/>
      <c r="F63" s="591"/>
      <c r="G63" s="591"/>
      <c r="H63" s="591"/>
      <c r="I63" s="591"/>
    </row>
    <row r="64" spans="2:9" ht="31.5">
      <c r="B64" s="586" t="s">
        <v>659</v>
      </c>
      <c r="C64" s="590"/>
      <c r="D64" s="591"/>
      <c r="E64" s="591"/>
      <c r="F64" s="591"/>
      <c r="G64" s="591"/>
      <c r="H64" s="591"/>
      <c r="I64" s="591"/>
    </row>
    <row r="65" spans="2:9">
      <c r="B65" s="584"/>
      <c r="C65" s="590"/>
      <c r="D65" s="591"/>
      <c r="E65" s="591"/>
      <c r="F65" s="591"/>
      <c r="G65" s="591"/>
      <c r="H65" s="591"/>
      <c r="I65" s="591"/>
    </row>
    <row r="66" spans="2:9" ht="15.75">
      <c r="B66" s="570" t="s">
        <v>82</v>
      </c>
      <c r="C66" s="716" t="s">
        <v>690</v>
      </c>
      <c r="D66" s="716"/>
      <c r="E66" s="716"/>
      <c r="F66" s="716"/>
      <c r="G66" s="716"/>
      <c r="H66" s="716"/>
      <c r="I66" s="716"/>
    </row>
    <row r="67" spans="2:9" ht="16.5" thickBot="1">
      <c r="B67" s="587" t="s">
        <v>593</v>
      </c>
      <c r="C67" s="623">
        <v>2020</v>
      </c>
      <c r="D67" s="623">
        <v>2025</v>
      </c>
      <c r="E67" s="623">
        <v>2030</v>
      </c>
      <c r="F67" s="623">
        <v>2035</v>
      </c>
      <c r="G67" s="623">
        <v>2040</v>
      </c>
      <c r="H67" s="623">
        <v>2045</v>
      </c>
      <c r="I67" s="623">
        <v>2050</v>
      </c>
    </row>
    <row r="68" spans="2:9" ht="23.25">
      <c r="B68" s="571"/>
      <c r="C68" s="621">
        <f>SUM(BUILD_STOCK!N66:N71)</f>
        <v>0</v>
      </c>
      <c r="D68" s="621">
        <f>SUM(BUILD_STOCK!O66:O71)</f>
        <v>0</v>
      </c>
      <c r="E68" s="621">
        <f>SUM(BUILD_STOCK!P66:P71)</f>
        <v>0</v>
      </c>
      <c r="F68" s="621">
        <f>SUM(BUILD_STOCK!Q66:Q71)</f>
        <v>0</v>
      </c>
      <c r="G68" s="621">
        <f>SUM(BUILD_STOCK!R66:R71)</f>
        <v>0</v>
      </c>
      <c r="H68" s="621">
        <f>SUM(BUILD_STOCK!S66:S71)</f>
        <v>0</v>
      </c>
      <c r="I68" s="621">
        <f>SUM(BUILD_STOCK!T66:T71)</f>
        <v>0</v>
      </c>
    </row>
    <row r="69" spans="2:9">
      <c r="B69" s="588" t="s">
        <v>593</v>
      </c>
      <c r="C69" s="597" t="e">
        <f>RSD_SH_TECH!M40/$C$68</f>
        <v>#DIV/0!</v>
      </c>
      <c r="D69" s="624" t="e">
        <f>C69</f>
        <v>#DIV/0!</v>
      </c>
      <c r="E69" s="624" t="e">
        <f t="shared" ref="E69:I69" si="9">D69</f>
        <v>#DIV/0!</v>
      </c>
      <c r="F69" s="624" t="e">
        <f t="shared" si="9"/>
        <v>#DIV/0!</v>
      </c>
      <c r="G69" s="624" t="e">
        <f t="shared" si="9"/>
        <v>#DIV/0!</v>
      </c>
      <c r="H69" s="624" t="e">
        <f t="shared" si="9"/>
        <v>#DIV/0!</v>
      </c>
      <c r="I69" s="624" t="e">
        <f t="shared" si="9"/>
        <v>#DIV/0!</v>
      </c>
    </row>
    <row r="70" spans="2:9">
      <c r="B70" s="589" t="s">
        <v>594</v>
      </c>
      <c r="C70" s="597" t="e">
        <f>RSD_SH_TECH!M41/$C$68</f>
        <v>#DIV/0!</v>
      </c>
      <c r="D70" s="624" t="e">
        <f t="shared" ref="D70:I78" si="10">C70</f>
        <v>#DIV/0!</v>
      </c>
      <c r="E70" s="624" t="e">
        <f t="shared" si="10"/>
        <v>#DIV/0!</v>
      </c>
      <c r="F70" s="624" t="e">
        <f t="shared" si="10"/>
        <v>#DIV/0!</v>
      </c>
      <c r="G70" s="624" t="e">
        <f t="shared" si="10"/>
        <v>#DIV/0!</v>
      </c>
      <c r="H70" s="624" t="e">
        <f t="shared" si="10"/>
        <v>#DIV/0!</v>
      </c>
      <c r="I70" s="624" t="e">
        <f t="shared" si="10"/>
        <v>#DIV/0!</v>
      </c>
    </row>
    <row r="71" spans="2:9">
      <c r="B71" s="588" t="s">
        <v>595</v>
      </c>
      <c r="C71" s="597" t="e">
        <f>RSD_SH_TECH!M42/$C$68</f>
        <v>#DIV/0!</v>
      </c>
      <c r="D71" s="624" t="e">
        <f t="shared" si="10"/>
        <v>#DIV/0!</v>
      </c>
      <c r="E71" s="624" t="e">
        <f t="shared" si="10"/>
        <v>#DIV/0!</v>
      </c>
      <c r="F71" s="624" t="e">
        <f t="shared" si="10"/>
        <v>#DIV/0!</v>
      </c>
      <c r="G71" s="624" t="e">
        <f t="shared" si="10"/>
        <v>#DIV/0!</v>
      </c>
      <c r="H71" s="624" t="e">
        <f t="shared" si="10"/>
        <v>#DIV/0!</v>
      </c>
      <c r="I71" s="624" t="e">
        <f t="shared" si="10"/>
        <v>#DIV/0!</v>
      </c>
    </row>
    <row r="72" spans="2:9">
      <c r="B72" s="589" t="s">
        <v>596</v>
      </c>
      <c r="C72" s="597" t="e">
        <f>RSD_SH_TECH!M43/$C$68</f>
        <v>#DIV/0!</v>
      </c>
      <c r="D72" s="624" t="e">
        <f t="shared" si="10"/>
        <v>#DIV/0!</v>
      </c>
      <c r="E72" s="624" t="e">
        <f t="shared" si="10"/>
        <v>#DIV/0!</v>
      </c>
      <c r="F72" s="624" t="e">
        <f t="shared" si="10"/>
        <v>#DIV/0!</v>
      </c>
      <c r="G72" s="624" t="e">
        <f t="shared" si="10"/>
        <v>#DIV/0!</v>
      </c>
      <c r="H72" s="624" t="e">
        <f t="shared" si="10"/>
        <v>#DIV/0!</v>
      </c>
      <c r="I72" s="624" t="e">
        <f t="shared" si="10"/>
        <v>#DIV/0!</v>
      </c>
    </row>
    <row r="73" spans="2:9">
      <c r="B73" s="588" t="s">
        <v>597</v>
      </c>
      <c r="C73" s="597" t="e">
        <f>RSD_SH_TECH!M44/$C$68</f>
        <v>#DIV/0!</v>
      </c>
      <c r="D73" s="624" t="e">
        <f t="shared" si="10"/>
        <v>#DIV/0!</v>
      </c>
      <c r="E73" s="624" t="e">
        <f t="shared" si="10"/>
        <v>#DIV/0!</v>
      </c>
      <c r="F73" s="624" t="e">
        <f t="shared" si="10"/>
        <v>#DIV/0!</v>
      </c>
      <c r="G73" s="624" t="e">
        <f t="shared" si="10"/>
        <v>#DIV/0!</v>
      </c>
      <c r="H73" s="624" t="e">
        <f t="shared" si="10"/>
        <v>#DIV/0!</v>
      </c>
      <c r="I73" s="624" t="e">
        <f t="shared" si="10"/>
        <v>#DIV/0!</v>
      </c>
    </row>
    <row r="74" spans="2:9">
      <c r="B74" s="589" t="s">
        <v>598</v>
      </c>
      <c r="C74" s="597" t="e">
        <f>RSD_SH_TECH!M45/$C$68</f>
        <v>#DIV/0!</v>
      </c>
      <c r="D74" s="624" t="e">
        <f t="shared" si="10"/>
        <v>#DIV/0!</v>
      </c>
      <c r="E74" s="624" t="e">
        <f t="shared" si="10"/>
        <v>#DIV/0!</v>
      </c>
      <c r="F74" s="624" t="e">
        <f t="shared" si="10"/>
        <v>#DIV/0!</v>
      </c>
      <c r="G74" s="624" t="e">
        <f t="shared" si="10"/>
        <v>#DIV/0!</v>
      </c>
      <c r="H74" s="624" t="e">
        <f t="shared" si="10"/>
        <v>#DIV/0!</v>
      </c>
      <c r="I74" s="624" t="e">
        <f t="shared" si="10"/>
        <v>#DIV/0!</v>
      </c>
    </row>
    <row r="75" spans="2:9">
      <c r="B75" s="588" t="s">
        <v>599</v>
      </c>
      <c r="C75" s="597" t="e">
        <f>RSD_SH_TECH!M46/$C$68</f>
        <v>#DIV/0!</v>
      </c>
      <c r="D75" s="624" t="e">
        <f t="shared" si="10"/>
        <v>#DIV/0!</v>
      </c>
      <c r="E75" s="624" t="e">
        <f t="shared" si="10"/>
        <v>#DIV/0!</v>
      </c>
      <c r="F75" s="624" t="e">
        <f t="shared" si="10"/>
        <v>#DIV/0!</v>
      </c>
      <c r="G75" s="624" t="e">
        <f t="shared" si="10"/>
        <v>#DIV/0!</v>
      </c>
      <c r="H75" s="624" t="e">
        <f t="shared" si="10"/>
        <v>#DIV/0!</v>
      </c>
      <c r="I75" s="624" t="e">
        <f t="shared" si="10"/>
        <v>#DIV/0!</v>
      </c>
    </row>
    <row r="76" spans="2:9">
      <c r="B76" s="589" t="s">
        <v>600</v>
      </c>
      <c r="C76" s="597" t="e">
        <f>RSD_SH_TECH!M47/$C$68</f>
        <v>#DIV/0!</v>
      </c>
      <c r="D76" s="624" t="e">
        <f t="shared" si="10"/>
        <v>#DIV/0!</v>
      </c>
      <c r="E76" s="624" t="e">
        <f t="shared" si="10"/>
        <v>#DIV/0!</v>
      </c>
      <c r="F76" s="624" t="e">
        <f t="shared" si="10"/>
        <v>#DIV/0!</v>
      </c>
      <c r="G76" s="624" t="e">
        <f t="shared" si="10"/>
        <v>#DIV/0!</v>
      </c>
      <c r="H76" s="624" t="e">
        <f t="shared" si="10"/>
        <v>#DIV/0!</v>
      </c>
      <c r="I76" s="624" t="e">
        <f t="shared" si="10"/>
        <v>#DIV/0!</v>
      </c>
    </row>
    <row r="77" spans="2:9">
      <c r="B77" s="588" t="s">
        <v>601</v>
      </c>
      <c r="C77" s="597" t="e">
        <f>RSD_SH_TECH!M48/$C$68</f>
        <v>#DIV/0!</v>
      </c>
      <c r="D77" s="624" t="e">
        <f t="shared" si="10"/>
        <v>#DIV/0!</v>
      </c>
      <c r="E77" s="624" t="e">
        <f t="shared" si="10"/>
        <v>#DIV/0!</v>
      </c>
      <c r="F77" s="624" t="e">
        <f t="shared" si="10"/>
        <v>#DIV/0!</v>
      </c>
      <c r="G77" s="624" t="e">
        <f t="shared" si="10"/>
        <v>#DIV/0!</v>
      </c>
      <c r="H77" s="624" t="e">
        <f t="shared" si="10"/>
        <v>#DIV/0!</v>
      </c>
      <c r="I77" s="624" t="e">
        <f t="shared" si="10"/>
        <v>#DIV/0!</v>
      </c>
    </row>
    <row r="78" spans="2:9">
      <c r="B78" s="589" t="s">
        <v>602</v>
      </c>
      <c r="C78" s="597" t="e">
        <f>RSD_SH_TECH!M49/$C$68</f>
        <v>#DIV/0!</v>
      </c>
      <c r="D78" s="624" t="e">
        <f t="shared" si="10"/>
        <v>#DIV/0!</v>
      </c>
      <c r="E78" s="624" t="e">
        <f t="shared" si="10"/>
        <v>#DIV/0!</v>
      </c>
      <c r="F78" s="624" t="e">
        <f t="shared" si="10"/>
        <v>#DIV/0!</v>
      </c>
      <c r="G78" s="624" t="e">
        <f t="shared" si="10"/>
        <v>#DIV/0!</v>
      </c>
      <c r="H78" s="624" t="e">
        <f t="shared" si="10"/>
        <v>#DIV/0!</v>
      </c>
      <c r="I78" s="624" t="e">
        <f t="shared" si="10"/>
        <v>#DIV/0!</v>
      </c>
    </row>
    <row r="79" spans="2:9">
      <c r="B79" s="584"/>
      <c r="C79" s="617" t="e">
        <f>SUM(C69:C78)</f>
        <v>#DIV/0!</v>
      </c>
      <c r="D79" s="617" t="e">
        <f t="shared" ref="D79:I79" si="11">SUM(D69:D78)</f>
        <v>#DIV/0!</v>
      </c>
      <c r="E79" s="617" t="e">
        <f t="shared" si="11"/>
        <v>#DIV/0!</v>
      </c>
      <c r="F79" s="617" t="e">
        <f t="shared" si="11"/>
        <v>#DIV/0!</v>
      </c>
      <c r="G79" s="617" t="e">
        <f t="shared" si="11"/>
        <v>#DIV/0!</v>
      </c>
      <c r="H79" s="617" t="e">
        <f t="shared" si="11"/>
        <v>#DIV/0!</v>
      </c>
      <c r="I79" s="617" t="e">
        <f t="shared" si="11"/>
        <v>#DIV/0!</v>
      </c>
    </row>
    <row r="97" spans="2:9">
      <c r="B97" s="584"/>
      <c r="C97" s="584"/>
      <c r="D97" s="584"/>
      <c r="E97" s="584"/>
      <c r="F97" s="584"/>
      <c r="G97" s="584"/>
      <c r="H97" s="584"/>
      <c r="I97" s="584"/>
    </row>
    <row r="98" spans="2:9">
      <c r="B98" s="584"/>
      <c r="C98" s="584"/>
      <c r="D98" s="584"/>
      <c r="E98" s="584"/>
      <c r="F98" s="584"/>
      <c r="G98" s="584"/>
      <c r="H98" s="584"/>
      <c r="I98" s="584"/>
    </row>
  </sheetData>
  <mergeCells count="5">
    <mergeCell ref="D9:F9"/>
    <mergeCell ref="B23:C23"/>
    <mergeCell ref="C29:I29"/>
    <mergeCell ref="C66:I66"/>
    <mergeCell ref="C48:I48"/>
  </mergeCells>
  <conditionalFormatting sqref="C42">
    <cfRule type="expression" dxfId="6" priority="6">
      <formula>$C$42&lt;&gt; 1</formula>
    </cfRule>
  </conditionalFormatting>
  <conditionalFormatting sqref="D42">
    <cfRule type="expression" dxfId="5" priority="7">
      <formula>$D$42&lt;&gt;1</formula>
    </cfRule>
  </conditionalFormatting>
  <conditionalFormatting sqref="E42">
    <cfRule type="expression" dxfId="4" priority="9">
      <formula>$E$42&lt;&gt;1</formula>
    </cfRule>
  </conditionalFormatting>
  <conditionalFormatting sqref="F42">
    <cfRule type="expression" dxfId="3" priority="5">
      <formula>$F$42&lt;&gt;1</formula>
    </cfRule>
  </conditionalFormatting>
  <conditionalFormatting sqref="G42">
    <cfRule type="expression" dxfId="2" priority="4">
      <formula>$G$42&lt;&gt; 1</formula>
    </cfRule>
  </conditionalFormatting>
  <conditionalFormatting sqref="H42">
    <cfRule type="expression" dxfId="1" priority="3">
      <formula>$H$42&lt;&gt;1</formula>
    </cfRule>
  </conditionalFormatting>
  <conditionalFormatting sqref="I42">
    <cfRule type="expression" dxfId="0" priority="2">
      <formula>$I$42&lt;&gt;1</formula>
    </cfRule>
  </conditionalFormatting>
  <pageMargins left="0.7" right="0.7" top="0.75" bottom="0.75" header="0.3" footer="0.3"/>
  <pageSetup paperSize="9" orientation="portrait" r:id="rId1"/>
  <ignoredErrors>
    <ignoredError sqref="E38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D3E3CC-AE85-4884-A2F9-D4BF7B4DFC99}">
  <dimension ref="B2:L40"/>
  <sheetViews>
    <sheetView zoomScale="115" zoomScaleNormal="115" workbookViewId="0">
      <selection activeCell="D15" sqref="D15"/>
    </sheetView>
  </sheetViews>
  <sheetFormatPr defaultRowHeight="15"/>
  <cols>
    <col min="1" max="1" width="9.140625" style="602"/>
    <col min="2" max="2" width="36" style="602" customWidth="1"/>
    <col min="3" max="3" width="17.5703125" style="602" customWidth="1"/>
    <col min="4" max="4" width="20.42578125" style="602" customWidth="1"/>
    <col min="5" max="7" width="17.5703125" style="602" customWidth="1"/>
    <col min="8" max="8" width="18.5703125" style="602" customWidth="1"/>
    <col min="9" max="13" width="9.140625" style="602" bestFit="1"/>
    <col min="14" max="16" width="11.42578125" style="602" bestFit="1" customWidth="1"/>
    <col min="17" max="17" width="12.140625" style="602" bestFit="1" customWidth="1"/>
    <col min="18" max="16384" width="9.140625" style="602"/>
  </cols>
  <sheetData>
    <row r="2" spans="2:12" ht="15.75">
      <c r="B2" s="603" t="s">
        <v>667</v>
      </c>
      <c r="C2" s="604">
        <v>2020</v>
      </c>
      <c r="D2" s="605"/>
      <c r="E2" s="605"/>
      <c r="F2" s="605"/>
      <c r="G2" s="605"/>
    </row>
    <row r="3" spans="2:12" ht="15" customHeight="1">
      <c r="B3" s="606"/>
      <c r="C3" s="605"/>
      <c r="D3" s="605"/>
      <c r="E3" s="605"/>
      <c r="F3" s="605"/>
      <c r="G3" s="605"/>
    </row>
    <row r="4" spans="2:12" ht="15.75">
      <c r="B4" s="717" t="s">
        <v>668</v>
      </c>
      <c r="C4" s="717"/>
      <c r="D4" s="717"/>
      <c r="E4" s="717"/>
      <c r="F4" s="717"/>
      <c r="G4" s="605"/>
    </row>
    <row r="5" spans="2:12" ht="45.75" thickBot="1">
      <c r="B5" s="607" t="s">
        <v>669</v>
      </c>
      <c r="C5" s="607" t="s">
        <v>670</v>
      </c>
      <c r="D5" s="607" t="s">
        <v>671</v>
      </c>
      <c r="E5" s="607" t="s">
        <v>672</v>
      </c>
      <c r="F5" s="607" t="s">
        <v>673</v>
      </c>
      <c r="G5" s="605"/>
      <c r="I5" s="553"/>
      <c r="L5"/>
    </row>
    <row r="6" spans="2:12">
      <c r="B6" s="608" t="s">
        <v>546</v>
      </c>
      <c r="C6" s="609">
        <v>0.13900000000000001</v>
      </c>
      <c r="D6" s="609">
        <v>0.1</v>
      </c>
      <c r="E6" s="609">
        <v>0.1</v>
      </c>
      <c r="F6" s="609">
        <v>0.9</v>
      </c>
      <c r="G6" s="605"/>
      <c r="I6" s="553"/>
    </row>
    <row r="7" spans="2:12">
      <c r="B7" s="610" t="s">
        <v>547</v>
      </c>
      <c r="C7" s="611">
        <v>0.13900000000000001</v>
      </c>
      <c r="D7" s="611">
        <v>0.1</v>
      </c>
      <c r="E7" s="611">
        <v>0.1</v>
      </c>
      <c r="F7" s="611">
        <v>0.9</v>
      </c>
      <c r="G7" s="605"/>
      <c r="I7" s="553"/>
    </row>
    <row r="8" spans="2:12">
      <c r="B8" s="608" t="s">
        <v>548</v>
      </c>
      <c r="C8" s="609">
        <v>0.13900000000000001</v>
      </c>
      <c r="D8" s="609">
        <v>0.1</v>
      </c>
      <c r="E8" s="609">
        <v>0.1</v>
      </c>
      <c r="F8" s="609">
        <v>0.9</v>
      </c>
      <c r="G8" s="605"/>
      <c r="I8" s="553"/>
    </row>
    <row r="9" spans="2:12">
      <c r="B9" s="610" t="s">
        <v>549</v>
      </c>
      <c r="C9" s="611">
        <v>0.13900000000000001</v>
      </c>
      <c r="D9" s="611">
        <v>0.1</v>
      </c>
      <c r="E9" s="611">
        <v>0.1</v>
      </c>
      <c r="F9" s="611">
        <v>0.9</v>
      </c>
      <c r="G9" s="605"/>
    </row>
    <row r="10" spans="2:12">
      <c r="B10" s="608" t="s">
        <v>550</v>
      </c>
      <c r="C10" s="609">
        <v>0.13900000000000001</v>
      </c>
      <c r="D10" s="609">
        <v>0.1</v>
      </c>
      <c r="E10" s="609">
        <v>0.1</v>
      </c>
      <c r="F10" s="609">
        <v>0.9</v>
      </c>
      <c r="G10" s="605"/>
      <c r="I10" s="553"/>
    </row>
    <row r="11" spans="2:12" ht="15.75" thickBot="1">
      <c r="B11" s="612" t="s">
        <v>551</v>
      </c>
      <c r="C11" s="613">
        <v>0.13900000000000001</v>
      </c>
      <c r="D11" s="613">
        <v>0.1</v>
      </c>
      <c r="E11" s="613">
        <v>0.1</v>
      </c>
      <c r="F11" s="613">
        <v>0.9</v>
      </c>
      <c r="G11" s="605"/>
      <c r="I11" s="553"/>
    </row>
    <row r="12" spans="2:12" ht="15" customHeight="1"/>
    <row r="13" spans="2:12" ht="15.75">
      <c r="B13" s="718" t="s">
        <v>674</v>
      </c>
      <c r="C13" s="718"/>
      <c r="D13" s="718"/>
      <c r="E13" s="718"/>
      <c r="F13" s="718"/>
      <c r="G13" s="718"/>
      <c r="H13" s="718"/>
    </row>
    <row r="14" spans="2:12" ht="15.75" thickBot="1">
      <c r="B14" s="607"/>
      <c r="C14" s="607">
        <v>2025</v>
      </c>
      <c r="D14" s="607">
        <v>2030</v>
      </c>
      <c r="E14" s="607">
        <v>2035</v>
      </c>
      <c r="F14" s="607">
        <v>2040</v>
      </c>
      <c r="G14" s="607">
        <v>2045</v>
      </c>
      <c r="H14" s="607">
        <v>2050</v>
      </c>
    </row>
    <row r="15" spans="2:12" ht="30.75" thickBot="1">
      <c r="B15" s="614" t="s">
        <v>675</v>
      </c>
      <c r="C15" s="626">
        <v>0.85</v>
      </c>
      <c r="D15" s="627">
        <v>0.8</v>
      </c>
      <c r="E15" s="627">
        <v>0.7</v>
      </c>
      <c r="F15" s="627">
        <v>0.65</v>
      </c>
      <c r="G15" s="627">
        <v>0.6</v>
      </c>
      <c r="H15" s="627">
        <v>0.2</v>
      </c>
      <c r="J15" s="625"/>
      <c r="K15" s="584" t="s">
        <v>691</v>
      </c>
    </row>
    <row r="16" spans="2:12" ht="15" customHeight="1"/>
    <row r="17" spans="2:8" ht="15.75">
      <c r="B17" s="719" t="s">
        <v>692</v>
      </c>
      <c r="C17" s="719"/>
      <c r="D17" s="719"/>
      <c r="E17" s="719"/>
      <c r="F17" s="719"/>
      <c r="G17" s="719"/>
      <c r="H17" s="719"/>
    </row>
    <row r="18" spans="2:8" ht="15.75" thickBot="1">
      <c r="B18" s="607"/>
      <c r="C18" s="607" t="s">
        <v>676</v>
      </c>
      <c r="D18" s="607" t="s">
        <v>677</v>
      </c>
      <c r="E18" s="607" t="s">
        <v>678</v>
      </c>
      <c r="F18" s="607" t="s">
        <v>679</v>
      </c>
      <c r="G18" s="607" t="s">
        <v>680</v>
      </c>
      <c r="H18" s="607" t="s">
        <v>681</v>
      </c>
    </row>
    <row r="19" spans="2:8">
      <c r="B19" s="615" t="s">
        <v>546</v>
      </c>
      <c r="C19" s="628">
        <v>0.02</v>
      </c>
      <c r="D19" s="628">
        <v>0.02</v>
      </c>
      <c r="E19" s="628">
        <v>0.02</v>
      </c>
      <c r="F19" s="628">
        <v>0.02</v>
      </c>
      <c r="G19" s="628">
        <v>0.02</v>
      </c>
      <c r="H19" s="628">
        <v>0.02</v>
      </c>
    </row>
    <row r="20" spans="2:8">
      <c r="B20" s="610" t="s">
        <v>547</v>
      </c>
      <c r="C20" s="628">
        <v>0.02</v>
      </c>
      <c r="D20" s="628">
        <v>0</v>
      </c>
      <c r="E20" s="628">
        <v>0</v>
      </c>
      <c r="F20" s="628">
        <v>0</v>
      </c>
      <c r="G20" s="628">
        <v>0</v>
      </c>
      <c r="H20" s="628">
        <v>0</v>
      </c>
    </row>
    <row r="21" spans="2:8">
      <c r="B21" s="608" t="s">
        <v>548</v>
      </c>
      <c r="C21" s="628">
        <v>0</v>
      </c>
      <c r="D21" s="628">
        <v>0</v>
      </c>
      <c r="E21" s="628">
        <v>0</v>
      </c>
      <c r="F21" s="628">
        <v>0</v>
      </c>
      <c r="G21" s="628">
        <v>0</v>
      </c>
      <c r="H21" s="628">
        <v>0</v>
      </c>
    </row>
    <row r="22" spans="2:8">
      <c r="B22" s="610" t="s">
        <v>549</v>
      </c>
      <c r="C22" s="628">
        <v>0</v>
      </c>
      <c r="D22" s="628">
        <v>0</v>
      </c>
      <c r="E22" s="628">
        <v>0</v>
      </c>
      <c r="F22" s="628">
        <v>0</v>
      </c>
      <c r="G22" s="628">
        <v>0</v>
      </c>
      <c r="H22" s="628">
        <v>0</v>
      </c>
    </row>
    <row r="23" spans="2:8">
      <c r="B23" s="608" t="s">
        <v>550</v>
      </c>
      <c r="C23" s="628">
        <v>0</v>
      </c>
      <c r="D23" s="628">
        <v>0</v>
      </c>
      <c r="E23" s="628">
        <v>0</v>
      </c>
      <c r="F23" s="628">
        <v>0</v>
      </c>
      <c r="G23" s="628">
        <v>0</v>
      </c>
      <c r="H23" s="628">
        <v>0</v>
      </c>
    </row>
    <row r="24" spans="2:8" ht="15.75" thickBot="1">
      <c r="B24" s="612" t="s">
        <v>551</v>
      </c>
      <c r="C24" s="629">
        <v>0</v>
      </c>
      <c r="D24" s="629">
        <v>0</v>
      </c>
      <c r="E24" s="629">
        <v>0</v>
      </c>
      <c r="F24" s="629">
        <v>0</v>
      </c>
      <c r="G24" s="629">
        <v>0</v>
      </c>
      <c r="H24" s="629">
        <v>0</v>
      </c>
    </row>
    <row r="27" spans="2:8">
      <c r="B27" s="583" t="s">
        <v>682</v>
      </c>
    </row>
    <row r="28" spans="2:8">
      <c r="B28" s="583"/>
      <c r="G28" s="602" t="s">
        <v>683</v>
      </c>
    </row>
    <row r="30" spans="2:8" ht="15.75">
      <c r="B30" s="586" t="s">
        <v>684</v>
      </c>
    </row>
    <row r="33" spans="2:8" ht="15.75">
      <c r="B33" s="719" t="s">
        <v>685</v>
      </c>
      <c r="C33" s="719"/>
      <c r="D33" s="719"/>
      <c r="E33" s="719"/>
      <c r="F33" s="719"/>
      <c r="G33" s="719"/>
      <c r="H33" s="719"/>
    </row>
    <row r="34" spans="2:8" ht="15.75" thickBot="1">
      <c r="B34" s="607"/>
      <c r="C34" s="607" t="s">
        <v>676</v>
      </c>
      <c r="D34" s="607" t="s">
        <v>677</v>
      </c>
      <c r="E34" s="607" t="s">
        <v>678</v>
      </c>
      <c r="F34" s="607" t="s">
        <v>679</v>
      </c>
      <c r="G34" s="607" t="s">
        <v>680</v>
      </c>
      <c r="H34" s="607" t="s">
        <v>681</v>
      </c>
    </row>
    <row r="35" spans="2:8">
      <c r="B35" s="615" t="s">
        <v>686</v>
      </c>
      <c r="C35" s="630">
        <v>1200</v>
      </c>
      <c r="D35" s="630">
        <v>1200</v>
      </c>
      <c r="E35" s="630">
        <v>1200</v>
      </c>
      <c r="F35" s="630">
        <v>1200</v>
      </c>
      <c r="G35" s="630">
        <v>1200</v>
      </c>
      <c r="H35" s="630">
        <v>1200</v>
      </c>
    </row>
    <row r="36" spans="2:8">
      <c r="B36" s="610" t="s">
        <v>687</v>
      </c>
      <c r="C36" s="631">
        <v>150</v>
      </c>
      <c r="D36" s="631">
        <v>150</v>
      </c>
      <c r="E36" s="631">
        <v>150</v>
      </c>
      <c r="F36" s="631">
        <v>150</v>
      </c>
      <c r="G36" s="631">
        <v>150</v>
      </c>
      <c r="H36" s="631">
        <v>150</v>
      </c>
    </row>
    <row r="37" spans="2:8">
      <c r="B37" s="608" t="s">
        <v>688</v>
      </c>
      <c r="C37" s="631">
        <v>100</v>
      </c>
      <c r="D37" s="631">
        <v>100</v>
      </c>
      <c r="E37" s="631">
        <v>100</v>
      </c>
      <c r="F37" s="631">
        <v>100</v>
      </c>
      <c r="G37" s="631">
        <v>100</v>
      </c>
      <c r="H37" s="631">
        <v>100</v>
      </c>
    </row>
    <row r="38" spans="2:8">
      <c r="B38" s="610" t="s">
        <v>689</v>
      </c>
      <c r="C38" s="631">
        <v>150</v>
      </c>
      <c r="D38" s="631">
        <v>150</v>
      </c>
      <c r="E38" s="631">
        <v>150</v>
      </c>
      <c r="F38" s="631">
        <v>150</v>
      </c>
      <c r="G38" s="631">
        <v>150</v>
      </c>
      <c r="H38" s="631">
        <v>150</v>
      </c>
    </row>
    <row r="40" spans="2:8">
      <c r="B40" s="616"/>
    </row>
  </sheetData>
  <mergeCells count="4">
    <mergeCell ref="B4:F4"/>
    <mergeCell ref="B13:H13"/>
    <mergeCell ref="B17:H17"/>
    <mergeCell ref="B33:H33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C939C-CC09-4272-B11D-D87B474D54EF}">
  <sheetPr>
    <tabColor theme="0"/>
  </sheetPr>
  <dimension ref="B2:J38"/>
  <sheetViews>
    <sheetView topLeftCell="A10" zoomScaleNormal="100" workbookViewId="0">
      <selection activeCell="D7" sqref="D7:E32"/>
    </sheetView>
  </sheetViews>
  <sheetFormatPr defaultColWidth="9.140625" defaultRowHeight="12.75"/>
  <cols>
    <col min="1" max="1" width="2.85546875" style="120" customWidth="1"/>
    <col min="2" max="3" width="11.42578125" style="120" customWidth="1"/>
    <col min="4" max="4" width="22.5703125" style="120" customWidth="1"/>
    <col min="5" max="5" width="41.42578125" style="120" customWidth="1"/>
    <col min="6" max="6" width="7.42578125" style="120" customWidth="1"/>
    <col min="7" max="7" width="10.42578125" style="120" customWidth="1"/>
    <col min="8" max="8" width="12" style="120" customWidth="1"/>
    <col min="9" max="9" width="12.42578125" style="120" customWidth="1"/>
    <col min="10" max="10" width="10.42578125" style="120" customWidth="1"/>
    <col min="11" max="11" width="7.42578125" style="120" bestFit="1" customWidth="1"/>
    <col min="12" max="13" width="10.5703125" style="120" bestFit="1" customWidth="1"/>
    <col min="14" max="16384" width="9.140625" style="120"/>
  </cols>
  <sheetData>
    <row r="2" spans="2:10">
      <c r="B2" s="120" t="s">
        <v>0</v>
      </c>
    </row>
    <row r="3" spans="2:10">
      <c r="D3" s="121"/>
      <c r="E3" s="121"/>
      <c r="F3" s="121"/>
      <c r="G3" s="121"/>
      <c r="H3" s="121"/>
      <c r="I3" s="121"/>
      <c r="J3" s="121"/>
    </row>
    <row r="4" spans="2:10" ht="18.75" customHeight="1">
      <c r="B4" s="4" t="s">
        <v>1</v>
      </c>
      <c r="C4" s="4"/>
      <c r="D4" s="3"/>
      <c r="E4" s="3"/>
      <c r="F4" s="3"/>
      <c r="G4" s="3"/>
      <c r="H4" s="3"/>
      <c r="I4" s="3"/>
      <c r="J4" s="3"/>
    </row>
    <row r="5" spans="2:10">
      <c r="B5" s="2" t="s">
        <v>2</v>
      </c>
      <c r="C5" s="2" t="s">
        <v>515</v>
      </c>
      <c r="D5" s="2" t="s">
        <v>3</v>
      </c>
      <c r="E5" s="2" t="s">
        <v>4</v>
      </c>
      <c r="F5" s="2" t="s">
        <v>5</v>
      </c>
      <c r="G5" s="2" t="s">
        <v>6</v>
      </c>
      <c r="H5" s="2" t="s">
        <v>7</v>
      </c>
      <c r="I5" s="2" t="s">
        <v>8</v>
      </c>
      <c r="J5" s="2" t="s">
        <v>9</v>
      </c>
    </row>
    <row r="6" spans="2:10" ht="51.75" thickBot="1">
      <c r="B6" s="1" t="s">
        <v>10</v>
      </c>
      <c r="C6" s="1" t="s">
        <v>515</v>
      </c>
      <c r="D6" s="1" t="s">
        <v>11</v>
      </c>
      <c r="E6" s="1" t="s">
        <v>12</v>
      </c>
      <c r="F6" s="1" t="s">
        <v>5</v>
      </c>
      <c r="G6" s="1" t="s">
        <v>13</v>
      </c>
      <c r="H6" s="1" t="s">
        <v>14</v>
      </c>
      <c r="I6" s="1" t="s">
        <v>15</v>
      </c>
      <c r="J6" s="1" t="s">
        <v>16</v>
      </c>
    </row>
    <row r="7" spans="2:10" ht="18.75" customHeight="1">
      <c r="B7" s="12" t="s">
        <v>17</v>
      </c>
      <c r="C7" s="12" t="s">
        <v>362</v>
      </c>
      <c r="D7" s="12" t="s">
        <v>18</v>
      </c>
      <c r="E7" s="12" t="s">
        <v>19</v>
      </c>
      <c r="F7" s="12" t="s">
        <v>20</v>
      </c>
      <c r="G7" s="12"/>
      <c r="H7" s="12"/>
      <c r="I7" s="12"/>
      <c r="J7" s="12"/>
    </row>
    <row r="8" spans="2:10" ht="18.75" customHeight="1">
      <c r="B8" s="11" t="s">
        <v>17</v>
      </c>
      <c r="C8" s="11" t="s">
        <v>362</v>
      </c>
      <c r="D8" s="11" t="s">
        <v>21</v>
      </c>
      <c r="E8" s="11" t="s">
        <v>22</v>
      </c>
      <c r="F8" s="11" t="s">
        <v>20</v>
      </c>
      <c r="G8" s="11"/>
      <c r="H8" s="11"/>
      <c r="I8" s="11"/>
      <c r="J8" s="11"/>
    </row>
    <row r="9" spans="2:10" ht="18.75" customHeight="1">
      <c r="B9" s="12" t="s">
        <v>17</v>
      </c>
      <c r="C9" s="12" t="s">
        <v>362</v>
      </c>
      <c r="D9" s="12" t="s">
        <v>23</v>
      </c>
      <c r="E9" s="12" t="s">
        <v>24</v>
      </c>
      <c r="F9" s="12" t="s">
        <v>20</v>
      </c>
      <c r="G9" s="12"/>
      <c r="H9" s="12"/>
      <c r="I9" s="12"/>
      <c r="J9" s="12"/>
    </row>
    <row r="10" spans="2:10" ht="18.75" customHeight="1">
      <c r="B10" s="11" t="s">
        <v>17</v>
      </c>
      <c r="C10" s="11" t="s">
        <v>362</v>
      </c>
      <c r="D10" s="11" t="s">
        <v>25</v>
      </c>
      <c r="E10" s="11" t="s">
        <v>26</v>
      </c>
      <c r="F10" s="11" t="s">
        <v>20</v>
      </c>
      <c r="G10" s="11"/>
      <c r="H10" s="11"/>
      <c r="I10" s="11"/>
      <c r="J10" s="11"/>
    </row>
    <row r="11" spans="2:10" ht="18.75" customHeight="1">
      <c r="B11" s="12" t="s">
        <v>17</v>
      </c>
      <c r="C11" s="12" t="s">
        <v>362</v>
      </c>
      <c r="D11" s="12" t="s">
        <v>27</v>
      </c>
      <c r="E11" s="12" t="s">
        <v>28</v>
      </c>
      <c r="F11" s="12" t="s">
        <v>20</v>
      </c>
      <c r="G11" s="12"/>
      <c r="H11" s="12"/>
      <c r="I11" s="12"/>
      <c r="J11" s="12"/>
    </row>
    <row r="12" spans="2:10" ht="18.75" customHeight="1">
      <c r="B12" s="11" t="s">
        <v>17</v>
      </c>
      <c r="C12" s="11" t="s">
        <v>362</v>
      </c>
      <c r="D12" s="11" t="s">
        <v>29</v>
      </c>
      <c r="E12" s="11" t="s">
        <v>30</v>
      </c>
      <c r="F12" s="11" t="s">
        <v>20</v>
      </c>
      <c r="G12" s="11"/>
      <c r="H12" s="11"/>
      <c r="I12" s="11"/>
      <c r="J12" s="11"/>
    </row>
    <row r="13" spans="2:10" ht="18.75" customHeight="1">
      <c r="B13" s="12" t="s">
        <v>17</v>
      </c>
      <c r="C13" s="12" t="s">
        <v>362</v>
      </c>
      <c r="D13" s="12" t="s">
        <v>31</v>
      </c>
      <c r="E13" s="12" t="s">
        <v>32</v>
      </c>
      <c r="F13" s="12" t="s">
        <v>20</v>
      </c>
      <c r="G13" s="12"/>
      <c r="H13" s="12"/>
      <c r="I13" s="12"/>
      <c r="J13" s="12"/>
    </row>
    <row r="14" spans="2:10" ht="18.75" customHeight="1">
      <c r="B14" s="11" t="s">
        <v>17</v>
      </c>
      <c r="C14" s="11" t="s">
        <v>362</v>
      </c>
      <c r="D14" s="11" t="s">
        <v>33</v>
      </c>
      <c r="E14" s="11" t="s">
        <v>34</v>
      </c>
      <c r="F14" s="11" t="s">
        <v>20</v>
      </c>
      <c r="G14" s="11"/>
      <c r="H14" s="11"/>
      <c r="I14" s="11"/>
      <c r="J14" s="11"/>
    </row>
    <row r="15" spans="2:10" ht="18.75" customHeight="1">
      <c r="B15" s="12" t="s">
        <v>17</v>
      </c>
      <c r="C15" s="12" t="s">
        <v>362</v>
      </c>
      <c r="D15" s="12" t="s">
        <v>35</v>
      </c>
      <c r="E15" s="12" t="s">
        <v>36</v>
      </c>
      <c r="F15" s="12" t="s">
        <v>20</v>
      </c>
      <c r="G15" s="12"/>
      <c r="H15" s="12"/>
      <c r="I15" s="12"/>
      <c r="J15" s="12"/>
    </row>
    <row r="16" spans="2:10" ht="18.75" customHeight="1">
      <c r="B16" s="11" t="s">
        <v>17</v>
      </c>
      <c r="C16" s="11" t="s">
        <v>362</v>
      </c>
      <c r="D16" s="11" t="s">
        <v>636</v>
      </c>
      <c r="E16" s="11" t="s">
        <v>37</v>
      </c>
      <c r="F16" s="11" t="s">
        <v>20</v>
      </c>
      <c r="G16" s="11"/>
      <c r="H16" s="11"/>
      <c r="I16" s="11"/>
      <c r="J16" s="11"/>
    </row>
    <row r="17" spans="2:10" ht="18.75" customHeight="1">
      <c r="B17" s="12" t="s">
        <v>17</v>
      </c>
      <c r="C17" s="12" t="s">
        <v>362</v>
      </c>
      <c r="D17" s="12" t="s">
        <v>637</v>
      </c>
      <c r="E17" s="12" t="s">
        <v>38</v>
      </c>
      <c r="F17" s="12" t="s">
        <v>20</v>
      </c>
      <c r="G17" s="12"/>
      <c r="H17" s="12"/>
      <c r="I17" s="12"/>
      <c r="J17" s="12"/>
    </row>
    <row r="18" spans="2:10" ht="18.75" customHeight="1">
      <c r="B18" s="11" t="s">
        <v>17</v>
      </c>
      <c r="C18" s="11" t="s">
        <v>362</v>
      </c>
      <c r="D18" s="11" t="s">
        <v>638</v>
      </c>
      <c r="E18" s="11" t="s">
        <v>39</v>
      </c>
      <c r="F18" s="11" t="s">
        <v>20</v>
      </c>
      <c r="G18" s="11"/>
      <c r="H18" s="11"/>
      <c r="I18" s="11"/>
      <c r="J18" s="11"/>
    </row>
    <row r="19" spans="2:10" ht="18.75" customHeight="1">
      <c r="B19" s="12" t="s">
        <v>17</v>
      </c>
      <c r="C19" s="12" t="s">
        <v>362</v>
      </c>
      <c r="D19" s="12" t="s">
        <v>639</v>
      </c>
      <c r="E19" s="12" t="s">
        <v>37</v>
      </c>
      <c r="F19" s="12" t="s">
        <v>20</v>
      </c>
      <c r="G19" s="12"/>
      <c r="H19" s="12"/>
      <c r="I19" s="12"/>
      <c r="J19" s="12"/>
    </row>
    <row r="20" spans="2:10" ht="18.75" customHeight="1">
      <c r="B20" s="11" t="s">
        <v>17</v>
      </c>
      <c r="C20" s="11" t="s">
        <v>362</v>
      </c>
      <c r="D20" s="11" t="s">
        <v>640</v>
      </c>
      <c r="E20" s="11" t="s">
        <v>38</v>
      </c>
      <c r="F20" s="11" t="s">
        <v>20</v>
      </c>
      <c r="G20" s="11"/>
      <c r="H20" s="11"/>
      <c r="I20" s="11"/>
      <c r="J20" s="11"/>
    </row>
    <row r="21" spans="2:10" ht="18.75" customHeight="1">
      <c r="B21" s="12" t="s">
        <v>17</v>
      </c>
      <c r="C21" s="12" t="s">
        <v>362</v>
      </c>
      <c r="D21" s="12" t="s">
        <v>641</v>
      </c>
      <c r="E21" s="12" t="s">
        <v>39</v>
      </c>
      <c r="F21" s="12" t="s">
        <v>20</v>
      </c>
      <c r="G21" s="12"/>
      <c r="H21" s="12"/>
      <c r="I21" s="12"/>
      <c r="J21" s="12"/>
    </row>
    <row r="22" spans="2:10" ht="18.75" customHeight="1">
      <c r="B22" s="11" t="s">
        <v>40</v>
      </c>
      <c r="C22" s="11" t="s">
        <v>362</v>
      </c>
      <c r="D22" s="11" t="s">
        <v>41</v>
      </c>
      <c r="E22" s="11" t="s">
        <v>42</v>
      </c>
      <c r="F22" s="11" t="s">
        <v>43</v>
      </c>
      <c r="G22" s="11"/>
      <c r="H22" s="11"/>
      <c r="I22" s="11"/>
      <c r="J22" s="11"/>
    </row>
    <row r="23" spans="2:10" ht="18.75" customHeight="1">
      <c r="B23" s="12" t="s">
        <v>40</v>
      </c>
      <c r="C23" s="12" t="s">
        <v>362</v>
      </c>
      <c r="D23" s="12" t="s">
        <v>44</v>
      </c>
      <c r="E23" s="12" t="s">
        <v>45</v>
      </c>
      <c r="F23" s="12" t="s">
        <v>43</v>
      </c>
      <c r="G23" s="12"/>
      <c r="H23" s="12"/>
      <c r="I23" s="12"/>
      <c r="J23" s="12"/>
    </row>
    <row r="24" spans="2:10" ht="18.75" customHeight="1">
      <c r="B24" s="11" t="s">
        <v>40</v>
      </c>
      <c r="C24" s="11" t="s">
        <v>362</v>
      </c>
      <c r="D24" s="11" t="s">
        <v>46</v>
      </c>
      <c r="E24" s="11" t="s">
        <v>47</v>
      </c>
      <c r="F24" s="11" t="s">
        <v>43</v>
      </c>
      <c r="G24" s="11"/>
      <c r="H24" s="11"/>
      <c r="I24" s="11"/>
      <c r="J24" s="11"/>
    </row>
    <row r="25" spans="2:10" ht="18.75" customHeight="1">
      <c r="B25" s="12" t="s">
        <v>48</v>
      </c>
      <c r="C25" s="12" t="s">
        <v>362</v>
      </c>
      <c r="D25" s="12" t="s">
        <v>49</v>
      </c>
      <c r="E25" s="12" t="s">
        <v>50</v>
      </c>
      <c r="F25" s="12" t="s">
        <v>43</v>
      </c>
      <c r="G25" s="12"/>
      <c r="H25" s="12"/>
      <c r="I25" s="12"/>
      <c r="J25" s="12"/>
    </row>
    <row r="26" spans="2:10" ht="18.75" customHeight="1">
      <c r="B26" s="11" t="s">
        <v>48</v>
      </c>
      <c r="C26" s="11" t="s">
        <v>362</v>
      </c>
      <c r="D26" s="11" t="s">
        <v>51</v>
      </c>
      <c r="E26" s="11" t="s">
        <v>52</v>
      </c>
      <c r="F26" s="11" t="s">
        <v>43</v>
      </c>
      <c r="G26" s="11"/>
      <c r="H26" s="11"/>
      <c r="I26" s="11"/>
      <c r="J26" s="11"/>
    </row>
    <row r="27" spans="2:10" ht="18.75" customHeight="1">
      <c r="B27" s="12" t="s">
        <v>48</v>
      </c>
      <c r="C27" s="12" t="s">
        <v>362</v>
      </c>
      <c r="D27" s="12" t="s">
        <v>53</v>
      </c>
      <c r="E27" s="12" t="s">
        <v>54</v>
      </c>
      <c r="F27" s="12" t="s">
        <v>43</v>
      </c>
      <c r="G27" s="12"/>
      <c r="H27" s="12"/>
      <c r="I27" s="12"/>
      <c r="J27" s="12"/>
    </row>
    <row r="28" spans="2:10" ht="18.75" customHeight="1">
      <c r="B28" s="11" t="s">
        <v>48</v>
      </c>
      <c r="C28" s="11" t="s">
        <v>362</v>
      </c>
      <c r="D28" s="11" t="s">
        <v>55</v>
      </c>
      <c r="E28" s="11" t="s">
        <v>56</v>
      </c>
      <c r="F28" s="11" t="s">
        <v>43</v>
      </c>
      <c r="G28" s="11"/>
      <c r="H28" s="11"/>
      <c r="I28" s="11"/>
      <c r="J28" s="11"/>
    </row>
    <row r="29" spans="2:10" ht="18.75" customHeight="1">
      <c r="B29" s="12" t="s">
        <v>48</v>
      </c>
      <c r="C29" s="12" t="s">
        <v>362</v>
      </c>
      <c r="D29" s="12" t="s">
        <v>57</v>
      </c>
      <c r="E29" s="12" t="s">
        <v>58</v>
      </c>
      <c r="F29" s="12" t="s">
        <v>43</v>
      </c>
      <c r="G29" s="12"/>
      <c r="H29" s="12"/>
      <c r="I29" s="12"/>
      <c r="J29" s="12"/>
    </row>
    <row r="30" spans="2:10" ht="18.75" customHeight="1">
      <c r="B30" s="11" t="s">
        <v>48</v>
      </c>
      <c r="C30" s="11" t="s">
        <v>362</v>
      </c>
      <c r="D30" s="11" t="s">
        <v>59</v>
      </c>
      <c r="E30" s="11" t="s">
        <v>60</v>
      </c>
      <c r="F30" s="11" t="s">
        <v>43</v>
      </c>
      <c r="G30" s="11"/>
      <c r="H30" s="11"/>
      <c r="I30" s="11"/>
      <c r="J30" s="11"/>
    </row>
    <row r="31" spans="2:10" ht="18.75" customHeight="1">
      <c r="B31" s="12" t="s">
        <v>48</v>
      </c>
      <c r="C31" s="12" t="s">
        <v>362</v>
      </c>
      <c r="D31" s="12" t="s">
        <v>61</v>
      </c>
      <c r="E31" s="12" t="s">
        <v>62</v>
      </c>
      <c r="F31" s="12" t="s">
        <v>43</v>
      </c>
      <c r="G31" s="12"/>
      <c r="H31" s="12"/>
      <c r="I31" s="12"/>
      <c r="J31" s="12"/>
    </row>
    <row r="32" spans="2:10" ht="18.75" customHeight="1">
      <c r="B32" s="10" t="s">
        <v>63</v>
      </c>
      <c r="C32" s="10" t="s">
        <v>362</v>
      </c>
      <c r="D32" s="9" t="s">
        <v>64</v>
      </c>
      <c r="E32" s="10" t="s">
        <v>65</v>
      </c>
      <c r="F32" s="10" t="s">
        <v>66</v>
      </c>
      <c r="G32" s="10"/>
      <c r="H32" s="10"/>
      <c r="I32" s="10"/>
      <c r="J32" s="10"/>
    </row>
    <row r="33" spans="2:10" ht="18.75" customHeight="1">
      <c r="B33" s="8" t="s">
        <v>63</v>
      </c>
      <c r="C33" s="8" t="s">
        <v>362</v>
      </c>
      <c r="D33" s="7" t="s">
        <v>67</v>
      </c>
      <c r="E33" s="8" t="s">
        <v>68</v>
      </c>
      <c r="F33" s="8" t="s">
        <v>66</v>
      </c>
      <c r="G33" s="8"/>
      <c r="H33" s="8"/>
      <c r="I33" s="8"/>
      <c r="J33" s="8"/>
    </row>
    <row r="34" spans="2:10" ht="18.75" customHeight="1">
      <c r="B34" s="10" t="s">
        <v>63</v>
      </c>
      <c r="C34" s="10" t="s">
        <v>362</v>
      </c>
      <c r="D34" s="10" t="s">
        <v>69</v>
      </c>
      <c r="E34" s="10" t="s">
        <v>70</v>
      </c>
      <c r="F34" s="10" t="s">
        <v>66</v>
      </c>
      <c r="G34" s="10"/>
      <c r="H34" s="10"/>
      <c r="I34" s="10"/>
      <c r="J34" s="10"/>
    </row>
    <row r="35" spans="2:10" ht="18.75" customHeight="1">
      <c r="B35" s="8" t="s">
        <v>63</v>
      </c>
      <c r="C35" s="8" t="s">
        <v>362</v>
      </c>
      <c r="D35" s="7" t="s">
        <v>71</v>
      </c>
      <c r="E35" s="6" t="s">
        <v>72</v>
      </c>
      <c r="F35" s="8" t="s">
        <v>66</v>
      </c>
      <c r="G35" s="8"/>
      <c r="H35" s="8"/>
      <c r="I35" s="8"/>
      <c r="J35" s="8"/>
    </row>
    <row r="36" spans="2:10" ht="18.75" customHeight="1">
      <c r="B36" s="10" t="s">
        <v>63</v>
      </c>
      <c r="C36" s="10" t="s">
        <v>362</v>
      </c>
      <c r="D36" s="9" t="s">
        <v>73</v>
      </c>
      <c r="E36" s="10" t="s">
        <v>74</v>
      </c>
      <c r="F36" s="10" t="s">
        <v>66</v>
      </c>
      <c r="G36" s="10"/>
      <c r="H36" s="10"/>
      <c r="I36" s="10"/>
      <c r="J36" s="10"/>
    </row>
    <row r="37" spans="2:10" ht="18.75" customHeight="1">
      <c r="B37" s="8" t="s">
        <v>63</v>
      </c>
      <c r="C37" s="8" t="s">
        <v>362</v>
      </c>
      <c r="D37" s="8" t="s">
        <v>75</v>
      </c>
      <c r="E37" s="8" t="s">
        <v>76</v>
      </c>
      <c r="F37" s="8" t="s">
        <v>66</v>
      </c>
      <c r="G37" s="8"/>
      <c r="H37" s="8"/>
      <c r="I37" s="8"/>
      <c r="J37" s="8"/>
    </row>
    <row r="38" spans="2:10" ht="18.75" customHeight="1" thickBot="1">
      <c r="B38" s="5" t="s">
        <v>63</v>
      </c>
      <c r="C38" s="5" t="s">
        <v>362</v>
      </c>
      <c r="D38" s="5" t="s">
        <v>77</v>
      </c>
      <c r="E38" s="5" t="s">
        <v>78</v>
      </c>
      <c r="F38" s="5" t="s">
        <v>79</v>
      </c>
      <c r="G38" s="5"/>
      <c r="H38" s="5"/>
      <c r="I38" s="5"/>
      <c r="J38" s="5"/>
    </row>
  </sheetData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theme="0"/>
  </sheetPr>
  <dimension ref="B2:V106"/>
  <sheetViews>
    <sheetView topLeftCell="A52" zoomScale="145" zoomScaleNormal="145" workbookViewId="0">
      <selection activeCell="E60" sqref="E60"/>
    </sheetView>
  </sheetViews>
  <sheetFormatPr defaultRowHeight="15"/>
  <cols>
    <col min="1" max="1" width="2" bestFit="1" customWidth="1"/>
    <col min="2" max="2" width="6.140625" customWidth="1"/>
    <col min="3" max="3" width="9.85546875" customWidth="1"/>
    <col min="4" max="4" width="38.5703125" customWidth="1"/>
    <col min="5" max="5" width="42" customWidth="1"/>
    <col min="6" max="6" width="11.7109375" customWidth="1"/>
    <col min="7" max="7" width="10.5703125" customWidth="1"/>
    <col min="8" max="8" width="11" customWidth="1"/>
    <col min="9" max="9" width="14.85546875" customWidth="1"/>
    <col min="10" max="10" width="10.28515625" bestFit="1" customWidth="1"/>
    <col min="11" max="11" width="7.85546875" customWidth="1"/>
    <col min="14" max="16" width="2.85546875" customWidth="1"/>
    <col min="17" max="19" width="33.85546875" customWidth="1"/>
  </cols>
  <sheetData>
    <row r="2" spans="2:19">
      <c r="B2" s="124" t="s">
        <v>80</v>
      </c>
      <c r="C2" s="124"/>
      <c r="D2" s="124"/>
      <c r="E2" s="99"/>
      <c r="F2" s="99"/>
      <c r="G2" s="99"/>
      <c r="H2" s="99"/>
      <c r="I2" s="99"/>
      <c r="J2" s="99"/>
    </row>
    <row r="3" spans="2:19" ht="15.75" customHeight="1">
      <c r="B3" s="159" t="s">
        <v>81</v>
      </c>
      <c r="C3" s="159" t="s">
        <v>515</v>
      </c>
      <c r="D3" s="159" t="s">
        <v>82</v>
      </c>
      <c r="E3" s="159" t="s">
        <v>83</v>
      </c>
      <c r="F3" s="159" t="s">
        <v>84</v>
      </c>
      <c r="G3" s="159" t="s">
        <v>85</v>
      </c>
      <c r="H3" s="159" t="s">
        <v>86</v>
      </c>
      <c r="I3" s="159" t="s">
        <v>87</v>
      </c>
      <c r="J3" s="159" t="s">
        <v>88</v>
      </c>
    </row>
    <row r="4" spans="2:19" ht="15.75" customHeight="1" thickBot="1">
      <c r="B4" s="193" t="s">
        <v>89</v>
      </c>
      <c r="C4" s="193"/>
      <c r="D4" s="193"/>
      <c r="E4" s="193"/>
      <c r="F4" s="193"/>
      <c r="G4" s="193"/>
      <c r="H4" s="193"/>
      <c r="I4" s="193"/>
      <c r="J4" s="193"/>
    </row>
    <row r="5" spans="2:19" ht="15.75" customHeight="1">
      <c r="B5" s="199" t="s">
        <v>90</v>
      </c>
      <c r="C5" s="199" t="s">
        <v>362</v>
      </c>
      <c r="D5" s="199" t="s">
        <v>541</v>
      </c>
      <c r="E5" s="199" t="s">
        <v>42</v>
      </c>
      <c r="F5" s="199" t="s">
        <v>43</v>
      </c>
      <c r="G5" s="199" t="s">
        <v>43</v>
      </c>
      <c r="H5" s="199"/>
      <c r="I5" s="199"/>
      <c r="J5" s="199"/>
      <c r="N5" s="22" t="s">
        <v>535</v>
      </c>
      <c r="O5" s="22" t="s">
        <v>536</v>
      </c>
      <c r="P5" s="22" t="s">
        <v>537</v>
      </c>
      <c r="Q5" s="22" t="s">
        <v>538</v>
      </c>
      <c r="R5" s="22" t="s">
        <v>539</v>
      </c>
      <c r="S5" s="521" t="s">
        <v>540</v>
      </c>
    </row>
    <row r="6" spans="2:19" ht="15.75" customHeight="1">
      <c r="B6" s="161" t="s">
        <v>90</v>
      </c>
      <c r="C6" s="161" t="s">
        <v>362</v>
      </c>
      <c r="D6" s="161" t="s">
        <v>542</v>
      </c>
      <c r="E6" s="161" t="s">
        <v>42</v>
      </c>
      <c r="F6" s="161" t="s">
        <v>43</v>
      </c>
      <c r="G6" s="161" t="s">
        <v>43</v>
      </c>
      <c r="H6" s="161"/>
      <c r="I6" s="161"/>
      <c r="J6" s="161"/>
    </row>
    <row r="7" spans="2:19" ht="15.75" customHeight="1">
      <c r="B7" s="164" t="s">
        <v>90</v>
      </c>
      <c r="C7" s="164" t="s">
        <v>362</v>
      </c>
      <c r="D7" s="164" t="s">
        <v>543</v>
      </c>
      <c r="E7" s="164" t="s">
        <v>42</v>
      </c>
      <c r="F7" s="164" t="s">
        <v>43</v>
      </c>
      <c r="G7" s="164" t="s">
        <v>43</v>
      </c>
      <c r="H7" s="164"/>
      <c r="I7" s="164"/>
      <c r="J7" s="164"/>
    </row>
    <row r="8" spans="2:19" ht="15.75" customHeight="1">
      <c r="B8" s="161" t="s">
        <v>90</v>
      </c>
      <c r="C8" s="161" t="s">
        <v>362</v>
      </c>
      <c r="D8" s="161" t="s">
        <v>91</v>
      </c>
      <c r="E8" s="161" t="s">
        <v>42</v>
      </c>
      <c r="F8" s="161" t="s">
        <v>43</v>
      </c>
      <c r="G8" s="161" t="s">
        <v>43</v>
      </c>
      <c r="H8" s="161"/>
      <c r="I8" s="161"/>
      <c r="J8" s="161"/>
    </row>
    <row r="9" spans="2:19" ht="15.75" customHeight="1">
      <c r="B9" s="164" t="s">
        <v>90</v>
      </c>
      <c r="C9" s="164" t="s">
        <v>362</v>
      </c>
      <c r="D9" s="164" t="s">
        <v>544</v>
      </c>
      <c r="E9" s="164" t="s">
        <v>42</v>
      </c>
      <c r="F9" s="164" t="s">
        <v>43</v>
      </c>
      <c r="G9" s="164" t="s">
        <v>43</v>
      </c>
      <c r="H9" s="164"/>
      <c r="I9" s="164"/>
      <c r="J9" s="164"/>
    </row>
    <row r="10" spans="2:19" ht="15.75" customHeight="1">
      <c r="B10" s="161" t="s">
        <v>90</v>
      </c>
      <c r="C10" s="161" t="s">
        <v>362</v>
      </c>
      <c r="D10" s="161" t="s">
        <v>545</v>
      </c>
      <c r="E10" s="161" t="s">
        <v>42</v>
      </c>
      <c r="F10" s="161" t="s">
        <v>43</v>
      </c>
      <c r="G10" s="161" t="s">
        <v>43</v>
      </c>
      <c r="H10" s="161"/>
      <c r="I10" s="161"/>
      <c r="J10" s="161"/>
    </row>
    <row r="11" spans="2:19" ht="15.75" customHeight="1">
      <c r="B11" s="164" t="s">
        <v>90</v>
      </c>
      <c r="C11" s="164" t="s">
        <v>362</v>
      </c>
      <c r="D11" s="164" t="s">
        <v>552</v>
      </c>
      <c r="E11" s="164" t="s">
        <v>92</v>
      </c>
      <c r="F11" s="164" t="s">
        <v>43</v>
      </c>
      <c r="G11" s="164" t="s">
        <v>43</v>
      </c>
      <c r="H11" s="164"/>
      <c r="I11" s="164"/>
      <c r="J11" s="164"/>
    </row>
    <row r="12" spans="2:19" ht="15.75" customHeight="1">
      <c r="B12" s="161" t="s">
        <v>90</v>
      </c>
      <c r="C12" s="161" t="s">
        <v>362</v>
      </c>
      <c r="D12" s="161" t="s">
        <v>553</v>
      </c>
      <c r="E12" s="161" t="s">
        <v>92</v>
      </c>
      <c r="F12" s="161" t="s">
        <v>43</v>
      </c>
      <c r="G12" s="161" t="s">
        <v>43</v>
      </c>
      <c r="H12" s="161"/>
      <c r="I12" s="161"/>
      <c r="J12" s="161"/>
    </row>
    <row r="13" spans="2:19" ht="15.75" customHeight="1">
      <c r="B13" s="164" t="s">
        <v>90</v>
      </c>
      <c r="C13" s="164" t="s">
        <v>362</v>
      </c>
      <c r="D13" s="164" t="s">
        <v>554</v>
      </c>
      <c r="E13" s="164" t="s">
        <v>92</v>
      </c>
      <c r="F13" s="164" t="s">
        <v>43</v>
      </c>
      <c r="G13" s="164" t="s">
        <v>43</v>
      </c>
      <c r="H13" s="164"/>
      <c r="I13" s="164"/>
      <c r="J13" s="164"/>
    </row>
    <row r="14" spans="2:19" ht="15.75" customHeight="1">
      <c r="B14" s="161" t="s">
        <v>90</v>
      </c>
      <c r="C14" s="161" t="s">
        <v>362</v>
      </c>
      <c r="D14" s="161" t="s">
        <v>93</v>
      </c>
      <c r="E14" s="161" t="s">
        <v>92</v>
      </c>
      <c r="F14" s="161" t="s">
        <v>43</v>
      </c>
      <c r="G14" s="161" t="s">
        <v>43</v>
      </c>
      <c r="H14" s="161"/>
      <c r="I14" s="161"/>
      <c r="J14" s="161"/>
    </row>
    <row r="15" spans="2:19" ht="15.75" customHeight="1">
      <c r="B15" s="164" t="s">
        <v>90</v>
      </c>
      <c r="C15" s="164" t="s">
        <v>362</v>
      </c>
      <c r="D15" s="164" t="s">
        <v>555</v>
      </c>
      <c r="E15" s="164" t="s">
        <v>92</v>
      </c>
      <c r="F15" s="164" t="s">
        <v>43</v>
      </c>
      <c r="G15" s="164" t="s">
        <v>43</v>
      </c>
      <c r="H15" s="164"/>
      <c r="I15" s="164"/>
      <c r="J15" s="164"/>
    </row>
    <row r="16" spans="2:19" ht="15.75" customHeight="1">
      <c r="B16" s="161" t="s">
        <v>90</v>
      </c>
      <c r="C16" s="161" t="s">
        <v>362</v>
      </c>
      <c r="D16" s="161" t="s">
        <v>556</v>
      </c>
      <c r="E16" s="161" t="s">
        <v>92</v>
      </c>
      <c r="F16" s="161" t="s">
        <v>43</v>
      </c>
      <c r="G16" s="161" t="s">
        <v>43</v>
      </c>
      <c r="H16" s="161"/>
      <c r="I16" s="161"/>
      <c r="J16" s="161"/>
    </row>
    <row r="17" spans="2:10" ht="15.75" customHeight="1">
      <c r="B17" s="164" t="s">
        <v>90</v>
      </c>
      <c r="C17" s="164" t="s">
        <v>362</v>
      </c>
      <c r="D17" s="164" t="s">
        <v>557</v>
      </c>
      <c r="E17" s="164" t="s">
        <v>47</v>
      </c>
      <c r="F17" s="164" t="s">
        <v>43</v>
      </c>
      <c r="G17" s="164" t="s">
        <v>43</v>
      </c>
      <c r="H17" s="164"/>
      <c r="I17" s="164"/>
      <c r="J17" s="164"/>
    </row>
    <row r="18" spans="2:10" ht="15.75" customHeight="1">
      <c r="B18" s="161" t="s">
        <v>90</v>
      </c>
      <c r="C18" s="161" t="s">
        <v>362</v>
      </c>
      <c r="D18" s="161" t="s">
        <v>558</v>
      </c>
      <c r="E18" s="161" t="s">
        <v>47</v>
      </c>
      <c r="F18" s="161" t="s">
        <v>43</v>
      </c>
      <c r="G18" s="161" t="s">
        <v>43</v>
      </c>
      <c r="H18" s="161"/>
      <c r="I18" s="161"/>
      <c r="J18" s="161"/>
    </row>
    <row r="19" spans="2:10" ht="15.75" customHeight="1">
      <c r="B19" s="164" t="s">
        <v>90</v>
      </c>
      <c r="C19" s="164" t="s">
        <v>362</v>
      </c>
      <c r="D19" s="164" t="s">
        <v>559</v>
      </c>
      <c r="E19" s="164" t="s">
        <v>47</v>
      </c>
      <c r="F19" s="164" t="s">
        <v>43</v>
      </c>
      <c r="G19" s="164" t="s">
        <v>43</v>
      </c>
      <c r="H19" s="164"/>
      <c r="I19" s="164"/>
      <c r="J19" s="164"/>
    </row>
    <row r="20" spans="2:10" ht="15.75" customHeight="1">
      <c r="B20" s="161" t="s">
        <v>90</v>
      </c>
      <c r="C20" s="161" t="s">
        <v>362</v>
      </c>
      <c r="D20" s="161" t="s">
        <v>94</v>
      </c>
      <c r="E20" s="161" t="s">
        <v>47</v>
      </c>
      <c r="F20" s="161" t="s">
        <v>43</v>
      </c>
      <c r="G20" s="161" t="s">
        <v>43</v>
      </c>
      <c r="H20" s="161"/>
      <c r="I20" s="161"/>
      <c r="J20" s="161"/>
    </row>
    <row r="21" spans="2:10" ht="15.75" customHeight="1">
      <c r="B21" s="164" t="s">
        <v>90</v>
      </c>
      <c r="C21" s="164" t="s">
        <v>362</v>
      </c>
      <c r="D21" s="164" t="s">
        <v>560</v>
      </c>
      <c r="E21" s="164" t="s">
        <v>47</v>
      </c>
      <c r="F21" s="164" t="s">
        <v>43</v>
      </c>
      <c r="G21" s="164" t="s">
        <v>43</v>
      </c>
      <c r="H21" s="164"/>
      <c r="I21" s="164"/>
      <c r="J21" s="164"/>
    </row>
    <row r="22" spans="2:10" ht="15.75" customHeight="1">
      <c r="B22" s="161" t="s">
        <v>90</v>
      </c>
      <c r="C22" s="161" t="s">
        <v>362</v>
      </c>
      <c r="D22" s="161" t="s">
        <v>561</v>
      </c>
      <c r="E22" s="161" t="s">
        <v>47</v>
      </c>
      <c r="F22" s="161" t="s">
        <v>43</v>
      </c>
      <c r="G22" s="161" t="s">
        <v>43</v>
      </c>
      <c r="H22" s="161"/>
      <c r="I22" s="161"/>
      <c r="J22" s="161"/>
    </row>
    <row r="23" spans="2:10" ht="15.75" customHeight="1">
      <c r="B23" s="164" t="s">
        <v>95</v>
      </c>
      <c r="C23" s="164" t="s">
        <v>362</v>
      </c>
      <c r="D23" s="164" t="s">
        <v>573</v>
      </c>
      <c r="E23" s="164" t="s">
        <v>97</v>
      </c>
      <c r="F23" s="164" t="s">
        <v>20</v>
      </c>
      <c r="G23" s="164" t="s">
        <v>98</v>
      </c>
      <c r="H23" s="164"/>
      <c r="I23" s="164"/>
      <c r="J23" s="164"/>
    </row>
    <row r="24" spans="2:10" ht="15.75" customHeight="1">
      <c r="B24" s="161" t="s">
        <v>95</v>
      </c>
      <c r="C24" s="161" t="s">
        <v>362</v>
      </c>
      <c r="D24" s="161" t="s">
        <v>574</v>
      </c>
      <c r="E24" s="161" t="s">
        <v>100</v>
      </c>
      <c r="F24" s="161" t="s">
        <v>20</v>
      </c>
      <c r="G24" s="161" t="s">
        <v>98</v>
      </c>
      <c r="H24" s="161"/>
      <c r="I24" s="161"/>
      <c r="J24" s="161"/>
    </row>
    <row r="25" spans="2:10" ht="15.75" customHeight="1">
      <c r="B25" s="164" t="s">
        <v>95</v>
      </c>
      <c r="C25" s="164" t="s">
        <v>362</v>
      </c>
      <c r="D25" s="164" t="s">
        <v>575</v>
      </c>
      <c r="E25" s="164" t="s">
        <v>102</v>
      </c>
      <c r="F25" s="164" t="s">
        <v>20</v>
      </c>
      <c r="G25" s="164" t="s">
        <v>98</v>
      </c>
      <c r="H25" s="164"/>
      <c r="I25" s="164"/>
      <c r="J25" s="164"/>
    </row>
    <row r="26" spans="2:10" ht="15.75" customHeight="1">
      <c r="B26" s="161" t="s">
        <v>95</v>
      </c>
      <c r="C26" s="161" t="s">
        <v>362</v>
      </c>
      <c r="D26" s="161" t="s">
        <v>576</v>
      </c>
      <c r="E26" s="161" t="s">
        <v>104</v>
      </c>
      <c r="F26" s="161" t="s">
        <v>20</v>
      </c>
      <c r="G26" s="161" t="s">
        <v>98</v>
      </c>
      <c r="H26" s="161"/>
      <c r="I26" s="161"/>
      <c r="J26" s="161"/>
    </row>
    <row r="27" spans="2:10" ht="15.75" customHeight="1">
      <c r="B27" s="164" t="s">
        <v>95</v>
      </c>
      <c r="C27" s="164" t="s">
        <v>362</v>
      </c>
      <c r="D27" s="164" t="s">
        <v>577</v>
      </c>
      <c r="E27" s="164" t="s">
        <v>106</v>
      </c>
      <c r="F27" s="164" t="s">
        <v>20</v>
      </c>
      <c r="G27" s="164" t="s">
        <v>98</v>
      </c>
      <c r="H27" s="164"/>
      <c r="I27" s="164"/>
      <c r="J27" s="164"/>
    </row>
    <row r="28" spans="2:10" ht="15.75" customHeight="1">
      <c r="B28" s="161" t="s">
        <v>95</v>
      </c>
      <c r="C28" s="161" t="s">
        <v>362</v>
      </c>
      <c r="D28" s="161" t="s">
        <v>578</v>
      </c>
      <c r="E28" s="161" t="s">
        <v>108</v>
      </c>
      <c r="F28" s="161" t="s">
        <v>20</v>
      </c>
      <c r="G28" s="161" t="s">
        <v>98</v>
      </c>
      <c r="H28" s="161"/>
      <c r="I28" s="161"/>
      <c r="J28" s="161"/>
    </row>
    <row r="29" spans="2:10" ht="15.75" customHeight="1">
      <c r="B29" s="164" t="s">
        <v>95</v>
      </c>
      <c r="C29" s="164" t="s">
        <v>362</v>
      </c>
      <c r="D29" s="164" t="s">
        <v>579</v>
      </c>
      <c r="E29" s="164" t="s">
        <v>110</v>
      </c>
      <c r="F29" s="164" t="s">
        <v>20</v>
      </c>
      <c r="G29" s="164" t="s">
        <v>98</v>
      </c>
      <c r="H29" s="164"/>
      <c r="I29" s="164"/>
      <c r="J29" s="164"/>
    </row>
    <row r="30" spans="2:10" ht="15.75" customHeight="1">
      <c r="B30" s="161" t="s">
        <v>95</v>
      </c>
      <c r="C30" s="161" t="s">
        <v>362</v>
      </c>
      <c r="D30" s="161" t="s">
        <v>580</v>
      </c>
      <c r="E30" s="161" t="s">
        <v>112</v>
      </c>
      <c r="F30" s="161" t="s">
        <v>20</v>
      </c>
      <c r="G30" s="161" t="s">
        <v>98</v>
      </c>
      <c r="H30" s="161"/>
      <c r="I30" s="161"/>
      <c r="J30" s="161"/>
    </row>
    <row r="31" spans="2:10" ht="15.75" customHeight="1">
      <c r="B31" s="164" t="s">
        <v>95</v>
      </c>
      <c r="C31" s="164" t="s">
        <v>362</v>
      </c>
      <c r="D31" s="164" t="s">
        <v>581</v>
      </c>
      <c r="E31" s="164" t="s">
        <v>114</v>
      </c>
      <c r="F31" s="164" t="s">
        <v>20</v>
      </c>
      <c r="G31" s="164" t="s">
        <v>98</v>
      </c>
      <c r="H31" s="164"/>
      <c r="I31" s="164"/>
      <c r="J31" s="164"/>
    </row>
    <row r="32" spans="2:10" ht="15.75" customHeight="1">
      <c r="B32" s="161" t="s">
        <v>95</v>
      </c>
      <c r="C32" s="161" t="s">
        <v>362</v>
      </c>
      <c r="D32" s="161" t="s">
        <v>582</v>
      </c>
      <c r="E32" s="161" t="s">
        <v>116</v>
      </c>
      <c r="F32" s="161" t="s">
        <v>20</v>
      </c>
      <c r="G32" s="161" t="s">
        <v>98</v>
      </c>
      <c r="H32" s="161"/>
      <c r="I32" s="161"/>
      <c r="J32" s="161"/>
    </row>
    <row r="33" spans="2:10" ht="15.75" customHeight="1">
      <c r="B33" s="164" t="s">
        <v>95</v>
      </c>
      <c r="C33" s="164" t="s">
        <v>362</v>
      </c>
      <c r="D33" s="164" t="s">
        <v>583</v>
      </c>
      <c r="E33" s="164" t="s">
        <v>117</v>
      </c>
      <c r="F33" s="164" t="s">
        <v>20</v>
      </c>
      <c r="G33" s="164" t="s">
        <v>98</v>
      </c>
      <c r="H33" s="164"/>
      <c r="I33" s="164"/>
      <c r="J33" s="164"/>
    </row>
    <row r="34" spans="2:10" ht="15.75" customHeight="1">
      <c r="B34" s="161" t="s">
        <v>95</v>
      </c>
      <c r="C34" s="161" t="s">
        <v>362</v>
      </c>
      <c r="D34" s="161" t="s">
        <v>584</v>
      </c>
      <c r="E34" s="161" t="s">
        <v>118</v>
      </c>
      <c r="F34" s="161" t="s">
        <v>20</v>
      </c>
      <c r="G34" s="161" t="s">
        <v>98</v>
      </c>
      <c r="H34" s="161"/>
      <c r="I34" s="161"/>
      <c r="J34" s="161"/>
    </row>
    <row r="35" spans="2:10" ht="15.75" customHeight="1">
      <c r="B35" s="164" t="s">
        <v>95</v>
      </c>
      <c r="C35" s="164" t="s">
        <v>362</v>
      </c>
      <c r="D35" s="164" t="s">
        <v>585</v>
      </c>
      <c r="E35" s="164" t="s">
        <v>119</v>
      </c>
      <c r="F35" s="164" t="s">
        <v>20</v>
      </c>
      <c r="G35" s="164" t="s">
        <v>98</v>
      </c>
      <c r="H35" s="164"/>
      <c r="I35" s="164"/>
      <c r="J35" s="164"/>
    </row>
    <row r="36" spans="2:10" ht="15.75" customHeight="1">
      <c r="B36" s="161" t="s">
        <v>95</v>
      </c>
      <c r="C36" s="161" t="s">
        <v>362</v>
      </c>
      <c r="D36" s="161" t="s">
        <v>586</v>
      </c>
      <c r="E36" s="161" t="s">
        <v>120</v>
      </c>
      <c r="F36" s="161" t="s">
        <v>20</v>
      </c>
      <c r="G36" s="161" t="s">
        <v>98</v>
      </c>
      <c r="H36" s="161"/>
      <c r="I36" s="161"/>
      <c r="J36" s="161"/>
    </row>
    <row r="37" spans="2:10" ht="15.75" customHeight="1">
      <c r="B37" s="164" t="s">
        <v>95</v>
      </c>
      <c r="C37" s="164" t="s">
        <v>362</v>
      </c>
      <c r="D37" s="164" t="s">
        <v>587</v>
      </c>
      <c r="E37" s="164" t="s">
        <v>121</v>
      </c>
      <c r="F37" s="164" t="s">
        <v>20</v>
      </c>
      <c r="G37" s="164" t="s">
        <v>98</v>
      </c>
      <c r="H37" s="164"/>
      <c r="I37" s="164"/>
      <c r="J37" s="164"/>
    </row>
    <row r="38" spans="2:10" ht="15.75" customHeight="1">
      <c r="B38" s="161" t="s">
        <v>95</v>
      </c>
      <c r="C38" s="161" t="s">
        <v>362</v>
      </c>
      <c r="D38" s="161" t="s">
        <v>588</v>
      </c>
      <c r="E38" s="161" t="s">
        <v>122</v>
      </c>
      <c r="F38" s="161" t="s">
        <v>20</v>
      </c>
      <c r="G38" s="161" t="s">
        <v>98</v>
      </c>
      <c r="H38" s="161"/>
      <c r="I38" s="161"/>
      <c r="J38" s="161"/>
    </row>
    <row r="39" spans="2:10" ht="15.75" customHeight="1">
      <c r="B39" s="164" t="s">
        <v>95</v>
      </c>
      <c r="C39" s="164" t="s">
        <v>362</v>
      </c>
      <c r="D39" s="164" t="s">
        <v>589</v>
      </c>
      <c r="E39" s="164" t="s">
        <v>123</v>
      </c>
      <c r="F39" s="164" t="s">
        <v>20</v>
      </c>
      <c r="G39" s="164" t="s">
        <v>98</v>
      </c>
      <c r="H39" s="164"/>
      <c r="I39" s="164"/>
      <c r="J39" s="164"/>
    </row>
    <row r="40" spans="2:10" ht="15.75" customHeight="1">
      <c r="B40" s="161" t="s">
        <v>95</v>
      </c>
      <c r="C40" s="161" t="s">
        <v>362</v>
      </c>
      <c r="D40" s="161" t="s">
        <v>590</v>
      </c>
      <c r="E40" s="161" t="s">
        <v>124</v>
      </c>
      <c r="F40" s="161" t="s">
        <v>20</v>
      </c>
      <c r="G40" s="161" t="s">
        <v>98</v>
      </c>
      <c r="H40" s="161"/>
      <c r="I40" s="161"/>
      <c r="J40" s="161"/>
    </row>
    <row r="41" spans="2:10" ht="15.75" customHeight="1">
      <c r="B41" s="164" t="s">
        <v>95</v>
      </c>
      <c r="C41" s="164" t="s">
        <v>362</v>
      </c>
      <c r="D41" s="164" t="s">
        <v>591</v>
      </c>
      <c r="E41" s="164" t="s">
        <v>125</v>
      </c>
      <c r="F41" s="164" t="s">
        <v>20</v>
      </c>
      <c r="G41" s="164" t="s">
        <v>98</v>
      </c>
      <c r="H41" s="164"/>
      <c r="I41" s="164"/>
      <c r="J41" s="164"/>
    </row>
    <row r="42" spans="2:10" ht="15.75" customHeight="1">
      <c r="B42" s="161" t="s">
        <v>95</v>
      </c>
      <c r="C42" s="161" t="s">
        <v>362</v>
      </c>
      <c r="D42" s="161" t="s">
        <v>592</v>
      </c>
      <c r="E42" s="161" t="s">
        <v>126</v>
      </c>
      <c r="F42" s="161" t="s">
        <v>20</v>
      </c>
      <c r="G42" s="161" t="s">
        <v>98</v>
      </c>
      <c r="H42" s="161"/>
      <c r="I42" s="161"/>
      <c r="J42" s="161"/>
    </row>
    <row r="43" spans="2:10" ht="15.75" customHeight="1">
      <c r="B43" s="164" t="s">
        <v>95</v>
      </c>
      <c r="C43" s="164" t="s">
        <v>362</v>
      </c>
      <c r="D43" s="164" t="s">
        <v>593</v>
      </c>
      <c r="E43" s="164" t="s">
        <v>127</v>
      </c>
      <c r="F43" s="164" t="s">
        <v>20</v>
      </c>
      <c r="G43" s="164" t="s">
        <v>98</v>
      </c>
      <c r="H43" s="164"/>
      <c r="I43" s="164"/>
      <c r="J43" s="164"/>
    </row>
    <row r="44" spans="2:10" ht="15.75" customHeight="1">
      <c r="B44" s="161" t="s">
        <v>95</v>
      </c>
      <c r="C44" s="161" t="s">
        <v>362</v>
      </c>
      <c r="D44" s="161" t="s">
        <v>594</v>
      </c>
      <c r="E44" s="161" t="s">
        <v>128</v>
      </c>
      <c r="F44" s="161" t="s">
        <v>20</v>
      </c>
      <c r="G44" s="161" t="s">
        <v>98</v>
      </c>
      <c r="H44" s="161"/>
      <c r="I44" s="161"/>
      <c r="J44" s="161"/>
    </row>
    <row r="45" spans="2:10" ht="15.75" customHeight="1">
      <c r="B45" s="164" t="s">
        <v>95</v>
      </c>
      <c r="C45" s="164" t="s">
        <v>362</v>
      </c>
      <c r="D45" s="164" t="s">
        <v>595</v>
      </c>
      <c r="E45" s="164" t="s">
        <v>129</v>
      </c>
      <c r="F45" s="164" t="s">
        <v>20</v>
      </c>
      <c r="G45" s="164" t="s">
        <v>98</v>
      </c>
      <c r="H45" s="164"/>
      <c r="I45" s="164"/>
      <c r="J45" s="164"/>
    </row>
    <row r="46" spans="2:10" ht="15.75" customHeight="1">
      <c r="B46" s="161" t="s">
        <v>95</v>
      </c>
      <c r="C46" s="161" t="s">
        <v>362</v>
      </c>
      <c r="D46" s="161" t="s">
        <v>596</v>
      </c>
      <c r="E46" s="161" t="s">
        <v>130</v>
      </c>
      <c r="F46" s="161" t="s">
        <v>20</v>
      </c>
      <c r="G46" s="161" t="s">
        <v>98</v>
      </c>
      <c r="H46" s="161"/>
      <c r="I46" s="161"/>
      <c r="J46" s="161"/>
    </row>
    <row r="47" spans="2:10" ht="15.75" customHeight="1">
      <c r="B47" s="164" t="s">
        <v>95</v>
      </c>
      <c r="C47" s="164" t="s">
        <v>362</v>
      </c>
      <c r="D47" s="164" t="s">
        <v>597</v>
      </c>
      <c r="E47" s="164" t="s">
        <v>131</v>
      </c>
      <c r="F47" s="164" t="s">
        <v>20</v>
      </c>
      <c r="G47" s="164" t="s">
        <v>98</v>
      </c>
      <c r="H47" s="164"/>
      <c r="I47" s="164"/>
      <c r="J47" s="164"/>
    </row>
    <row r="48" spans="2:10" ht="15.75" customHeight="1">
      <c r="B48" s="161" t="s">
        <v>95</v>
      </c>
      <c r="C48" s="161" t="s">
        <v>362</v>
      </c>
      <c r="D48" s="161" t="s">
        <v>598</v>
      </c>
      <c r="E48" s="161" t="s">
        <v>132</v>
      </c>
      <c r="F48" s="161" t="s">
        <v>20</v>
      </c>
      <c r="G48" s="161" t="s">
        <v>98</v>
      </c>
      <c r="H48" s="161"/>
      <c r="I48" s="161"/>
      <c r="J48" s="161"/>
    </row>
    <row r="49" spans="2:10" ht="15.75" customHeight="1">
      <c r="B49" s="164" t="s">
        <v>95</v>
      </c>
      <c r="C49" s="164" t="s">
        <v>362</v>
      </c>
      <c r="D49" s="164" t="s">
        <v>599</v>
      </c>
      <c r="E49" s="164" t="s">
        <v>133</v>
      </c>
      <c r="F49" s="164" t="s">
        <v>20</v>
      </c>
      <c r="G49" s="164" t="s">
        <v>98</v>
      </c>
      <c r="H49" s="164"/>
      <c r="I49" s="164"/>
      <c r="J49" s="164"/>
    </row>
    <row r="50" spans="2:10" ht="15.75" customHeight="1">
      <c r="B50" s="161" t="s">
        <v>95</v>
      </c>
      <c r="C50" s="161" t="s">
        <v>362</v>
      </c>
      <c r="D50" s="161" t="s">
        <v>600</v>
      </c>
      <c r="E50" s="161" t="s">
        <v>134</v>
      </c>
      <c r="F50" s="161" t="s">
        <v>20</v>
      </c>
      <c r="G50" s="161" t="s">
        <v>98</v>
      </c>
      <c r="H50" s="161"/>
      <c r="I50" s="161"/>
      <c r="J50" s="161"/>
    </row>
    <row r="51" spans="2:10" ht="15.75" customHeight="1">
      <c r="B51" s="164" t="s">
        <v>95</v>
      </c>
      <c r="C51" s="164" t="s">
        <v>362</v>
      </c>
      <c r="D51" s="164" t="s">
        <v>601</v>
      </c>
      <c r="E51" s="164" t="s">
        <v>135</v>
      </c>
      <c r="F51" s="164" t="s">
        <v>20</v>
      </c>
      <c r="G51" s="164" t="s">
        <v>98</v>
      </c>
      <c r="H51" s="164"/>
      <c r="I51" s="164"/>
      <c r="J51" s="164"/>
    </row>
    <row r="52" spans="2:10" ht="15.75" customHeight="1">
      <c r="B52" s="161" t="s">
        <v>95</v>
      </c>
      <c r="C52" s="161" t="s">
        <v>362</v>
      </c>
      <c r="D52" s="161" t="s">
        <v>602</v>
      </c>
      <c r="E52" s="161" t="s">
        <v>136</v>
      </c>
      <c r="F52" s="161" t="s">
        <v>20</v>
      </c>
      <c r="G52" s="161" t="s">
        <v>98</v>
      </c>
      <c r="H52" s="161"/>
      <c r="I52" s="161"/>
      <c r="J52" s="161"/>
    </row>
    <row r="53" spans="2:10" ht="15.75" customHeight="1">
      <c r="B53" s="164" t="s">
        <v>95</v>
      </c>
      <c r="C53" s="164" t="s">
        <v>362</v>
      </c>
      <c r="D53" s="164" t="s">
        <v>603</v>
      </c>
      <c r="E53" s="164" t="s">
        <v>138</v>
      </c>
      <c r="F53" s="164" t="s">
        <v>20</v>
      </c>
      <c r="G53" s="164" t="s">
        <v>98</v>
      </c>
      <c r="H53" s="164"/>
      <c r="I53" s="164"/>
      <c r="J53" s="164"/>
    </row>
    <row r="54" spans="2:10" ht="15.75" customHeight="1">
      <c r="B54" s="161" t="s">
        <v>95</v>
      </c>
      <c r="C54" s="161" t="s">
        <v>362</v>
      </c>
      <c r="D54" s="161" t="s">
        <v>604</v>
      </c>
      <c r="E54" s="161" t="s">
        <v>138</v>
      </c>
      <c r="F54" s="161" t="s">
        <v>20</v>
      </c>
      <c r="G54" s="161" t="s">
        <v>98</v>
      </c>
      <c r="H54" s="161"/>
      <c r="I54" s="161"/>
      <c r="J54" s="161"/>
    </row>
    <row r="55" spans="2:10" ht="15.75" customHeight="1">
      <c r="B55" s="164" t="s">
        <v>95</v>
      </c>
      <c r="C55" s="164" t="s">
        <v>362</v>
      </c>
      <c r="D55" s="164" t="s">
        <v>605</v>
      </c>
      <c r="E55" s="164" t="s">
        <v>138</v>
      </c>
      <c r="F55" s="164" t="s">
        <v>20</v>
      </c>
      <c r="G55" s="164" t="s">
        <v>98</v>
      </c>
      <c r="H55" s="164"/>
      <c r="I55" s="164"/>
      <c r="J55" s="164"/>
    </row>
    <row r="56" spans="2:10" ht="15.75" customHeight="1">
      <c r="B56" s="161" t="s">
        <v>95</v>
      </c>
      <c r="C56" s="161" t="s">
        <v>362</v>
      </c>
      <c r="D56" s="161" t="s">
        <v>606</v>
      </c>
      <c r="E56" s="161" t="s">
        <v>142</v>
      </c>
      <c r="F56" s="161" t="s">
        <v>20</v>
      </c>
      <c r="G56" s="161" t="s">
        <v>98</v>
      </c>
      <c r="H56" s="161"/>
      <c r="I56" s="161"/>
      <c r="J56" s="161"/>
    </row>
    <row r="57" spans="2:10" ht="15.75" customHeight="1">
      <c r="B57" s="164" t="s">
        <v>95</v>
      </c>
      <c r="C57" s="164" t="s">
        <v>362</v>
      </c>
      <c r="D57" s="164" t="s">
        <v>607</v>
      </c>
      <c r="E57" s="164" t="s">
        <v>144</v>
      </c>
      <c r="F57" s="164" t="s">
        <v>20</v>
      </c>
      <c r="G57" s="164" t="s">
        <v>98</v>
      </c>
      <c r="H57" s="164"/>
      <c r="I57" s="164"/>
      <c r="J57" s="164"/>
    </row>
    <row r="58" spans="2:10" ht="15.75" customHeight="1">
      <c r="B58" s="161" t="s">
        <v>95</v>
      </c>
      <c r="C58" s="161" t="s">
        <v>362</v>
      </c>
      <c r="D58" s="161" t="s">
        <v>608</v>
      </c>
      <c r="E58" s="161" t="s">
        <v>146</v>
      </c>
      <c r="F58" s="161" t="s">
        <v>20</v>
      </c>
      <c r="G58" s="161" t="s">
        <v>98</v>
      </c>
      <c r="H58" s="161"/>
      <c r="I58" s="161"/>
      <c r="J58" s="161"/>
    </row>
    <row r="59" spans="2:10" ht="15.75" customHeight="1">
      <c r="B59" s="164" t="s">
        <v>95</v>
      </c>
      <c r="C59" s="164" t="s">
        <v>362</v>
      </c>
      <c r="D59" s="164" t="s">
        <v>609</v>
      </c>
      <c r="E59" s="164" t="s">
        <v>148</v>
      </c>
      <c r="F59" s="164" t="s">
        <v>20</v>
      </c>
      <c r="G59" s="164" t="s">
        <v>98</v>
      </c>
      <c r="H59" s="164"/>
      <c r="I59" s="164"/>
      <c r="J59" s="164"/>
    </row>
    <row r="60" spans="2:10" ht="15.75" customHeight="1">
      <c r="B60" s="161" t="s">
        <v>95</v>
      </c>
      <c r="C60" s="161" t="s">
        <v>362</v>
      </c>
      <c r="D60" s="161" t="s">
        <v>610</v>
      </c>
      <c r="E60" s="161" t="s">
        <v>150</v>
      </c>
      <c r="F60" s="161" t="s">
        <v>20</v>
      </c>
      <c r="G60" s="161" t="s">
        <v>98</v>
      </c>
      <c r="H60" s="161"/>
      <c r="I60" s="161"/>
      <c r="J60" s="161"/>
    </row>
    <row r="61" spans="2:10" ht="15.75" customHeight="1">
      <c r="B61" s="164" t="s">
        <v>95</v>
      </c>
      <c r="C61" s="164" t="s">
        <v>362</v>
      </c>
      <c r="D61" s="164" t="s">
        <v>611</v>
      </c>
      <c r="E61" s="164" t="s">
        <v>152</v>
      </c>
      <c r="F61" s="164" t="s">
        <v>20</v>
      </c>
      <c r="G61" s="164" t="s">
        <v>98</v>
      </c>
      <c r="H61" s="164"/>
      <c r="I61" s="164"/>
      <c r="J61" s="164"/>
    </row>
    <row r="62" spans="2:10" ht="15.75" customHeight="1">
      <c r="B62" s="161" t="s">
        <v>95</v>
      </c>
      <c r="C62" s="161" t="s">
        <v>362</v>
      </c>
      <c r="D62" s="161" t="s">
        <v>612</v>
      </c>
      <c r="E62" s="161" t="s">
        <v>152</v>
      </c>
      <c r="F62" s="161" t="s">
        <v>20</v>
      </c>
      <c r="G62" s="161" t="s">
        <v>98</v>
      </c>
      <c r="H62" s="161"/>
      <c r="I62" s="161"/>
      <c r="J62" s="161"/>
    </row>
    <row r="63" spans="2:10" ht="15.75" customHeight="1">
      <c r="B63" s="164" t="s">
        <v>95</v>
      </c>
      <c r="C63" s="164" t="s">
        <v>362</v>
      </c>
      <c r="D63" s="164" t="s">
        <v>613</v>
      </c>
      <c r="E63" s="164" t="s">
        <v>155</v>
      </c>
      <c r="F63" s="164" t="s">
        <v>20</v>
      </c>
      <c r="G63" s="164" t="s">
        <v>98</v>
      </c>
      <c r="H63" s="164"/>
      <c r="I63" s="164"/>
      <c r="J63" s="164"/>
    </row>
    <row r="64" spans="2:10" ht="15.75" customHeight="1">
      <c r="B64" s="161" t="s">
        <v>95</v>
      </c>
      <c r="C64" s="161" t="s">
        <v>362</v>
      </c>
      <c r="D64" s="161" t="s">
        <v>614</v>
      </c>
      <c r="E64" s="161" t="s">
        <v>156</v>
      </c>
      <c r="F64" s="161" t="s">
        <v>20</v>
      </c>
      <c r="G64" s="161" t="s">
        <v>98</v>
      </c>
      <c r="H64" s="161"/>
      <c r="I64" s="161"/>
      <c r="J64" s="161"/>
    </row>
    <row r="65" spans="2:10" ht="15.75" customHeight="1">
      <c r="B65" s="164" t="s">
        <v>95</v>
      </c>
      <c r="C65" s="164" t="s">
        <v>362</v>
      </c>
      <c r="D65" s="164" t="s">
        <v>615</v>
      </c>
      <c r="E65" s="164" t="s">
        <v>156</v>
      </c>
      <c r="F65" s="164" t="s">
        <v>20</v>
      </c>
      <c r="G65" s="164" t="s">
        <v>98</v>
      </c>
      <c r="H65" s="164"/>
      <c r="I65" s="164"/>
      <c r="J65" s="164"/>
    </row>
    <row r="66" spans="2:10" ht="15.75" customHeight="1">
      <c r="B66" s="161" t="s">
        <v>95</v>
      </c>
      <c r="C66" s="161" t="s">
        <v>362</v>
      </c>
      <c r="D66" s="161" t="s">
        <v>616</v>
      </c>
      <c r="E66" s="161" t="s">
        <v>156</v>
      </c>
      <c r="F66" s="161" t="s">
        <v>20</v>
      </c>
      <c r="G66" s="161" t="s">
        <v>98</v>
      </c>
      <c r="H66" s="161"/>
      <c r="I66" s="161"/>
      <c r="J66" s="161"/>
    </row>
    <row r="67" spans="2:10" ht="15.75" customHeight="1">
      <c r="B67" s="164" t="s">
        <v>95</v>
      </c>
      <c r="C67" s="164" t="s">
        <v>362</v>
      </c>
      <c r="D67" s="164" t="s">
        <v>617</v>
      </c>
      <c r="E67" s="164" t="s">
        <v>157</v>
      </c>
      <c r="F67" s="164" t="s">
        <v>20</v>
      </c>
      <c r="G67" s="164" t="s">
        <v>98</v>
      </c>
      <c r="H67" s="164"/>
      <c r="I67" s="164"/>
      <c r="J67" s="164"/>
    </row>
    <row r="68" spans="2:10" ht="15.75" customHeight="1">
      <c r="B68" s="161" t="s">
        <v>95</v>
      </c>
      <c r="C68" s="161" t="s">
        <v>362</v>
      </c>
      <c r="D68" s="161" t="s">
        <v>618</v>
      </c>
      <c r="E68" s="161" t="s">
        <v>158</v>
      </c>
      <c r="F68" s="161" t="s">
        <v>20</v>
      </c>
      <c r="G68" s="161" t="s">
        <v>98</v>
      </c>
      <c r="H68" s="161"/>
      <c r="I68" s="161"/>
      <c r="J68" s="161"/>
    </row>
    <row r="69" spans="2:10" ht="15.75" customHeight="1">
      <c r="B69" s="164" t="s">
        <v>95</v>
      </c>
      <c r="C69" s="164" t="s">
        <v>362</v>
      </c>
      <c r="D69" s="164" t="s">
        <v>619</v>
      </c>
      <c r="E69" s="164" t="s">
        <v>159</v>
      </c>
      <c r="F69" s="164" t="s">
        <v>20</v>
      </c>
      <c r="G69" s="164" t="s">
        <v>98</v>
      </c>
      <c r="H69" s="164"/>
      <c r="I69" s="164"/>
      <c r="J69" s="164"/>
    </row>
    <row r="70" spans="2:10" ht="15.75" customHeight="1">
      <c r="B70" s="161" t="s">
        <v>95</v>
      </c>
      <c r="C70" s="161" t="s">
        <v>362</v>
      </c>
      <c r="D70" s="161" t="s">
        <v>620</v>
      </c>
      <c r="E70" s="161" t="s">
        <v>160</v>
      </c>
      <c r="F70" s="161" t="s">
        <v>20</v>
      </c>
      <c r="G70" s="161" t="s">
        <v>98</v>
      </c>
      <c r="H70" s="161"/>
      <c r="I70" s="161"/>
      <c r="J70" s="161"/>
    </row>
    <row r="71" spans="2:10" ht="15.75" customHeight="1">
      <c r="B71" s="164" t="s">
        <v>95</v>
      </c>
      <c r="C71" s="164" t="s">
        <v>362</v>
      </c>
      <c r="D71" s="164" t="s">
        <v>621</v>
      </c>
      <c r="E71" s="164" t="s">
        <v>161</v>
      </c>
      <c r="F71" s="164" t="s">
        <v>20</v>
      </c>
      <c r="G71" s="164" t="s">
        <v>98</v>
      </c>
      <c r="H71" s="164"/>
      <c r="I71" s="164"/>
      <c r="J71" s="164"/>
    </row>
    <row r="72" spans="2:10" ht="15.75" customHeight="1">
      <c r="B72" s="161" t="s">
        <v>95</v>
      </c>
      <c r="C72" s="161" t="s">
        <v>362</v>
      </c>
      <c r="D72" s="161" t="s">
        <v>622</v>
      </c>
      <c r="E72" s="161" t="s">
        <v>162</v>
      </c>
      <c r="F72" s="161" t="s">
        <v>20</v>
      </c>
      <c r="G72" s="161" t="s">
        <v>98</v>
      </c>
      <c r="H72" s="161"/>
      <c r="I72" s="161"/>
      <c r="J72" s="161"/>
    </row>
    <row r="73" spans="2:10" ht="15.75" customHeight="1">
      <c r="B73" s="164" t="s">
        <v>95</v>
      </c>
      <c r="C73" s="164" t="s">
        <v>362</v>
      </c>
      <c r="D73" s="164" t="s">
        <v>623</v>
      </c>
      <c r="E73" s="164" t="s">
        <v>162</v>
      </c>
      <c r="F73" s="164" t="s">
        <v>20</v>
      </c>
      <c r="G73" s="164" t="s">
        <v>98</v>
      </c>
      <c r="H73" s="164"/>
      <c r="I73" s="164"/>
      <c r="J73" s="164"/>
    </row>
    <row r="74" spans="2:10" ht="15.75" customHeight="1">
      <c r="B74" s="161" t="s">
        <v>95</v>
      </c>
      <c r="C74" s="161" t="s">
        <v>362</v>
      </c>
      <c r="D74" s="161" t="s">
        <v>624</v>
      </c>
      <c r="E74" s="161" t="s">
        <v>163</v>
      </c>
      <c r="F74" s="161" t="s">
        <v>20</v>
      </c>
      <c r="G74" s="161" t="s">
        <v>98</v>
      </c>
      <c r="H74" s="161"/>
      <c r="I74" s="161"/>
      <c r="J74" s="161"/>
    </row>
    <row r="75" spans="2:10" ht="15.75" customHeight="1">
      <c r="B75" s="164" t="s">
        <v>95</v>
      </c>
      <c r="C75" s="164" t="s">
        <v>362</v>
      </c>
      <c r="D75" s="164" t="s">
        <v>625</v>
      </c>
      <c r="E75" s="164" t="s">
        <v>164</v>
      </c>
      <c r="F75" s="164" t="s">
        <v>20</v>
      </c>
      <c r="G75" s="164" t="s">
        <v>98</v>
      </c>
      <c r="H75" s="164"/>
      <c r="I75" s="164"/>
      <c r="J75" s="164"/>
    </row>
    <row r="76" spans="2:10" ht="15.75" customHeight="1">
      <c r="B76" s="161" t="s">
        <v>95</v>
      </c>
      <c r="C76" s="161" t="s">
        <v>362</v>
      </c>
      <c r="D76" s="161" t="s">
        <v>626</v>
      </c>
      <c r="E76" s="161" t="s">
        <v>164</v>
      </c>
      <c r="F76" s="161" t="s">
        <v>20</v>
      </c>
      <c r="G76" s="161" t="s">
        <v>98</v>
      </c>
      <c r="H76" s="161"/>
      <c r="I76" s="161"/>
      <c r="J76" s="161"/>
    </row>
    <row r="77" spans="2:10" ht="15.75" customHeight="1">
      <c r="B77" s="164" t="s">
        <v>95</v>
      </c>
      <c r="C77" s="164" t="s">
        <v>362</v>
      </c>
      <c r="D77" s="164" t="s">
        <v>627</v>
      </c>
      <c r="E77" s="164" t="s">
        <v>164</v>
      </c>
      <c r="F77" s="164" t="s">
        <v>20</v>
      </c>
      <c r="G77" s="164" t="s">
        <v>98</v>
      </c>
      <c r="H77" s="164"/>
      <c r="I77" s="164"/>
      <c r="J77" s="164"/>
    </row>
    <row r="78" spans="2:10" ht="15.75" customHeight="1">
      <c r="B78" s="161" t="s">
        <v>95</v>
      </c>
      <c r="C78" s="161" t="s">
        <v>362</v>
      </c>
      <c r="D78" s="161" t="s">
        <v>628</v>
      </c>
      <c r="E78" s="161" t="s">
        <v>165</v>
      </c>
      <c r="F78" s="161" t="s">
        <v>20</v>
      </c>
      <c r="G78" s="161" t="s">
        <v>98</v>
      </c>
      <c r="H78" s="161"/>
      <c r="I78" s="161"/>
      <c r="J78" s="161"/>
    </row>
    <row r="79" spans="2:10" ht="15.75" customHeight="1">
      <c r="B79" s="164" t="s">
        <v>95</v>
      </c>
      <c r="C79" s="164" t="s">
        <v>362</v>
      </c>
      <c r="D79" s="164" t="s">
        <v>629</v>
      </c>
      <c r="E79" s="164" t="s">
        <v>166</v>
      </c>
      <c r="F79" s="164" t="s">
        <v>20</v>
      </c>
      <c r="G79" s="164" t="s">
        <v>98</v>
      </c>
      <c r="H79" s="164"/>
      <c r="I79" s="164"/>
      <c r="J79" s="164"/>
    </row>
    <row r="80" spans="2:10" ht="15.75" customHeight="1">
      <c r="B80" s="161" t="s">
        <v>95</v>
      </c>
      <c r="C80" s="161" t="s">
        <v>362</v>
      </c>
      <c r="D80" s="161" t="s">
        <v>630</v>
      </c>
      <c r="E80" s="161" t="s">
        <v>167</v>
      </c>
      <c r="F80" s="161" t="s">
        <v>20</v>
      </c>
      <c r="G80" s="161" t="s">
        <v>98</v>
      </c>
      <c r="H80" s="161"/>
      <c r="I80" s="161"/>
      <c r="J80" s="161"/>
    </row>
    <row r="81" spans="2:10" ht="15.75" customHeight="1">
      <c r="B81" s="164" t="s">
        <v>95</v>
      </c>
      <c r="C81" s="164" t="s">
        <v>362</v>
      </c>
      <c r="D81" s="164" t="s">
        <v>631</v>
      </c>
      <c r="E81" s="164" t="s">
        <v>168</v>
      </c>
      <c r="F81" s="164" t="s">
        <v>20</v>
      </c>
      <c r="G81" s="164" t="s">
        <v>98</v>
      </c>
      <c r="H81" s="164"/>
      <c r="I81" s="164"/>
      <c r="J81" s="164"/>
    </row>
    <row r="82" spans="2:10" ht="15.75" customHeight="1">
      <c r="B82" s="161" t="s">
        <v>95</v>
      </c>
      <c r="C82" s="161" t="s">
        <v>362</v>
      </c>
      <c r="D82" s="161" t="s">
        <v>632</v>
      </c>
      <c r="E82" s="161" t="s">
        <v>169</v>
      </c>
      <c r="F82" s="161" t="s">
        <v>20</v>
      </c>
      <c r="G82" s="161" t="s">
        <v>98</v>
      </c>
      <c r="H82" s="161"/>
      <c r="I82" s="161"/>
      <c r="J82" s="161"/>
    </row>
    <row r="83" spans="2:10" ht="15.75" customHeight="1">
      <c r="B83" s="164" t="s">
        <v>95</v>
      </c>
      <c r="C83" s="164" t="s">
        <v>362</v>
      </c>
      <c r="D83" s="164" t="s">
        <v>633</v>
      </c>
      <c r="E83" s="164" t="s">
        <v>170</v>
      </c>
      <c r="F83" s="164" t="s">
        <v>20</v>
      </c>
      <c r="G83" s="164" t="s">
        <v>98</v>
      </c>
      <c r="H83" s="164"/>
      <c r="I83" s="164"/>
      <c r="J83" s="164"/>
    </row>
    <row r="84" spans="2:10" ht="15.75" customHeight="1">
      <c r="B84" s="161" t="s">
        <v>95</v>
      </c>
      <c r="C84" s="161" t="s">
        <v>362</v>
      </c>
      <c r="D84" s="161" t="s">
        <v>634</v>
      </c>
      <c r="E84" s="161" t="s">
        <v>170</v>
      </c>
      <c r="F84" s="161" t="s">
        <v>20</v>
      </c>
      <c r="G84" s="161" t="s">
        <v>98</v>
      </c>
      <c r="H84" s="161"/>
      <c r="I84" s="161"/>
      <c r="J84" s="161"/>
    </row>
    <row r="85" spans="2:10" ht="15.75" customHeight="1">
      <c r="B85" s="164" t="s">
        <v>95</v>
      </c>
      <c r="C85" s="164" t="s">
        <v>362</v>
      </c>
      <c r="D85" s="164" t="s">
        <v>635</v>
      </c>
      <c r="E85" s="164" t="s">
        <v>171</v>
      </c>
      <c r="F85" s="164" t="s">
        <v>20</v>
      </c>
      <c r="G85" s="164" t="s">
        <v>98</v>
      </c>
      <c r="H85" s="164"/>
      <c r="I85" s="164"/>
      <c r="J85" s="164"/>
    </row>
    <row r="86" spans="2:10" ht="15.75" customHeight="1">
      <c r="B86" s="161" t="s">
        <v>95</v>
      </c>
      <c r="C86" s="161" t="s">
        <v>362</v>
      </c>
      <c r="D86" s="161" t="s">
        <v>172</v>
      </c>
      <c r="E86" s="161" t="s">
        <v>173</v>
      </c>
      <c r="F86" s="161" t="s">
        <v>20</v>
      </c>
      <c r="G86" s="161" t="s">
        <v>174</v>
      </c>
      <c r="H86" s="161" t="s">
        <v>175</v>
      </c>
      <c r="I86" s="161"/>
      <c r="J86" s="161"/>
    </row>
    <row r="87" spans="2:10" ht="15.75" customHeight="1">
      <c r="B87" s="164" t="s">
        <v>95</v>
      </c>
      <c r="C87" s="164" t="s">
        <v>362</v>
      </c>
      <c r="D87" s="164" t="s">
        <v>176</v>
      </c>
      <c r="E87" s="164" t="s">
        <v>177</v>
      </c>
      <c r="F87" s="164" t="s">
        <v>20</v>
      </c>
      <c r="G87" s="164" t="s">
        <v>174</v>
      </c>
      <c r="H87" s="164" t="s">
        <v>175</v>
      </c>
      <c r="I87" s="164"/>
      <c r="J87" s="164"/>
    </row>
    <row r="88" spans="2:10" ht="15.75" customHeight="1">
      <c r="B88" s="161" t="s">
        <v>95</v>
      </c>
      <c r="C88" s="161" t="s">
        <v>362</v>
      </c>
      <c r="D88" s="161" t="s">
        <v>178</v>
      </c>
      <c r="E88" s="161" t="s">
        <v>179</v>
      </c>
      <c r="F88" s="161" t="s">
        <v>20</v>
      </c>
      <c r="G88" s="161" t="s">
        <v>174</v>
      </c>
      <c r="H88" s="161"/>
      <c r="I88" s="161"/>
      <c r="J88" s="161"/>
    </row>
    <row r="89" spans="2:10" ht="15.75" customHeight="1">
      <c r="B89" s="164" t="s">
        <v>95</v>
      </c>
      <c r="C89" s="164" t="s">
        <v>362</v>
      </c>
      <c r="D89" s="164" t="s">
        <v>180</v>
      </c>
      <c r="E89" s="164" t="s">
        <v>181</v>
      </c>
      <c r="F89" s="164" t="s">
        <v>20</v>
      </c>
      <c r="G89" s="164" t="s">
        <v>174</v>
      </c>
      <c r="H89" s="164"/>
      <c r="I89" s="164"/>
      <c r="J89" s="164"/>
    </row>
    <row r="90" spans="2:10" ht="15.75" customHeight="1">
      <c r="B90" s="161" t="s">
        <v>95</v>
      </c>
      <c r="C90" s="161" t="s">
        <v>362</v>
      </c>
      <c r="D90" s="161" t="s">
        <v>182</v>
      </c>
      <c r="E90" s="161" t="s">
        <v>183</v>
      </c>
      <c r="F90" s="161" t="s">
        <v>20</v>
      </c>
      <c r="G90" s="161" t="s">
        <v>174</v>
      </c>
      <c r="H90" s="161"/>
      <c r="I90" s="161"/>
      <c r="J90" s="161"/>
    </row>
    <row r="91" spans="2:10" ht="15.75" customHeight="1">
      <c r="B91" s="164" t="s">
        <v>95</v>
      </c>
      <c r="C91" s="164" t="s">
        <v>362</v>
      </c>
      <c r="D91" s="164" t="s">
        <v>184</v>
      </c>
      <c r="E91" s="164" t="s">
        <v>185</v>
      </c>
      <c r="F91" s="164" t="s">
        <v>20</v>
      </c>
      <c r="G91" s="164" t="s">
        <v>174</v>
      </c>
      <c r="H91" s="164"/>
      <c r="I91" s="164"/>
      <c r="J91" s="164"/>
    </row>
    <row r="92" spans="2:10" ht="15.75" customHeight="1">
      <c r="B92" s="161" t="s">
        <v>95</v>
      </c>
      <c r="C92" s="161" t="s">
        <v>362</v>
      </c>
      <c r="D92" s="161" t="s">
        <v>186</v>
      </c>
      <c r="E92" s="161" t="s">
        <v>187</v>
      </c>
      <c r="F92" s="161" t="s">
        <v>20</v>
      </c>
      <c r="G92" s="161" t="s">
        <v>174</v>
      </c>
      <c r="H92" s="161"/>
      <c r="I92" s="161"/>
      <c r="J92" s="161"/>
    </row>
    <row r="93" spans="2:10" ht="15.75" customHeight="1">
      <c r="B93" s="164" t="s">
        <v>95</v>
      </c>
      <c r="C93" s="164" t="s">
        <v>362</v>
      </c>
      <c r="D93" s="164" t="s">
        <v>188</v>
      </c>
      <c r="E93" s="164" t="s">
        <v>189</v>
      </c>
      <c r="F93" s="164" t="s">
        <v>20</v>
      </c>
      <c r="G93" s="164" t="s">
        <v>174</v>
      </c>
      <c r="H93" s="164"/>
      <c r="I93" s="164"/>
      <c r="J93" s="164"/>
    </row>
    <row r="94" spans="2:10" ht="15.75" customHeight="1">
      <c r="B94" s="161" t="s">
        <v>95</v>
      </c>
      <c r="C94" s="161" t="s">
        <v>362</v>
      </c>
      <c r="D94" s="161" t="s">
        <v>190</v>
      </c>
      <c r="E94" s="161" t="s">
        <v>191</v>
      </c>
      <c r="F94" s="161" t="s">
        <v>20</v>
      </c>
      <c r="G94" s="161" t="s">
        <v>174</v>
      </c>
      <c r="H94" s="161"/>
      <c r="I94" s="161"/>
      <c r="J94" s="161"/>
    </row>
    <row r="95" spans="2:10" ht="15.75" customHeight="1">
      <c r="B95" s="164" t="s">
        <v>95</v>
      </c>
      <c r="C95" s="164" t="s">
        <v>362</v>
      </c>
      <c r="D95" s="164" t="s">
        <v>192</v>
      </c>
      <c r="E95" s="164" t="s">
        <v>50</v>
      </c>
      <c r="F95" s="164" t="s">
        <v>193</v>
      </c>
      <c r="G95" s="164" t="s">
        <v>194</v>
      </c>
      <c r="H95" s="164"/>
      <c r="I95" s="164"/>
      <c r="J95" s="164"/>
    </row>
    <row r="96" spans="2:10" ht="15.75" customHeight="1">
      <c r="B96" s="161" t="s">
        <v>95</v>
      </c>
      <c r="C96" s="161" t="s">
        <v>362</v>
      </c>
      <c r="D96" s="161" t="s">
        <v>195</v>
      </c>
      <c r="E96" s="161" t="s">
        <v>52</v>
      </c>
      <c r="F96" s="161" t="s">
        <v>193</v>
      </c>
      <c r="G96" s="161" t="s">
        <v>194</v>
      </c>
      <c r="H96" s="161"/>
      <c r="I96" s="161"/>
      <c r="J96" s="161"/>
    </row>
    <row r="97" spans="2:22" ht="15.75" customHeight="1">
      <c r="B97" s="164" t="s">
        <v>95</v>
      </c>
      <c r="C97" s="164" t="s">
        <v>362</v>
      </c>
      <c r="D97" s="164" t="s">
        <v>196</v>
      </c>
      <c r="E97" s="164" t="s">
        <v>54</v>
      </c>
      <c r="F97" s="164" t="s">
        <v>193</v>
      </c>
      <c r="G97" s="164" t="s">
        <v>194</v>
      </c>
      <c r="H97" s="164"/>
      <c r="I97" s="164"/>
      <c r="J97" s="164"/>
    </row>
    <row r="98" spans="2:22" ht="15.75" customHeight="1">
      <c r="B98" s="161" t="s">
        <v>95</v>
      </c>
      <c r="C98" s="161" t="s">
        <v>362</v>
      </c>
      <c r="D98" s="161" t="s">
        <v>197</v>
      </c>
      <c r="E98" s="161" t="s">
        <v>56</v>
      </c>
      <c r="F98" s="161" t="s">
        <v>193</v>
      </c>
      <c r="G98" s="161" t="s">
        <v>194</v>
      </c>
      <c r="H98" s="161"/>
      <c r="I98" s="161"/>
      <c r="J98" s="161"/>
    </row>
    <row r="99" spans="2:22" ht="15.75" customHeight="1">
      <c r="B99" s="164" t="s">
        <v>95</v>
      </c>
      <c r="C99" s="164" t="s">
        <v>362</v>
      </c>
      <c r="D99" s="164" t="s">
        <v>198</v>
      </c>
      <c r="E99" s="164" t="s">
        <v>58</v>
      </c>
      <c r="F99" s="164" t="s">
        <v>193</v>
      </c>
      <c r="G99" s="164" t="s">
        <v>194</v>
      </c>
      <c r="H99" s="164"/>
      <c r="I99" s="164"/>
      <c r="J99" s="164"/>
    </row>
    <row r="100" spans="2:22" ht="15.75" customHeight="1">
      <c r="B100" s="161" t="s">
        <v>95</v>
      </c>
      <c r="C100" s="161" t="s">
        <v>362</v>
      </c>
      <c r="D100" s="161" t="s">
        <v>199</v>
      </c>
      <c r="E100" s="161" t="s">
        <v>60</v>
      </c>
      <c r="F100" s="161" t="s">
        <v>193</v>
      </c>
      <c r="G100" s="161" t="s">
        <v>194</v>
      </c>
      <c r="H100" s="161"/>
      <c r="I100" s="161"/>
      <c r="J100" s="161"/>
    </row>
    <row r="101" spans="2:22" ht="15.75" customHeight="1">
      <c r="B101" s="164" t="s">
        <v>95</v>
      </c>
      <c r="C101" s="164" t="s">
        <v>362</v>
      </c>
      <c r="D101" s="164" t="s">
        <v>200</v>
      </c>
      <c r="E101" s="164" t="s">
        <v>201</v>
      </c>
      <c r="F101" s="164" t="s">
        <v>193</v>
      </c>
      <c r="G101" s="164" t="s">
        <v>194</v>
      </c>
      <c r="H101" s="164"/>
      <c r="I101" s="164"/>
      <c r="J101" s="164"/>
      <c r="L101" s="189"/>
      <c r="M101" s="189"/>
      <c r="N101" s="189"/>
      <c r="O101" s="189"/>
      <c r="P101" s="189"/>
      <c r="Q101" s="189"/>
      <c r="R101" s="189"/>
      <c r="S101" s="189"/>
      <c r="T101" s="189"/>
      <c r="U101" s="189"/>
      <c r="V101" s="189"/>
    </row>
    <row r="102" spans="2:22" ht="15.75" customHeight="1">
      <c r="B102" s="161" t="s">
        <v>95</v>
      </c>
      <c r="C102" s="161" t="s">
        <v>362</v>
      </c>
      <c r="D102" s="161" t="s">
        <v>202</v>
      </c>
      <c r="E102" s="161" t="s">
        <v>203</v>
      </c>
      <c r="F102" s="161" t="s">
        <v>193</v>
      </c>
      <c r="G102" s="161" t="s">
        <v>194</v>
      </c>
      <c r="H102" s="161"/>
      <c r="I102" s="161"/>
      <c r="J102" s="161"/>
    </row>
    <row r="103" spans="2:22" ht="15.75" customHeight="1">
      <c r="B103" s="164" t="s">
        <v>95</v>
      </c>
      <c r="C103" s="164" t="s">
        <v>362</v>
      </c>
      <c r="D103" s="164" t="s">
        <v>204</v>
      </c>
      <c r="E103" s="164" t="s">
        <v>205</v>
      </c>
      <c r="F103" s="164" t="s">
        <v>193</v>
      </c>
      <c r="G103" s="164" t="s">
        <v>194</v>
      </c>
      <c r="H103" s="164"/>
      <c r="I103" s="164"/>
      <c r="J103" s="164"/>
    </row>
    <row r="104" spans="2:22" ht="15.75" customHeight="1">
      <c r="B104" s="161" t="s">
        <v>95</v>
      </c>
      <c r="C104" s="161" t="s">
        <v>362</v>
      </c>
      <c r="D104" s="333" t="s">
        <v>206</v>
      </c>
      <c r="E104" s="161" t="s">
        <v>207</v>
      </c>
      <c r="F104" s="161" t="s">
        <v>193</v>
      </c>
      <c r="G104" s="161" t="s">
        <v>194</v>
      </c>
      <c r="H104" s="161"/>
      <c r="I104" s="161"/>
      <c r="J104" s="161"/>
    </row>
    <row r="105" spans="2:22" ht="15.75" customHeight="1">
      <c r="B105" s="164" t="s">
        <v>95</v>
      </c>
      <c r="C105" s="164" t="s">
        <v>362</v>
      </c>
      <c r="D105" s="164" t="s">
        <v>208</v>
      </c>
      <c r="E105" s="164" t="s">
        <v>209</v>
      </c>
      <c r="F105" s="164" t="s">
        <v>193</v>
      </c>
      <c r="G105" s="164" t="s">
        <v>194</v>
      </c>
      <c r="H105" s="164"/>
      <c r="I105" s="164"/>
      <c r="J105" s="164"/>
    </row>
    <row r="106" spans="2:22" ht="15.75" customHeight="1" thickBot="1">
      <c r="B106" s="187" t="s">
        <v>210</v>
      </c>
      <c r="C106" s="187" t="s">
        <v>362</v>
      </c>
      <c r="D106" s="187" t="s">
        <v>211</v>
      </c>
      <c r="E106" s="418" t="s">
        <v>212</v>
      </c>
      <c r="F106" s="187" t="s">
        <v>20</v>
      </c>
      <c r="G106" s="187" t="s">
        <v>98</v>
      </c>
      <c r="H106" s="187" t="s">
        <v>175</v>
      </c>
      <c r="I106" s="187"/>
      <c r="J106" s="18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68B5B-2BC2-458A-BBA4-51E5B7F837C2}">
  <sheetPr>
    <tabColor theme="0"/>
  </sheetPr>
  <dimension ref="B1:AB43"/>
  <sheetViews>
    <sheetView zoomScale="85" zoomScaleNormal="85" workbookViewId="0">
      <selection activeCell="E7" sqref="E7:E23"/>
    </sheetView>
  </sheetViews>
  <sheetFormatPr defaultRowHeight="12.75"/>
  <cols>
    <col min="1" max="1" width="3.7109375" style="127" customWidth="1"/>
    <col min="2" max="2" width="46.42578125" style="127" customWidth="1"/>
    <col min="3" max="3" width="39.42578125" style="127" customWidth="1"/>
    <col min="4" max="4" width="20.85546875" style="127" customWidth="1"/>
    <col min="5" max="5" width="19.42578125" style="127" customWidth="1"/>
    <col min="6" max="6" width="11.85546875" style="127" customWidth="1"/>
    <col min="7" max="13" width="6.28515625" style="127" customWidth="1"/>
    <col min="14" max="20" width="6.140625" style="127" customWidth="1"/>
    <col min="21" max="248" width="9.140625" style="127"/>
    <col min="249" max="249" width="29.140625" style="127" customWidth="1"/>
    <col min="250" max="250" width="46.42578125" style="127" customWidth="1"/>
    <col min="251" max="251" width="39.42578125" style="127" customWidth="1"/>
    <col min="252" max="252" width="20.85546875" style="127" customWidth="1"/>
    <col min="253" max="253" width="19.42578125" style="127" customWidth="1"/>
    <col min="254" max="254" width="11.85546875" style="127" customWidth="1"/>
    <col min="255" max="255" width="10.42578125" style="127" customWidth="1"/>
    <col min="256" max="256" width="14.42578125" style="127" bestFit="1" customWidth="1"/>
    <col min="257" max="257" width="13.140625" style="127" bestFit="1" customWidth="1"/>
    <col min="258" max="258" width="8.5703125" style="127" bestFit="1" customWidth="1"/>
    <col min="259" max="260" width="8.5703125" style="127" customWidth="1"/>
    <col min="261" max="261" width="9.42578125" style="127" customWidth="1"/>
    <col min="262" max="262" width="7.42578125" style="127" bestFit="1" customWidth="1"/>
    <col min="263" max="264" width="10.5703125" style="127" bestFit="1" customWidth="1"/>
    <col min="265" max="504" width="9.140625" style="127"/>
    <col min="505" max="505" width="29.140625" style="127" customWidth="1"/>
    <col min="506" max="506" width="46.42578125" style="127" customWidth="1"/>
    <col min="507" max="507" width="39.42578125" style="127" customWidth="1"/>
    <col min="508" max="508" width="20.85546875" style="127" customWidth="1"/>
    <col min="509" max="509" width="19.42578125" style="127" customWidth="1"/>
    <col min="510" max="510" width="11.85546875" style="127" customWidth="1"/>
    <col min="511" max="511" width="10.42578125" style="127" customWidth="1"/>
    <col min="512" max="512" width="14.42578125" style="127" bestFit="1" customWidth="1"/>
    <col min="513" max="513" width="13.140625" style="127" bestFit="1" customWidth="1"/>
    <col min="514" max="514" width="8.5703125" style="127" bestFit="1" customWidth="1"/>
    <col min="515" max="516" width="8.5703125" style="127" customWidth="1"/>
    <col min="517" max="517" width="9.42578125" style="127" customWidth="1"/>
    <col min="518" max="518" width="7.42578125" style="127" bestFit="1" customWidth="1"/>
    <col min="519" max="520" width="10.5703125" style="127" bestFit="1" customWidth="1"/>
    <col min="521" max="760" width="9.140625" style="127"/>
    <col min="761" max="761" width="29.140625" style="127" customWidth="1"/>
    <col min="762" max="762" width="46.42578125" style="127" customWidth="1"/>
    <col min="763" max="763" width="39.42578125" style="127" customWidth="1"/>
    <col min="764" max="764" width="20.85546875" style="127" customWidth="1"/>
    <col min="765" max="765" width="19.42578125" style="127" customWidth="1"/>
    <col min="766" max="766" width="11.85546875" style="127" customWidth="1"/>
    <col min="767" max="767" width="10.42578125" style="127" customWidth="1"/>
    <col min="768" max="768" width="14.42578125" style="127" bestFit="1" customWidth="1"/>
    <col min="769" max="769" width="13.140625" style="127" bestFit="1" customWidth="1"/>
    <col min="770" max="770" width="8.5703125" style="127" bestFit="1" customWidth="1"/>
    <col min="771" max="772" width="8.5703125" style="127" customWidth="1"/>
    <col min="773" max="773" width="9.42578125" style="127" customWidth="1"/>
    <col min="774" max="774" width="7.42578125" style="127" bestFit="1" customWidth="1"/>
    <col min="775" max="776" width="10.5703125" style="127" bestFit="1" customWidth="1"/>
    <col min="777" max="1016" width="9.140625" style="127"/>
    <col min="1017" max="1017" width="29.140625" style="127" customWidth="1"/>
    <col min="1018" max="1018" width="46.42578125" style="127" customWidth="1"/>
    <col min="1019" max="1019" width="39.42578125" style="127" customWidth="1"/>
    <col min="1020" max="1020" width="20.85546875" style="127" customWidth="1"/>
    <col min="1021" max="1021" width="19.42578125" style="127" customWidth="1"/>
    <col min="1022" max="1022" width="11.85546875" style="127" customWidth="1"/>
    <col min="1023" max="1023" width="10.42578125" style="127" customWidth="1"/>
    <col min="1024" max="1024" width="14.42578125" style="127" bestFit="1" customWidth="1"/>
    <col min="1025" max="1025" width="13.140625" style="127" bestFit="1" customWidth="1"/>
    <col min="1026" max="1026" width="8.5703125" style="127" bestFit="1" customWidth="1"/>
    <col min="1027" max="1028" width="8.5703125" style="127" customWidth="1"/>
    <col min="1029" max="1029" width="9.42578125" style="127" customWidth="1"/>
    <col min="1030" max="1030" width="7.42578125" style="127" bestFit="1" customWidth="1"/>
    <col min="1031" max="1032" width="10.5703125" style="127" bestFit="1" customWidth="1"/>
    <col min="1033" max="1272" width="9.140625" style="127"/>
    <col min="1273" max="1273" width="29.140625" style="127" customWidth="1"/>
    <col min="1274" max="1274" width="46.42578125" style="127" customWidth="1"/>
    <col min="1275" max="1275" width="39.42578125" style="127" customWidth="1"/>
    <col min="1276" max="1276" width="20.85546875" style="127" customWidth="1"/>
    <col min="1277" max="1277" width="19.42578125" style="127" customWidth="1"/>
    <col min="1278" max="1278" width="11.85546875" style="127" customWidth="1"/>
    <col min="1279" max="1279" width="10.42578125" style="127" customWidth="1"/>
    <col min="1280" max="1280" width="14.42578125" style="127" bestFit="1" customWidth="1"/>
    <col min="1281" max="1281" width="13.140625" style="127" bestFit="1" customWidth="1"/>
    <col min="1282" max="1282" width="8.5703125" style="127" bestFit="1" customWidth="1"/>
    <col min="1283" max="1284" width="8.5703125" style="127" customWidth="1"/>
    <col min="1285" max="1285" width="9.42578125" style="127" customWidth="1"/>
    <col min="1286" max="1286" width="7.42578125" style="127" bestFit="1" customWidth="1"/>
    <col min="1287" max="1288" width="10.5703125" style="127" bestFit="1" customWidth="1"/>
    <col min="1289" max="1528" width="9.140625" style="127"/>
    <col min="1529" max="1529" width="29.140625" style="127" customWidth="1"/>
    <col min="1530" max="1530" width="46.42578125" style="127" customWidth="1"/>
    <col min="1531" max="1531" width="39.42578125" style="127" customWidth="1"/>
    <col min="1532" max="1532" width="20.85546875" style="127" customWidth="1"/>
    <col min="1533" max="1533" width="19.42578125" style="127" customWidth="1"/>
    <col min="1534" max="1534" width="11.85546875" style="127" customWidth="1"/>
    <col min="1535" max="1535" width="10.42578125" style="127" customWidth="1"/>
    <col min="1536" max="1536" width="14.42578125" style="127" bestFit="1" customWidth="1"/>
    <col min="1537" max="1537" width="13.140625" style="127" bestFit="1" customWidth="1"/>
    <col min="1538" max="1538" width="8.5703125" style="127" bestFit="1" customWidth="1"/>
    <col min="1539" max="1540" width="8.5703125" style="127" customWidth="1"/>
    <col min="1541" max="1541" width="9.42578125" style="127" customWidth="1"/>
    <col min="1542" max="1542" width="7.42578125" style="127" bestFit="1" customWidth="1"/>
    <col min="1543" max="1544" width="10.5703125" style="127" bestFit="1" customWidth="1"/>
    <col min="1545" max="1784" width="9.140625" style="127"/>
    <col min="1785" max="1785" width="29.140625" style="127" customWidth="1"/>
    <col min="1786" max="1786" width="46.42578125" style="127" customWidth="1"/>
    <col min="1787" max="1787" width="39.42578125" style="127" customWidth="1"/>
    <col min="1788" max="1788" width="20.85546875" style="127" customWidth="1"/>
    <col min="1789" max="1789" width="19.42578125" style="127" customWidth="1"/>
    <col min="1790" max="1790" width="11.85546875" style="127" customWidth="1"/>
    <col min="1791" max="1791" width="10.42578125" style="127" customWidth="1"/>
    <col min="1792" max="1792" width="14.42578125" style="127" bestFit="1" customWidth="1"/>
    <col min="1793" max="1793" width="13.140625" style="127" bestFit="1" customWidth="1"/>
    <col min="1794" max="1794" width="8.5703125" style="127" bestFit="1" customWidth="1"/>
    <col min="1795" max="1796" width="8.5703125" style="127" customWidth="1"/>
    <col min="1797" max="1797" width="9.42578125" style="127" customWidth="1"/>
    <col min="1798" max="1798" width="7.42578125" style="127" bestFit="1" customWidth="1"/>
    <col min="1799" max="1800" width="10.5703125" style="127" bestFit="1" customWidth="1"/>
    <col min="1801" max="2040" width="9.140625" style="127"/>
    <col min="2041" max="2041" width="29.140625" style="127" customWidth="1"/>
    <col min="2042" max="2042" width="46.42578125" style="127" customWidth="1"/>
    <col min="2043" max="2043" width="39.42578125" style="127" customWidth="1"/>
    <col min="2044" max="2044" width="20.85546875" style="127" customWidth="1"/>
    <col min="2045" max="2045" width="19.42578125" style="127" customWidth="1"/>
    <col min="2046" max="2046" width="11.85546875" style="127" customWidth="1"/>
    <col min="2047" max="2047" width="10.42578125" style="127" customWidth="1"/>
    <col min="2048" max="2048" width="14.42578125" style="127" bestFit="1" customWidth="1"/>
    <col min="2049" max="2049" width="13.140625" style="127" bestFit="1" customWidth="1"/>
    <col min="2050" max="2050" width="8.5703125" style="127" bestFit="1" customWidth="1"/>
    <col min="2051" max="2052" width="8.5703125" style="127" customWidth="1"/>
    <col min="2053" max="2053" width="9.42578125" style="127" customWidth="1"/>
    <col min="2054" max="2054" width="7.42578125" style="127" bestFit="1" customWidth="1"/>
    <col min="2055" max="2056" width="10.5703125" style="127" bestFit="1" customWidth="1"/>
    <col min="2057" max="2296" width="9.140625" style="127"/>
    <col min="2297" max="2297" width="29.140625" style="127" customWidth="1"/>
    <col min="2298" max="2298" width="46.42578125" style="127" customWidth="1"/>
    <col min="2299" max="2299" width="39.42578125" style="127" customWidth="1"/>
    <col min="2300" max="2300" width="20.85546875" style="127" customWidth="1"/>
    <col min="2301" max="2301" width="19.42578125" style="127" customWidth="1"/>
    <col min="2302" max="2302" width="11.85546875" style="127" customWidth="1"/>
    <col min="2303" max="2303" width="10.42578125" style="127" customWidth="1"/>
    <col min="2304" max="2304" width="14.42578125" style="127" bestFit="1" customWidth="1"/>
    <col min="2305" max="2305" width="13.140625" style="127" bestFit="1" customWidth="1"/>
    <col min="2306" max="2306" width="8.5703125" style="127" bestFit="1" customWidth="1"/>
    <col min="2307" max="2308" width="8.5703125" style="127" customWidth="1"/>
    <col min="2309" max="2309" width="9.42578125" style="127" customWidth="1"/>
    <col min="2310" max="2310" width="7.42578125" style="127" bestFit="1" customWidth="1"/>
    <col min="2311" max="2312" width="10.5703125" style="127" bestFit="1" customWidth="1"/>
    <col min="2313" max="2552" width="9.140625" style="127"/>
    <col min="2553" max="2553" width="29.140625" style="127" customWidth="1"/>
    <col min="2554" max="2554" width="46.42578125" style="127" customWidth="1"/>
    <col min="2555" max="2555" width="39.42578125" style="127" customWidth="1"/>
    <col min="2556" max="2556" width="20.85546875" style="127" customWidth="1"/>
    <col min="2557" max="2557" width="19.42578125" style="127" customWidth="1"/>
    <col min="2558" max="2558" width="11.85546875" style="127" customWidth="1"/>
    <col min="2559" max="2559" width="10.42578125" style="127" customWidth="1"/>
    <col min="2560" max="2560" width="14.42578125" style="127" bestFit="1" customWidth="1"/>
    <col min="2561" max="2561" width="13.140625" style="127" bestFit="1" customWidth="1"/>
    <col min="2562" max="2562" width="8.5703125" style="127" bestFit="1" customWidth="1"/>
    <col min="2563" max="2564" width="8.5703125" style="127" customWidth="1"/>
    <col min="2565" max="2565" width="9.42578125" style="127" customWidth="1"/>
    <col min="2566" max="2566" width="7.42578125" style="127" bestFit="1" customWidth="1"/>
    <col min="2567" max="2568" width="10.5703125" style="127" bestFit="1" customWidth="1"/>
    <col min="2569" max="2808" width="9.140625" style="127"/>
    <col min="2809" max="2809" width="29.140625" style="127" customWidth="1"/>
    <col min="2810" max="2810" width="46.42578125" style="127" customWidth="1"/>
    <col min="2811" max="2811" width="39.42578125" style="127" customWidth="1"/>
    <col min="2812" max="2812" width="20.85546875" style="127" customWidth="1"/>
    <col min="2813" max="2813" width="19.42578125" style="127" customWidth="1"/>
    <col min="2814" max="2814" width="11.85546875" style="127" customWidth="1"/>
    <col min="2815" max="2815" width="10.42578125" style="127" customWidth="1"/>
    <col min="2816" max="2816" width="14.42578125" style="127" bestFit="1" customWidth="1"/>
    <col min="2817" max="2817" width="13.140625" style="127" bestFit="1" customWidth="1"/>
    <col min="2818" max="2818" width="8.5703125" style="127" bestFit="1" customWidth="1"/>
    <col min="2819" max="2820" width="8.5703125" style="127" customWidth="1"/>
    <col min="2821" max="2821" width="9.42578125" style="127" customWidth="1"/>
    <col min="2822" max="2822" width="7.42578125" style="127" bestFit="1" customWidth="1"/>
    <col min="2823" max="2824" width="10.5703125" style="127" bestFit="1" customWidth="1"/>
    <col min="2825" max="3064" width="9.140625" style="127"/>
    <col min="3065" max="3065" width="29.140625" style="127" customWidth="1"/>
    <col min="3066" max="3066" width="46.42578125" style="127" customWidth="1"/>
    <col min="3067" max="3067" width="39.42578125" style="127" customWidth="1"/>
    <col min="3068" max="3068" width="20.85546875" style="127" customWidth="1"/>
    <col min="3069" max="3069" width="19.42578125" style="127" customWidth="1"/>
    <col min="3070" max="3070" width="11.85546875" style="127" customWidth="1"/>
    <col min="3071" max="3071" width="10.42578125" style="127" customWidth="1"/>
    <col min="3072" max="3072" width="14.42578125" style="127" bestFit="1" customWidth="1"/>
    <col min="3073" max="3073" width="13.140625" style="127" bestFit="1" customWidth="1"/>
    <col min="3074" max="3074" width="8.5703125" style="127" bestFit="1" customWidth="1"/>
    <col min="3075" max="3076" width="8.5703125" style="127" customWidth="1"/>
    <col min="3077" max="3077" width="9.42578125" style="127" customWidth="1"/>
    <col min="3078" max="3078" width="7.42578125" style="127" bestFit="1" customWidth="1"/>
    <col min="3079" max="3080" width="10.5703125" style="127" bestFit="1" customWidth="1"/>
    <col min="3081" max="3320" width="9.140625" style="127"/>
    <col min="3321" max="3321" width="29.140625" style="127" customWidth="1"/>
    <col min="3322" max="3322" width="46.42578125" style="127" customWidth="1"/>
    <col min="3323" max="3323" width="39.42578125" style="127" customWidth="1"/>
    <col min="3324" max="3324" width="20.85546875" style="127" customWidth="1"/>
    <col min="3325" max="3325" width="19.42578125" style="127" customWidth="1"/>
    <col min="3326" max="3326" width="11.85546875" style="127" customWidth="1"/>
    <col min="3327" max="3327" width="10.42578125" style="127" customWidth="1"/>
    <col min="3328" max="3328" width="14.42578125" style="127" bestFit="1" customWidth="1"/>
    <col min="3329" max="3329" width="13.140625" style="127" bestFit="1" customWidth="1"/>
    <col min="3330" max="3330" width="8.5703125" style="127" bestFit="1" customWidth="1"/>
    <col min="3331" max="3332" width="8.5703125" style="127" customWidth="1"/>
    <col min="3333" max="3333" width="9.42578125" style="127" customWidth="1"/>
    <col min="3334" max="3334" width="7.42578125" style="127" bestFit="1" customWidth="1"/>
    <col min="3335" max="3336" width="10.5703125" style="127" bestFit="1" customWidth="1"/>
    <col min="3337" max="3576" width="9.140625" style="127"/>
    <col min="3577" max="3577" width="29.140625" style="127" customWidth="1"/>
    <col min="3578" max="3578" width="46.42578125" style="127" customWidth="1"/>
    <col min="3579" max="3579" width="39.42578125" style="127" customWidth="1"/>
    <col min="3580" max="3580" width="20.85546875" style="127" customWidth="1"/>
    <col min="3581" max="3581" width="19.42578125" style="127" customWidth="1"/>
    <col min="3582" max="3582" width="11.85546875" style="127" customWidth="1"/>
    <col min="3583" max="3583" width="10.42578125" style="127" customWidth="1"/>
    <col min="3584" max="3584" width="14.42578125" style="127" bestFit="1" customWidth="1"/>
    <col min="3585" max="3585" width="13.140625" style="127" bestFit="1" customWidth="1"/>
    <col min="3586" max="3586" width="8.5703125" style="127" bestFit="1" customWidth="1"/>
    <col min="3587" max="3588" width="8.5703125" style="127" customWidth="1"/>
    <col min="3589" max="3589" width="9.42578125" style="127" customWidth="1"/>
    <col min="3590" max="3590" width="7.42578125" style="127" bestFit="1" customWidth="1"/>
    <col min="3591" max="3592" width="10.5703125" style="127" bestFit="1" customWidth="1"/>
    <col min="3593" max="3832" width="9.140625" style="127"/>
    <col min="3833" max="3833" width="29.140625" style="127" customWidth="1"/>
    <col min="3834" max="3834" width="46.42578125" style="127" customWidth="1"/>
    <col min="3835" max="3835" width="39.42578125" style="127" customWidth="1"/>
    <col min="3836" max="3836" width="20.85546875" style="127" customWidth="1"/>
    <col min="3837" max="3837" width="19.42578125" style="127" customWidth="1"/>
    <col min="3838" max="3838" width="11.85546875" style="127" customWidth="1"/>
    <col min="3839" max="3839" width="10.42578125" style="127" customWidth="1"/>
    <col min="3840" max="3840" width="14.42578125" style="127" bestFit="1" customWidth="1"/>
    <col min="3841" max="3841" width="13.140625" style="127" bestFit="1" customWidth="1"/>
    <col min="3842" max="3842" width="8.5703125" style="127" bestFit="1" customWidth="1"/>
    <col min="3843" max="3844" width="8.5703125" style="127" customWidth="1"/>
    <col min="3845" max="3845" width="9.42578125" style="127" customWidth="1"/>
    <col min="3846" max="3846" width="7.42578125" style="127" bestFit="1" customWidth="1"/>
    <col min="3847" max="3848" width="10.5703125" style="127" bestFit="1" customWidth="1"/>
    <col min="3849" max="4088" width="9.140625" style="127"/>
    <col min="4089" max="4089" width="29.140625" style="127" customWidth="1"/>
    <col min="4090" max="4090" width="46.42578125" style="127" customWidth="1"/>
    <col min="4091" max="4091" width="39.42578125" style="127" customWidth="1"/>
    <col min="4092" max="4092" width="20.85546875" style="127" customWidth="1"/>
    <col min="4093" max="4093" width="19.42578125" style="127" customWidth="1"/>
    <col min="4094" max="4094" width="11.85546875" style="127" customWidth="1"/>
    <col min="4095" max="4095" width="10.42578125" style="127" customWidth="1"/>
    <col min="4096" max="4096" width="14.42578125" style="127" bestFit="1" customWidth="1"/>
    <col min="4097" max="4097" width="13.140625" style="127" bestFit="1" customWidth="1"/>
    <col min="4098" max="4098" width="8.5703125" style="127" bestFit="1" customWidth="1"/>
    <col min="4099" max="4100" width="8.5703125" style="127" customWidth="1"/>
    <col min="4101" max="4101" width="9.42578125" style="127" customWidth="1"/>
    <col min="4102" max="4102" width="7.42578125" style="127" bestFit="1" customWidth="1"/>
    <col min="4103" max="4104" width="10.5703125" style="127" bestFit="1" customWidth="1"/>
    <col min="4105" max="4344" width="9.140625" style="127"/>
    <col min="4345" max="4345" width="29.140625" style="127" customWidth="1"/>
    <col min="4346" max="4346" width="46.42578125" style="127" customWidth="1"/>
    <col min="4347" max="4347" width="39.42578125" style="127" customWidth="1"/>
    <col min="4348" max="4348" width="20.85546875" style="127" customWidth="1"/>
    <col min="4349" max="4349" width="19.42578125" style="127" customWidth="1"/>
    <col min="4350" max="4350" width="11.85546875" style="127" customWidth="1"/>
    <col min="4351" max="4351" width="10.42578125" style="127" customWidth="1"/>
    <col min="4352" max="4352" width="14.42578125" style="127" bestFit="1" customWidth="1"/>
    <col min="4353" max="4353" width="13.140625" style="127" bestFit="1" customWidth="1"/>
    <col min="4354" max="4354" width="8.5703125" style="127" bestFit="1" customWidth="1"/>
    <col min="4355" max="4356" width="8.5703125" style="127" customWidth="1"/>
    <col min="4357" max="4357" width="9.42578125" style="127" customWidth="1"/>
    <col min="4358" max="4358" width="7.42578125" style="127" bestFit="1" customWidth="1"/>
    <col min="4359" max="4360" width="10.5703125" style="127" bestFit="1" customWidth="1"/>
    <col min="4361" max="4600" width="9.140625" style="127"/>
    <col min="4601" max="4601" width="29.140625" style="127" customWidth="1"/>
    <col min="4602" max="4602" width="46.42578125" style="127" customWidth="1"/>
    <col min="4603" max="4603" width="39.42578125" style="127" customWidth="1"/>
    <col min="4604" max="4604" width="20.85546875" style="127" customWidth="1"/>
    <col min="4605" max="4605" width="19.42578125" style="127" customWidth="1"/>
    <col min="4606" max="4606" width="11.85546875" style="127" customWidth="1"/>
    <col min="4607" max="4607" width="10.42578125" style="127" customWidth="1"/>
    <col min="4608" max="4608" width="14.42578125" style="127" bestFit="1" customWidth="1"/>
    <col min="4609" max="4609" width="13.140625" style="127" bestFit="1" customWidth="1"/>
    <col min="4610" max="4610" width="8.5703125" style="127" bestFit="1" customWidth="1"/>
    <col min="4611" max="4612" width="8.5703125" style="127" customWidth="1"/>
    <col min="4613" max="4613" width="9.42578125" style="127" customWidth="1"/>
    <col min="4614" max="4614" width="7.42578125" style="127" bestFit="1" customWidth="1"/>
    <col min="4615" max="4616" width="10.5703125" style="127" bestFit="1" customWidth="1"/>
    <col min="4617" max="4856" width="9.140625" style="127"/>
    <col min="4857" max="4857" width="29.140625" style="127" customWidth="1"/>
    <col min="4858" max="4858" width="46.42578125" style="127" customWidth="1"/>
    <col min="4859" max="4859" width="39.42578125" style="127" customWidth="1"/>
    <col min="4860" max="4860" width="20.85546875" style="127" customWidth="1"/>
    <col min="4861" max="4861" width="19.42578125" style="127" customWidth="1"/>
    <col min="4862" max="4862" width="11.85546875" style="127" customWidth="1"/>
    <col min="4863" max="4863" width="10.42578125" style="127" customWidth="1"/>
    <col min="4864" max="4864" width="14.42578125" style="127" bestFit="1" customWidth="1"/>
    <col min="4865" max="4865" width="13.140625" style="127" bestFit="1" customWidth="1"/>
    <col min="4866" max="4866" width="8.5703125" style="127" bestFit="1" customWidth="1"/>
    <col min="4867" max="4868" width="8.5703125" style="127" customWidth="1"/>
    <col min="4869" max="4869" width="9.42578125" style="127" customWidth="1"/>
    <col min="4870" max="4870" width="7.42578125" style="127" bestFit="1" customWidth="1"/>
    <col min="4871" max="4872" width="10.5703125" style="127" bestFit="1" customWidth="1"/>
    <col min="4873" max="5112" width="9.140625" style="127"/>
    <col min="5113" max="5113" width="29.140625" style="127" customWidth="1"/>
    <col min="5114" max="5114" width="46.42578125" style="127" customWidth="1"/>
    <col min="5115" max="5115" width="39.42578125" style="127" customWidth="1"/>
    <col min="5116" max="5116" width="20.85546875" style="127" customWidth="1"/>
    <col min="5117" max="5117" width="19.42578125" style="127" customWidth="1"/>
    <col min="5118" max="5118" width="11.85546875" style="127" customWidth="1"/>
    <col min="5119" max="5119" width="10.42578125" style="127" customWidth="1"/>
    <col min="5120" max="5120" width="14.42578125" style="127" bestFit="1" customWidth="1"/>
    <col min="5121" max="5121" width="13.140625" style="127" bestFit="1" customWidth="1"/>
    <col min="5122" max="5122" width="8.5703125" style="127" bestFit="1" customWidth="1"/>
    <col min="5123" max="5124" width="8.5703125" style="127" customWidth="1"/>
    <col min="5125" max="5125" width="9.42578125" style="127" customWidth="1"/>
    <col min="5126" max="5126" width="7.42578125" style="127" bestFit="1" customWidth="1"/>
    <col min="5127" max="5128" width="10.5703125" style="127" bestFit="1" customWidth="1"/>
    <col min="5129" max="5368" width="9.140625" style="127"/>
    <col min="5369" max="5369" width="29.140625" style="127" customWidth="1"/>
    <col min="5370" max="5370" width="46.42578125" style="127" customWidth="1"/>
    <col min="5371" max="5371" width="39.42578125" style="127" customWidth="1"/>
    <col min="5372" max="5372" width="20.85546875" style="127" customWidth="1"/>
    <col min="5373" max="5373" width="19.42578125" style="127" customWidth="1"/>
    <col min="5374" max="5374" width="11.85546875" style="127" customWidth="1"/>
    <col min="5375" max="5375" width="10.42578125" style="127" customWidth="1"/>
    <col min="5376" max="5376" width="14.42578125" style="127" bestFit="1" customWidth="1"/>
    <col min="5377" max="5377" width="13.140625" style="127" bestFit="1" customWidth="1"/>
    <col min="5378" max="5378" width="8.5703125" style="127" bestFit="1" customWidth="1"/>
    <col min="5379" max="5380" width="8.5703125" style="127" customWidth="1"/>
    <col min="5381" max="5381" width="9.42578125" style="127" customWidth="1"/>
    <col min="5382" max="5382" width="7.42578125" style="127" bestFit="1" customWidth="1"/>
    <col min="5383" max="5384" width="10.5703125" style="127" bestFit="1" customWidth="1"/>
    <col min="5385" max="5624" width="9.140625" style="127"/>
    <col min="5625" max="5625" width="29.140625" style="127" customWidth="1"/>
    <col min="5626" max="5626" width="46.42578125" style="127" customWidth="1"/>
    <col min="5627" max="5627" width="39.42578125" style="127" customWidth="1"/>
    <col min="5628" max="5628" width="20.85546875" style="127" customWidth="1"/>
    <col min="5629" max="5629" width="19.42578125" style="127" customWidth="1"/>
    <col min="5630" max="5630" width="11.85546875" style="127" customWidth="1"/>
    <col min="5631" max="5631" width="10.42578125" style="127" customWidth="1"/>
    <col min="5632" max="5632" width="14.42578125" style="127" bestFit="1" customWidth="1"/>
    <col min="5633" max="5633" width="13.140625" style="127" bestFit="1" customWidth="1"/>
    <col min="5634" max="5634" width="8.5703125" style="127" bestFit="1" customWidth="1"/>
    <col min="5635" max="5636" width="8.5703125" style="127" customWidth="1"/>
    <col min="5637" max="5637" width="9.42578125" style="127" customWidth="1"/>
    <col min="5638" max="5638" width="7.42578125" style="127" bestFit="1" customWidth="1"/>
    <col min="5639" max="5640" width="10.5703125" style="127" bestFit="1" customWidth="1"/>
    <col min="5641" max="5880" width="9.140625" style="127"/>
    <col min="5881" max="5881" width="29.140625" style="127" customWidth="1"/>
    <col min="5882" max="5882" width="46.42578125" style="127" customWidth="1"/>
    <col min="5883" max="5883" width="39.42578125" style="127" customWidth="1"/>
    <col min="5884" max="5884" width="20.85546875" style="127" customWidth="1"/>
    <col min="5885" max="5885" width="19.42578125" style="127" customWidth="1"/>
    <col min="5886" max="5886" width="11.85546875" style="127" customWidth="1"/>
    <col min="5887" max="5887" width="10.42578125" style="127" customWidth="1"/>
    <col min="5888" max="5888" width="14.42578125" style="127" bestFit="1" customWidth="1"/>
    <col min="5889" max="5889" width="13.140625" style="127" bestFit="1" customWidth="1"/>
    <col min="5890" max="5890" width="8.5703125" style="127" bestFit="1" customWidth="1"/>
    <col min="5891" max="5892" width="8.5703125" style="127" customWidth="1"/>
    <col min="5893" max="5893" width="9.42578125" style="127" customWidth="1"/>
    <col min="5894" max="5894" width="7.42578125" style="127" bestFit="1" customWidth="1"/>
    <col min="5895" max="5896" width="10.5703125" style="127" bestFit="1" customWidth="1"/>
    <col min="5897" max="6136" width="9.140625" style="127"/>
    <col min="6137" max="6137" width="29.140625" style="127" customWidth="1"/>
    <col min="6138" max="6138" width="46.42578125" style="127" customWidth="1"/>
    <col min="6139" max="6139" width="39.42578125" style="127" customWidth="1"/>
    <col min="6140" max="6140" width="20.85546875" style="127" customWidth="1"/>
    <col min="6141" max="6141" width="19.42578125" style="127" customWidth="1"/>
    <col min="6142" max="6142" width="11.85546875" style="127" customWidth="1"/>
    <col min="6143" max="6143" width="10.42578125" style="127" customWidth="1"/>
    <col min="6144" max="6144" width="14.42578125" style="127" bestFit="1" customWidth="1"/>
    <col min="6145" max="6145" width="13.140625" style="127" bestFit="1" customWidth="1"/>
    <col min="6146" max="6146" width="8.5703125" style="127" bestFit="1" customWidth="1"/>
    <col min="6147" max="6148" width="8.5703125" style="127" customWidth="1"/>
    <col min="6149" max="6149" width="9.42578125" style="127" customWidth="1"/>
    <col min="6150" max="6150" width="7.42578125" style="127" bestFit="1" customWidth="1"/>
    <col min="6151" max="6152" width="10.5703125" style="127" bestFit="1" customWidth="1"/>
    <col min="6153" max="6392" width="9.140625" style="127"/>
    <col min="6393" max="6393" width="29.140625" style="127" customWidth="1"/>
    <col min="6394" max="6394" width="46.42578125" style="127" customWidth="1"/>
    <col min="6395" max="6395" width="39.42578125" style="127" customWidth="1"/>
    <col min="6396" max="6396" width="20.85546875" style="127" customWidth="1"/>
    <col min="6397" max="6397" width="19.42578125" style="127" customWidth="1"/>
    <col min="6398" max="6398" width="11.85546875" style="127" customWidth="1"/>
    <col min="6399" max="6399" width="10.42578125" style="127" customWidth="1"/>
    <col min="6400" max="6400" width="14.42578125" style="127" bestFit="1" customWidth="1"/>
    <col min="6401" max="6401" width="13.140625" style="127" bestFit="1" customWidth="1"/>
    <col min="6402" max="6402" width="8.5703125" style="127" bestFit="1" customWidth="1"/>
    <col min="6403" max="6404" width="8.5703125" style="127" customWidth="1"/>
    <col min="6405" max="6405" width="9.42578125" style="127" customWidth="1"/>
    <col min="6406" max="6406" width="7.42578125" style="127" bestFit="1" customWidth="1"/>
    <col min="6407" max="6408" width="10.5703125" style="127" bestFit="1" customWidth="1"/>
    <col min="6409" max="6648" width="9.140625" style="127"/>
    <col min="6649" max="6649" width="29.140625" style="127" customWidth="1"/>
    <col min="6650" max="6650" width="46.42578125" style="127" customWidth="1"/>
    <col min="6651" max="6651" width="39.42578125" style="127" customWidth="1"/>
    <col min="6652" max="6652" width="20.85546875" style="127" customWidth="1"/>
    <col min="6653" max="6653" width="19.42578125" style="127" customWidth="1"/>
    <col min="6654" max="6654" width="11.85546875" style="127" customWidth="1"/>
    <col min="6655" max="6655" width="10.42578125" style="127" customWidth="1"/>
    <col min="6656" max="6656" width="14.42578125" style="127" bestFit="1" customWidth="1"/>
    <col min="6657" max="6657" width="13.140625" style="127" bestFit="1" customWidth="1"/>
    <col min="6658" max="6658" width="8.5703125" style="127" bestFit="1" customWidth="1"/>
    <col min="6659" max="6660" width="8.5703125" style="127" customWidth="1"/>
    <col min="6661" max="6661" width="9.42578125" style="127" customWidth="1"/>
    <col min="6662" max="6662" width="7.42578125" style="127" bestFit="1" customWidth="1"/>
    <col min="6663" max="6664" width="10.5703125" style="127" bestFit="1" customWidth="1"/>
    <col min="6665" max="6904" width="9.140625" style="127"/>
    <col min="6905" max="6905" width="29.140625" style="127" customWidth="1"/>
    <col min="6906" max="6906" width="46.42578125" style="127" customWidth="1"/>
    <col min="6907" max="6907" width="39.42578125" style="127" customWidth="1"/>
    <col min="6908" max="6908" width="20.85546875" style="127" customWidth="1"/>
    <col min="6909" max="6909" width="19.42578125" style="127" customWidth="1"/>
    <col min="6910" max="6910" width="11.85546875" style="127" customWidth="1"/>
    <col min="6911" max="6911" width="10.42578125" style="127" customWidth="1"/>
    <col min="6912" max="6912" width="14.42578125" style="127" bestFit="1" customWidth="1"/>
    <col min="6913" max="6913" width="13.140625" style="127" bestFit="1" customWidth="1"/>
    <col min="6914" max="6914" width="8.5703125" style="127" bestFit="1" customWidth="1"/>
    <col min="6915" max="6916" width="8.5703125" style="127" customWidth="1"/>
    <col min="6917" max="6917" width="9.42578125" style="127" customWidth="1"/>
    <col min="6918" max="6918" width="7.42578125" style="127" bestFit="1" customWidth="1"/>
    <col min="6919" max="6920" width="10.5703125" style="127" bestFit="1" customWidth="1"/>
    <col min="6921" max="7160" width="9.140625" style="127"/>
    <col min="7161" max="7161" width="29.140625" style="127" customWidth="1"/>
    <col min="7162" max="7162" width="46.42578125" style="127" customWidth="1"/>
    <col min="7163" max="7163" width="39.42578125" style="127" customWidth="1"/>
    <col min="7164" max="7164" width="20.85546875" style="127" customWidth="1"/>
    <col min="7165" max="7165" width="19.42578125" style="127" customWidth="1"/>
    <col min="7166" max="7166" width="11.85546875" style="127" customWidth="1"/>
    <col min="7167" max="7167" width="10.42578125" style="127" customWidth="1"/>
    <col min="7168" max="7168" width="14.42578125" style="127" bestFit="1" customWidth="1"/>
    <col min="7169" max="7169" width="13.140625" style="127" bestFit="1" customWidth="1"/>
    <col min="7170" max="7170" width="8.5703125" style="127" bestFit="1" customWidth="1"/>
    <col min="7171" max="7172" width="8.5703125" style="127" customWidth="1"/>
    <col min="7173" max="7173" width="9.42578125" style="127" customWidth="1"/>
    <col min="7174" max="7174" width="7.42578125" style="127" bestFit="1" customWidth="1"/>
    <col min="7175" max="7176" width="10.5703125" style="127" bestFit="1" customWidth="1"/>
    <col min="7177" max="7416" width="9.140625" style="127"/>
    <col min="7417" max="7417" width="29.140625" style="127" customWidth="1"/>
    <col min="7418" max="7418" width="46.42578125" style="127" customWidth="1"/>
    <col min="7419" max="7419" width="39.42578125" style="127" customWidth="1"/>
    <col min="7420" max="7420" width="20.85546875" style="127" customWidth="1"/>
    <col min="7421" max="7421" width="19.42578125" style="127" customWidth="1"/>
    <col min="7422" max="7422" width="11.85546875" style="127" customWidth="1"/>
    <col min="7423" max="7423" width="10.42578125" style="127" customWidth="1"/>
    <col min="7424" max="7424" width="14.42578125" style="127" bestFit="1" customWidth="1"/>
    <col min="7425" max="7425" width="13.140625" style="127" bestFit="1" customWidth="1"/>
    <col min="7426" max="7426" width="8.5703125" style="127" bestFit="1" customWidth="1"/>
    <col min="7427" max="7428" width="8.5703125" style="127" customWidth="1"/>
    <col min="7429" max="7429" width="9.42578125" style="127" customWidth="1"/>
    <col min="7430" max="7430" width="7.42578125" style="127" bestFit="1" customWidth="1"/>
    <col min="7431" max="7432" width="10.5703125" style="127" bestFit="1" customWidth="1"/>
    <col min="7433" max="7672" width="9.140625" style="127"/>
    <col min="7673" max="7673" width="29.140625" style="127" customWidth="1"/>
    <col min="7674" max="7674" width="46.42578125" style="127" customWidth="1"/>
    <col min="7675" max="7675" width="39.42578125" style="127" customWidth="1"/>
    <col min="7676" max="7676" width="20.85546875" style="127" customWidth="1"/>
    <col min="7677" max="7677" width="19.42578125" style="127" customWidth="1"/>
    <col min="7678" max="7678" width="11.85546875" style="127" customWidth="1"/>
    <col min="7679" max="7679" width="10.42578125" style="127" customWidth="1"/>
    <col min="7680" max="7680" width="14.42578125" style="127" bestFit="1" customWidth="1"/>
    <col min="7681" max="7681" width="13.140625" style="127" bestFit="1" customWidth="1"/>
    <col min="7682" max="7682" width="8.5703125" style="127" bestFit="1" customWidth="1"/>
    <col min="7683" max="7684" width="8.5703125" style="127" customWidth="1"/>
    <col min="7685" max="7685" width="9.42578125" style="127" customWidth="1"/>
    <col min="7686" max="7686" width="7.42578125" style="127" bestFit="1" customWidth="1"/>
    <col min="7687" max="7688" width="10.5703125" style="127" bestFit="1" customWidth="1"/>
    <col min="7689" max="7928" width="9.140625" style="127"/>
    <col min="7929" max="7929" width="29.140625" style="127" customWidth="1"/>
    <col min="7930" max="7930" width="46.42578125" style="127" customWidth="1"/>
    <col min="7931" max="7931" width="39.42578125" style="127" customWidth="1"/>
    <col min="7932" max="7932" width="20.85546875" style="127" customWidth="1"/>
    <col min="7933" max="7933" width="19.42578125" style="127" customWidth="1"/>
    <col min="7934" max="7934" width="11.85546875" style="127" customWidth="1"/>
    <col min="7935" max="7935" width="10.42578125" style="127" customWidth="1"/>
    <col min="7936" max="7936" width="14.42578125" style="127" bestFit="1" customWidth="1"/>
    <col min="7937" max="7937" width="13.140625" style="127" bestFit="1" customWidth="1"/>
    <col min="7938" max="7938" width="8.5703125" style="127" bestFit="1" customWidth="1"/>
    <col min="7939" max="7940" width="8.5703125" style="127" customWidth="1"/>
    <col min="7941" max="7941" width="9.42578125" style="127" customWidth="1"/>
    <col min="7942" max="7942" width="7.42578125" style="127" bestFit="1" customWidth="1"/>
    <col min="7943" max="7944" width="10.5703125" style="127" bestFit="1" customWidth="1"/>
    <col min="7945" max="8184" width="9.140625" style="127"/>
    <col min="8185" max="8185" width="29.140625" style="127" customWidth="1"/>
    <col min="8186" max="8186" width="46.42578125" style="127" customWidth="1"/>
    <col min="8187" max="8187" width="39.42578125" style="127" customWidth="1"/>
    <col min="8188" max="8188" width="20.85546875" style="127" customWidth="1"/>
    <col min="8189" max="8189" width="19.42578125" style="127" customWidth="1"/>
    <col min="8190" max="8190" width="11.85546875" style="127" customWidth="1"/>
    <col min="8191" max="8191" width="10.42578125" style="127" customWidth="1"/>
    <col min="8192" max="8192" width="14.42578125" style="127" bestFit="1" customWidth="1"/>
    <col min="8193" max="8193" width="13.140625" style="127" bestFit="1" customWidth="1"/>
    <col min="8194" max="8194" width="8.5703125" style="127" bestFit="1" customWidth="1"/>
    <col min="8195" max="8196" width="8.5703125" style="127" customWidth="1"/>
    <col min="8197" max="8197" width="9.42578125" style="127" customWidth="1"/>
    <col min="8198" max="8198" width="7.42578125" style="127" bestFit="1" customWidth="1"/>
    <col min="8199" max="8200" width="10.5703125" style="127" bestFit="1" customWidth="1"/>
    <col min="8201" max="8440" width="9.140625" style="127"/>
    <col min="8441" max="8441" width="29.140625" style="127" customWidth="1"/>
    <col min="8442" max="8442" width="46.42578125" style="127" customWidth="1"/>
    <col min="8443" max="8443" width="39.42578125" style="127" customWidth="1"/>
    <col min="8444" max="8444" width="20.85546875" style="127" customWidth="1"/>
    <col min="8445" max="8445" width="19.42578125" style="127" customWidth="1"/>
    <col min="8446" max="8446" width="11.85546875" style="127" customWidth="1"/>
    <col min="8447" max="8447" width="10.42578125" style="127" customWidth="1"/>
    <col min="8448" max="8448" width="14.42578125" style="127" bestFit="1" customWidth="1"/>
    <col min="8449" max="8449" width="13.140625" style="127" bestFit="1" customWidth="1"/>
    <col min="8450" max="8450" width="8.5703125" style="127" bestFit="1" customWidth="1"/>
    <col min="8451" max="8452" width="8.5703125" style="127" customWidth="1"/>
    <col min="8453" max="8453" width="9.42578125" style="127" customWidth="1"/>
    <col min="8454" max="8454" width="7.42578125" style="127" bestFit="1" customWidth="1"/>
    <col min="8455" max="8456" width="10.5703125" style="127" bestFit="1" customWidth="1"/>
    <col min="8457" max="8696" width="9.140625" style="127"/>
    <col min="8697" max="8697" width="29.140625" style="127" customWidth="1"/>
    <col min="8698" max="8698" width="46.42578125" style="127" customWidth="1"/>
    <col min="8699" max="8699" width="39.42578125" style="127" customWidth="1"/>
    <col min="8700" max="8700" width="20.85546875" style="127" customWidth="1"/>
    <col min="8701" max="8701" width="19.42578125" style="127" customWidth="1"/>
    <col min="8702" max="8702" width="11.85546875" style="127" customWidth="1"/>
    <col min="8703" max="8703" width="10.42578125" style="127" customWidth="1"/>
    <col min="8704" max="8704" width="14.42578125" style="127" bestFit="1" customWidth="1"/>
    <col min="8705" max="8705" width="13.140625" style="127" bestFit="1" customWidth="1"/>
    <col min="8706" max="8706" width="8.5703125" style="127" bestFit="1" customWidth="1"/>
    <col min="8707" max="8708" width="8.5703125" style="127" customWidth="1"/>
    <col min="8709" max="8709" width="9.42578125" style="127" customWidth="1"/>
    <col min="8710" max="8710" width="7.42578125" style="127" bestFit="1" customWidth="1"/>
    <col min="8711" max="8712" width="10.5703125" style="127" bestFit="1" customWidth="1"/>
    <col min="8713" max="8952" width="9.140625" style="127"/>
    <col min="8953" max="8953" width="29.140625" style="127" customWidth="1"/>
    <col min="8954" max="8954" width="46.42578125" style="127" customWidth="1"/>
    <col min="8955" max="8955" width="39.42578125" style="127" customWidth="1"/>
    <col min="8956" max="8956" width="20.85546875" style="127" customWidth="1"/>
    <col min="8957" max="8957" width="19.42578125" style="127" customWidth="1"/>
    <col min="8958" max="8958" width="11.85546875" style="127" customWidth="1"/>
    <col min="8959" max="8959" width="10.42578125" style="127" customWidth="1"/>
    <col min="8960" max="8960" width="14.42578125" style="127" bestFit="1" customWidth="1"/>
    <col min="8961" max="8961" width="13.140625" style="127" bestFit="1" customWidth="1"/>
    <col min="8962" max="8962" width="8.5703125" style="127" bestFit="1" customWidth="1"/>
    <col min="8963" max="8964" width="8.5703125" style="127" customWidth="1"/>
    <col min="8965" max="8965" width="9.42578125" style="127" customWidth="1"/>
    <col min="8966" max="8966" width="7.42578125" style="127" bestFit="1" customWidth="1"/>
    <col min="8967" max="8968" width="10.5703125" style="127" bestFit="1" customWidth="1"/>
    <col min="8969" max="9208" width="9.140625" style="127"/>
    <col min="9209" max="9209" width="29.140625" style="127" customWidth="1"/>
    <col min="9210" max="9210" width="46.42578125" style="127" customWidth="1"/>
    <col min="9211" max="9211" width="39.42578125" style="127" customWidth="1"/>
    <col min="9212" max="9212" width="20.85546875" style="127" customWidth="1"/>
    <col min="9213" max="9213" width="19.42578125" style="127" customWidth="1"/>
    <col min="9214" max="9214" width="11.85546875" style="127" customWidth="1"/>
    <col min="9215" max="9215" width="10.42578125" style="127" customWidth="1"/>
    <col min="9216" max="9216" width="14.42578125" style="127" bestFit="1" customWidth="1"/>
    <col min="9217" max="9217" width="13.140625" style="127" bestFit="1" customWidth="1"/>
    <col min="9218" max="9218" width="8.5703125" style="127" bestFit="1" customWidth="1"/>
    <col min="9219" max="9220" width="8.5703125" style="127" customWidth="1"/>
    <col min="9221" max="9221" width="9.42578125" style="127" customWidth="1"/>
    <col min="9222" max="9222" width="7.42578125" style="127" bestFit="1" customWidth="1"/>
    <col min="9223" max="9224" width="10.5703125" style="127" bestFit="1" customWidth="1"/>
    <col min="9225" max="9464" width="9.140625" style="127"/>
    <col min="9465" max="9465" width="29.140625" style="127" customWidth="1"/>
    <col min="9466" max="9466" width="46.42578125" style="127" customWidth="1"/>
    <col min="9467" max="9467" width="39.42578125" style="127" customWidth="1"/>
    <col min="9468" max="9468" width="20.85546875" style="127" customWidth="1"/>
    <col min="9469" max="9469" width="19.42578125" style="127" customWidth="1"/>
    <col min="9470" max="9470" width="11.85546875" style="127" customWidth="1"/>
    <col min="9471" max="9471" width="10.42578125" style="127" customWidth="1"/>
    <col min="9472" max="9472" width="14.42578125" style="127" bestFit="1" customWidth="1"/>
    <col min="9473" max="9473" width="13.140625" style="127" bestFit="1" customWidth="1"/>
    <col min="9474" max="9474" width="8.5703125" style="127" bestFit="1" customWidth="1"/>
    <col min="9475" max="9476" width="8.5703125" style="127" customWidth="1"/>
    <col min="9477" max="9477" width="9.42578125" style="127" customWidth="1"/>
    <col min="9478" max="9478" width="7.42578125" style="127" bestFit="1" customWidth="1"/>
    <col min="9479" max="9480" width="10.5703125" style="127" bestFit="1" customWidth="1"/>
    <col min="9481" max="9720" width="9.140625" style="127"/>
    <col min="9721" max="9721" width="29.140625" style="127" customWidth="1"/>
    <col min="9722" max="9722" width="46.42578125" style="127" customWidth="1"/>
    <col min="9723" max="9723" width="39.42578125" style="127" customWidth="1"/>
    <col min="9724" max="9724" width="20.85546875" style="127" customWidth="1"/>
    <col min="9725" max="9725" width="19.42578125" style="127" customWidth="1"/>
    <col min="9726" max="9726" width="11.85546875" style="127" customWidth="1"/>
    <col min="9727" max="9727" width="10.42578125" style="127" customWidth="1"/>
    <col min="9728" max="9728" width="14.42578125" style="127" bestFit="1" customWidth="1"/>
    <col min="9729" max="9729" width="13.140625" style="127" bestFit="1" customWidth="1"/>
    <col min="9730" max="9730" width="8.5703125" style="127" bestFit="1" customWidth="1"/>
    <col min="9731" max="9732" width="8.5703125" style="127" customWidth="1"/>
    <col min="9733" max="9733" width="9.42578125" style="127" customWidth="1"/>
    <col min="9734" max="9734" width="7.42578125" style="127" bestFit="1" customWidth="1"/>
    <col min="9735" max="9736" width="10.5703125" style="127" bestFit="1" customWidth="1"/>
    <col min="9737" max="9976" width="9.140625" style="127"/>
    <col min="9977" max="9977" width="29.140625" style="127" customWidth="1"/>
    <col min="9978" max="9978" width="46.42578125" style="127" customWidth="1"/>
    <col min="9979" max="9979" width="39.42578125" style="127" customWidth="1"/>
    <col min="9980" max="9980" width="20.85546875" style="127" customWidth="1"/>
    <col min="9981" max="9981" width="19.42578125" style="127" customWidth="1"/>
    <col min="9982" max="9982" width="11.85546875" style="127" customWidth="1"/>
    <col min="9983" max="9983" width="10.42578125" style="127" customWidth="1"/>
    <col min="9984" max="9984" width="14.42578125" style="127" bestFit="1" customWidth="1"/>
    <col min="9985" max="9985" width="13.140625" style="127" bestFit="1" customWidth="1"/>
    <col min="9986" max="9986" width="8.5703125" style="127" bestFit="1" customWidth="1"/>
    <col min="9987" max="9988" width="8.5703125" style="127" customWidth="1"/>
    <col min="9989" max="9989" width="9.42578125" style="127" customWidth="1"/>
    <col min="9990" max="9990" width="7.42578125" style="127" bestFit="1" customWidth="1"/>
    <col min="9991" max="9992" width="10.5703125" style="127" bestFit="1" customWidth="1"/>
    <col min="9993" max="10232" width="9.140625" style="127"/>
    <col min="10233" max="10233" width="29.140625" style="127" customWidth="1"/>
    <col min="10234" max="10234" width="46.42578125" style="127" customWidth="1"/>
    <col min="10235" max="10235" width="39.42578125" style="127" customWidth="1"/>
    <col min="10236" max="10236" width="20.85546875" style="127" customWidth="1"/>
    <col min="10237" max="10237" width="19.42578125" style="127" customWidth="1"/>
    <col min="10238" max="10238" width="11.85546875" style="127" customWidth="1"/>
    <col min="10239" max="10239" width="10.42578125" style="127" customWidth="1"/>
    <col min="10240" max="10240" width="14.42578125" style="127" bestFit="1" customWidth="1"/>
    <col min="10241" max="10241" width="13.140625" style="127" bestFit="1" customWidth="1"/>
    <col min="10242" max="10242" width="8.5703125" style="127" bestFit="1" customWidth="1"/>
    <col min="10243" max="10244" width="8.5703125" style="127" customWidth="1"/>
    <col min="10245" max="10245" width="9.42578125" style="127" customWidth="1"/>
    <col min="10246" max="10246" width="7.42578125" style="127" bestFit="1" customWidth="1"/>
    <col min="10247" max="10248" width="10.5703125" style="127" bestFit="1" customWidth="1"/>
    <col min="10249" max="10488" width="9.140625" style="127"/>
    <col min="10489" max="10489" width="29.140625" style="127" customWidth="1"/>
    <col min="10490" max="10490" width="46.42578125" style="127" customWidth="1"/>
    <col min="10491" max="10491" width="39.42578125" style="127" customWidth="1"/>
    <col min="10492" max="10492" width="20.85546875" style="127" customWidth="1"/>
    <col min="10493" max="10493" width="19.42578125" style="127" customWidth="1"/>
    <col min="10494" max="10494" width="11.85546875" style="127" customWidth="1"/>
    <col min="10495" max="10495" width="10.42578125" style="127" customWidth="1"/>
    <col min="10496" max="10496" width="14.42578125" style="127" bestFit="1" customWidth="1"/>
    <col min="10497" max="10497" width="13.140625" style="127" bestFit="1" customWidth="1"/>
    <col min="10498" max="10498" width="8.5703125" style="127" bestFit="1" customWidth="1"/>
    <col min="10499" max="10500" width="8.5703125" style="127" customWidth="1"/>
    <col min="10501" max="10501" width="9.42578125" style="127" customWidth="1"/>
    <col min="10502" max="10502" width="7.42578125" style="127" bestFit="1" customWidth="1"/>
    <col min="10503" max="10504" width="10.5703125" style="127" bestFit="1" customWidth="1"/>
    <col min="10505" max="10744" width="9.140625" style="127"/>
    <col min="10745" max="10745" width="29.140625" style="127" customWidth="1"/>
    <col min="10746" max="10746" width="46.42578125" style="127" customWidth="1"/>
    <col min="10747" max="10747" width="39.42578125" style="127" customWidth="1"/>
    <col min="10748" max="10748" width="20.85546875" style="127" customWidth="1"/>
    <col min="10749" max="10749" width="19.42578125" style="127" customWidth="1"/>
    <col min="10750" max="10750" width="11.85546875" style="127" customWidth="1"/>
    <col min="10751" max="10751" width="10.42578125" style="127" customWidth="1"/>
    <col min="10752" max="10752" width="14.42578125" style="127" bestFit="1" customWidth="1"/>
    <col min="10753" max="10753" width="13.140625" style="127" bestFit="1" customWidth="1"/>
    <col min="10754" max="10754" width="8.5703125" style="127" bestFit="1" customWidth="1"/>
    <col min="10755" max="10756" width="8.5703125" style="127" customWidth="1"/>
    <col min="10757" max="10757" width="9.42578125" style="127" customWidth="1"/>
    <col min="10758" max="10758" width="7.42578125" style="127" bestFit="1" customWidth="1"/>
    <col min="10759" max="10760" width="10.5703125" style="127" bestFit="1" customWidth="1"/>
    <col min="10761" max="11000" width="9.140625" style="127"/>
    <col min="11001" max="11001" width="29.140625" style="127" customWidth="1"/>
    <col min="11002" max="11002" width="46.42578125" style="127" customWidth="1"/>
    <col min="11003" max="11003" width="39.42578125" style="127" customWidth="1"/>
    <col min="11004" max="11004" width="20.85546875" style="127" customWidth="1"/>
    <col min="11005" max="11005" width="19.42578125" style="127" customWidth="1"/>
    <col min="11006" max="11006" width="11.85546875" style="127" customWidth="1"/>
    <col min="11007" max="11007" width="10.42578125" style="127" customWidth="1"/>
    <col min="11008" max="11008" width="14.42578125" style="127" bestFit="1" customWidth="1"/>
    <col min="11009" max="11009" width="13.140625" style="127" bestFit="1" customWidth="1"/>
    <col min="11010" max="11010" width="8.5703125" style="127" bestFit="1" customWidth="1"/>
    <col min="11011" max="11012" width="8.5703125" style="127" customWidth="1"/>
    <col min="11013" max="11013" width="9.42578125" style="127" customWidth="1"/>
    <col min="11014" max="11014" width="7.42578125" style="127" bestFit="1" customWidth="1"/>
    <col min="11015" max="11016" width="10.5703125" style="127" bestFit="1" customWidth="1"/>
    <col min="11017" max="11256" width="9.140625" style="127"/>
    <col min="11257" max="11257" width="29.140625" style="127" customWidth="1"/>
    <col min="11258" max="11258" width="46.42578125" style="127" customWidth="1"/>
    <col min="11259" max="11259" width="39.42578125" style="127" customWidth="1"/>
    <col min="11260" max="11260" width="20.85546875" style="127" customWidth="1"/>
    <col min="11261" max="11261" width="19.42578125" style="127" customWidth="1"/>
    <col min="11262" max="11262" width="11.85546875" style="127" customWidth="1"/>
    <col min="11263" max="11263" width="10.42578125" style="127" customWidth="1"/>
    <col min="11264" max="11264" width="14.42578125" style="127" bestFit="1" customWidth="1"/>
    <col min="11265" max="11265" width="13.140625" style="127" bestFit="1" customWidth="1"/>
    <col min="11266" max="11266" width="8.5703125" style="127" bestFit="1" customWidth="1"/>
    <col min="11267" max="11268" width="8.5703125" style="127" customWidth="1"/>
    <col min="11269" max="11269" width="9.42578125" style="127" customWidth="1"/>
    <col min="11270" max="11270" width="7.42578125" style="127" bestFit="1" customWidth="1"/>
    <col min="11271" max="11272" width="10.5703125" style="127" bestFit="1" customWidth="1"/>
    <col min="11273" max="11512" width="9.140625" style="127"/>
    <col min="11513" max="11513" width="29.140625" style="127" customWidth="1"/>
    <col min="11514" max="11514" width="46.42578125" style="127" customWidth="1"/>
    <col min="11515" max="11515" width="39.42578125" style="127" customWidth="1"/>
    <col min="11516" max="11516" width="20.85546875" style="127" customWidth="1"/>
    <col min="11517" max="11517" width="19.42578125" style="127" customWidth="1"/>
    <col min="11518" max="11518" width="11.85546875" style="127" customWidth="1"/>
    <col min="11519" max="11519" width="10.42578125" style="127" customWidth="1"/>
    <col min="11520" max="11520" width="14.42578125" style="127" bestFit="1" customWidth="1"/>
    <col min="11521" max="11521" width="13.140625" style="127" bestFit="1" customWidth="1"/>
    <col min="11522" max="11522" width="8.5703125" style="127" bestFit="1" customWidth="1"/>
    <col min="11523" max="11524" width="8.5703125" style="127" customWidth="1"/>
    <col min="11525" max="11525" width="9.42578125" style="127" customWidth="1"/>
    <col min="11526" max="11526" width="7.42578125" style="127" bestFit="1" customWidth="1"/>
    <col min="11527" max="11528" width="10.5703125" style="127" bestFit="1" customWidth="1"/>
    <col min="11529" max="11768" width="9.140625" style="127"/>
    <col min="11769" max="11769" width="29.140625" style="127" customWidth="1"/>
    <col min="11770" max="11770" width="46.42578125" style="127" customWidth="1"/>
    <col min="11771" max="11771" width="39.42578125" style="127" customWidth="1"/>
    <col min="11772" max="11772" width="20.85546875" style="127" customWidth="1"/>
    <col min="11773" max="11773" width="19.42578125" style="127" customWidth="1"/>
    <col min="11774" max="11774" width="11.85546875" style="127" customWidth="1"/>
    <col min="11775" max="11775" width="10.42578125" style="127" customWidth="1"/>
    <col min="11776" max="11776" width="14.42578125" style="127" bestFit="1" customWidth="1"/>
    <col min="11777" max="11777" width="13.140625" style="127" bestFit="1" customWidth="1"/>
    <col min="11778" max="11778" width="8.5703125" style="127" bestFit="1" customWidth="1"/>
    <col min="11779" max="11780" width="8.5703125" style="127" customWidth="1"/>
    <col min="11781" max="11781" width="9.42578125" style="127" customWidth="1"/>
    <col min="11782" max="11782" width="7.42578125" style="127" bestFit="1" customWidth="1"/>
    <col min="11783" max="11784" width="10.5703125" style="127" bestFit="1" customWidth="1"/>
    <col min="11785" max="12024" width="9.140625" style="127"/>
    <col min="12025" max="12025" width="29.140625" style="127" customWidth="1"/>
    <col min="12026" max="12026" width="46.42578125" style="127" customWidth="1"/>
    <col min="12027" max="12027" width="39.42578125" style="127" customWidth="1"/>
    <col min="12028" max="12028" width="20.85546875" style="127" customWidth="1"/>
    <col min="12029" max="12029" width="19.42578125" style="127" customWidth="1"/>
    <col min="12030" max="12030" width="11.85546875" style="127" customWidth="1"/>
    <col min="12031" max="12031" width="10.42578125" style="127" customWidth="1"/>
    <col min="12032" max="12032" width="14.42578125" style="127" bestFit="1" customWidth="1"/>
    <col min="12033" max="12033" width="13.140625" style="127" bestFit="1" customWidth="1"/>
    <col min="12034" max="12034" width="8.5703125" style="127" bestFit="1" customWidth="1"/>
    <col min="12035" max="12036" width="8.5703125" style="127" customWidth="1"/>
    <col min="12037" max="12037" width="9.42578125" style="127" customWidth="1"/>
    <col min="12038" max="12038" width="7.42578125" style="127" bestFit="1" customWidth="1"/>
    <col min="12039" max="12040" width="10.5703125" style="127" bestFit="1" customWidth="1"/>
    <col min="12041" max="12280" width="9.140625" style="127"/>
    <col min="12281" max="12281" width="29.140625" style="127" customWidth="1"/>
    <col min="12282" max="12282" width="46.42578125" style="127" customWidth="1"/>
    <col min="12283" max="12283" width="39.42578125" style="127" customWidth="1"/>
    <col min="12284" max="12284" width="20.85546875" style="127" customWidth="1"/>
    <col min="12285" max="12285" width="19.42578125" style="127" customWidth="1"/>
    <col min="12286" max="12286" width="11.85546875" style="127" customWidth="1"/>
    <col min="12287" max="12287" width="10.42578125" style="127" customWidth="1"/>
    <col min="12288" max="12288" width="14.42578125" style="127" bestFit="1" customWidth="1"/>
    <col min="12289" max="12289" width="13.140625" style="127" bestFit="1" customWidth="1"/>
    <col min="12290" max="12290" width="8.5703125" style="127" bestFit="1" customWidth="1"/>
    <col min="12291" max="12292" width="8.5703125" style="127" customWidth="1"/>
    <col min="12293" max="12293" width="9.42578125" style="127" customWidth="1"/>
    <col min="12294" max="12294" width="7.42578125" style="127" bestFit="1" customWidth="1"/>
    <col min="12295" max="12296" width="10.5703125" style="127" bestFit="1" customWidth="1"/>
    <col min="12297" max="12536" width="9.140625" style="127"/>
    <col min="12537" max="12537" width="29.140625" style="127" customWidth="1"/>
    <col min="12538" max="12538" width="46.42578125" style="127" customWidth="1"/>
    <col min="12539" max="12539" width="39.42578125" style="127" customWidth="1"/>
    <col min="12540" max="12540" width="20.85546875" style="127" customWidth="1"/>
    <col min="12541" max="12541" width="19.42578125" style="127" customWidth="1"/>
    <col min="12542" max="12542" width="11.85546875" style="127" customWidth="1"/>
    <col min="12543" max="12543" width="10.42578125" style="127" customWidth="1"/>
    <col min="12544" max="12544" width="14.42578125" style="127" bestFit="1" customWidth="1"/>
    <col min="12545" max="12545" width="13.140625" style="127" bestFit="1" customWidth="1"/>
    <col min="12546" max="12546" width="8.5703125" style="127" bestFit="1" customWidth="1"/>
    <col min="12547" max="12548" width="8.5703125" style="127" customWidth="1"/>
    <col min="12549" max="12549" width="9.42578125" style="127" customWidth="1"/>
    <col min="12550" max="12550" width="7.42578125" style="127" bestFit="1" customWidth="1"/>
    <col min="12551" max="12552" width="10.5703125" style="127" bestFit="1" customWidth="1"/>
    <col min="12553" max="12792" width="9.140625" style="127"/>
    <col min="12793" max="12793" width="29.140625" style="127" customWidth="1"/>
    <col min="12794" max="12794" width="46.42578125" style="127" customWidth="1"/>
    <col min="12795" max="12795" width="39.42578125" style="127" customWidth="1"/>
    <col min="12796" max="12796" width="20.85546875" style="127" customWidth="1"/>
    <col min="12797" max="12797" width="19.42578125" style="127" customWidth="1"/>
    <col min="12798" max="12798" width="11.85546875" style="127" customWidth="1"/>
    <col min="12799" max="12799" width="10.42578125" style="127" customWidth="1"/>
    <col min="12800" max="12800" width="14.42578125" style="127" bestFit="1" customWidth="1"/>
    <col min="12801" max="12801" width="13.140625" style="127" bestFit="1" customWidth="1"/>
    <col min="12802" max="12802" width="8.5703125" style="127" bestFit="1" customWidth="1"/>
    <col min="12803" max="12804" width="8.5703125" style="127" customWidth="1"/>
    <col min="12805" max="12805" width="9.42578125" style="127" customWidth="1"/>
    <col min="12806" max="12806" width="7.42578125" style="127" bestFit="1" customWidth="1"/>
    <col min="12807" max="12808" width="10.5703125" style="127" bestFit="1" customWidth="1"/>
    <col min="12809" max="13048" width="9.140625" style="127"/>
    <col min="13049" max="13049" width="29.140625" style="127" customWidth="1"/>
    <col min="13050" max="13050" width="46.42578125" style="127" customWidth="1"/>
    <col min="13051" max="13051" width="39.42578125" style="127" customWidth="1"/>
    <col min="13052" max="13052" width="20.85546875" style="127" customWidth="1"/>
    <col min="13053" max="13053" width="19.42578125" style="127" customWidth="1"/>
    <col min="13054" max="13054" width="11.85546875" style="127" customWidth="1"/>
    <col min="13055" max="13055" width="10.42578125" style="127" customWidth="1"/>
    <col min="13056" max="13056" width="14.42578125" style="127" bestFit="1" customWidth="1"/>
    <col min="13057" max="13057" width="13.140625" style="127" bestFit="1" customWidth="1"/>
    <col min="13058" max="13058" width="8.5703125" style="127" bestFit="1" customWidth="1"/>
    <col min="13059" max="13060" width="8.5703125" style="127" customWidth="1"/>
    <col min="13061" max="13061" width="9.42578125" style="127" customWidth="1"/>
    <col min="13062" max="13062" width="7.42578125" style="127" bestFit="1" customWidth="1"/>
    <col min="13063" max="13064" width="10.5703125" style="127" bestFit="1" customWidth="1"/>
    <col min="13065" max="13304" width="9.140625" style="127"/>
    <col min="13305" max="13305" width="29.140625" style="127" customWidth="1"/>
    <col min="13306" max="13306" width="46.42578125" style="127" customWidth="1"/>
    <col min="13307" max="13307" width="39.42578125" style="127" customWidth="1"/>
    <col min="13308" max="13308" width="20.85546875" style="127" customWidth="1"/>
    <col min="13309" max="13309" width="19.42578125" style="127" customWidth="1"/>
    <col min="13310" max="13310" width="11.85546875" style="127" customWidth="1"/>
    <col min="13311" max="13311" width="10.42578125" style="127" customWidth="1"/>
    <col min="13312" max="13312" width="14.42578125" style="127" bestFit="1" customWidth="1"/>
    <col min="13313" max="13313" width="13.140625" style="127" bestFit="1" customWidth="1"/>
    <col min="13314" max="13314" width="8.5703125" style="127" bestFit="1" customWidth="1"/>
    <col min="13315" max="13316" width="8.5703125" style="127" customWidth="1"/>
    <col min="13317" max="13317" width="9.42578125" style="127" customWidth="1"/>
    <col min="13318" max="13318" width="7.42578125" style="127" bestFit="1" customWidth="1"/>
    <col min="13319" max="13320" width="10.5703125" style="127" bestFit="1" customWidth="1"/>
    <col min="13321" max="13560" width="9.140625" style="127"/>
    <col min="13561" max="13561" width="29.140625" style="127" customWidth="1"/>
    <col min="13562" max="13562" width="46.42578125" style="127" customWidth="1"/>
    <col min="13563" max="13563" width="39.42578125" style="127" customWidth="1"/>
    <col min="13564" max="13564" width="20.85546875" style="127" customWidth="1"/>
    <col min="13565" max="13565" width="19.42578125" style="127" customWidth="1"/>
    <col min="13566" max="13566" width="11.85546875" style="127" customWidth="1"/>
    <col min="13567" max="13567" width="10.42578125" style="127" customWidth="1"/>
    <col min="13568" max="13568" width="14.42578125" style="127" bestFit="1" customWidth="1"/>
    <col min="13569" max="13569" width="13.140625" style="127" bestFit="1" customWidth="1"/>
    <col min="13570" max="13570" width="8.5703125" style="127" bestFit="1" customWidth="1"/>
    <col min="13571" max="13572" width="8.5703125" style="127" customWidth="1"/>
    <col min="13573" max="13573" width="9.42578125" style="127" customWidth="1"/>
    <col min="13574" max="13574" width="7.42578125" style="127" bestFit="1" customWidth="1"/>
    <col min="13575" max="13576" width="10.5703125" style="127" bestFit="1" customWidth="1"/>
    <col min="13577" max="13816" width="9.140625" style="127"/>
    <col min="13817" max="13817" width="29.140625" style="127" customWidth="1"/>
    <col min="13818" max="13818" width="46.42578125" style="127" customWidth="1"/>
    <col min="13819" max="13819" width="39.42578125" style="127" customWidth="1"/>
    <col min="13820" max="13820" width="20.85546875" style="127" customWidth="1"/>
    <col min="13821" max="13821" width="19.42578125" style="127" customWidth="1"/>
    <col min="13822" max="13822" width="11.85546875" style="127" customWidth="1"/>
    <col min="13823" max="13823" width="10.42578125" style="127" customWidth="1"/>
    <col min="13824" max="13824" width="14.42578125" style="127" bestFit="1" customWidth="1"/>
    <col min="13825" max="13825" width="13.140625" style="127" bestFit="1" customWidth="1"/>
    <col min="13826" max="13826" width="8.5703125" style="127" bestFit="1" customWidth="1"/>
    <col min="13827" max="13828" width="8.5703125" style="127" customWidth="1"/>
    <col min="13829" max="13829" width="9.42578125" style="127" customWidth="1"/>
    <col min="13830" max="13830" width="7.42578125" style="127" bestFit="1" customWidth="1"/>
    <col min="13831" max="13832" width="10.5703125" style="127" bestFit="1" customWidth="1"/>
    <col min="13833" max="14072" width="9.140625" style="127"/>
    <col min="14073" max="14073" width="29.140625" style="127" customWidth="1"/>
    <col min="14074" max="14074" width="46.42578125" style="127" customWidth="1"/>
    <col min="14075" max="14075" width="39.42578125" style="127" customWidth="1"/>
    <col min="14076" max="14076" width="20.85546875" style="127" customWidth="1"/>
    <col min="14077" max="14077" width="19.42578125" style="127" customWidth="1"/>
    <col min="14078" max="14078" width="11.85546875" style="127" customWidth="1"/>
    <col min="14079" max="14079" width="10.42578125" style="127" customWidth="1"/>
    <col min="14080" max="14080" width="14.42578125" style="127" bestFit="1" customWidth="1"/>
    <col min="14081" max="14081" width="13.140625" style="127" bestFit="1" customWidth="1"/>
    <col min="14082" max="14082" width="8.5703125" style="127" bestFit="1" customWidth="1"/>
    <col min="14083" max="14084" width="8.5703125" style="127" customWidth="1"/>
    <col min="14085" max="14085" width="9.42578125" style="127" customWidth="1"/>
    <col min="14086" max="14086" width="7.42578125" style="127" bestFit="1" customWidth="1"/>
    <col min="14087" max="14088" width="10.5703125" style="127" bestFit="1" customWidth="1"/>
    <col min="14089" max="14328" width="9.140625" style="127"/>
    <col min="14329" max="14329" width="29.140625" style="127" customWidth="1"/>
    <col min="14330" max="14330" width="46.42578125" style="127" customWidth="1"/>
    <col min="14331" max="14331" width="39.42578125" style="127" customWidth="1"/>
    <col min="14332" max="14332" width="20.85546875" style="127" customWidth="1"/>
    <col min="14333" max="14333" width="19.42578125" style="127" customWidth="1"/>
    <col min="14334" max="14334" width="11.85546875" style="127" customWidth="1"/>
    <col min="14335" max="14335" width="10.42578125" style="127" customWidth="1"/>
    <col min="14336" max="14336" width="14.42578125" style="127" bestFit="1" customWidth="1"/>
    <col min="14337" max="14337" width="13.140625" style="127" bestFit="1" customWidth="1"/>
    <col min="14338" max="14338" width="8.5703125" style="127" bestFit="1" customWidth="1"/>
    <col min="14339" max="14340" width="8.5703125" style="127" customWidth="1"/>
    <col min="14341" max="14341" width="9.42578125" style="127" customWidth="1"/>
    <col min="14342" max="14342" width="7.42578125" style="127" bestFit="1" customWidth="1"/>
    <col min="14343" max="14344" width="10.5703125" style="127" bestFit="1" customWidth="1"/>
    <col min="14345" max="14584" width="9.140625" style="127"/>
    <col min="14585" max="14585" width="29.140625" style="127" customWidth="1"/>
    <col min="14586" max="14586" width="46.42578125" style="127" customWidth="1"/>
    <col min="14587" max="14587" width="39.42578125" style="127" customWidth="1"/>
    <col min="14588" max="14588" width="20.85546875" style="127" customWidth="1"/>
    <col min="14589" max="14589" width="19.42578125" style="127" customWidth="1"/>
    <col min="14590" max="14590" width="11.85546875" style="127" customWidth="1"/>
    <col min="14591" max="14591" width="10.42578125" style="127" customWidth="1"/>
    <col min="14592" max="14592" width="14.42578125" style="127" bestFit="1" customWidth="1"/>
    <col min="14593" max="14593" width="13.140625" style="127" bestFit="1" customWidth="1"/>
    <col min="14594" max="14594" width="8.5703125" style="127" bestFit="1" customWidth="1"/>
    <col min="14595" max="14596" width="8.5703125" style="127" customWidth="1"/>
    <col min="14597" max="14597" width="9.42578125" style="127" customWidth="1"/>
    <col min="14598" max="14598" width="7.42578125" style="127" bestFit="1" customWidth="1"/>
    <col min="14599" max="14600" width="10.5703125" style="127" bestFit="1" customWidth="1"/>
    <col min="14601" max="14840" width="9.140625" style="127"/>
    <col min="14841" max="14841" width="29.140625" style="127" customWidth="1"/>
    <col min="14842" max="14842" width="46.42578125" style="127" customWidth="1"/>
    <col min="14843" max="14843" width="39.42578125" style="127" customWidth="1"/>
    <col min="14844" max="14844" width="20.85546875" style="127" customWidth="1"/>
    <col min="14845" max="14845" width="19.42578125" style="127" customWidth="1"/>
    <col min="14846" max="14846" width="11.85546875" style="127" customWidth="1"/>
    <col min="14847" max="14847" width="10.42578125" style="127" customWidth="1"/>
    <col min="14848" max="14848" width="14.42578125" style="127" bestFit="1" customWidth="1"/>
    <col min="14849" max="14849" width="13.140625" style="127" bestFit="1" customWidth="1"/>
    <col min="14850" max="14850" width="8.5703125" style="127" bestFit="1" customWidth="1"/>
    <col min="14851" max="14852" width="8.5703125" style="127" customWidth="1"/>
    <col min="14853" max="14853" width="9.42578125" style="127" customWidth="1"/>
    <col min="14854" max="14854" width="7.42578125" style="127" bestFit="1" customWidth="1"/>
    <col min="14855" max="14856" width="10.5703125" style="127" bestFit="1" customWidth="1"/>
    <col min="14857" max="15096" width="9.140625" style="127"/>
    <col min="15097" max="15097" width="29.140625" style="127" customWidth="1"/>
    <col min="15098" max="15098" width="46.42578125" style="127" customWidth="1"/>
    <col min="15099" max="15099" width="39.42578125" style="127" customWidth="1"/>
    <col min="15100" max="15100" width="20.85546875" style="127" customWidth="1"/>
    <col min="15101" max="15101" width="19.42578125" style="127" customWidth="1"/>
    <col min="15102" max="15102" width="11.85546875" style="127" customWidth="1"/>
    <col min="15103" max="15103" width="10.42578125" style="127" customWidth="1"/>
    <col min="15104" max="15104" width="14.42578125" style="127" bestFit="1" customWidth="1"/>
    <col min="15105" max="15105" width="13.140625" style="127" bestFit="1" customWidth="1"/>
    <col min="15106" max="15106" width="8.5703125" style="127" bestFit="1" customWidth="1"/>
    <col min="15107" max="15108" width="8.5703125" style="127" customWidth="1"/>
    <col min="15109" max="15109" width="9.42578125" style="127" customWidth="1"/>
    <col min="15110" max="15110" width="7.42578125" style="127" bestFit="1" customWidth="1"/>
    <col min="15111" max="15112" width="10.5703125" style="127" bestFit="1" customWidth="1"/>
    <col min="15113" max="15352" width="9.140625" style="127"/>
    <col min="15353" max="15353" width="29.140625" style="127" customWidth="1"/>
    <col min="15354" max="15354" width="46.42578125" style="127" customWidth="1"/>
    <col min="15355" max="15355" width="39.42578125" style="127" customWidth="1"/>
    <col min="15356" max="15356" width="20.85546875" style="127" customWidth="1"/>
    <col min="15357" max="15357" width="19.42578125" style="127" customWidth="1"/>
    <col min="15358" max="15358" width="11.85546875" style="127" customWidth="1"/>
    <col min="15359" max="15359" width="10.42578125" style="127" customWidth="1"/>
    <col min="15360" max="15360" width="14.42578125" style="127" bestFit="1" customWidth="1"/>
    <col min="15361" max="15361" width="13.140625" style="127" bestFit="1" customWidth="1"/>
    <col min="15362" max="15362" width="8.5703125" style="127" bestFit="1" customWidth="1"/>
    <col min="15363" max="15364" width="8.5703125" style="127" customWidth="1"/>
    <col min="15365" max="15365" width="9.42578125" style="127" customWidth="1"/>
    <col min="15366" max="15366" width="7.42578125" style="127" bestFit="1" customWidth="1"/>
    <col min="15367" max="15368" width="10.5703125" style="127" bestFit="1" customWidth="1"/>
    <col min="15369" max="15608" width="9.140625" style="127"/>
    <col min="15609" max="15609" width="29.140625" style="127" customWidth="1"/>
    <col min="15610" max="15610" width="46.42578125" style="127" customWidth="1"/>
    <col min="15611" max="15611" width="39.42578125" style="127" customWidth="1"/>
    <col min="15612" max="15612" width="20.85546875" style="127" customWidth="1"/>
    <col min="15613" max="15613" width="19.42578125" style="127" customWidth="1"/>
    <col min="15614" max="15614" width="11.85546875" style="127" customWidth="1"/>
    <col min="15615" max="15615" width="10.42578125" style="127" customWidth="1"/>
    <col min="15616" max="15616" width="14.42578125" style="127" bestFit="1" customWidth="1"/>
    <col min="15617" max="15617" width="13.140625" style="127" bestFit="1" customWidth="1"/>
    <col min="15618" max="15618" width="8.5703125" style="127" bestFit="1" customWidth="1"/>
    <col min="15619" max="15620" width="8.5703125" style="127" customWidth="1"/>
    <col min="15621" max="15621" width="9.42578125" style="127" customWidth="1"/>
    <col min="15622" max="15622" width="7.42578125" style="127" bestFit="1" customWidth="1"/>
    <col min="15623" max="15624" width="10.5703125" style="127" bestFit="1" customWidth="1"/>
    <col min="15625" max="15864" width="9.140625" style="127"/>
    <col min="15865" max="15865" width="29.140625" style="127" customWidth="1"/>
    <col min="15866" max="15866" width="46.42578125" style="127" customWidth="1"/>
    <col min="15867" max="15867" width="39.42578125" style="127" customWidth="1"/>
    <col min="15868" max="15868" width="20.85546875" style="127" customWidth="1"/>
    <col min="15869" max="15869" width="19.42578125" style="127" customWidth="1"/>
    <col min="15870" max="15870" width="11.85546875" style="127" customWidth="1"/>
    <col min="15871" max="15871" width="10.42578125" style="127" customWidth="1"/>
    <col min="15872" max="15872" width="14.42578125" style="127" bestFit="1" customWidth="1"/>
    <col min="15873" max="15873" width="13.140625" style="127" bestFit="1" customWidth="1"/>
    <col min="15874" max="15874" width="8.5703125" style="127" bestFit="1" customWidth="1"/>
    <col min="15875" max="15876" width="8.5703125" style="127" customWidth="1"/>
    <col min="15877" max="15877" width="9.42578125" style="127" customWidth="1"/>
    <col min="15878" max="15878" width="7.42578125" style="127" bestFit="1" customWidth="1"/>
    <col min="15879" max="15880" width="10.5703125" style="127" bestFit="1" customWidth="1"/>
    <col min="15881" max="16120" width="9.140625" style="127"/>
    <col min="16121" max="16121" width="29.140625" style="127" customWidth="1"/>
    <col min="16122" max="16122" width="46.42578125" style="127" customWidth="1"/>
    <col min="16123" max="16123" width="39.42578125" style="127" customWidth="1"/>
    <col min="16124" max="16124" width="20.85546875" style="127" customWidth="1"/>
    <col min="16125" max="16125" width="19.42578125" style="127" customWidth="1"/>
    <col min="16126" max="16126" width="11.85546875" style="127" customWidth="1"/>
    <col min="16127" max="16127" width="10.42578125" style="127" customWidth="1"/>
    <col min="16128" max="16128" width="14.42578125" style="127" bestFit="1" customWidth="1"/>
    <col min="16129" max="16129" width="13.140625" style="127" bestFit="1" customWidth="1"/>
    <col min="16130" max="16130" width="8.5703125" style="127" bestFit="1" customWidth="1"/>
    <col min="16131" max="16132" width="8.5703125" style="127" customWidth="1"/>
    <col min="16133" max="16133" width="9.42578125" style="127" customWidth="1"/>
    <col min="16134" max="16134" width="7.42578125" style="127" bestFit="1" customWidth="1"/>
    <col min="16135" max="16136" width="10.5703125" style="127" bestFit="1" customWidth="1"/>
    <col min="16137" max="16384" width="9.140625" style="127"/>
  </cols>
  <sheetData>
    <row r="1" spans="2:28" ht="18">
      <c r="B1" s="125" t="s">
        <v>213</v>
      </c>
      <c r="C1" s="125"/>
      <c r="D1" s="125"/>
      <c r="E1" s="126"/>
      <c r="F1" s="126"/>
    </row>
    <row r="2" spans="2:28">
      <c r="C2" s="128"/>
      <c r="E2" s="126"/>
      <c r="F2" s="126"/>
    </row>
    <row r="3" spans="2:28">
      <c r="E3" s="126" t="s">
        <v>516</v>
      </c>
      <c r="F3" s="126"/>
    </row>
    <row r="4" spans="2:28" ht="51">
      <c r="B4" s="129" t="s">
        <v>82</v>
      </c>
      <c r="C4" s="129" t="s">
        <v>644</v>
      </c>
      <c r="D4" s="129" t="s">
        <v>214</v>
      </c>
      <c r="E4" s="129" t="s">
        <v>215</v>
      </c>
      <c r="F4" s="129" t="s">
        <v>216</v>
      </c>
      <c r="G4" s="459" t="s">
        <v>493</v>
      </c>
      <c r="H4" s="129" t="s">
        <v>492</v>
      </c>
      <c r="I4" s="129" t="s">
        <v>494</v>
      </c>
      <c r="J4" s="129" t="s">
        <v>495</v>
      </c>
      <c r="K4" s="129" t="s">
        <v>496</v>
      </c>
      <c r="L4" s="129" t="s">
        <v>497</v>
      </c>
      <c r="M4" s="129" t="s">
        <v>498</v>
      </c>
      <c r="N4" s="459" t="s">
        <v>508</v>
      </c>
      <c r="O4" s="129" t="s">
        <v>509</v>
      </c>
      <c r="P4" s="129" t="s">
        <v>510</v>
      </c>
      <c r="Q4" s="129" t="s">
        <v>511</v>
      </c>
      <c r="R4" s="129" t="s">
        <v>512</v>
      </c>
      <c r="S4" s="129" t="s">
        <v>513</v>
      </c>
      <c r="T4" s="129" t="s">
        <v>514</v>
      </c>
      <c r="U4" s="458" t="s">
        <v>501</v>
      </c>
    </row>
    <row r="5" spans="2:28" ht="15.75" customHeight="1" thickBot="1">
      <c r="B5" s="20" t="s">
        <v>217</v>
      </c>
      <c r="C5" s="20"/>
      <c r="D5" s="20"/>
      <c r="E5" s="20"/>
      <c r="F5" s="20"/>
      <c r="G5" s="21" t="s">
        <v>491</v>
      </c>
      <c r="H5" s="20" t="s">
        <v>491</v>
      </c>
      <c r="I5" s="20" t="s">
        <v>491</v>
      </c>
      <c r="J5" s="20" t="s">
        <v>491</v>
      </c>
      <c r="K5" s="20" t="s">
        <v>491</v>
      </c>
      <c r="L5" s="20" t="s">
        <v>491</v>
      </c>
      <c r="M5" s="20" t="s">
        <v>491</v>
      </c>
      <c r="N5" s="21" t="s">
        <v>491</v>
      </c>
      <c r="O5" s="20" t="s">
        <v>491</v>
      </c>
      <c r="P5" s="20" t="s">
        <v>491</v>
      </c>
      <c r="Q5" s="20" t="s">
        <v>491</v>
      </c>
      <c r="R5" s="20" t="s">
        <v>491</v>
      </c>
      <c r="S5" s="20" t="s">
        <v>491</v>
      </c>
      <c r="T5" s="20" t="s">
        <v>491</v>
      </c>
      <c r="U5" s="21" t="s">
        <v>491</v>
      </c>
    </row>
    <row r="6" spans="2:28" ht="15.75" customHeight="1">
      <c r="B6" s="130" t="str">
        <f>RSD_Procesess!D91</f>
        <v>SECTF_RSD_HC</v>
      </c>
      <c r="C6" s="131"/>
      <c r="D6" s="131" t="s">
        <v>218</v>
      </c>
      <c r="E6" s="132"/>
      <c r="F6" s="133">
        <v>1</v>
      </c>
      <c r="G6" s="472"/>
      <c r="H6" s="473"/>
      <c r="I6" s="473"/>
      <c r="J6" s="473"/>
      <c r="K6" s="473"/>
      <c r="L6" s="473"/>
      <c r="M6" s="473"/>
      <c r="N6" s="474"/>
      <c r="O6" s="468"/>
      <c r="P6" s="468"/>
      <c r="Q6" s="468"/>
      <c r="R6" s="468"/>
      <c r="S6" s="468"/>
      <c r="T6" s="468"/>
      <c r="U6" s="474"/>
    </row>
    <row r="7" spans="2:28" ht="15.75" customHeight="1">
      <c r="B7" s="134" t="s">
        <v>219</v>
      </c>
      <c r="C7" s="135"/>
      <c r="D7" s="136"/>
      <c r="E7" s="137" t="str">
        <f>RSD_Comm!D12</f>
        <v>RSD_HC</v>
      </c>
      <c r="F7" s="136"/>
      <c r="G7" s="475"/>
      <c r="H7" s="476"/>
      <c r="I7" s="476"/>
      <c r="J7" s="476"/>
      <c r="K7" s="476"/>
      <c r="L7" s="476"/>
      <c r="M7" s="476"/>
      <c r="N7" s="477">
        <v>7.81</v>
      </c>
      <c r="O7" s="469">
        <f>N7</f>
        <v>7.81</v>
      </c>
      <c r="P7" s="469">
        <f t="shared" ref="P7:T7" si="0">O7</f>
        <v>7.81</v>
      </c>
      <c r="Q7" s="469">
        <f t="shared" si="0"/>
        <v>7.81</v>
      </c>
      <c r="R7" s="469">
        <f t="shared" si="0"/>
        <v>7.81</v>
      </c>
      <c r="S7" s="469">
        <f t="shared" si="0"/>
        <v>7.81</v>
      </c>
      <c r="T7" s="469">
        <f t="shared" si="0"/>
        <v>7.81</v>
      </c>
      <c r="U7" s="477"/>
    </row>
    <row r="8" spans="2:28" ht="15.75" customHeight="1">
      <c r="B8" s="138" t="str">
        <f>RSD_Procesess!D89</f>
        <v>SECTF_RSD_OIL</v>
      </c>
      <c r="C8" s="139"/>
      <c r="D8" s="143" t="s">
        <v>220</v>
      </c>
      <c r="E8" s="141"/>
      <c r="F8" s="140">
        <v>1</v>
      </c>
      <c r="G8" s="478"/>
      <c r="H8" s="479"/>
      <c r="I8" s="479"/>
      <c r="J8" s="479"/>
      <c r="K8" s="479"/>
      <c r="L8" s="479"/>
      <c r="M8" s="479"/>
      <c r="N8" s="480"/>
      <c r="O8" s="470"/>
      <c r="P8" s="470"/>
      <c r="Q8" s="470"/>
      <c r="R8" s="470"/>
      <c r="S8" s="470"/>
      <c r="T8" s="470"/>
      <c r="U8" s="480"/>
    </row>
    <row r="9" spans="2:28" ht="15.75" customHeight="1">
      <c r="B9" s="142"/>
      <c r="C9" s="135"/>
      <c r="D9" s="136"/>
      <c r="E9" s="137" t="str">
        <f>RSD_Comm!D10</f>
        <v>RSD_OIL</v>
      </c>
      <c r="F9" s="136"/>
      <c r="G9" s="475"/>
      <c r="H9" s="476"/>
      <c r="I9" s="476"/>
      <c r="J9" s="476"/>
      <c r="K9" s="476"/>
      <c r="L9" s="476"/>
      <c r="M9" s="476"/>
      <c r="N9" s="477"/>
      <c r="O9" s="469"/>
      <c r="P9" s="469"/>
      <c r="Q9" s="469"/>
      <c r="R9" s="469"/>
      <c r="S9" s="469"/>
      <c r="T9" s="469"/>
      <c r="U9" s="477"/>
      <c r="AB9" s="127" t="s">
        <v>29</v>
      </c>
    </row>
    <row r="10" spans="2:28" ht="15.75" customHeight="1">
      <c r="B10" s="138" t="str">
        <f>RSD_Procesess!D88</f>
        <v>SECTF_RSD_GAS_NAT</v>
      </c>
      <c r="C10" s="139"/>
      <c r="D10" s="140" t="s">
        <v>499</v>
      </c>
      <c r="E10" s="141"/>
      <c r="F10" s="140">
        <v>1</v>
      </c>
      <c r="G10" s="478">
        <v>2.25</v>
      </c>
      <c r="H10" s="479">
        <f>G10</f>
        <v>2.25</v>
      </c>
      <c r="I10" s="479">
        <f t="shared" ref="I10:M10" si="1">H10</f>
        <v>2.25</v>
      </c>
      <c r="J10" s="479">
        <f t="shared" si="1"/>
        <v>2.25</v>
      </c>
      <c r="K10" s="479">
        <f t="shared" si="1"/>
        <v>2.25</v>
      </c>
      <c r="L10" s="479">
        <f t="shared" si="1"/>
        <v>2.25</v>
      </c>
      <c r="M10" s="479">
        <f t="shared" si="1"/>
        <v>2.25</v>
      </c>
      <c r="N10" s="480"/>
      <c r="O10" s="470"/>
      <c r="P10" s="470"/>
      <c r="Q10" s="470"/>
      <c r="R10" s="470"/>
      <c r="S10" s="470"/>
      <c r="T10" s="470"/>
      <c r="U10" s="480"/>
      <c r="AB10" s="127" t="s">
        <v>25</v>
      </c>
    </row>
    <row r="11" spans="2:28" ht="15.75" customHeight="1">
      <c r="B11" s="142" t="s">
        <v>219</v>
      </c>
      <c r="C11" s="135"/>
      <c r="D11" s="136"/>
      <c r="E11" s="137" t="str">
        <f>RSD_Comm!D8</f>
        <v>RSD_GAS</v>
      </c>
      <c r="F11" s="136"/>
      <c r="G11" s="475"/>
      <c r="H11" s="476"/>
      <c r="I11" s="476"/>
      <c r="J11" s="476"/>
      <c r="K11" s="476"/>
      <c r="L11" s="476"/>
      <c r="M11" s="476"/>
      <c r="N11" s="477">
        <v>10.3</v>
      </c>
      <c r="O11" s="469">
        <f>N11</f>
        <v>10.3</v>
      </c>
      <c r="P11" s="469">
        <f t="shared" ref="P11:T11" si="2">O11</f>
        <v>10.3</v>
      </c>
      <c r="Q11" s="469">
        <f t="shared" si="2"/>
        <v>10.3</v>
      </c>
      <c r="R11" s="469">
        <f t="shared" si="2"/>
        <v>10.3</v>
      </c>
      <c r="S11" s="469">
        <f t="shared" si="2"/>
        <v>10.3</v>
      </c>
      <c r="T11" s="469">
        <f t="shared" si="2"/>
        <v>10.3</v>
      </c>
      <c r="U11" s="477"/>
      <c r="AB11" s="127" t="s">
        <v>31</v>
      </c>
    </row>
    <row r="12" spans="2:28" ht="15.75" customHeight="1">
      <c r="B12" s="138" t="str">
        <f>RSD_Procesess!D94</f>
        <v>SECTF_RSD_SOL</v>
      </c>
      <c r="C12" s="139"/>
      <c r="D12" s="140" t="s">
        <v>221</v>
      </c>
      <c r="E12" s="141"/>
      <c r="F12" s="140">
        <v>1</v>
      </c>
      <c r="G12" s="478"/>
      <c r="H12" s="479"/>
      <c r="I12" s="479"/>
      <c r="J12" s="479"/>
      <c r="K12" s="479"/>
      <c r="L12" s="479"/>
      <c r="M12" s="479"/>
      <c r="N12" s="480"/>
      <c r="O12" s="470"/>
      <c r="P12" s="470"/>
      <c r="Q12" s="470"/>
      <c r="R12" s="470"/>
      <c r="S12" s="470"/>
      <c r="T12" s="470"/>
      <c r="U12" s="480"/>
      <c r="AB12" s="127" t="s">
        <v>21</v>
      </c>
    </row>
    <row r="13" spans="2:28" ht="15.75" customHeight="1">
      <c r="B13" s="134"/>
      <c r="C13" s="135"/>
      <c r="D13" s="136"/>
      <c r="E13" s="137" t="str">
        <f>RSD_Comm!D15</f>
        <v>RSD_SOL</v>
      </c>
      <c r="F13" s="136"/>
      <c r="G13" s="475"/>
      <c r="H13" s="476"/>
      <c r="I13" s="476"/>
      <c r="J13" s="476"/>
      <c r="K13" s="476"/>
      <c r="L13" s="476"/>
      <c r="M13" s="476"/>
      <c r="N13" s="477"/>
      <c r="O13" s="469"/>
      <c r="P13" s="469"/>
      <c r="Q13" s="469"/>
      <c r="R13" s="469"/>
      <c r="S13" s="469"/>
      <c r="T13" s="469"/>
      <c r="U13" s="477"/>
      <c r="AB13" s="127" t="s">
        <v>35</v>
      </c>
    </row>
    <row r="14" spans="2:28" ht="15.75" customHeight="1">
      <c r="B14" s="138" t="str">
        <f>RSD_Procesess!D93</f>
        <v>SECTF_RSD_GEO</v>
      </c>
      <c r="C14" s="139"/>
      <c r="D14" s="140" t="s">
        <v>222</v>
      </c>
      <c r="E14" s="141"/>
      <c r="F14" s="140">
        <v>1</v>
      </c>
      <c r="G14" s="478"/>
      <c r="H14" s="479"/>
      <c r="I14" s="479"/>
      <c r="J14" s="479"/>
      <c r="K14" s="479"/>
      <c r="L14" s="479"/>
      <c r="M14" s="479"/>
      <c r="N14" s="480"/>
      <c r="O14" s="470"/>
      <c r="P14" s="470"/>
      <c r="Q14" s="470"/>
      <c r="R14" s="470"/>
      <c r="S14" s="470"/>
      <c r="T14" s="470"/>
      <c r="U14" s="480"/>
      <c r="AB14" s="127" t="s">
        <v>33</v>
      </c>
    </row>
    <row r="15" spans="2:28" ht="15.75" customHeight="1">
      <c r="B15" s="134"/>
      <c r="C15" s="135"/>
      <c r="D15" s="136"/>
      <c r="E15" s="137" t="str">
        <f>RSD_Comm!D14</f>
        <v>RSD_GEO</v>
      </c>
      <c r="F15" s="136"/>
      <c r="G15" s="475"/>
      <c r="H15" s="476"/>
      <c r="I15" s="476"/>
      <c r="J15" s="476"/>
      <c r="K15" s="476"/>
      <c r="L15" s="476"/>
      <c r="M15" s="476"/>
      <c r="N15" s="477"/>
      <c r="O15" s="469"/>
      <c r="P15" s="469"/>
      <c r="Q15" s="469"/>
      <c r="R15" s="469"/>
      <c r="S15" s="469"/>
      <c r="T15" s="469"/>
      <c r="U15" s="477"/>
      <c r="AB15" s="127" t="s">
        <v>27</v>
      </c>
    </row>
    <row r="16" spans="2:28" ht="15.75" customHeight="1">
      <c r="B16" s="138" t="str">
        <f>RSD_Procesess!D90</f>
        <v>SECTF_RSD_BIO</v>
      </c>
      <c r="C16" s="139"/>
      <c r="D16" s="140" t="s">
        <v>223</v>
      </c>
      <c r="E16" s="141"/>
      <c r="F16" s="140">
        <v>1</v>
      </c>
      <c r="G16" s="478"/>
      <c r="H16" s="479"/>
      <c r="I16" s="479"/>
      <c r="J16" s="479"/>
      <c r="K16" s="479"/>
      <c r="L16" s="479"/>
      <c r="M16" s="479"/>
      <c r="N16" s="480"/>
      <c r="O16" s="470"/>
      <c r="P16" s="470"/>
      <c r="Q16" s="470"/>
      <c r="R16" s="470"/>
      <c r="S16" s="470"/>
      <c r="T16" s="470"/>
      <c r="U16" s="480"/>
      <c r="AB16" s="127" t="s">
        <v>18</v>
      </c>
    </row>
    <row r="17" spans="2:28" ht="15.75" customHeight="1">
      <c r="B17" s="134"/>
      <c r="C17" s="135"/>
      <c r="D17" s="136"/>
      <c r="E17" s="137" t="str">
        <f>RSD_Comm!D11</f>
        <v>RSD_BIO</v>
      </c>
      <c r="F17" s="136"/>
      <c r="G17" s="475"/>
      <c r="H17" s="476"/>
      <c r="I17" s="476"/>
      <c r="J17" s="476"/>
      <c r="K17" s="476"/>
      <c r="L17" s="476"/>
      <c r="M17" s="476"/>
      <c r="N17" s="477"/>
      <c r="O17" s="469"/>
      <c r="P17" s="469"/>
      <c r="Q17" s="469"/>
      <c r="R17" s="469"/>
      <c r="S17" s="469"/>
      <c r="T17" s="469"/>
      <c r="U17" s="477"/>
      <c r="AB17" s="127" t="s">
        <v>23</v>
      </c>
    </row>
    <row r="18" spans="2:28" ht="15.75" customHeight="1">
      <c r="B18" s="460" t="str">
        <f>RSD_Procesess!D86</f>
        <v>SECTF_RSD_ELC</v>
      </c>
      <c r="C18" s="461"/>
      <c r="D18" s="462" t="s">
        <v>224</v>
      </c>
      <c r="E18" s="463"/>
      <c r="F18" s="462">
        <v>1</v>
      </c>
      <c r="G18" s="481">
        <v>10.007300000000001</v>
      </c>
      <c r="H18" s="482">
        <f>G18</f>
        <v>10.007300000000001</v>
      </c>
      <c r="I18" s="482">
        <f t="shared" ref="I18:M18" si="3">H18</f>
        <v>10.007300000000001</v>
      </c>
      <c r="J18" s="482">
        <f t="shared" si="3"/>
        <v>10.007300000000001</v>
      </c>
      <c r="K18" s="482">
        <f t="shared" si="3"/>
        <v>10.007300000000001</v>
      </c>
      <c r="L18" s="482">
        <f t="shared" si="3"/>
        <v>10.007300000000001</v>
      </c>
      <c r="M18" s="482">
        <f t="shared" si="3"/>
        <v>10.007300000000001</v>
      </c>
      <c r="N18" s="483"/>
      <c r="O18" s="470"/>
      <c r="P18" s="470"/>
      <c r="Q18" s="470"/>
      <c r="R18" s="470"/>
      <c r="S18" s="470"/>
      <c r="T18" s="470"/>
      <c r="U18" s="483"/>
    </row>
    <row r="19" spans="2:28" ht="15.75" customHeight="1">
      <c r="B19" s="464"/>
      <c r="C19" s="465"/>
      <c r="D19" s="466"/>
      <c r="E19" s="467" t="str">
        <f>RSD_Comm!D7</f>
        <v>RSD_ELC</v>
      </c>
      <c r="F19" s="466"/>
      <c r="G19" s="484"/>
      <c r="H19" s="485"/>
      <c r="I19" s="485"/>
      <c r="J19" s="485"/>
      <c r="K19" s="485"/>
      <c r="L19" s="485"/>
      <c r="M19" s="485"/>
      <c r="N19" s="486">
        <v>56.708199999999998</v>
      </c>
      <c r="O19" s="469">
        <f>N19</f>
        <v>56.708199999999998</v>
      </c>
      <c r="P19" s="469">
        <f t="shared" ref="P19:T19" si="4">O19</f>
        <v>56.708199999999998</v>
      </c>
      <c r="Q19" s="469">
        <f t="shared" si="4"/>
        <v>56.708199999999998</v>
      </c>
      <c r="R19" s="469">
        <f t="shared" si="4"/>
        <v>56.708199999999998</v>
      </c>
      <c r="S19" s="469">
        <f t="shared" si="4"/>
        <v>56.708199999999998</v>
      </c>
      <c r="T19" s="469">
        <f t="shared" si="4"/>
        <v>56.708199999999998</v>
      </c>
      <c r="U19" s="486"/>
    </row>
    <row r="20" spans="2:28" ht="15.75" customHeight="1">
      <c r="B20" s="138" t="str">
        <f>RSD_Procesess!D87</f>
        <v>SECTF_RSD_DH</v>
      </c>
      <c r="C20" s="139"/>
      <c r="D20" s="140" t="s">
        <v>226</v>
      </c>
      <c r="E20" s="141"/>
      <c r="F20" s="140">
        <v>1</v>
      </c>
      <c r="G20" s="478"/>
      <c r="H20" s="479"/>
      <c r="I20" s="479"/>
      <c r="J20" s="479"/>
      <c r="K20" s="479"/>
      <c r="L20" s="479"/>
      <c r="M20" s="479"/>
      <c r="N20" s="480"/>
      <c r="O20" s="470"/>
      <c r="P20" s="470"/>
      <c r="Q20" s="470"/>
      <c r="R20" s="470"/>
      <c r="S20" s="470"/>
      <c r="T20" s="470"/>
      <c r="U20" s="480"/>
    </row>
    <row r="21" spans="2:28" ht="15.75" customHeight="1">
      <c r="B21" s="134"/>
      <c r="C21" s="135"/>
      <c r="D21" s="136"/>
      <c r="E21" s="137" t="str">
        <f>RSD_Comm!D9</f>
        <v>RSD_DH</v>
      </c>
      <c r="F21" s="136"/>
      <c r="G21" s="475"/>
      <c r="H21" s="476"/>
      <c r="I21" s="476"/>
      <c r="J21" s="476"/>
      <c r="K21" s="476"/>
      <c r="L21" s="476"/>
      <c r="M21" s="476"/>
      <c r="N21" s="477">
        <v>19</v>
      </c>
      <c r="O21" s="469">
        <f>N21</f>
        <v>19</v>
      </c>
      <c r="P21" s="469">
        <f t="shared" ref="P21:T21" si="5">O21</f>
        <v>19</v>
      </c>
      <c r="Q21" s="469">
        <f t="shared" si="5"/>
        <v>19</v>
      </c>
      <c r="R21" s="469">
        <f t="shared" si="5"/>
        <v>19</v>
      </c>
      <c r="S21" s="469">
        <f t="shared" si="5"/>
        <v>19</v>
      </c>
      <c r="T21" s="469">
        <f t="shared" si="5"/>
        <v>19</v>
      </c>
      <c r="U21" s="477"/>
    </row>
    <row r="22" spans="2:28" ht="15.75" customHeight="1">
      <c r="B22" s="138" t="str">
        <f>RSD_Procesess!D92</f>
        <v>SECTF_RSD_LPG</v>
      </c>
      <c r="C22" s="139"/>
      <c r="D22" s="140" t="s">
        <v>227</v>
      </c>
      <c r="E22" s="141"/>
      <c r="F22" s="140">
        <v>1</v>
      </c>
      <c r="G22" s="478"/>
      <c r="H22" s="479"/>
      <c r="I22" s="479"/>
      <c r="J22" s="479"/>
      <c r="K22" s="479"/>
      <c r="L22" s="479"/>
      <c r="M22" s="479"/>
      <c r="N22" s="480"/>
      <c r="O22" s="470"/>
      <c r="P22" s="470"/>
      <c r="Q22" s="470"/>
      <c r="R22" s="470"/>
      <c r="S22" s="470"/>
      <c r="T22" s="470"/>
      <c r="U22" s="480"/>
    </row>
    <row r="23" spans="2:28" ht="15.75" customHeight="1" thickBot="1">
      <c r="B23" s="144"/>
      <c r="C23" s="145"/>
      <c r="D23" s="146"/>
      <c r="E23" s="147" t="str">
        <f>RSD_Comm!D13</f>
        <v>RSD_LPG</v>
      </c>
      <c r="F23" s="146"/>
      <c r="G23" s="487"/>
      <c r="H23" s="488"/>
      <c r="I23" s="488"/>
      <c r="J23" s="488"/>
      <c r="K23" s="488"/>
      <c r="L23" s="488"/>
      <c r="M23" s="488"/>
      <c r="N23" s="489"/>
      <c r="O23" s="471"/>
      <c r="P23" s="471"/>
      <c r="Q23" s="471"/>
      <c r="R23" s="471"/>
      <c r="S23" s="471"/>
      <c r="T23" s="471"/>
      <c r="U23" s="489"/>
    </row>
    <row r="24" spans="2:28">
      <c r="C24" s="128"/>
      <c r="E24" s="126"/>
      <c r="F24" s="126"/>
    </row>
    <row r="25" spans="2:28">
      <c r="C25" s="128"/>
      <c r="E25" s="126"/>
      <c r="F25" s="126"/>
    </row>
    <row r="26" spans="2:28">
      <c r="C26" s="128"/>
      <c r="E26" s="126"/>
      <c r="F26" s="126"/>
    </row>
    <row r="27" spans="2:28">
      <c r="C27" s="128"/>
      <c r="E27" s="126"/>
      <c r="F27" s="126"/>
      <c r="G27" s="127" t="s">
        <v>225</v>
      </c>
    </row>
    <row r="28" spans="2:28">
      <c r="C28" s="128"/>
      <c r="E28" s="126"/>
      <c r="F28" s="126"/>
    </row>
    <row r="29" spans="2:28">
      <c r="C29" s="128"/>
      <c r="E29" s="126"/>
      <c r="F29" s="126"/>
    </row>
    <row r="30" spans="2:28">
      <c r="C30" s="128"/>
      <c r="E30" s="126"/>
      <c r="F30" s="126"/>
    </row>
    <row r="31" spans="2:28">
      <c r="C31" s="128"/>
      <c r="E31" s="126"/>
      <c r="F31" s="126"/>
    </row>
    <row r="32" spans="2:28">
      <c r="C32" s="128"/>
      <c r="E32" s="126"/>
      <c r="F32" s="126"/>
    </row>
    <row r="33" spans="3:9">
      <c r="C33" s="128"/>
      <c r="E33" s="126"/>
      <c r="F33" s="126"/>
      <c r="G33" s="127" t="s">
        <v>502</v>
      </c>
    </row>
    <row r="34" spans="3:9">
      <c r="C34" s="128"/>
      <c r="E34" s="126"/>
      <c r="F34" s="126"/>
      <c r="G34" s="127" t="s">
        <v>503</v>
      </c>
      <c r="H34" s="127" t="s">
        <v>504</v>
      </c>
      <c r="I34" s="127" t="s">
        <v>507</v>
      </c>
    </row>
    <row r="35" spans="3:9">
      <c r="C35" s="128"/>
      <c r="E35" s="126"/>
      <c r="F35" s="126"/>
      <c r="G35" s="127" t="s">
        <v>500</v>
      </c>
      <c r="H35" s="127" t="s">
        <v>505</v>
      </c>
    </row>
    <row r="36" spans="3:9">
      <c r="C36" s="128"/>
      <c r="E36" s="126"/>
      <c r="F36" s="126"/>
      <c r="G36" s="127" t="s">
        <v>501</v>
      </c>
      <c r="H36" s="127" t="s">
        <v>506</v>
      </c>
    </row>
    <row r="37" spans="3:9">
      <c r="C37" s="128"/>
      <c r="E37" s="126"/>
      <c r="F37" s="126"/>
    </row>
    <row r="38" spans="3:9">
      <c r="C38" s="128"/>
      <c r="E38" s="126"/>
      <c r="F38" s="126"/>
    </row>
    <row r="39" spans="3:9">
      <c r="C39" s="128"/>
      <c r="E39" s="126"/>
      <c r="F39" s="126"/>
    </row>
    <row r="40" spans="3:9">
      <c r="C40" s="128"/>
      <c r="E40" s="126"/>
      <c r="F40" s="126"/>
    </row>
    <row r="41" spans="3:9">
      <c r="C41" s="128"/>
      <c r="E41" s="126"/>
      <c r="F41" s="126"/>
    </row>
    <row r="42" spans="3:9">
      <c r="C42" s="128"/>
      <c r="E42" s="126"/>
      <c r="F42" s="126"/>
    </row>
    <row r="43" spans="3:9">
      <c r="C43" s="128"/>
      <c r="E43" s="126"/>
      <c r="F43" s="126"/>
    </row>
  </sheetData>
  <phoneticPr fontId="3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20FBA-B940-479F-AF4B-CBB4F8E49CDB}">
  <dimension ref="B2:Y46"/>
  <sheetViews>
    <sheetView zoomScale="145" zoomScaleNormal="145" workbookViewId="0">
      <selection activeCell="C19" sqref="C19"/>
    </sheetView>
  </sheetViews>
  <sheetFormatPr defaultRowHeight="15"/>
  <cols>
    <col min="1" max="1" width="2.85546875" customWidth="1"/>
    <col min="2" max="2" width="23.140625" customWidth="1"/>
    <col min="3" max="3" width="37.140625" customWidth="1"/>
    <col min="4" max="4" width="13" customWidth="1"/>
    <col min="5" max="5" width="14.28515625" customWidth="1"/>
    <col min="6" max="6" width="11.7109375" customWidth="1"/>
    <col min="7" max="13" width="7.42578125" customWidth="1"/>
    <col min="14" max="14" width="9.140625" customWidth="1"/>
    <col min="23" max="23" width="11.5703125" customWidth="1"/>
  </cols>
  <sheetData>
    <row r="2" spans="2:25">
      <c r="B2" t="s">
        <v>228</v>
      </c>
    </row>
    <row r="4" spans="2:25">
      <c r="E4" s="519"/>
    </row>
    <row r="5" spans="2:25" ht="38.25">
      <c r="B5" s="122" t="s">
        <v>82</v>
      </c>
      <c r="C5" s="122" t="s">
        <v>229</v>
      </c>
      <c r="D5" s="122" t="s">
        <v>214</v>
      </c>
      <c r="E5" s="122" t="s">
        <v>215</v>
      </c>
      <c r="F5" s="122" t="s">
        <v>230</v>
      </c>
      <c r="G5" s="344" t="s">
        <v>231</v>
      </c>
      <c r="H5" s="344" t="s">
        <v>232</v>
      </c>
      <c r="I5" s="344" t="s">
        <v>233</v>
      </c>
      <c r="J5" s="344" t="s">
        <v>234</v>
      </c>
      <c r="K5" s="344" t="s">
        <v>235</v>
      </c>
      <c r="L5" s="344" t="s">
        <v>236</v>
      </c>
      <c r="M5" s="344" t="s">
        <v>237</v>
      </c>
      <c r="N5" s="344" t="s">
        <v>238</v>
      </c>
      <c r="O5" s="344" t="s">
        <v>239</v>
      </c>
      <c r="P5" s="344" t="s">
        <v>240</v>
      </c>
      <c r="Q5" s="344" t="s">
        <v>241</v>
      </c>
      <c r="R5" s="344" t="s">
        <v>242</v>
      </c>
      <c r="S5" s="344" t="s">
        <v>243</v>
      </c>
      <c r="T5" s="344" t="s">
        <v>244</v>
      </c>
      <c r="U5" s="122" t="s">
        <v>245</v>
      </c>
      <c r="V5" s="344" t="s">
        <v>246</v>
      </c>
      <c r="W5" s="344" t="s">
        <v>247</v>
      </c>
      <c r="X5" s="344" t="s">
        <v>248</v>
      </c>
      <c r="Y5" s="344" t="s">
        <v>249</v>
      </c>
    </row>
    <row r="6" spans="2:25" ht="15.75" thickBot="1">
      <c r="B6" s="123" t="s">
        <v>89</v>
      </c>
      <c r="C6" s="123"/>
      <c r="D6" s="123"/>
      <c r="E6" s="123"/>
      <c r="F6" s="123"/>
      <c r="G6" s="123" t="s">
        <v>98</v>
      </c>
      <c r="H6" s="123" t="s">
        <v>98</v>
      </c>
      <c r="I6" s="123" t="s">
        <v>98</v>
      </c>
      <c r="J6" s="123" t="s">
        <v>98</v>
      </c>
      <c r="K6" s="123" t="s">
        <v>98</v>
      </c>
      <c r="L6" s="123" t="s">
        <v>98</v>
      </c>
      <c r="M6" s="123" t="s">
        <v>98</v>
      </c>
      <c r="N6" s="123" t="s">
        <v>20</v>
      </c>
      <c r="O6" s="123" t="s">
        <v>20</v>
      </c>
      <c r="P6" s="123" t="s">
        <v>20</v>
      </c>
      <c r="Q6" s="123" t="s">
        <v>20</v>
      </c>
      <c r="R6" s="123" t="s">
        <v>20</v>
      </c>
      <c r="S6" s="123" t="s">
        <v>20</v>
      </c>
      <c r="T6" s="123" t="s">
        <v>20</v>
      </c>
      <c r="U6" s="123" t="s">
        <v>251</v>
      </c>
      <c r="V6" s="123" t="s">
        <v>250</v>
      </c>
      <c r="W6" s="123" t="s">
        <v>250</v>
      </c>
      <c r="X6" s="123" t="s">
        <v>252</v>
      </c>
      <c r="Y6" s="123" t="s">
        <v>253</v>
      </c>
    </row>
    <row r="7" spans="2:25" ht="15.75" customHeight="1">
      <c r="B7" s="419" t="s">
        <v>529</v>
      </c>
      <c r="C7" s="419" t="s">
        <v>530</v>
      </c>
      <c r="D7" s="199" t="s">
        <v>35</v>
      </c>
      <c r="E7" s="199"/>
      <c r="F7" s="199"/>
      <c r="G7" s="421">
        <v>1E-3</v>
      </c>
      <c r="H7" s="421"/>
      <c r="I7" s="421"/>
      <c r="J7" s="421"/>
      <c r="K7" s="421"/>
      <c r="L7" s="421"/>
      <c r="M7" s="199"/>
      <c r="N7" s="199">
        <f>F23*3.6/1000</f>
        <v>3.2400000000000003E-3</v>
      </c>
      <c r="O7" s="199">
        <f>N7</f>
        <v>3.2400000000000003E-3</v>
      </c>
      <c r="P7" s="199">
        <f>O7</f>
        <v>3.2400000000000003E-3</v>
      </c>
      <c r="Q7" s="199">
        <f>P7</f>
        <v>3.2400000000000003E-3</v>
      </c>
      <c r="R7" s="421"/>
      <c r="S7" s="421"/>
      <c r="T7" s="199"/>
      <c r="U7" s="199">
        <v>31.536000000000001</v>
      </c>
      <c r="V7" s="199">
        <v>0</v>
      </c>
      <c r="W7" s="199">
        <f>ROUNDUP(N7/(G7*U7),2)</f>
        <v>0.11</v>
      </c>
      <c r="X7" s="199">
        <v>130</v>
      </c>
      <c r="Y7" s="199">
        <v>0</v>
      </c>
    </row>
    <row r="8" spans="2:25" ht="15.75" customHeight="1">
      <c r="B8" s="161"/>
      <c r="C8" s="161"/>
      <c r="D8" s="161"/>
      <c r="E8" s="417" t="s">
        <v>18</v>
      </c>
      <c r="F8" s="422"/>
      <c r="G8" s="161"/>
      <c r="H8" s="161"/>
      <c r="I8" s="161"/>
      <c r="J8" s="161"/>
      <c r="K8" s="161"/>
      <c r="L8" s="161"/>
      <c r="M8" s="161"/>
      <c r="N8" s="161"/>
      <c r="O8" s="161"/>
      <c r="P8" s="161"/>
      <c r="Q8" s="161"/>
      <c r="R8" s="161"/>
      <c r="S8" s="161"/>
      <c r="T8" s="161"/>
      <c r="U8" s="161"/>
      <c r="V8" s="161"/>
      <c r="W8" s="161"/>
      <c r="X8" s="161"/>
      <c r="Y8" s="161"/>
    </row>
    <row r="9" spans="2:25" ht="15.75" customHeight="1" thickBot="1">
      <c r="B9" s="210"/>
      <c r="C9" s="210"/>
      <c r="D9" s="210"/>
      <c r="E9" s="423" t="s">
        <v>254</v>
      </c>
      <c r="F9" s="424"/>
      <c r="G9" s="210"/>
      <c r="H9" s="210"/>
      <c r="I9" s="210"/>
      <c r="J9" s="210"/>
      <c r="K9" s="210"/>
      <c r="L9" s="210"/>
      <c r="M9" s="210"/>
      <c r="N9" s="210"/>
      <c r="O9" s="210"/>
      <c r="P9" s="210"/>
      <c r="Q9" s="210"/>
      <c r="R9" s="210"/>
      <c r="S9" s="210"/>
      <c r="T9" s="210"/>
      <c r="U9" s="210"/>
      <c r="V9" s="210"/>
      <c r="W9" s="210"/>
      <c r="X9" s="210"/>
      <c r="Y9" s="210"/>
    </row>
    <row r="10" spans="2:25" ht="15.75" customHeight="1">
      <c r="B10" s="419" t="s">
        <v>531</v>
      </c>
      <c r="C10" s="419" t="s">
        <v>532</v>
      </c>
      <c r="D10" s="199" t="s">
        <v>35</v>
      </c>
      <c r="E10" s="199"/>
      <c r="F10" s="199"/>
      <c r="G10" s="421"/>
      <c r="H10" s="421"/>
      <c r="I10" s="421"/>
      <c r="J10" s="421"/>
      <c r="K10" s="421"/>
      <c r="L10" s="421"/>
      <c r="M10" s="199"/>
      <c r="N10" s="164"/>
      <c r="O10" s="164"/>
      <c r="P10" s="164"/>
      <c r="Q10" s="164"/>
      <c r="R10" s="164"/>
      <c r="S10" s="164"/>
      <c r="T10" s="164"/>
      <c r="U10" s="164"/>
      <c r="V10" s="164"/>
      <c r="W10" s="164"/>
      <c r="X10" s="164"/>
      <c r="Y10" s="164"/>
    </row>
    <row r="11" spans="2:25" ht="15.75" customHeight="1">
      <c r="B11" s="161"/>
      <c r="C11" s="161"/>
      <c r="D11" s="161"/>
      <c r="E11" s="417" t="s">
        <v>29</v>
      </c>
      <c r="F11" s="422"/>
      <c r="G11" s="161"/>
      <c r="H11" s="161"/>
      <c r="I11" s="161"/>
      <c r="J11" s="161"/>
      <c r="K11" s="161"/>
      <c r="L11" s="161"/>
      <c r="M11" s="161"/>
      <c r="N11" s="164"/>
      <c r="O11" s="164"/>
      <c r="P11" s="164"/>
      <c r="Q11" s="164"/>
      <c r="R11" s="164"/>
      <c r="S11" s="164"/>
      <c r="T11" s="164"/>
      <c r="U11" s="164"/>
      <c r="V11" s="164"/>
      <c r="W11" s="164"/>
      <c r="X11" s="164"/>
      <c r="Y11" s="164"/>
    </row>
    <row r="12" spans="2:25" ht="15.75" thickBot="1">
      <c r="B12" s="210"/>
      <c r="C12" s="210"/>
      <c r="D12" s="210"/>
      <c r="E12" s="423" t="s">
        <v>254</v>
      </c>
      <c r="F12" s="424"/>
      <c r="G12" s="210"/>
      <c r="H12" s="210"/>
      <c r="I12" s="210"/>
      <c r="J12" s="210"/>
      <c r="K12" s="210"/>
      <c r="L12" s="210"/>
      <c r="M12" s="210"/>
    </row>
    <row r="13" spans="2:25">
      <c r="B13" s="419" t="s">
        <v>533</v>
      </c>
      <c r="C13" s="419" t="s">
        <v>534</v>
      </c>
      <c r="D13" s="199" t="s">
        <v>35</v>
      </c>
      <c r="E13" s="199"/>
      <c r="F13" s="199"/>
      <c r="G13" s="421"/>
      <c r="H13" s="421"/>
      <c r="I13" s="421"/>
      <c r="J13" s="421"/>
      <c r="K13" s="421"/>
      <c r="L13" s="421"/>
      <c r="M13" s="199"/>
    </row>
    <row r="14" spans="2:25">
      <c r="B14" s="161"/>
      <c r="C14" s="161"/>
      <c r="D14" s="161"/>
      <c r="E14" s="417" t="s">
        <v>18</v>
      </c>
      <c r="F14" s="422"/>
      <c r="G14" s="161"/>
      <c r="H14" s="161"/>
      <c r="I14" s="161"/>
      <c r="J14" s="161"/>
      <c r="K14" s="161"/>
      <c r="L14" s="161"/>
      <c r="M14" s="161"/>
    </row>
    <row r="15" spans="2:25" ht="15.75" thickBot="1">
      <c r="B15" s="210"/>
      <c r="C15" s="210"/>
      <c r="D15" s="210"/>
      <c r="E15" s="423" t="s">
        <v>254</v>
      </c>
      <c r="F15" s="424"/>
      <c r="G15" s="210"/>
      <c r="H15" s="210"/>
      <c r="I15" s="210"/>
      <c r="J15" s="210"/>
      <c r="K15" s="210"/>
      <c r="L15" s="210"/>
      <c r="M15" s="210"/>
    </row>
    <row r="16" spans="2:25">
      <c r="B16" s="164"/>
      <c r="C16" s="164"/>
      <c r="D16" s="164"/>
      <c r="E16" s="446"/>
      <c r="F16" s="520"/>
    </row>
    <row r="17" spans="2:19">
      <c r="B17" s="164"/>
      <c r="C17" s="164"/>
      <c r="D17" s="164"/>
      <c r="E17" s="446"/>
      <c r="F17" s="520"/>
    </row>
    <row r="18" spans="2:19">
      <c r="B18" s="164"/>
      <c r="C18" s="164"/>
      <c r="D18" s="164"/>
      <c r="E18" s="446"/>
      <c r="F18" s="520"/>
    </row>
    <row r="19" spans="2:19" ht="15.75" thickBot="1">
      <c r="B19" s="164"/>
      <c r="C19" s="164"/>
      <c r="D19" s="164"/>
      <c r="E19" s="446"/>
      <c r="F19" s="520"/>
    </row>
    <row r="20" spans="2:19">
      <c r="E20" s="427" t="s">
        <v>255</v>
      </c>
      <c r="F20" s="428">
        <f>G7</f>
        <v>1E-3</v>
      </c>
    </row>
    <row r="21" spans="2:19">
      <c r="E21" s="430" t="s">
        <v>256</v>
      </c>
      <c r="F21" s="426">
        <v>900</v>
      </c>
    </row>
    <row r="22" spans="2:19">
      <c r="E22" s="430" t="s">
        <v>247</v>
      </c>
      <c r="F22" s="439">
        <f>F21/8760</f>
        <v>0.10273972602739725</v>
      </c>
    </row>
    <row r="23" spans="2:19">
      <c r="E23" s="430" t="s">
        <v>259</v>
      </c>
      <c r="F23" s="435">
        <f>F20*F21</f>
        <v>0.9</v>
      </c>
    </row>
    <row r="24" spans="2:19">
      <c r="E24" s="433" t="s">
        <v>261</v>
      </c>
      <c r="F24" s="436"/>
      <c r="G24" s="346"/>
    </row>
    <row r="25" spans="2:19">
      <c r="E25" s="440" t="s">
        <v>18</v>
      </c>
      <c r="F25" s="436">
        <f>F23-F26</f>
        <v>-1067.9323289999998</v>
      </c>
      <c r="G25" s="346"/>
    </row>
    <row r="26" spans="2:19" ht="15.75" thickBot="1">
      <c r="E26" s="441" t="s">
        <v>254</v>
      </c>
      <c r="F26" s="437">
        <f>G37/1000</f>
        <v>1068.8323289999998</v>
      </c>
      <c r="G26" s="346"/>
    </row>
    <row r="28" spans="2:19">
      <c r="B28" s="348" t="s">
        <v>262</v>
      </c>
      <c r="C28" s="349"/>
      <c r="D28" s="349"/>
      <c r="E28" s="349"/>
      <c r="F28" s="349"/>
      <c r="G28" s="349"/>
      <c r="H28" s="349"/>
      <c r="I28" s="349"/>
      <c r="J28" s="347"/>
      <c r="L28" s="376" t="s">
        <v>263</v>
      </c>
      <c r="M28" s="377"/>
      <c r="N28" s="377"/>
      <c r="O28" s="377"/>
      <c r="P28" s="377"/>
      <c r="Q28" s="377"/>
      <c r="R28" s="377"/>
      <c r="S28" s="377"/>
    </row>
    <row r="29" spans="2:19">
      <c r="B29" s="350" t="s">
        <v>264</v>
      </c>
      <c r="C29" s="349"/>
      <c r="D29" s="349"/>
      <c r="E29" s="349"/>
      <c r="F29" s="349"/>
      <c r="G29" s="349"/>
      <c r="H29" s="349"/>
      <c r="I29" s="349"/>
      <c r="J29" s="347"/>
      <c r="L29" s="376" t="s">
        <v>265</v>
      </c>
      <c r="M29" s="377"/>
      <c r="N29" s="377"/>
      <c r="O29" s="377"/>
      <c r="P29" s="377"/>
      <c r="Q29" s="377"/>
      <c r="R29" s="378"/>
      <c r="S29" s="347"/>
    </row>
    <row r="30" spans="2:19">
      <c r="B30" s="737" t="s">
        <v>266</v>
      </c>
      <c r="C30" s="738"/>
      <c r="D30" s="738" t="s">
        <v>267</v>
      </c>
      <c r="E30" s="741" t="s">
        <v>268</v>
      </c>
      <c r="F30" s="351" t="s">
        <v>269</v>
      </c>
      <c r="G30" s="352"/>
      <c r="H30" s="352"/>
      <c r="I30" s="352"/>
      <c r="J30" s="352"/>
      <c r="L30" s="379"/>
      <c r="M30" s="379"/>
      <c r="N30" s="379"/>
      <c r="O30" s="379"/>
      <c r="P30" s="379"/>
      <c r="Q30" s="379"/>
      <c r="R30" s="379"/>
      <c r="S30" s="347"/>
    </row>
    <row r="31" spans="2:19" ht="48">
      <c r="B31" s="739"/>
      <c r="C31" s="740"/>
      <c r="D31" s="740"/>
      <c r="E31" s="742"/>
      <c r="F31" s="353" t="s">
        <v>270</v>
      </c>
      <c r="G31" s="354" t="s">
        <v>272</v>
      </c>
      <c r="H31" s="354" t="s">
        <v>273</v>
      </c>
      <c r="I31" s="354" t="s">
        <v>274</v>
      </c>
      <c r="J31" s="354" t="s">
        <v>275</v>
      </c>
      <c r="L31" s="720" t="s">
        <v>266</v>
      </c>
      <c r="M31" s="721"/>
      <c r="N31" s="726" t="s">
        <v>276</v>
      </c>
      <c r="O31" s="380" t="s">
        <v>277</v>
      </c>
      <c r="P31" s="381"/>
      <c r="Q31" s="381"/>
      <c r="R31" s="381"/>
      <c r="S31" s="381"/>
    </row>
    <row r="32" spans="2:19" ht="15.75">
      <c r="B32" s="729" t="s">
        <v>278</v>
      </c>
      <c r="C32" s="355">
        <v>2019</v>
      </c>
      <c r="D32" s="731" t="s">
        <v>279</v>
      </c>
      <c r="E32" s="356">
        <v>144940</v>
      </c>
      <c r="F32" s="357">
        <v>8</v>
      </c>
      <c r="G32" s="358">
        <v>144856</v>
      </c>
      <c r="H32" s="358">
        <v>17</v>
      </c>
      <c r="I32" s="359">
        <v>3</v>
      </c>
      <c r="J32" s="360" t="s">
        <v>258</v>
      </c>
      <c r="L32" s="722"/>
      <c r="M32" s="723"/>
      <c r="N32" s="727"/>
      <c r="O32" s="382" t="s">
        <v>280</v>
      </c>
      <c r="P32" s="382"/>
      <c r="Q32" s="382"/>
      <c r="R32" s="382"/>
      <c r="S32" s="382"/>
    </row>
    <row r="33" spans="2:24" ht="25.5">
      <c r="B33" s="730"/>
      <c r="C33" s="361">
        <v>2020</v>
      </c>
      <c r="D33" s="732"/>
      <c r="E33" s="362">
        <v>435455</v>
      </c>
      <c r="F33" s="363">
        <v>18</v>
      </c>
      <c r="G33" s="364">
        <v>435314</v>
      </c>
      <c r="H33" s="363">
        <v>29</v>
      </c>
      <c r="I33" s="363">
        <v>10</v>
      </c>
      <c r="J33" s="365">
        <v>17</v>
      </c>
      <c r="L33" s="722"/>
      <c r="M33" s="723"/>
      <c r="N33" s="728"/>
      <c r="O33" s="23" t="s">
        <v>281</v>
      </c>
      <c r="P33" s="23" t="s">
        <v>282</v>
      </c>
      <c r="Q33" s="383" t="s">
        <v>274</v>
      </c>
      <c r="R33" s="384" t="s">
        <v>283</v>
      </c>
      <c r="S33" s="385" t="s">
        <v>284</v>
      </c>
    </row>
    <row r="34" spans="2:24" ht="15.75">
      <c r="B34" s="733" t="s">
        <v>285</v>
      </c>
      <c r="C34" s="355">
        <v>2019</v>
      </c>
      <c r="D34" s="732" t="s">
        <v>286</v>
      </c>
      <c r="E34" s="356">
        <v>827.60599999999954</v>
      </c>
      <c r="F34" s="366">
        <v>8.6000000000000007E-2</v>
      </c>
      <c r="G34" s="366">
        <v>827.0829999999994</v>
      </c>
      <c r="H34" s="366">
        <v>0.155</v>
      </c>
      <c r="I34" s="367">
        <v>8.7999999999999995E-2</v>
      </c>
      <c r="J34" s="360" t="s">
        <v>258</v>
      </c>
      <c r="L34" s="724"/>
      <c r="M34" s="725"/>
      <c r="N34" s="386" t="s">
        <v>286</v>
      </c>
      <c r="O34" s="382"/>
      <c r="P34" s="382"/>
      <c r="Q34" s="382"/>
      <c r="R34" s="382"/>
      <c r="S34" s="382"/>
    </row>
    <row r="35" spans="2:24">
      <c r="B35" s="733"/>
      <c r="C35" s="361">
        <v>2020</v>
      </c>
      <c r="D35" s="732"/>
      <c r="E35" s="362">
        <v>2731.7589999999996</v>
      </c>
      <c r="F35" s="368">
        <v>0.25</v>
      </c>
      <c r="G35" s="369">
        <v>2730.672</v>
      </c>
      <c r="H35" s="368">
        <v>0.27400000000000002</v>
      </c>
      <c r="I35" s="368">
        <v>0.16700000000000001</v>
      </c>
      <c r="J35" s="370">
        <v>0.14000000000000001</v>
      </c>
      <c r="L35" s="387" t="s">
        <v>287</v>
      </c>
      <c r="M35" s="388">
        <v>2019</v>
      </c>
      <c r="N35" s="389">
        <v>9399.7999999999993</v>
      </c>
      <c r="O35" s="389">
        <v>974.01</v>
      </c>
      <c r="P35" s="389">
        <v>5837.76</v>
      </c>
      <c r="Q35" s="389">
        <v>235.47</v>
      </c>
      <c r="R35" s="390">
        <v>813.31</v>
      </c>
      <c r="S35" s="391">
        <v>1539.26</v>
      </c>
    </row>
    <row r="36" spans="2:24" ht="15.75">
      <c r="B36" s="733" t="s">
        <v>288</v>
      </c>
      <c r="C36" s="355">
        <v>2019</v>
      </c>
      <c r="D36" s="732" t="s">
        <v>289</v>
      </c>
      <c r="E36" s="356">
        <v>307406.50199999969</v>
      </c>
      <c r="F36" s="366">
        <v>59.890999999999998</v>
      </c>
      <c r="G36" s="366">
        <v>307221.97099999961</v>
      </c>
      <c r="H36" s="366">
        <v>78.298000000000002</v>
      </c>
      <c r="I36" s="367">
        <v>3.1789999999999998</v>
      </c>
      <c r="J36" s="360" t="s">
        <v>258</v>
      </c>
      <c r="L36" s="392"/>
      <c r="M36" s="393">
        <v>2020</v>
      </c>
      <c r="N36" s="394">
        <v>12309.86</v>
      </c>
      <c r="O36" s="394">
        <v>976.6</v>
      </c>
      <c r="P36" s="394">
        <v>6298.25</v>
      </c>
      <c r="Q36" s="394">
        <v>257.63</v>
      </c>
      <c r="R36" s="395">
        <v>822.42</v>
      </c>
      <c r="S36" s="396">
        <v>3954.96</v>
      </c>
    </row>
    <row r="37" spans="2:24" ht="102">
      <c r="B37" s="734"/>
      <c r="C37" s="371">
        <v>2020</v>
      </c>
      <c r="D37" s="735"/>
      <c r="E37" s="372">
        <v>1069530.415</v>
      </c>
      <c r="F37" s="373">
        <v>331.05200000000002</v>
      </c>
      <c r="G37" s="374">
        <v>1068832.3289999999</v>
      </c>
      <c r="H37" s="373">
        <v>153.53399999999999</v>
      </c>
      <c r="I37" s="373">
        <v>117.21899999999999</v>
      </c>
      <c r="J37" s="375">
        <v>11.58</v>
      </c>
      <c r="L37" s="397" t="s">
        <v>290</v>
      </c>
      <c r="M37" s="398"/>
      <c r="N37" s="394"/>
      <c r="O37" s="399"/>
      <c r="P37" s="399"/>
      <c r="Q37" s="399"/>
      <c r="R37" s="400"/>
      <c r="S37" s="401"/>
    </row>
    <row r="38" spans="2:24" ht="23.25" customHeight="1">
      <c r="B38" s="736" t="s">
        <v>291</v>
      </c>
      <c r="C38" s="736"/>
      <c r="D38" s="736"/>
      <c r="E38" s="736"/>
      <c r="F38" s="736"/>
      <c r="G38" s="736"/>
      <c r="H38" s="736"/>
      <c r="I38" s="736"/>
      <c r="J38" s="736"/>
      <c r="L38" s="402"/>
      <c r="M38" s="403">
        <v>2019</v>
      </c>
      <c r="N38" s="404">
        <v>6230.95</v>
      </c>
      <c r="O38" s="404">
        <v>88.12</v>
      </c>
      <c r="P38" s="404">
        <v>4467.21</v>
      </c>
      <c r="Q38" s="404">
        <v>132.32</v>
      </c>
      <c r="R38" s="405">
        <v>4.04</v>
      </c>
      <c r="S38" s="406">
        <v>1539.26</v>
      </c>
    </row>
    <row r="39" spans="2:24">
      <c r="L39" s="402"/>
      <c r="M39" s="407">
        <v>2020</v>
      </c>
      <c r="N39" s="408">
        <v>8903.91</v>
      </c>
      <c r="O39" s="408">
        <v>89.79</v>
      </c>
      <c r="P39" s="408">
        <v>4694.8500000000004</v>
      </c>
      <c r="Q39" s="408">
        <v>153.35</v>
      </c>
      <c r="R39" s="409">
        <v>10.95</v>
      </c>
      <c r="S39" s="410">
        <v>3954.96</v>
      </c>
    </row>
    <row r="40" spans="2:24">
      <c r="L40" s="411"/>
      <c r="M40" s="412"/>
      <c r="N40" s="413"/>
      <c r="O40" s="413"/>
      <c r="P40" s="413"/>
      <c r="Q40" s="413"/>
      <c r="R40" s="414"/>
      <c r="S40" s="414"/>
    </row>
    <row r="41" spans="2:24">
      <c r="L41" s="415" t="s">
        <v>292</v>
      </c>
      <c r="M41" s="416"/>
      <c r="N41" s="416"/>
      <c r="O41" s="416"/>
      <c r="P41" s="416"/>
      <c r="Q41" s="416"/>
      <c r="R41" s="416"/>
      <c r="S41" s="416"/>
    </row>
    <row r="42" spans="2:24">
      <c r="L42" s="416" t="s">
        <v>293</v>
      </c>
      <c r="M42" s="416"/>
      <c r="N42" s="416"/>
      <c r="O42" s="416"/>
      <c r="P42" s="416"/>
      <c r="Q42" s="416"/>
      <c r="R42" s="416"/>
      <c r="S42" s="416"/>
    </row>
    <row r="43" spans="2:24">
      <c r="L43" s="416" t="s">
        <v>294</v>
      </c>
      <c r="M43" s="416"/>
      <c r="N43" s="416"/>
      <c r="O43" s="416"/>
      <c r="P43" s="416"/>
      <c r="Q43" s="416"/>
      <c r="R43" s="416"/>
      <c r="S43" s="416"/>
    </row>
    <row r="46" spans="2:24">
      <c r="X46" s="211"/>
    </row>
  </sheetData>
  <mergeCells count="12">
    <mergeCell ref="B36:B37"/>
    <mergeCell ref="D36:D37"/>
    <mergeCell ref="B38:J38"/>
    <mergeCell ref="B30:C31"/>
    <mergeCell ref="D30:D31"/>
    <mergeCell ref="E30:E31"/>
    <mergeCell ref="L31:M34"/>
    <mergeCell ref="N31:N33"/>
    <mergeCell ref="B32:B33"/>
    <mergeCell ref="D32:D33"/>
    <mergeCell ref="B34:B35"/>
    <mergeCell ref="D34:D3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80F80-C39B-423F-B1A7-178BA8EB3E91}">
  <dimension ref="B2:Z37"/>
  <sheetViews>
    <sheetView zoomScaleNormal="100" workbookViewId="0">
      <selection activeCell="J42" sqref="J42"/>
    </sheetView>
  </sheetViews>
  <sheetFormatPr defaultRowHeight="15"/>
  <cols>
    <col min="1" max="1" width="2.85546875" customWidth="1"/>
    <col min="2" max="2" width="16" customWidth="1"/>
    <col min="3" max="3" width="14.85546875" customWidth="1"/>
    <col min="4" max="4" width="13" customWidth="1"/>
    <col min="5" max="5" width="14.28515625" customWidth="1"/>
    <col min="6" max="6" width="11.7109375" customWidth="1"/>
    <col min="7" max="7" width="10.5703125" customWidth="1"/>
    <col min="8" max="8" width="13.140625" customWidth="1"/>
    <col min="9" max="13" width="10.5703125" customWidth="1"/>
    <col min="15" max="15" width="9.140625" customWidth="1"/>
  </cols>
  <sheetData>
    <row r="2" spans="2:26">
      <c r="B2" t="s">
        <v>228</v>
      </c>
    </row>
    <row r="4" spans="2:26">
      <c r="E4" s="126" t="s">
        <v>516</v>
      </c>
    </row>
    <row r="5" spans="2:26" ht="38.25">
      <c r="B5" s="122" t="s">
        <v>82</v>
      </c>
      <c r="C5" s="122" t="s">
        <v>229</v>
      </c>
      <c r="D5" s="122" t="s">
        <v>214</v>
      </c>
      <c r="E5" s="122" t="s">
        <v>215</v>
      </c>
      <c r="F5" s="122" t="s">
        <v>230</v>
      </c>
      <c r="G5" s="122" t="s">
        <v>216</v>
      </c>
      <c r="H5" s="344" t="s">
        <v>231</v>
      </c>
      <c r="I5" s="344" t="s">
        <v>232</v>
      </c>
      <c r="J5" s="344" t="s">
        <v>233</v>
      </c>
      <c r="K5" s="344" t="s">
        <v>234</v>
      </c>
      <c r="L5" s="344" t="s">
        <v>235</v>
      </c>
      <c r="M5" s="344" t="s">
        <v>236</v>
      </c>
      <c r="N5" s="344" t="s">
        <v>237</v>
      </c>
      <c r="O5" s="344" t="s">
        <v>238</v>
      </c>
      <c r="P5" s="344" t="s">
        <v>239</v>
      </c>
      <c r="Q5" s="344" t="s">
        <v>240</v>
      </c>
      <c r="R5" s="344" t="s">
        <v>241</v>
      </c>
      <c r="S5" s="344" t="s">
        <v>242</v>
      </c>
      <c r="T5" s="344" t="s">
        <v>243</v>
      </c>
      <c r="U5" s="344" t="s">
        <v>244</v>
      </c>
      <c r="V5" s="122" t="s">
        <v>245</v>
      </c>
      <c r="W5" s="344" t="s">
        <v>246</v>
      </c>
      <c r="X5" s="344" t="s">
        <v>247</v>
      </c>
      <c r="Y5" s="344" t="s">
        <v>248</v>
      </c>
      <c r="Z5" s="344" t="s">
        <v>249</v>
      </c>
    </row>
    <row r="6" spans="2:26" ht="15.75" thickBot="1">
      <c r="B6" s="123" t="s">
        <v>89</v>
      </c>
      <c r="C6" s="123"/>
      <c r="D6" s="123"/>
      <c r="E6" s="123"/>
      <c r="F6" s="123"/>
      <c r="G6" s="123" t="s">
        <v>250</v>
      </c>
      <c r="H6" s="123" t="s">
        <v>98</v>
      </c>
      <c r="I6" s="123" t="s">
        <v>98</v>
      </c>
      <c r="J6" s="123" t="s">
        <v>98</v>
      </c>
      <c r="K6" s="123" t="s">
        <v>98</v>
      </c>
      <c r="L6" s="123" t="s">
        <v>98</v>
      </c>
      <c r="M6" s="123" t="s">
        <v>98</v>
      </c>
      <c r="N6" s="123" t="s">
        <v>98</v>
      </c>
      <c r="O6" s="123" t="s">
        <v>20</v>
      </c>
      <c r="P6" s="123" t="s">
        <v>20</v>
      </c>
      <c r="Q6" s="123" t="s">
        <v>20</v>
      </c>
      <c r="R6" s="123" t="s">
        <v>20</v>
      </c>
      <c r="S6" s="123" t="s">
        <v>20</v>
      </c>
      <c r="T6" s="123" t="s">
        <v>20</v>
      </c>
      <c r="U6" s="123" t="s">
        <v>20</v>
      </c>
      <c r="V6" s="123" t="s">
        <v>251</v>
      </c>
      <c r="W6" s="123" t="s">
        <v>250</v>
      </c>
      <c r="X6" s="123" t="s">
        <v>250</v>
      </c>
      <c r="Y6" s="123" t="s">
        <v>252</v>
      </c>
      <c r="Z6" s="123" t="s">
        <v>253</v>
      </c>
    </row>
    <row r="7" spans="2:26" ht="15.75" customHeight="1">
      <c r="B7" s="419" t="str">
        <f>RSD_Procesess!D106</f>
        <v>RSD_EX_PV</v>
      </c>
      <c r="C7" s="419" t="str">
        <f>RSD_Procesess!E106</f>
        <v>Residential Photovoltaics -  Small-Scale Prosumer Installations</v>
      </c>
      <c r="D7" s="199" t="str">
        <f>RSD_Comm!D15</f>
        <v>RSD_SOL</v>
      </c>
      <c r="E7" s="199"/>
      <c r="F7" s="199"/>
      <c r="G7" s="420">
        <v>1</v>
      </c>
      <c r="H7" s="421">
        <f>H26/1000</f>
        <v>2.7306720000000002</v>
      </c>
      <c r="I7" s="421">
        <f>H7</f>
        <v>2.7306720000000002</v>
      </c>
      <c r="J7" s="421">
        <f t="shared" ref="J7:K7" si="0">I7</f>
        <v>2.7306720000000002</v>
      </c>
      <c r="K7" s="421">
        <f t="shared" si="0"/>
        <v>2.7306720000000002</v>
      </c>
      <c r="L7" s="421">
        <f>K7*2/3</f>
        <v>1.8204480000000001</v>
      </c>
      <c r="M7" s="421">
        <f>K7*1/3</f>
        <v>0.91022400000000003</v>
      </c>
      <c r="N7" s="199">
        <v>0</v>
      </c>
      <c r="O7" s="199">
        <f>F14*3.6/1000</f>
        <v>8.8473772799999999</v>
      </c>
      <c r="P7" s="199">
        <f>O7</f>
        <v>8.8473772799999999</v>
      </c>
      <c r="Q7" s="199">
        <f>P7</f>
        <v>8.8473772799999999</v>
      </c>
      <c r="R7" s="199">
        <f>Q7</f>
        <v>8.8473772799999999</v>
      </c>
      <c r="S7" s="421"/>
      <c r="T7" s="421"/>
      <c r="U7" s="199"/>
      <c r="V7" s="199">
        <v>31.536000000000001</v>
      </c>
      <c r="W7" s="199">
        <v>0</v>
      </c>
      <c r="X7" s="199">
        <f>ROUNDUP(O7/(H7*V7),2)</f>
        <v>0.11</v>
      </c>
      <c r="Y7" s="199">
        <v>130</v>
      </c>
      <c r="Z7" s="199">
        <v>0</v>
      </c>
    </row>
    <row r="8" spans="2:26" ht="15.75" customHeight="1">
      <c r="B8" s="161"/>
      <c r="C8" s="161"/>
      <c r="D8" s="161"/>
      <c r="E8" s="417" t="str">
        <f>RSD_Comm!D7</f>
        <v>RSD_ELC</v>
      </c>
      <c r="F8" s="422">
        <f>ROUND(F16/$F$14,6)</f>
        <v>0.56509200000000004</v>
      </c>
      <c r="G8" s="161"/>
      <c r="H8" s="161"/>
      <c r="I8" s="161"/>
      <c r="J8" s="161"/>
      <c r="K8" s="161"/>
      <c r="L8" s="161"/>
      <c r="M8" s="161"/>
      <c r="N8" s="161"/>
      <c r="O8" s="161"/>
      <c r="P8" s="161"/>
      <c r="Q8" s="161"/>
      <c r="R8" s="161"/>
      <c r="S8" s="161"/>
      <c r="T8" s="161"/>
      <c r="U8" s="161"/>
      <c r="V8" s="161"/>
      <c r="W8" s="161"/>
      <c r="X8" s="161"/>
      <c r="Y8" s="161"/>
      <c r="Z8" s="161"/>
    </row>
    <row r="9" spans="2:26" ht="15.75" customHeight="1" thickBot="1">
      <c r="B9" s="210"/>
      <c r="C9" s="210"/>
      <c r="D9" s="210"/>
      <c r="E9" s="423" t="s">
        <v>254</v>
      </c>
      <c r="F9" s="424">
        <f>ROUND(F17/$F$14,6)</f>
        <v>0.43490800000000002</v>
      </c>
      <c r="G9" s="425"/>
      <c r="H9" s="210"/>
      <c r="I9" s="210"/>
      <c r="J9" s="210"/>
      <c r="K9" s="210"/>
      <c r="L9" s="210"/>
      <c r="M9" s="210"/>
      <c r="N9" s="210"/>
      <c r="O9" s="210"/>
      <c r="P9" s="210"/>
      <c r="Q9" s="210"/>
      <c r="R9" s="210"/>
      <c r="S9" s="210"/>
      <c r="T9" s="210"/>
      <c r="U9" s="210"/>
      <c r="V9" s="210"/>
      <c r="W9" s="210"/>
      <c r="X9" s="210"/>
      <c r="Y9" s="210"/>
      <c r="Z9" s="210"/>
    </row>
    <row r="10" spans="2:26" ht="15.75" thickBot="1">
      <c r="G10" s="345"/>
    </row>
    <row r="11" spans="2:26">
      <c r="E11" s="427" t="s">
        <v>255</v>
      </c>
      <c r="F11" s="428">
        <f>H7</f>
        <v>2.7306720000000002</v>
      </c>
      <c r="G11" s="429" t="s">
        <v>98</v>
      </c>
    </row>
    <row r="12" spans="2:26">
      <c r="E12" s="430" t="s">
        <v>256</v>
      </c>
      <c r="F12" s="426">
        <v>900</v>
      </c>
      <c r="G12" s="431" t="s">
        <v>257</v>
      </c>
    </row>
    <row r="13" spans="2:26">
      <c r="E13" s="430" t="s">
        <v>247</v>
      </c>
      <c r="F13" s="439">
        <f>F12/8760</f>
        <v>0.10273972602739725</v>
      </c>
      <c r="G13" s="438" t="s">
        <v>258</v>
      </c>
    </row>
    <row r="14" spans="2:26">
      <c r="E14" s="430" t="s">
        <v>259</v>
      </c>
      <c r="F14" s="435">
        <f>F11*F12</f>
        <v>2457.6048000000001</v>
      </c>
      <c r="G14" s="431" t="s">
        <v>260</v>
      </c>
    </row>
    <row r="15" spans="2:26">
      <c r="E15" s="433" t="s">
        <v>261</v>
      </c>
      <c r="F15" s="436"/>
      <c r="G15" s="432"/>
      <c r="H15" s="346"/>
    </row>
    <row r="16" spans="2:26">
      <c r="E16" s="440" t="s">
        <v>18</v>
      </c>
      <c r="F16" s="436">
        <f>F14-F17</f>
        <v>1388.7724710000002</v>
      </c>
      <c r="G16" s="432" t="s">
        <v>260</v>
      </c>
      <c r="H16" s="346"/>
    </row>
    <row r="17" spans="2:20" ht="15.75" thickBot="1">
      <c r="E17" s="441" t="s">
        <v>254</v>
      </c>
      <c r="F17" s="437">
        <f>H28/1000</f>
        <v>1068.8323289999998</v>
      </c>
      <c r="G17" s="434" t="s">
        <v>260</v>
      </c>
      <c r="H17" s="346"/>
    </row>
    <row r="19" spans="2:20">
      <c r="B19" s="348" t="s">
        <v>262</v>
      </c>
      <c r="C19" s="349"/>
      <c r="D19" s="349"/>
      <c r="E19" s="349"/>
      <c r="F19" s="349"/>
      <c r="G19" s="349"/>
      <c r="H19" s="349"/>
      <c r="I19" s="349"/>
      <c r="J19" s="349"/>
      <c r="K19" s="347"/>
      <c r="M19" s="376" t="s">
        <v>263</v>
      </c>
      <c r="N19" s="377"/>
      <c r="O19" s="377"/>
      <c r="P19" s="377"/>
      <c r="Q19" s="377"/>
      <c r="R19" s="377"/>
      <c r="S19" s="377"/>
      <c r="T19" s="377"/>
    </row>
    <row r="20" spans="2:20">
      <c r="B20" s="350" t="s">
        <v>264</v>
      </c>
      <c r="C20" s="349"/>
      <c r="D20" s="349"/>
      <c r="E20" s="349"/>
      <c r="F20" s="349"/>
      <c r="G20" s="349"/>
      <c r="H20" s="349"/>
      <c r="I20" s="349"/>
      <c r="J20" s="349"/>
      <c r="K20" s="347"/>
      <c r="M20" s="376" t="s">
        <v>265</v>
      </c>
      <c r="N20" s="377"/>
      <c r="O20" s="377"/>
      <c r="P20" s="377"/>
      <c r="Q20" s="377"/>
      <c r="R20" s="377"/>
      <c r="S20" s="378"/>
      <c r="T20" s="347"/>
    </row>
    <row r="21" spans="2:20">
      <c r="B21" s="737" t="s">
        <v>266</v>
      </c>
      <c r="C21" s="738"/>
      <c r="D21" s="738" t="s">
        <v>267</v>
      </c>
      <c r="E21" s="741" t="s">
        <v>268</v>
      </c>
      <c r="F21" s="351" t="s">
        <v>269</v>
      </c>
      <c r="G21" s="351"/>
      <c r="H21" s="352"/>
      <c r="I21" s="352"/>
      <c r="J21" s="352"/>
      <c r="K21" s="352"/>
      <c r="M21" s="379"/>
      <c r="N21" s="379"/>
      <c r="O21" s="379"/>
      <c r="P21" s="379"/>
      <c r="Q21" s="379"/>
      <c r="R21" s="379"/>
      <c r="S21" s="379"/>
      <c r="T21" s="347"/>
    </row>
    <row r="22" spans="2:20" ht="36">
      <c r="B22" s="739"/>
      <c r="C22" s="740"/>
      <c r="D22" s="740"/>
      <c r="E22" s="742"/>
      <c r="F22" s="353" t="s">
        <v>270</v>
      </c>
      <c r="G22" s="353" t="s">
        <v>271</v>
      </c>
      <c r="H22" s="354" t="s">
        <v>272</v>
      </c>
      <c r="I22" s="354" t="s">
        <v>273</v>
      </c>
      <c r="J22" s="354" t="s">
        <v>274</v>
      </c>
      <c r="K22" s="354" t="s">
        <v>275</v>
      </c>
      <c r="M22" s="720" t="s">
        <v>266</v>
      </c>
      <c r="N22" s="721"/>
      <c r="O22" s="726" t="s">
        <v>276</v>
      </c>
      <c r="P22" s="380" t="s">
        <v>277</v>
      </c>
      <c r="Q22" s="381"/>
      <c r="R22" s="381"/>
      <c r="S22" s="381"/>
      <c r="T22" s="381"/>
    </row>
    <row r="23" spans="2:20" ht="15.75">
      <c r="B23" s="729" t="s">
        <v>278</v>
      </c>
      <c r="C23" s="355">
        <v>2019</v>
      </c>
      <c r="D23" s="731" t="s">
        <v>279</v>
      </c>
      <c r="E23" s="356">
        <v>144940</v>
      </c>
      <c r="F23" s="357">
        <v>8</v>
      </c>
      <c r="G23" s="357">
        <v>56</v>
      </c>
      <c r="H23" s="358">
        <v>144856</v>
      </c>
      <c r="I23" s="358">
        <v>17</v>
      </c>
      <c r="J23" s="359">
        <v>3</v>
      </c>
      <c r="K23" s="360" t="s">
        <v>258</v>
      </c>
      <c r="M23" s="722"/>
      <c r="N23" s="723"/>
      <c r="O23" s="727"/>
      <c r="P23" s="382" t="s">
        <v>280</v>
      </c>
      <c r="Q23" s="382"/>
      <c r="R23" s="382"/>
      <c r="S23" s="382"/>
      <c r="T23" s="382"/>
    </row>
    <row r="24" spans="2:20" ht="25.5">
      <c r="B24" s="730"/>
      <c r="C24" s="361">
        <v>2020</v>
      </c>
      <c r="D24" s="732"/>
      <c r="E24" s="362">
        <v>435455</v>
      </c>
      <c r="F24" s="363">
        <v>18</v>
      </c>
      <c r="G24" s="363">
        <v>67</v>
      </c>
      <c r="H24" s="364">
        <v>435314</v>
      </c>
      <c r="I24" s="363">
        <v>29</v>
      </c>
      <c r="J24" s="363">
        <v>10</v>
      </c>
      <c r="K24" s="365">
        <v>17</v>
      </c>
      <c r="M24" s="722"/>
      <c r="N24" s="723"/>
      <c r="O24" s="728"/>
      <c r="P24" s="23" t="s">
        <v>281</v>
      </c>
      <c r="Q24" s="23" t="s">
        <v>282</v>
      </c>
      <c r="R24" s="383" t="s">
        <v>274</v>
      </c>
      <c r="S24" s="384" t="s">
        <v>283</v>
      </c>
      <c r="T24" s="385" t="s">
        <v>284</v>
      </c>
    </row>
    <row r="25" spans="2:20" ht="15.75">
      <c r="B25" s="733" t="s">
        <v>285</v>
      </c>
      <c r="C25" s="355">
        <v>2019</v>
      </c>
      <c r="D25" s="732" t="s">
        <v>286</v>
      </c>
      <c r="E25" s="356">
        <v>827.60599999999954</v>
      </c>
      <c r="F25" s="366">
        <v>8.6000000000000007E-2</v>
      </c>
      <c r="G25" s="366">
        <v>0.19400000000000001</v>
      </c>
      <c r="H25" s="366">
        <v>827.0829999999994</v>
      </c>
      <c r="I25" s="366">
        <v>0.155</v>
      </c>
      <c r="J25" s="367">
        <v>8.7999999999999995E-2</v>
      </c>
      <c r="K25" s="360" t="s">
        <v>258</v>
      </c>
      <c r="M25" s="724"/>
      <c r="N25" s="725"/>
      <c r="O25" s="386" t="s">
        <v>286</v>
      </c>
      <c r="P25" s="382"/>
      <c r="Q25" s="382"/>
      <c r="R25" s="382"/>
      <c r="S25" s="382"/>
      <c r="T25" s="382"/>
    </row>
    <row r="26" spans="2:20">
      <c r="B26" s="733"/>
      <c r="C26" s="361">
        <v>2020</v>
      </c>
      <c r="D26" s="732"/>
      <c r="E26" s="362">
        <v>2731.7589999999996</v>
      </c>
      <c r="F26" s="368">
        <v>0.25</v>
      </c>
      <c r="G26" s="368">
        <v>0.25600000000000001</v>
      </c>
      <c r="H26" s="369">
        <v>2730.672</v>
      </c>
      <c r="I26" s="368">
        <v>0.27400000000000002</v>
      </c>
      <c r="J26" s="368">
        <v>0.16700000000000001</v>
      </c>
      <c r="K26" s="370">
        <v>0.14000000000000001</v>
      </c>
      <c r="M26" s="387" t="s">
        <v>287</v>
      </c>
      <c r="N26" s="388">
        <v>2019</v>
      </c>
      <c r="O26" s="389">
        <v>9399.7999999999993</v>
      </c>
      <c r="P26" s="389">
        <v>974.01</v>
      </c>
      <c r="Q26" s="389">
        <v>5837.76</v>
      </c>
      <c r="R26" s="389">
        <v>235.47</v>
      </c>
      <c r="S26" s="390">
        <v>813.31</v>
      </c>
      <c r="T26" s="391">
        <v>1539.26</v>
      </c>
    </row>
    <row r="27" spans="2:20" ht="15.75">
      <c r="B27" s="733" t="s">
        <v>288</v>
      </c>
      <c r="C27" s="355">
        <v>2019</v>
      </c>
      <c r="D27" s="732" t="s">
        <v>289</v>
      </c>
      <c r="E27" s="356">
        <v>307406.50199999969</v>
      </c>
      <c r="F27" s="366">
        <v>59.890999999999998</v>
      </c>
      <c r="G27" s="366">
        <v>43.163000000000004</v>
      </c>
      <c r="H27" s="366">
        <v>307221.97099999961</v>
      </c>
      <c r="I27" s="366">
        <v>78.298000000000002</v>
      </c>
      <c r="J27" s="367">
        <v>3.1789999999999998</v>
      </c>
      <c r="K27" s="360" t="s">
        <v>258</v>
      </c>
      <c r="M27" s="392"/>
      <c r="N27" s="393">
        <v>2020</v>
      </c>
      <c r="O27" s="394">
        <v>12309.86</v>
      </c>
      <c r="P27" s="394">
        <v>976.6</v>
      </c>
      <c r="Q27" s="394">
        <v>6298.25</v>
      </c>
      <c r="R27" s="394">
        <v>257.63</v>
      </c>
      <c r="S27" s="395">
        <v>822.42</v>
      </c>
      <c r="T27" s="396">
        <v>3954.96</v>
      </c>
    </row>
    <row r="28" spans="2:20" ht="63.75">
      <c r="B28" s="734"/>
      <c r="C28" s="371">
        <v>2020</v>
      </c>
      <c r="D28" s="735"/>
      <c r="E28" s="372">
        <v>1069530.415</v>
      </c>
      <c r="F28" s="373">
        <v>331.05200000000002</v>
      </c>
      <c r="G28" s="373">
        <v>84.700999999999993</v>
      </c>
      <c r="H28" s="374">
        <v>1068832.3289999999</v>
      </c>
      <c r="I28" s="373">
        <v>153.53399999999999</v>
      </c>
      <c r="J28" s="373">
        <v>117.21899999999999</v>
      </c>
      <c r="K28" s="375">
        <v>11.58</v>
      </c>
      <c r="M28" s="397" t="s">
        <v>290</v>
      </c>
      <c r="N28" s="398"/>
      <c r="O28" s="394"/>
      <c r="P28" s="399"/>
      <c r="Q28" s="399"/>
      <c r="R28" s="399"/>
      <c r="S28" s="400"/>
      <c r="T28" s="401"/>
    </row>
    <row r="29" spans="2:20" ht="23.25" customHeight="1">
      <c r="B29" s="736" t="s">
        <v>291</v>
      </c>
      <c r="C29" s="736"/>
      <c r="D29" s="736"/>
      <c r="E29" s="736"/>
      <c r="F29" s="736"/>
      <c r="G29" s="736"/>
      <c r="H29" s="736"/>
      <c r="I29" s="736"/>
      <c r="J29" s="736"/>
      <c r="K29" s="736"/>
      <c r="M29" s="402"/>
      <c r="N29" s="403">
        <v>2019</v>
      </c>
      <c r="O29" s="404">
        <v>6230.95</v>
      </c>
      <c r="P29" s="404">
        <v>88.12</v>
      </c>
      <c r="Q29" s="404">
        <v>4467.21</v>
      </c>
      <c r="R29" s="404">
        <v>132.32</v>
      </c>
      <c r="S29" s="405">
        <v>4.04</v>
      </c>
      <c r="T29" s="406">
        <v>1539.26</v>
      </c>
    </row>
    <row r="30" spans="2:20">
      <c r="M30" s="402"/>
      <c r="N30" s="407">
        <v>2020</v>
      </c>
      <c r="O30" s="408">
        <v>8903.91</v>
      </c>
      <c r="P30" s="408">
        <v>89.79</v>
      </c>
      <c r="Q30" s="408">
        <v>4694.8500000000004</v>
      </c>
      <c r="R30" s="408">
        <v>153.35</v>
      </c>
      <c r="S30" s="409">
        <v>10.95</v>
      </c>
      <c r="T30" s="410">
        <v>3954.96</v>
      </c>
    </row>
    <row r="31" spans="2:20">
      <c r="M31" s="411"/>
      <c r="N31" s="412"/>
      <c r="O31" s="413"/>
      <c r="P31" s="413"/>
      <c r="Q31" s="413"/>
      <c r="R31" s="413"/>
      <c r="S31" s="414"/>
      <c r="T31" s="414"/>
    </row>
    <row r="32" spans="2:20">
      <c r="M32" s="415" t="s">
        <v>292</v>
      </c>
      <c r="N32" s="416"/>
      <c r="O32" s="416"/>
      <c r="P32" s="416"/>
      <c r="Q32" s="416"/>
      <c r="R32" s="416"/>
      <c r="S32" s="416"/>
      <c r="T32" s="416"/>
    </row>
    <row r="33" spans="13:25">
      <c r="M33" s="416" t="s">
        <v>293</v>
      </c>
      <c r="N33" s="416"/>
      <c r="O33" s="416"/>
      <c r="P33" s="416"/>
      <c r="Q33" s="416"/>
      <c r="R33" s="416"/>
      <c r="S33" s="416"/>
      <c r="T33" s="416"/>
    </row>
    <row r="34" spans="13:25">
      <c r="M34" s="416" t="s">
        <v>294</v>
      </c>
      <c r="N34" s="416"/>
      <c r="O34" s="416"/>
      <c r="P34" s="416"/>
      <c r="Q34" s="416"/>
      <c r="R34" s="416"/>
      <c r="S34" s="416"/>
      <c r="T34" s="416"/>
    </row>
    <row r="37" spans="13:25">
      <c r="Y37" s="211"/>
    </row>
  </sheetData>
  <mergeCells count="12">
    <mergeCell ref="B29:K29"/>
    <mergeCell ref="B21:C22"/>
    <mergeCell ref="D21:D22"/>
    <mergeCell ref="E21:E22"/>
    <mergeCell ref="B23:B24"/>
    <mergeCell ref="D23:D24"/>
    <mergeCell ref="M22:N25"/>
    <mergeCell ref="O22:O24"/>
    <mergeCell ref="B25:B26"/>
    <mergeCell ref="D25:D26"/>
    <mergeCell ref="B27:B28"/>
    <mergeCell ref="D27:D28"/>
  </mergeCells>
  <pageMargins left="0.7" right="0.7" top="0.75" bottom="0.75" header="0.3" footer="0.3"/>
  <pageSetup paperSize="9" orientation="portrait" horizontalDpi="4294967295" verticalDpi="4294967295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7D98A4600D5044F9F854C890D6CC50E" ma:contentTypeVersion="16" ma:contentTypeDescription="Create a new document." ma:contentTypeScope="" ma:versionID="c8a3173f591826d139beec1ab1c321b3">
  <xsd:schema xmlns:xsd="http://www.w3.org/2001/XMLSchema" xmlns:xs="http://www.w3.org/2001/XMLSchema" xmlns:p="http://schemas.microsoft.com/office/2006/metadata/properties" xmlns:ns2="8acd6055-54fc-4ce7-b3df-0a09834a0329" xmlns:ns3="708d6b01-37ca-4db4-bc7f-9b68f32c58b8" targetNamespace="http://schemas.microsoft.com/office/2006/metadata/properties" ma:root="true" ma:fieldsID="d6c64c9e569b4593220799f669190593" ns2:_="" ns3:_="">
    <xsd:import namespace="8acd6055-54fc-4ce7-b3df-0a09834a0329"/>
    <xsd:import namespace="708d6b01-37ca-4db4-bc7f-9b68f32c58b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acd6055-54fc-4ce7-b3df-0a09834a032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b7b31e59-74a4-4436-bc03-9931855e0d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8d6b01-37ca-4db4-bc7f-9b68f32c58b8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e537aeef-642e-4eb7-94fb-2196cf330a1a}" ma:internalName="TaxCatchAll" ma:showField="CatchAllData" ma:web="708d6b01-37ca-4db4-bc7f-9b68f32c58b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acd6055-54fc-4ce7-b3df-0a09834a0329">
      <Terms xmlns="http://schemas.microsoft.com/office/infopath/2007/PartnerControls"/>
    </lcf76f155ced4ddcb4097134ff3c332f>
    <TaxCatchAll xmlns="708d6b01-37ca-4db4-bc7f-9b68f32c58b8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A4E7A88-3926-4732-9B48-14D1F22E596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acd6055-54fc-4ce7-b3df-0a09834a0329"/>
    <ds:schemaRef ds:uri="708d6b01-37ca-4db4-bc7f-9b68f32c58b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9C1EBCF-4F3D-4D35-9F78-59B34E5D28BC}">
  <ds:schemaRefs>
    <ds:schemaRef ds:uri="708d6b01-37ca-4db4-bc7f-9b68f32c58b8"/>
    <ds:schemaRef ds:uri="8acd6055-54fc-4ce7-b3df-0a09834a0329"/>
    <ds:schemaRef ds:uri="http://schemas.microsoft.com/office/2006/metadata/properties"/>
    <ds:schemaRef ds:uri="http://purl.org/dc/terms/"/>
    <ds:schemaRef ds:uri="http://www.w3.org/XML/1998/namespace"/>
    <ds:schemaRef ds:uri="http://purl.org/dc/dcmitype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7DE2FAC6-8664-4B8C-A0F4-3CBD8991EFB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Cover</vt:lpstr>
      <vt:lpstr>Metadane</vt:lpstr>
      <vt:lpstr>UI_Budynki_Istniejące</vt:lpstr>
      <vt:lpstr>UI_Termomodernizacja</vt:lpstr>
      <vt:lpstr>RSD_Comm</vt:lpstr>
      <vt:lpstr>RSD_Procesess</vt:lpstr>
      <vt:lpstr>SECTF</vt:lpstr>
      <vt:lpstr>KLiSE</vt:lpstr>
      <vt:lpstr>RSD_PP</vt:lpstr>
      <vt:lpstr>BUILD_STOCK</vt:lpstr>
      <vt:lpstr>U-VALUES</vt:lpstr>
      <vt:lpstr>HDD</vt:lpstr>
      <vt:lpstr>Detached</vt:lpstr>
      <vt:lpstr>Semidetached</vt:lpstr>
      <vt:lpstr>Flat</vt:lpstr>
      <vt:lpstr>RSD_SH_TECH</vt:lpstr>
      <vt:lpstr>RSD_WH_TECH</vt:lpstr>
      <vt:lpstr>RSD_COOK_TECH</vt:lpstr>
      <vt:lpstr>RSD_ELC_APPL</vt:lpstr>
      <vt:lpstr>EMISS</vt:lpstr>
    </vt:vector>
  </TitlesOfParts>
  <Manager/>
  <Company>Microsoft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Rocco2</dc:creator>
  <cp:keywords/>
  <dc:description/>
  <cp:lastModifiedBy>awyrwa</cp:lastModifiedBy>
  <cp:revision/>
  <dcterms:created xsi:type="dcterms:W3CDTF">2014-12-22T10:04:48Z</dcterms:created>
  <dcterms:modified xsi:type="dcterms:W3CDTF">2025-04-01T14:02:03Z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0x010100A7D98A4600D5044F9F854C890D6CC50E</vt:lpwstr>
  </property>
  <property fmtid="{D5CDD505-2E9C-101B-9397-08002B2CF9AE}" pid="3" name="MediaServiceImageTags">
    <vt:lpwstr/>
  </property>
  <property fmtid="{D5CDD505-2E9C-101B-9397-08002B2CF9AE}" pid="4" name="Order">
    <vt:r8>2000</vt:r8>
  </property>
  <property fmtid="{D5CDD505-2E9C-101B-9397-08002B2CF9AE}" pid="5" name="xd_Signature">
    <vt:bool>false</vt:bool>
  </property>
  <property fmtid="{D5CDD505-2E9C-101B-9397-08002B2CF9AE}" pid="6" name="xd_ProgID">
    <vt:lpwstr/>
  </property>
  <property fmtid="{D5CDD505-2E9C-101B-9397-08002B2CF9AE}" pid="7" name="TriggerFlowInfo">
    <vt:lpwstr/>
  </property>
  <property fmtid="{D5CDD505-2E9C-101B-9397-08002B2CF9AE}" pid="8" name="ComplianceAssetId">
    <vt:lpwstr/>
  </property>
  <property fmtid="{D5CDD505-2E9C-101B-9397-08002B2CF9AE}" pid="9" name="TemplateUrl">
    <vt:lpwstr/>
  </property>
  <property fmtid="{D5CDD505-2E9C-101B-9397-08002B2CF9AE}" pid="10" name="_ExtendedDescription">
    <vt:lpwstr/>
  </property>
  <property fmtid="{D5CDD505-2E9C-101B-9397-08002B2CF9AE}" pid="11" name="SaveCode">
    <vt:r8>709142029285430</vt:r8>
  </property>
</Properties>
</file>