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-460" windowWidth="25600" windowHeight="16000" tabRatio="760" activeTab="4"/>
  </bookViews>
  <sheets>
    <sheet name="Step-1-Cost &amp; Revenues" sheetId="2" r:id="rId1"/>
    <sheet name="Step-1-Plan-3 vs Plan-4" sheetId="6" r:id="rId2"/>
    <sheet name="Step-1-Regression" sheetId="7" r:id="rId3"/>
    <sheet name="Step-2-WACC" sheetId="3" r:id="rId4"/>
    <sheet name="Step-3&amp;4-AT Analysis" sheetId="4" r:id="rId5"/>
    <sheet name="Step-4--Summary-in terms of PW" sheetId="5" r:id="rId6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E22" i="5"/>
  <c r="D22" i="5"/>
  <c r="C22" i="5"/>
  <c r="B22" i="5"/>
  <c r="E21" i="5"/>
  <c r="D21" i="5"/>
  <c r="C21" i="5"/>
  <c r="B21" i="5"/>
  <c r="H19" i="5"/>
  <c r="B22" i="3"/>
  <c r="C38" i="2"/>
  <c r="C42" i="2"/>
  <c r="C26" i="2"/>
  <c r="E10" i="3"/>
  <c r="H10" i="3"/>
  <c r="B10" i="3"/>
  <c r="T5" i="7"/>
  <c r="C13" i="2"/>
  <c r="B42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40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5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40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5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40" i="7"/>
  <c r="T39" i="7"/>
  <c r="S39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4" i="7"/>
  <c r="S4" i="7"/>
  <c r="B41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40" i="7"/>
  <c r="C3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5" i="7"/>
  <c r="C4" i="7"/>
  <c r="B4" i="7"/>
  <c r="B39" i="7"/>
  <c r="C39" i="2"/>
  <c r="G38" i="2"/>
  <c r="B52" i="4"/>
  <c r="F52" i="4"/>
  <c r="G52" i="4"/>
  <c r="H52" i="4"/>
  <c r="P52" i="4"/>
  <c r="Q52" i="4"/>
  <c r="R52" i="4"/>
  <c r="P53" i="4"/>
  <c r="Q53" i="4"/>
  <c r="R53" i="4"/>
  <c r="P54" i="4"/>
  <c r="Q54" i="4"/>
  <c r="R54" i="4"/>
  <c r="P55" i="4"/>
  <c r="Q55" i="4"/>
  <c r="R55" i="4"/>
  <c r="P56" i="4"/>
  <c r="Q56" i="4"/>
  <c r="R56" i="4"/>
  <c r="P57" i="4"/>
  <c r="Q57" i="4"/>
  <c r="R57" i="4"/>
  <c r="P58" i="4"/>
  <c r="Q58" i="4"/>
  <c r="R58" i="4"/>
  <c r="P59" i="4"/>
  <c r="Q59" i="4"/>
  <c r="R59" i="4"/>
  <c r="P60" i="4"/>
  <c r="Q60" i="4"/>
  <c r="R60" i="4"/>
  <c r="P61" i="4"/>
  <c r="Q61" i="4"/>
  <c r="R61" i="4"/>
  <c r="P62" i="4"/>
  <c r="Q62" i="4"/>
  <c r="R62" i="4"/>
  <c r="P63" i="4"/>
  <c r="Q63" i="4"/>
  <c r="R63" i="4"/>
  <c r="P64" i="4"/>
  <c r="Q64" i="4"/>
  <c r="R64" i="4"/>
  <c r="P65" i="4"/>
  <c r="Q65" i="4"/>
  <c r="R65" i="4"/>
  <c r="P66" i="4"/>
  <c r="Q66" i="4"/>
  <c r="R66" i="4"/>
  <c r="P67" i="4"/>
  <c r="Q67" i="4"/>
  <c r="R67" i="4"/>
  <c r="P68" i="4"/>
  <c r="Q68" i="4"/>
  <c r="R68" i="4"/>
  <c r="P69" i="4"/>
  <c r="Q69" i="4"/>
  <c r="R69" i="4"/>
  <c r="P70" i="4"/>
  <c r="Q70" i="4"/>
  <c r="R70" i="4"/>
  <c r="P71" i="4"/>
  <c r="Q71" i="4"/>
  <c r="R71" i="4"/>
  <c r="P72" i="4"/>
  <c r="Q72" i="4"/>
  <c r="R72" i="4"/>
  <c r="P73" i="4"/>
  <c r="Q73" i="4"/>
  <c r="R73" i="4"/>
  <c r="P74" i="4"/>
  <c r="Q74" i="4"/>
  <c r="R74" i="4"/>
  <c r="P75" i="4"/>
  <c r="Q75" i="4"/>
  <c r="R75" i="4"/>
  <c r="P76" i="4"/>
  <c r="Q76" i="4"/>
  <c r="R76" i="4"/>
  <c r="P77" i="4"/>
  <c r="Q77" i="4"/>
  <c r="R77" i="4"/>
  <c r="P78" i="4"/>
  <c r="Q78" i="4"/>
  <c r="R78" i="4"/>
  <c r="P79" i="4"/>
  <c r="Q79" i="4"/>
  <c r="R79" i="4"/>
  <c r="P80" i="4"/>
  <c r="Q80" i="4"/>
  <c r="R80" i="4"/>
  <c r="O82" i="4"/>
  <c r="P81" i="4"/>
  <c r="Q81" i="4"/>
  <c r="R81" i="4"/>
  <c r="R51" i="4"/>
  <c r="R82" i="4"/>
  <c r="C8" i="5"/>
  <c r="I33" i="6"/>
  <c r="C4" i="6"/>
  <c r="B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N5" i="6"/>
  <c r="D35" i="6"/>
  <c r="J33" i="6"/>
  <c r="J35" i="6"/>
  <c r="H38" i="2"/>
  <c r="B12" i="4"/>
  <c r="F12" i="4"/>
  <c r="G12" i="4"/>
  <c r="H12" i="4"/>
  <c r="H39" i="2"/>
  <c r="B13" i="4"/>
  <c r="F13" i="4"/>
  <c r="G13" i="4"/>
  <c r="H13" i="4"/>
  <c r="H40" i="2"/>
  <c r="B14" i="4"/>
  <c r="F14" i="4"/>
  <c r="G14" i="4"/>
  <c r="H14" i="4"/>
  <c r="H41" i="2"/>
  <c r="B15" i="4"/>
  <c r="F15" i="4"/>
  <c r="G15" i="4"/>
  <c r="H15" i="4"/>
  <c r="H42" i="2"/>
  <c r="B16" i="4"/>
  <c r="F16" i="4"/>
  <c r="G16" i="4"/>
  <c r="H16" i="4"/>
  <c r="H43" i="2"/>
  <c r="B17" i="4"/>
  <c r="F17" i="4"/>
  <c r="G17" i="4"/>
  <c r="H17" i="4"/>
  <c r="H44" i="2"/>
  <c r="B18" i="4"/>
  <c r="F18" i="4"/>
  <c r="G18" i="4"/>
  <c r="H18" i="4"/>
  <c r="H45" i="2"/>
  <c r="B19" i="4"/>
  <c r="F19" i="4"/>
  <c r="G19" i="4"/>
  <c r="H19" i="4"/>
  <c r="H46" i="2"/>
  <c r="B20" i="4"/>
  <c r="F20" i="4"/>
  <c r="G20" i="4"/>
  <c r="H20" i="4"/>
  <c r="H47" i="2"/>
  <c r="B21" i="4"/>
  <c r="F21" i="4"/>
  <c r="G21" i="4"/>
  <c r="H21" i="4"/>
  <c r="H48" i="2"/>
  <c r="B22" i="4"/>
  <c r="F22" i="4"/>
  <c r="G22" i="4"/>
  <c r="H22" i="4"/>
  <c r="H49" i="2"/>
  <c r="B23" i="4"/>
  <c r="F23" i="4"/>
  <c r="G23" i="4"/>
  <c r="H23" i="4"/>
  <c r="H50" i="2"/>
  <c r="B24" i="4"/>
  <c r="F24" i="4"/>
  <c r="G24" i="4"/>
  <c r="H24" i="4"/>
  <c r="H51" i="2"/>
  <c r="B25" i="4"/>
  <c r="F25" i="4"/>
  <c r="G25" i="4"/>
  <c r="H25" i="4"/>
  <c r="H52" i="2"/>
  <c r="B26" i="4"/>
  <c r="F26" i="4"/>
  <c r="G26" i="4"/>
  <c r="H26" i="4"/>
  <c r="H53" i="2"/>
  <c r="B27" i="4"/>
  <c r="F27" i="4"/>
  <c r="G27" i="4"/>
  <c r="H27" i="4"/>
  <c r="H54" i="2"/>
  <c r="B28" i="4"/>
  <c r="F28" i="4"/>
  <c r="G28" i="4"/>
  <c r="H28" i="4"/>
  <c r="H55" i="2"/>
  <c r="B29" i="4"/>
  <c r="F29" i="4"/>
  <c r="G29" i="4"/>
  <c r="H29" i="4"/>
  <c r="H56" i="2"/>
  <c r="B30" i="4"/>
  <c r="F30" i="4"/>
  <c r="G30" i="4"/>
  <c r="H30" i="4"/>
  <c r="H57" i="2"/>
  <c r="B31" i="4"/>
  <c r="F31" i="4"/>
  <c r="G31" i="4"/>
  <c r="H31" i="4"/>
  <c r="H58" i="2"/>
  <c r="B32" i="4"/>
  <c r="F32" i="4"/>
  <c r="G32" i="4"/>
  <c r="H32" i="4"/>
  <c r="H59" i="2"/>
  <c r="B33" i="4"/>
  <c r="F33" i="4"/>
  <c r="G33" i="4"/>
  <c r="H33" i="4"/>
  <c r="H60" i="2"/>
  <c r="B34" i="4"/>
  <c r="F34" i="4"/>
  <c r="G34" i="4"/>
  <c r="H34" i="4"/>
  <c r="H61" i="2"/>
  <c r="B35" i="4"/>
  <c r="F35" i="4"/>
  <c r="G35" i="4"/>
  <c r="H35" i="4"/>
  <c r="H62" i="2"/>
  <c r="B36" i="4"/>
  <c r="F36" i="4"/>
  <c r="G36" i="4"/>
  <c r="H36" i="4"/>
  <c r="H63" i="2"/>
  <c r="B37" i="4"/>
  <c r="F37" i="4"/>
  <c r="G37" i="4"/>
  <c r="H37" i="4"/>
  <c r="H64" i="2"/>
  <c r="B38" i="4"/>
  <c r="F38" i="4"/>
  <c r="G38" i="4"/>
  <c r="H38" i="4"/>
  <c r="H65" i="2"/>
  <c r="B39" i="4"/>
  <c r="F39" i="4"/>
  <c r="G39" i="4"/>
  <c r="H39" i="4"/>
  <c r="H66" i="2"/>
  <c r="B40" i="4"/>
  <c r="F40" i="4"/>
  <c r="G40" i="4"/>
  <c r="H40" i="4"/>
  <c r="H67" i="2"/>
  <c r="B41" i="4"/>
  <c r="F41" i="4"/>
  <c r="G41" i="4"/>
  <c r="H41" i="4"/>
  <c r="H42" i="4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" i="6"/>
  <c r="H33" i="6"/>
  <c r="H3" i="6"/>
  <c r="D3" i="6"/>
  <c r="B3" i="6"/>
  <c r="N41" i="4"/>
  <c r="C12" i="4"/>
  <c r="D12" i="4"/>
  <c r="C13" i="4"/>
  <c r="AH12" i="4"/>
  <c r="AL12" i="4"/>
  <c r="AM12" i="4"/>
  <c r="AN12" i="4"/>
  <c r="AH13" i="4"/>
  <c r="AL13" i="4"/>
  <c r="AM13" i="4"/>
  <c r="AN13" i="4"/>
  <c r="AH14" i="4"/>
  <c r="AL14" i="4"/>
  <c r="AM14" i="4"/>
  <c r="AN14" i="4"/>
  <c r="AH15" i="4"/>
  <c r="AL15" i="4"/>
  <c r="AM15" i="4"/>
  <c r="AN15" i="4"/>
  <c r="AH16" i="4"/>
  <c r="AL16" i="4"/>
  <c r="AM16" i="4"/>
  <c r="AN16" i="4"/>
  <c r="AH17" i="4"/>
  <c r="AL17" i="4"/>
  <c r="AM17" i="4"/>
  <c r="AN17" i="4"/>
  <c r="AH18" i="4"/>
  <c r="AL18" i="4"/>
  <c r="AM18" i="4"/>
  <c r="AN18" i="4"/>
  <c r="AH19" i="4"/>
  <c r="AL19" i="4"/>
  <c r="AM19" i="4"/>
  <c r="AN19" i="4"/>
  <c r="AH20" i="4"/>
  <c r="AL20" i="4"/>
  <c r="AM20" i="4"/>
  <c r="AN20" i="4"/>
  <c r="AH21" i="4"/>
  <c r="AL21" i="4"/>
  <c r="AM21" i="4"/>
  <c r="AN21" i="4"/>
  <c r="AH22" i="4"/>
  <c r="AL22" i="4"/>
  <c r="AM22" i="4"/>
  <c r="AN22" i="4"/>
  <c r="AH23" i="4"/>
  <c r="AL23" i="4"/>
  <c r="AM23" i="4"/>
  <c r="AN23" i="4"/>
  <c r="AH24" i="4"/>
  <c r="AL24" i="4"/>
  <c r="AM24" i="4"/>
  <c r="AN24" i="4"/>
  <c r="AH25" i="4"/>
  <c r="AL25" i="4"/>
  <c r="AM25" i="4"/>
  <c r="AN25" i="4"/>
  <c r="AH26" i="4"/>
  <c r="AL26" i="4"/>
  <c r="AM26" i="4"/>
  <c r="AN26" i="4"/>
  <c r="AH27" i="4"/>
  <c r="AL27" i="4"/>
  <c r="AM27" i="4"/>
  <c r="AN27" i="4"/>
  <c r="AH28" i="4"/>
  <c r="AL28" i="4"/>
  <c r="AM28" i="4"/>
  <c r="AN28" i="4"/>
  <c r="AH29" i="4"/>
  <c r="AL29" i="4"/>
  <c r="AM29" i="4"/>
  <c r="AN29" i="4"/>
  <c r="AH30" i="4"/>
  <c r="AL30" i="4"/>
  <c r="AM30" i="4"/>
  <c r="AN30" i="4"/>
  <c r="AH31" i="4"/>
  <c r="AL31" i="4"/>
  <c r="AM31" i="4"/>
  <c r="AN31" i="4"/>
  <c r="AH32" i="4"/>
  <c r="AL32" i="4"/>
  <c r="AM32" i="4"/>
  <c r="AN32" i="4"/>
  <c r="AH33" i="4"/>
  <c r="AL33" i="4"/>
  <c r="AM33" i="4"/>
  <c r="AN33" i="4"/>
  <c r="AH34" i="4"/>
  <c r="AL34" i="4"/>
  <c r="AM34" i="4"/>
  <c r="AN34" i="4"/>
  <c r="AH35" i="4"/>
  <c r="AL35" i="4"/>
  <c r="AM35" i="4"/>
  <c r="AN35" i="4"/>
  <c r="AH36" i="4"/>
  <c r="AL36" i="4"/>
  <c r="AM36" i="4"/>
  <c r="AN36" i="4"/>
  <c r="AH37" i="4"/>
  <c r="AL37" i="4"/>
  <c r="AM37" i="4"/>
  <c r="AN37" i="4"/>
  <c r="AH38" i="4"/>
  <c r="AL38" i="4"/>
  <c r="AM38" i="4"/>
  <c r="AN38" i="4"/>
  <c r="AH39" i="4"/>
  <c r="AL39" i="4"/>
  <c r="AM39" i="4"/>
  <c r="AN39" i="4"/>
  <c r="AH40" i="4"/>
  <c r="AL40" i="4"/>
  <c r="AM40" i="4"/>
  <c r="AN40" i="4"/>
  <c r="AH41" i="4"/>
  <c r="AL41" i="4"/>
  <c r="AM41" i="4"/>
  <c r="AN41" i="4"/>
  <c r="AN42" i="4"/>
  <c r="B7" i="5"/>
  <c r="B4" i="4"/>
  <c r="Y12" i="4"/>
  <c r="Z12" i="4"/>
  <c r="X12" i="4"/>
  <c r="AB12" i="4"/>
  <c r="AC12" i="4"/>
  <c r="AD12" i="4"/>
  <c r="Y13" i="4"/>
  <c r="Z13" i="4"/>
  <c r="X13" i="4"/>
  <c r="AB13" i="4"/>
  <c r="AC13" i="4"/>
  <c r="AD13" i="4"/>
  <c r="Y14" i="4"/>
  <c r="Z14" i="4"/>
  <c r="X14" i="4"/>
  <c r="AB14" i="4"/>
  <c r="AC14" i="4"/>
  <c r="AD14" i="4"/>
  <c r="Y15" i="4"/>
  <c r="Z15" i="4"/>
  <c r="X15" i="4"/>
  <c r="AB15" i="4"/>
  <c r="AC15" i="4"/>
  <c r="AD15" i="4"/>
  <c r="Y16" i="4"/>
  <c r="Z16" i="4"/>
  <c r="X16" i="4"/>
  <c r="AB16" i="4"/>
  <c r="AC16" i="4"/>
  <c r="AD16" i="4"/>
  <c r="Y17" i="4"/>
  <c r="Z17" i="4"/>
  <c r="X17" i="4"/>
  <c r="AB17" i="4"/>
  <c r="AC17" i="4"/>
  <c r="AD17" i="4"/>
  <c r="Y18" i="4"/>
  <c r="Z18" i="4"/>
  <c r="X18" i="4"/>
  <c r="AB18" i="4"/>
  <c r="AC18" i="4"/>
  <c r="AD18" i="4"/>
  <c r="Y19" i="4"/>
  <c r="Z19" i="4"/>
  <c r="X19" i="4"/>
  <c r="AB19" i="4"/>
  <c r="AC19" i="4"/>
  <c r="AD19" i="4"/>
  <c r="Y20" i="4"/>
  <c r="Z20" i="4"/>
  <c r="X20" i="4"/>
  <c r="AB20" i="4"/>
  <c r="AC20" i="4"/>
  <c r="AD20" i="4"/>
  <c r="Y21" i="4"/>
  <c r="Z21" i="4"/>
  <c r="X21" i="4"/>
  <c r="AB21" i="4"/>
  <c r="AC21" i="4"/>
  <c r="AD21" i="4"/>
  <c r="Y22" i="4"/>
  <c r="Z22" i="4"/>
  <c r="X22" i="4"/>
  <c r="AB22" i="4"/>
  <c r="AC22" i="4"/>
  <c r="AD22" i="4"/>
  <c r="Y23" i="4"/>
  <c r="Z23" i="4"/>
  <c r="X23" i="4"/>
  <c r="AB23" i="4"/>
  <c r="AC23" i="4"/>
  <c r="AD23" i="4"/>
  <c r="Y24" i="4"/>
  <c r="Z24" i="4"/>
  <c r="X24" i="4"/>
  <c r="AB24" i="4"/>
  <c r="AC24" i="4"/>
  <c r="AD24" i="4"/>
  <c r="Y25" i="4"/>
  <c r="Z25" i="4"/>
  <c r="X25" i="4"/>
  <c r="AB25" i="4"/>
  <c r="AC25" i="4"/>
  <c r="AD25" i="4"/>
  <c r="Y26" i="4"/>
  <c r="Z26" i="4"/>
  <c r="X26" i="4"/>
  <c r="AB26" i="4"/>
  <c r="AC26" i="4"/>
  <c r="AD26" i="4"/>
  <c r="Y27" i="4"/>
  <c r="Z27" i="4"/>
  <c r="X27" i="4"/>
  <c r="AB27" i="4"/>
  <c r="AC27" i="4"/>
  <c r="AD27" i="4"/>
  <c r="Y28" i="4"/>
  <c r="Z28" i="4"/>
  <c r="X28" i="4"/>
  <c r="AB28" i="4"/>
  <c r="AC28" i="4"/>
  <c r="AD28" i="4"/>
  <c r="Y29" i="4"/>
  <c r="Z29" i="4"/>
  <c r="X29" i="4"/>
  <c r="AB29" i="4"/>
  <c r="AC29" i="4"/>
  <c r="AD29" i="4"/>
  <c r="Y30" i="4"/>
  <c r="Z30" i="4"/>
  <c r="X30" i="4"/>
  <c r="AB30" i="4"/>
  <c r="AC30" i="4"/>
  <c r="AD30" i="4"/>
  <c r="Y31" i="4"/>
  <c r="Z31" i="4"/>
  <c r="X31" i="4"/>
  <c r="AB31" i="4"/>
  <c r="AC31" i="4"/>
  <c r="AD31" i="4"/>
  <c r="Y32" i="4"/>
  <c r="Z32" i="4"/>
  <c r="X32" i="4"/>
  <c r="AB32" i="4"/>
  <c r="AC32" i="4"/>
  <c r="AD32" i="4"/>
  <c r="Y33" i="4"/>
  <c r="Z33" i="4"/>
  <c r="X33" i="4"/>
  <c r="AB33" i="4"/>
  <c r="AC33" i="4"/>
  <c r="AD33" i="4"/>
  <c r="Y34" i="4"/>
  <c r="Z34" i="4"/>
  <c r="X34" i="4"/>
  <c r="AB34" i="4"/>
  <c r="AC34" i="4"/>
  <c r="AD34" i="4"/>
  <c r="Y35" i="4"/>
  <c r="Z35" i="4"/>
  <c r="X35" i="4"/>
  <c r="AB35" i="4"/>
  <c r="AC35" i="4"/>
  <c r="AD35" i="4"/>
  <c r="Y36" i="4"/>
  <c r="Z36" i="4"/>
  <c r="X36" i="4"/>
  <c r="AB36" i="4"/>
  <c r="AC36" i="4"/>
  <c r="AD36" i="4"/>
  <c r="Y37" i="4"/>
  <c r="Z37" i="4"/>
  <c r="X37" i="4"/>
  <c r="AB37" i="4"/>
  <c r="AC37" i="4"/>
  <c r="AD37" i="4"/>
  <c r="Y38" i="4"/>
  <c r="Z38" i="4"/>
  <c r="X38" i="4"/>
  <c r="AB38" i="4"/>
  <c r="AC38" i="4"/>
  <c r="AD38" i="4"/>
  <c r="Y39" i="4"/>
  <c r="Z39" i="4"/>
  <c r="X39" i="4"/>
  <c r="AB39" i="4"/>
  <c r="AC39" i="4"/>
  <c r="AD39" i="4"/>
  <c r="Y40" i="4"/>
  <c r="Z40" i="4"/>
  <c r="X40" i="4"/>
  <c r="AB40" i="4"/>
  <c r="AC40" i="4"/>
  <c r="AD40" i="4"/>
  <c r="Y41" i="4"/>
  <c r="Z41" i="4"/>
  <c r="X41" i="4"/>
  <c r="AB41" i="4"/>
  <c r="AC41" i="4"/>
  <c r="AD41" i="4"/>
  <c r="AD42" i="4"/>
  <c r="D7" i="5"/>
  <c r="AH52" i="4"/>
  <c r="AL52" i="4"/>
  <c r="AM52" i="4"/>
  <c r="AN52" i="4"/>
  <c r="G39" i="2"/>
  <c r="B53" i="4"/>
  <c r="AH53" i="4"/>
  <c r="AL53" i="4"/>
  <c r="AM53" i="4"/>
  <c r="AN53" i="4"/>
  <c r="G40" i="2"/>
  <c r="B54" i="4"/>
  <c r="AH54" i="4"/>
  <c r="AL54" i="4"/>
  <c r="AM54" i="4"/>
  <c r="AN54" i="4"/>
  <c r="G41" i="2"/>
  <c r="B55" i="4"/>
  <c r="AH55" i="4"/>
  <c r="AL55" i="4"/>
  <c r="AM55" i="4"/>
  <c r="AN55" i="4"/>
  <c r="G42" i="2"/>
  <c r="B56" i="4"/>
  <c r="AH56" i="4"/>
  <c r="AL56" i="4"/>
  <c r="AM56" i="4"/>
  <c r="AN56" i="4"/>
  <c r="G43" i="2"/>
  <c r="B57" i="4"/>
  <c r="AH57" i="4"/>
  <c r="AL57" i="4"/>
  <c r="AM57" i="4"/>
  <c r="AN57" i="4"/>
  <c r="G44" i="2"/>
  <c r="B58" i="4"/>
  <c r="AH58" i="4"/>
  <c r="AL58" i="4"/>
  <c r="AM58" i="4"/>
  <c r="AN58" i="4"/>
  <c r="G45" i="2"/>
  <c r="B59" i="4"/>
  <c r="AH59" i="4"/>
  <c r="AL59" i="4"/>
  <c r="AM59" i="4"/>
  <c r="AN59" i="4"/>
  <c r="G46" i="2"/>
  <c r="B60" i="4"/>
  <c r="AH60" i="4"/>
  <c r="AL60" i="4"/>
  <c r="AM60" i="4"/>
  <c r="AN60" i="4"/>
  <c r="G47" i="2"/>
  <c r="B61" i="4"/>
  <c r="AH61" i="4"/>
  <c r="AL61" i="4"/>
  <c r="AM61" i="4"/>
  <c r="AN61" i="4"/>
  <c r="G48" i="2"/>
  <c r="B62" i="4"/>
  <c r="AH62" i="4"/>
  <c r="AL62" i="4"/>
  <c r="AM62" i="4"/>
  <c r="AN62" i="4"/>
  <c r="G49" i="2"/>
  <c r="B63" i="4"/>
  <c r="AH63" i="4"/>
  <c r="AL63" i="4"/>
  <c r="AM63" i="4"/>
  <c r="AN63" i="4"/>
  <c r="G50" i="2"/>
  <c r="B64" i="4"/>
  <c r="AH64" i="4"/>
  <c r="AL64" i="4"/>
  <c r="AM64" i="4"/>
  <c r="AN64" i="4"/>
  <c r="G51" i="2"/>
  <c r="B65" i="4"/>
  <c r="AH65" i="4"/>
  <c r="AL65" i="4"/>
  <c r="AM65" i="4"/>
  <c r="AN65" i="4"/>
  <c r="G52" i="2"/>
  <c r="B66" i="4"/>
  <c r="AH66" i="4"/>
  <c r="AL66" i="4"/>
  <c r="AM66" i="4"/>
  <c r="AN66" i="4"/>
  <c r="G53" i="2"/>
  <c r="B67" i="4"/>
  <c r="AH67" i="4"/>
  <c r="AL67" i="4"/>
  <c r="AM67" i="4"/>
  <c r="AN67" i="4"/>
  <c r="G54" i="2"/>
  <c r="B68" i="4"/>
  <c r="AH68" i="4"/>
  <c r="AL68" i="4"/>
  <c r="AM68" i="4"/>
  <c r="AN68" i="4"/>
  <c r="G55" i="2"/>
  <c r="B69" i="4"/>
  <c r="AH69" i="4"/>
  <c r="AL69" i="4"/>
  <c r="AM69" i="4"/>
  <c r="AN69" i="4"/>
  <c r="G56" i="2"/>
  <c r="B70" i="4"/>
  <c r="AH70" i="4"/>
  <c r="AL70" i="4"/>
  <c r="AM70" i="4"/>
  <c r="AN70" i="4"/>
  <c r="G57" i="2"/>
  <c r="B71" i="4"/>
  <c r="AH71" i="4"/>
  <c r="AL71" i="4"/>
  <c r="AM71" i="4"/>
  <c r="AN71" i="4"/>
  <c r="G58" i="2"/>
  <c r="B72" i="4"/>
  <c r="AH72" i="4"/>
  <c r="AL72" i="4"/>
  <c r="AM72" i="4"/>
  <c r="AN72" i="4"/>
  <c r="G59" i="2"/>
  <c r="B73" i="4"/>
  <c r="AH73" i="4"/>
  <c r="AL73" i="4"/>
  <c r="AM73" i="4"/>
  <c r="AN73" i="4"/>
  <c r="G60" i="2"/>
  <c r="B74" i="4"/>
  <c r="AH74" i="4"/>
  <c r="AL74" i="4"/>
  <c r="AM74" i="4"/>
  <c r="AN74" i="4"/>
  <c r="G61" i="2"/>
  <c r="B75" i="4"/>
  <c r="AH75" i="4"/>
  <c r="AL75" i="4"/>
  <c r="AM75" i="4"/>
  <c r="AN75" i="4"/>
  <c r="G62" i="2"/>
  <c r="B76" i="4"/>
  <c r="AH76" i="4"/>
  <c r="AL76" i="4"/>
  <c r="AM76" i="4"/>
  <c r="AN76" i="4"/>
  <c r="G63" i="2"/>
  <c r="B77" i="4"/>
  <c r="AH77" i="4"/>
  <c r="AL77" i="4"/>
  <c r="AM77" i="4"/>
  <c r="AN77" i="4"/>
  <c r="G64" i="2"/>
  <c r="B78" i="4"/>
  <c r="AH78" i="4"/>
  <c r="AL78" i="4"/>
  <c r="AM78" i="4"/>
  <c r="AN78" i="4"/>
  <c r="G65" i="2"/>
  <c r="B79" i="4"/>
  <c r="AH79" i="4"/>
  <c r="AL79" i="4"/>
  <c r="AM79" i="4"/>
  <c r="AN79" i="4"/>
  <c r="G66" i="2"/>
  <c r="B80" i="4"/>
  <c r="AH80" i="4"/>
  <c r="AL80" i="4"/>
  <c r="AM80" i="4"/>
  <c r="AN80" i="4"/>
  <c r="G67" i="2"/>
  <c r="B81" i="4"/>
  <c r="AH81" i="4"/>
  <c r="AL81" i="4"/>
  <c r="AM81" i="4"/>
  <c r="AN81" i="4"/>
  <c r="AN82" i="4"/>
  <c r="E8" i="5"/>
  <c r="Y52" i="4"/>
  <c r="Z52" i="4"/>
  <c r="X52" i="4"/>
  <c r="AB52" i="4"/>
  <c r="AC52" i="4"/>
  <c r="AD52" i="4"/>
  <c r="Y53" i="4"/>
  <c r="Z53" i="4"/>
  <c r="X53" i="4"/>
  <c r="AB53" i="4"/>
  <c r="AC53" i="4"/>
  <c r="AD53" i="4"/>
  <c r="Y54" i="4"/>
  <c r="Z54" i="4"/>
  <c r="X54" i="4"/>
  <c r="AB54" i="4"/>
  <c r="AC54" i="4"/>
  <c r="AD54" i="4"/>
  <c r="Y55" i="4"/>
  <c r="Z55" i="4"/>
  <c r="X55" i="4"/>
  <c r="AB55" i="4"/>
  <c r="AC55" i="4"/>
  <c r="AD55" i="4"/>
  <c r="Y56" i="4"/>
  <c r="Z56" i="4"/>
  <c r="X56" i="4"/>
  <c r="AB56" i="4"/>
  <c r="AC56" i="4"/>
  <c r="AD56" i="4"/>
  <c r="Y57" i="4"/>
  <c r="Z57" i="4"/>
  <c r="X57" i="4"/>
  <c r="AB57" i="4"/>
  <c r="AC57" i="4"/>
  <c r="AD57" i="4"/>
  <c r="Y58" i="4"/>
  <c r="Z58" i="4"/>
  <c r="X58" i="4"/>
  <c r="AB58" i="4"/>
  <c r="AC58" i="4"/>
  <c r="AD58" i="4"/>
  <c r="Y59" i="4"/>
  <c r="Z59" i="4"/>
  <c r="X59" i="4"/>
  <c r="AB59" i="4"/>
  <c r="AC59" i="4"/>
  <c r="AD59" i="4"/>
  <c r="Y60" i="4"/>
  <c r="Z60" i="4"/>
  <c r="X60" i="4"/>
  <c r="AB60" i="4"/>
  <c r="AC60" i="4"/>
  <c r="AD60" i="4"/>
  <c r="Y61" i="4"/>
  <c r="Z61" i="4"/>
  <c r="X61" i="4"/>
  <c r="AB61" i="4"/>
  <c r="AC61" i="4"/>
  <c r="AD61" i="4"/>
  <c r="Y62" i="4"/>
  <c r="Z62" i="4"/>
  <c r="X62" i="4"/>
  <c r="AB62" i="4"/>
  <c r="AC62" i="4"/>
  <c r="AD62" i="4"/>
  <c r="Y63" i="4"/>
  <c r="Z63" i="4"/>
  <c r="X63" i="4"/>
  <c r="AB63" i="4"/>
  <c r="AC63" i="4"/>
  <c r="AD63" i="4"/>
  <c r="Y64" i="4"/>
  <c r="Z64" i="4"/>
  <c r="X64" i="4"/>
  <c r="AB64" i="4"/>
  <c r="AC64" i="4"/>
  <c r="AD64" i="4"/>
  <c r="Y65" i="4"/>
  <c r="Z65" i="4"/>
  <c r="X65" i="4"/>
  <c r="AB65" i="4"/>
  <c r="AC65" i="4"/>
  <c r="AD65" i="4"/>
  <c r="Y66" i="4"/>
  <c r="Z66" i="4"/>
  <c r="X66" i="4"/>
  <c r="AB66" i="4"/>
  <c r="AC66" i="4"/>
  <c r="AD66" i="4"/>
  <c r="Y67" i="4"/>
  <c r="Z67" i="4"/>
  <c r="X67" i="4"/>
  <c r="AB67" i="4"/>
  <c r="AC67" i="4"/>
  <c r="AD67" i="4"/>
  <c r="Y68" i="4"/>
  <c r="Z68" i="4"/>
  <c r="X68" i="4"/>
  <c r="AB68" i="4"/>
  <c r="AC68" i="4"/>
  <c r="AD68" i="4"/>
  <c r="Y69" i="4"/>
  <c r="Z69" i="4"/>
  <c r="X69" i="4"/>
  <c r="AB69" i="4"/>
  <c r="AC69" i="4"/>
  <c r="AD69" i="4"/>
  <c r="Y70" i="4"/>
  <c r="Z70" i="4"/>
  <c r="X70" i="4"/>
  <c r="AB70" i="4"/>
  <c r="AC70" i="4"/>
  <c r="AD70" i="4"/>
  <c r="Y71" i="4"/>
  <c r="Z71" i="4"/>
  <c r="X71" i="4"/>
  <c r="AB71" i="4"/>
  <c r="AC71" i="4"/>
  <c r="AD71" i="4"/>
  <c r="Y72" i="4"/>
  <c r="Z72" i="4"/>
  <c r="X72" i="4"/>
  <c r="AB72" i="4"/>
  <c r="AC72" i="4"/>
  <c r="AD72" i="4"/>
  <c r="Y73" i="4"/>
  <c r="Z73" i="4"/>
  <c r="X73" i="4"/>
  <c r="AB73" i="4"/>
  <c r="AC73" i="4"/>
  <c r="AD73" i="4"/>
  <c r="Y74" i="4"/>
  <c r="Z74" i="4"/>
  <c r="X74" i="4"/>
  <c r="AB74" i="4"/>
  <c r="AC74" i="4"/>
  <c r="AD74" i="4"/>
  <c r="Y75" i="4"/>
  <c r="Z75" i="4"/>
  <c r="X75" i="4"/>
  <c r="AB75" i="4"/>
  <c r="AC75" i="4"/>
  <c r="AD75" i="4"/>
  <c r="Y76" i="4"/>
  <c r="Z76" i="4"/>
  <c r="X76" i="4"/>
  <c r="AB76" i="4"/>
  <c r="AC76" i="4"/>
  <c r="AD76" i="4"/>
  <c r="Y77" i="4"/>
  <c r="Z77" i="4"/>
  <c r="X77" i="4"/>
  <c r="AB77" i="4"/>
  <c r="AC77" i="4"/>
  <c r="AD77" i="4"/>
  <c r="Y78" i="4"/>
  <c r="Z78" i="4"/>
  <c r="X78" i="4"/>
  <c r="AB78" i="4"/>
  <c r="AC78" i="4"/>
  <c r="AD78" i="4"/>
  <c r="Y79" i="4"/>
  <c r="Z79" i="4"/>
  <c r="X79" i="4"/>
  <c r="AB79" i="4"/>
  <c r="AC79" i="4"/>
  <c r="AD79" i="4"/>
  <c r="Y80" i="4"/>
  <c r="Z80" i="4"/>
  <c r="X80" i="4"/>
  <c r="AB80" i="4"/>
  <c r="AC80" i="4"/>
  <c r="AD80" i="4"/>
  <c r="Y81" i="4"/>
  <c r="Z81" i="4"/>
  <c r="X81" i="4"/>
  <c r="AB81" i="4"/>
  <c r="AC81" i="4"/>
  <c r="AD81" i="4"/>
  <c r="AD82" i="4"/>
  <c r="D8" i="5"/>
  <c r="N81" i="4"/>
  <c r="C52" i="4"/>
  <c r="D52" i="4"/>
  <c r="C53" i="4"/>
  <c r="D53" i="4"/>
  <c r="F53" i="4"/>
  <c r="G53" i="4"/>
  <c r="H53" i="4"/>
  <c r="C54" i="4"/>
  <c r="D54" i="4"/>
  <c r="F54" i="4"/>
  <c r="G54" i="4"/>
  <c r="H54" i="4"/>
  <c r="C55" i="4"/>
  <c r="D55" i="4"/>
  <c r="F55" i="4"/>
  <c r="G55" i="4"/>
  <c r="H55" i="4"/>
  <c r="C56" i="4"/>
  <c r="D56" i="4"/>
  <c r="F56" i="4"/>
  <c r="G56" i="4"/>
  <c r="H56" i="4"/>
  <c r="C57" i="4"/>
  <c r="D57" i="4"/>
  <c r="F57" i="4"/>
  <c r="G57" i="4"/>
  <c r="H57" i="4"/>
  <c r="C58" i="4"/>
  <c r="D58" i="4"/>
  <c r="F58" i="4"/>
  <c r="G58" i="4"/>
  <c r="H58" i="4"/>
  <c r="C59" i="4"/>
  <c r="D59" i="4"/>
  <c r="F59" i="4"/>
  <c r="G59" i="4"/>
  <c r="H59" i="4"/>
  <c r="C60" i="4"/>
  <c r="D60" i="4"/>
  <c r="F60" i="4"/>
  <c r="G60" i="4"/>
  <c r="H60" i="4"/>
  <c r="C61" i="4"/>
  <c r="D61" i="4"/>
  <c r="F61" i="4"/>
  <c r="G61" i="4"/>
  <c r="H61" i="4"/>
  <c r="C62" i="4"/>
  <c r="D62" i="4"/>
  <c r="F62" i="4"/>
  <c r="G62" i="4"/>
  <c r="H62" i="4"/>
  <c r="C63" i="4"/>
  <c r="D63" i="4"/>
  <c r="F63" i="4"/>
  <c r="G63" i="4"/>
  <c r="H63" i="4"/>
  <c r="C64" i="4"/>
  <c r="D64" i="4"/>
  <c r="F64" i="4"/>
  <c r="G64" i="4"/>
  <c r="H64" i="4"/>
  <c r="C65" i="4"/>
  <c r="D65" i="4"/>
  <c r="F65" i="4"/>
  <c r="G65" i="4"/>
  <c r="H65" i="4"/>
  <c r="C66" i="4"/>
  <c r="D66" i="4"/>
  <c r="F66" i="4"/>
  <c r="G66" i="4"/>
  <c r="H66" i="4"/>
  <c r="C67" i="4"/>
  <c r="D67" i="4"/>
  <c r="F67" i="4"/>
  <c r="G67" i="4"/>
  <c r="H67" i="4"/>
  <c r="C68" i="4"/>
  <c r="D68" i="4"/>
  <c r="F68" i="4"/>
  <c r="G68" i="4"/>
  <c r="H68" i="4"/>
  <c r="C69" i="4"/>
  <c r="D69" i="4"/>
  <c r="F69" i="4"/>
  <c r="G69" i="4"/>
  <c r="H69" i="4"/>
  <c r="C70" i="4"/>
  <c r="D70" i="4"/>
  <c r="F70" i="4"/>
  <c r="G70" i="4"/>
  <c r="H70" i="4"/>
  <c r="C71" i="4"/>
  <c r="D71" i="4"/>
  <c r="F71" i="4"/>
  <c r="G71" i="4"/>
  <c r="H71" i="4"/>
  <c r="C72" i="4"/>
  <c r="D72" i="4"/>
  <c r="F72" i="4"/>
  <c r="G72" i="4"/>
  <c r="H72" i="4"/>
  <c r="C73" i="4"/>
  <c r="D73" i="4"/>
  <c r="F73" i="4"/>
  <c r="G73" i="4"/>
  <c r="H73" i="4"/>
  <c r="C74" i="4"/>
  <c r="D74" i="4"/>
  <c r="F74" i="4"/>
  <c r="G74" i="4"/>
  <c r="H74" i="4"/>
  <c r="C75" i="4"/>
  <c r="D75" i="4"/>
  <c r="F75" i="4"/>
  <c r="G75" i="4"/>
  <c r="H75" i="4"/>
  <c r="C76" i="4"/>
  <c r="D76" i="4"/>
  <c r="F76" i="4"/>
  <c r="G76" i="4"/>
  <c r="H76" i="4"/>
  <c r="C77" i="4"/>
  <c r="D77" i="4"/>
  <c r="F77" i="4"/>
  <c r="G77" i="4"/>
  <c r="H77" i="4"/>
  <c r="C78" i="4"/>
  <c r="D78" i="4"/>
  <c r="F78" i="4"/>
  <c r="G78" i="4"/>
  <c r="H78" i="4"/>
  <c r="C79" i="4"/>
  <c r="D79" i="4"/>
  <c r="F79" i="4"/>
  <c r="G79" i="4"/>
  <c r="H79" i="4"/>
  <c r="C80" i="4"/>
  <c r="D80" i="4"/>
  <c r="F80" i="4"/>
  <c r="G80" i="4"/>
  <c r="H80" i="4"/>
  <c r="C81" i="4"/>
  <c r="D81" i="4"/>
  <c r="F81" i="4"/>
  <c r="G81" i="4"/>
  <c r="H81" i="4"/>
  <c r="H82" i="4"/>
  <c r="B8" i="5"/>
  <c r="E7" i="5"/>
  <c r="L41" i="4"/>
  <c r="P41" i="4"/>
  <c r="Q41" i="4"/>
  <c r="R41" i="4"/>
  <c r="L12" i="4"/>
  <c r="P12" i="4"/>
  <c r="Q12" i="4"/>
  <c r="R12" i="4"/>
  <c r="L13" i="4"/>
  <c r="P13" i="4"/>
  <c r="Q13" i="4"/>
  <c r="R13" i="4"/>
  <c r="L14" i="4"/>
  <c r="P14" i="4"/>
  <c r="Q14" i="4"/>
  <c r="R14" i="4"/>
  <c r="L15" i="4"/>
  <c r="P15" i="4"/>
  <c r="Q15" i="4"/>
  <c r="R15" i="4"/>
  <c r="L16" i="4"/>
  <c r="P16" i="4"/>
  <c r="Q16" i="4"/>
  <c r="R16" i="4"/>
  <c r="L17" i="4"/>
  <c r="P17" i="4"/>
  <c r="Q17" i="4"/>
  <c r="R17" i="4"/>
  <c r="L18" i="4"/>
  <c r="P18" i="4"/>
  <c r="Q18" i="4"/>
  <c r="R18" i="4"/>
  <c r="L19" i="4"/>
  <c r="P19" i="4"/>
  <c r="Q19" i="4"/>
  <c r="R19" i="4"/>
  <c r="L20" i="4"/>
  <c r="P20" i="4"/>
  <c r="Q20" i="4"/>
  <c r="R20" i="4"/>
  <c r="L21" i="4"/>
  <c r="P21" i="4"/>
  <c r="Q21" i="4"/>
  <c r="R21" i="4"/>
  <c r="L22" i="4"/>
  <c r="P22" i="4"/>
  <c r="Q22" i="4"/>
  <c r="R22" i="4"/>
  <c r="L23" i="4"/>
  <c r="P23" i="4"/>
  <c r="Q23" i="4"/>
  <c r="R23" i="4"/>
  <c r="L24" i="4"/>
  <c r="P24" i="4"/>
  <c r="Q24" i="4"/>
  <c r="R24" i="4"/>
  <c r="L25" i="4"/>
  <c r="P25" i="4"/>
  <c r="Q25" i="4"/>
  <c r="R25" i="4"/>
  <c r="L26" i="4"/>
  <c r="P26" i="4"/>
  <c r="Q26" i="4"/>
  <c r="R26" i="4"/>
  <c r="L27" i="4"/>
  <c r="P27" i="4"/>
  <c r="Q27" i="4"/>
  <c r="R27" i="4"/>
  <c r="L28" i="4"/>
  <c r="P28" i="4"/>
  <c r="Q28" i="4"/>
  <c r="R28" i="4"/>
  <c r="L29" i="4"/>
  <c r="P29" i="4"/>
  <c r="Q29" i="4"/>
  <c r="R29" i="4"/>
  <c r="L30" i="4"/>
  <c r="P30" i="4"/>
  <c r="Q30" i="4"/>
  <c r="R30" i="4"/>
  <c r="L31" i="4"/>
  <c r="P31" i="4"/>
  <c r="Q31" i="4"/>
  <c r="R31" i="4"/>
  <c r="L32" i="4"/>
  <c r="P32" i="4"/>
  <c r="Q32" i="4"/>
  <c r="R32" i="4"/>
  <c r="L33" i="4"/>
  <c r="P33" i="4"/>
  <c r="Q33" i="4"/>
  <c r="R33" i="4"/>
  <c r="L34" i="4"/>
  <c r="P34" i="4"/>
  <c r="Q34" i="4"/>
  <c r="R34" i="4"/>
  <c r="L35" i="4"/>
  <c r="P35" i="4"/>
  <c r="Q35" i="4"/>
  <c r="R35" i="4"/>
  <c r="L36" i="4"/>
  <c r="P36" i="4"/>
  <c r="Q36" i="4"/>
  <c r="R36" i="4"/>
  <c r="L37" i="4"/>
  <c r="P37" i="4"/>
  <c r="Q37" i="4"/>
  <c r="R37" i="4"/>
  <c r="L38" i="4"/>
  <c r="P38" i="4"/>
  <c r="Q38" i="4"/>
  <c r="R38" i="4"/>
  <c r="L39" i="4"/>
  <c r="P39" i="4"/>
  <c r="Q39" i="4"/>
  <c r="R39" i="4"/>
  <c r="L40" i="4"/>
  <c r="P40" i="4"/>
  <c r="Q40" i="4"/>
  <c r="R40" i="4"/>
  <c r="R42" i="4"/>
  <c r="C7" i="5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AI11" i="4"/>
  <c r="C11" i="4"/>
  <c r="J37" i="2"/>
  <c r="Y51" i="4"/>
  <c r="AI51" i="4"/>
  <c r="AN51" i="4"/>
  <c r="AI52" i="4"/>
  <c r="AK52" i="4"/>
  <c r="AI53" i="4"/>
  <c r="AK53" i="4"/>
  <c r="AI54" i="4"/>
  <c r="AK54" i="4"/>
  <c r="AI55" i="4"/>
  <c r="AK55" i="4"/>
  <c r="AI56" i="4"/>
  <c r="AK56" i="4"/>
  <c r="AI57" i="4"/>
  <c r="AK57" i="4"/>
  <c r="AI58" i="4"/>
  <c r="AK58" i="4"/>
  <c r="AI59" i="4"/>
  <c r="AK59" i="4"/>
  <c r="AI60" i="4"/>
  <c r="AK60" i="4"/>
  <c r="AI61" i="4"/>
  <c r="AK61" i="4"/>
  <c r="AI62" i="4"/>
  <c r="AK62" i="4"/>
  <c r="AI63" i="4"/>
  <c r="AK63" i="4"/>
  <c r="AI64" i="4"/>
  <c r="AK64" i="4"/>
  <c r="AI65" i="4"/>
  <c r="AK65" i="4"/>
  <c r="AI66" i="4"/>
  <c r="AK66" i="4"/>
  <c r="AI67" i="4"/>
  <c r="AK67" i="4"/>
  <c r="AI68" i="4"/>
  <c r="AK68" i="4"/>
  <c r="AI69" i="4"/>
  <c r="AK69" i="4"/>
  <c r="AI70" i="4"/>
  <c r="AK70" i="4"/>
  <c r="AI71" i="4"/>
  <c r="AK71" i="4"/>
  <c r="AI72" i="4"/>
  <c r="AK72" i="4"/>
  <c r="AI73" i="4"/>
  <c r="AK73" i="4"/>
  <c r="AI74" i="4"/>
  <c r="AK74" i="4"/>
  <c r="AI75" i="4"/>
  <c r="AK75" i="4"/>
  <c r="AI76" i="4"/>
  <c r="AK76" i="4"/>
  <c r="AI77" i="4"/>
  <c r="AK77" i="4"/>
  <c r="AI78" i="4"/>
  <c r="AK78" i="4"/>
  <c r="AI79" i="4"/>
  <c r="AK79" i="4"/>
  <c r="AI80" i="4"/>
  <c r="AK80" i="4"/>
  <c r="AI81" i="4"/>
  <c r="AJ81" i="4"/>
  <c r="AK81" i="4"/>
  <c r="AK82" i="4"/>
  <c r="AN83" i="4"/>
  <c r="AG50" i="4"/>
  <c r="AH50" i="4"/>
  <c r="AG51" i="4"/>
  <c r="AH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A52" i="4"/>
  <c r="AD51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D83" i="4"/>
  <c r="W50" i="4"/>
  <c r="X50" i="4"/>
  <c r="W51" i="4"/>
  <c r="X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V81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12" i="4"/>
  <c r="AK42" i="4"/>
  <c r="Y11" i="4"/>
  <c r="AI41" i="4"/>
  <c r="AN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J41" i="4"/>
  <c r="AN43" i="4"/>
  <c r="AH11" i="4"/>
  <c r="AG10" i="4"/>
  <c r="AH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A4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12" i="4"/>
  <c r="AD11" i="4"/>
  <c r="AD43" i="4"/>
  <c r="V41" i="4"/>
  <c r="X11" i="4"/>
  <c r="W10" i="4"/>
  <c r="X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M51" i="4"/>
  <c r="M81" i="4"/>
  <c r="R83" i="4"/>
  <c r="M52" i="4"/>
  <c r="O52" i="4"/>
  <c r="M53" i="4"/>
  <c r="O53" i="4"/>
  <c r="M54" i="4"/>
  <c r="O54" i="4"/>
  <c r="M55" i="4"/>
  <c r="O55" i="4"/>
  <c r="M56" i="4"/>
  <c r="O56" i="4"/>
  <c r="M57" i="4"/>
  <c r="O57" i="4"/>
  <c r="M58" i="4"/>
  <c r="O58" i="4"/>
  <c r="M59" i="4"/>
  <c r="O59" i="4"/>
  <c r="M60" i="4"/>
  <c r="O60" i="4"/>
  <c r="M61" i="4"/>
  <c r="O61" i="4"/>
  <c r="M62" i="4"/>
  <c r="O62" i="4"/>
  <c r="M63" i="4"/>
  <c r="O63" i="4"/>
  <c r="M64" i="4"/>
  <c r="O64" i="4"/>
  <c r="M65" i="4"/>
  <c r="O65" i="4"/>
  <c r="M66" i="4"/>
  <c r="O66" i="4"/>
  <c r="M67" i="4"/>
  <c r="O67" i="4"/>
  <c r="M68" i="4"/>
  <c r="O68" i="4"/>
  <c r="M69" i="4"/>
  <c r="O69" i="4"/>
  <c r="M70" i="4"/>
  <c r="O70" i="4"/>
  <c r="M71" i="4"/>
  <c r="O71" i="4"/>
  <c r="M72" i="4"/>
  <c r="O72" i="4"/>
  <c r="M73" i="4"/>
  <c r="O73" i="4"/>
  <c r="M74" i="4"/>
  <c r="O74" i="4"/>
  <c r="M75" i="4"/>
  <c r="O75" i="4"/>
  <c r="M76" i="4"/>
  <c r="O76" i="4"/>
  <c r="M77" i="4"/>
  <c r="O77" i="4"/>
  <c r="M78" i="4"/>
  <c r="O78" i="4"/>
  <c r="M79" i="4"/>
  <c r="O79" i="4"/>
  <c r="M80" i="4"/>
  <c r="O80" i="4"/>
  <c r="O81" i="4"/>
  <c r="B2" i="4"/>
  <c r="E54" i="4"/>
  <c r="C51" i="4"/>
  <c r="H51" i="4"/>
  <c r="E52" i="4"/>
  <c r="E53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H83" i="4"/>
  <c r="B51" i="4"/>
  <c r="M11" i="4"/>
  <c r="O42" i="4"/>
  <c r="M41" i="4"/>
  <c r="O12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L11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R11" i="4"/>
  <c r="R43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H11" i="4"/>
  <c r="E12" i="4"/>
  <c r="H43" i="4"/>
  <c r="E4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B11" i="4"/>
  <c r="H37" i="2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B21" i="3"/>
  <c r="B18" i="3"/>
  <c r="C16" i="3"/>
  <c r="C15" i="3"/>
  <c r="C14" i="3"/>
  <c r="C13" i="3"/>
  <c r="B16" i="3"/>
  <c r="B15" i="3"/>
  <c r="B14" i="3"/>
  <c r="B13" i="3"/>
  <c r="B9" i="3"/>
  <c r="K6" i="3"/>
  <c r="H6" i="3"/>
  <c r="E6" i="3"/>
  <c r="B6" i="3"/>
  <c r="B1" i="3"/>
  <c r="G37" i="2"/>
  <c r="C45" i="2"/>
  <c r="C47" i="2"/>
  <c r="C43" i="2"/>
  <c r="C40" i="2"/>
  <c r="C32" i="2"/>
  <c r="C33" i="2"/>
  <c r="C29" i="2"/>
  <c r="C27" i="2"/>
  <c r="C6" i="2"/>
  <c r="C14" i="2"/>
  <c r="C15" i="2"/>
  <c r="C8" i="2"/>
  <c r="C17" i="2"/>
  <c r="C18" i="2"/>
  <c r="C19" i="2"/>
  <c r="C21" i="2"/>
  <c r="C4" i="2"/>
  <c r="C7" i="2"/>
</calcChain>
</file>

<file path=xl/sharedStrings.xml><?xml version="1.0" encoding="utf-8"?>
<sst xmlns="http://schemas.openxmlformats.org/spreadsheetml/2006/main" count="257" uniqueCount="146">
  <si>
    <t>Loan</t>
    <phoneticPr fontId="2" type="noConversion"/>
  </si>
  <si>
    <t>Plan 3</t>
    <phoneticPr fontId="2" type="noConversion"/>
  </si>
  <si>
    <t>EOY</t>
  </si>
  <si>
    <t>MACRS</t>
    <phoneticPr fontId="2" type="noConversion"/>
  </si>
  <si>
    <t>EOY</t>
    <phoneticPr fontId="2" type="noConversion"/>
  </si>
  <si>
    <t>Income Tax Rate</t>
    <phoneticPr fontId="2" type="noConversion"/>
  </si>
  <si>
    <t>Plan 4</t>
    <phoneticPr fontId="2" type="noConversion"/>
  </si>
  <si>
    <t>sqft</t>
    <phoneticPr fontId="2" type="noConversion"/>
  </si>
  <si>
    <t>Total Area</t>
    <phoneticPr fontId="2" type="noConversion"/>
  </si>
  <si>
    <t># Store</t>
    <phoneticPr fontId="2" type="noConversion"/>
  </si>
  <si>
    <t>Total # Unit Store</t>
    <phoneticPr fontId="2" type="noConversion"/>
  </si>
  <si>
    <t>Cost per SF</t>
    <phoneticPr fontId="2" type="noConversion"/>
  </si>
  <si>
    <t>Total Cost</t>
    <phoneticPr fontId="2" type="noConversion"/>
  </si>
  <si>
    <t>Mall Total</t>
    <phoneticPr fontId="2" type="noConversion"/>
  </si>
  <si>
    <t>Material P</t>
    <phoneticPr fontId="2" type="noConversion"/>
  </si>
  <si>
    <t>Labor P</t>
    <phoneticPr fontId="2" type="noConversion"/>
  </si>
  <si>
    <t>Garage Total</t>
    <phoneticPr fontId="2" type="noConversion"/>
  </si>
  <si>
    <t>Utility</t>
    <phoneticPr fontId="2" type="noConversion"/>
  </si>
  <si>
    <t xml:space="preserve">$per SF </t>
    <phoneticPr fontId="2" type="noConversion"/>
  </si>
  <si>
    <t>Monthly Utility</t>
    <phoneticPr fontId="2" type="noConversion"/>
  </si>
  <si>
    <t>Material M</t>
    <phoneticPr fontId="2" type="noConversion"/>
  </si>
  <si>
    <t>Labor M</t>
    <phoneticPr fontId="2" type="noConversion"/>
  </si>
  <si>
    <t>Salary &amp; Personnel</t>
    <phoneticPr fontId="2" type="noConversion"/>
  </si>
  <si>
    <t>Repair &amp; Maintenance</t>
    <phoneticPr fontId="2" type="noConversion"/>
  </si>
  <si>
    <t>Management Fees</t>
    <phoneticPr fontId="2" type="noConversion"/>
  </si>
  <si>
    <t>Insurance</t>
    <phoneticPr fontId="2" type="noConversion"/>
  </si>
  <si>
    <t>Rent per SF</t>
    <phoneticPr fontId="2" type="noConversion"/>
  </si>
  <si>
    <t>Rent per Store</t>
    <phoneticPr fontId="2" type="noConversion"/>
  </si>
  <si>
    <t>Rent from Mall</t>
    <phoneticPr fontId="2" type="noConversion"/>
  </si>
  <si>
    <t>Rent From Garage</t>
    <phoneticPr fontId="2" type="noConversion"/>
  </si>
  <si>
    <t>Annual M Revenue</t>
    <phoneticPr fontId="2" type="noConversion"/>
  </si>
  <si>
    <t>Annual P Revenue</t>
    <phoneticPr fontId="2" type="noConversion"/>
  </si>
  <si>
    <t>Annual Revenue</t>
    <phoneticPr fontId="2" type="noConversion"/>
  </si>
  <si>
    <t>Annually BTCF</t>
    <phoneticPr fontId="2" type="noConversion"/>
  </si>
  <si>
    <t>BTCF</t>
  </si>
  <si>
    <t>Increase Rate of Rent</t>
    <phoneticPr fontId="2" type="noConversion"/>
  </si>
  <si>
    <t>Initial Investment</t>
    <phoneticPr fontId="2" type="noConversion"/>
  </si>
  <si>
    <t>itr</t>
    <phoneticPr fontId="2" type="noConversion"/>
  </si>
  <si>
    <t>Loan</t>
    <phoneticPr fontId="2" type="noConversion"/>
  </si>
  <si>
    <t>Percentage</t>
    <phoneticPr fontId="2" type="noConversion"/>
  </si>
  <si>
    <t>i</t>
    <phoneticPr fontId="2" type="noConversion"/>
  </si>
  <si>
    <t>m</t>
    <phoneticPr fontId="2" type="noConversion"/>
  </si>
  <si>
    <t>Effective i</t>
    <phoneticPr fontId="2" type="noConversion"/>
  </si>
  <si>
    <t>Cost op Capital</t>
    <phoneticPr fontId="2" type="noConversion"/>
  </si>
  <si>
    <t>Common Stock</t>
    <phoneticPr fontId="2" type="noConversion"/>
  </si>
  <si>
    <t>Percentage</t>
    <phoneticPr fontId="2" type="noConversion"/>
  </si>
  <si>
    <t>Amount</t>
    <phoneticPr fontId="2" type="noConversion"/>
  </si>
  <si>
    <t>Amount</t>
    <phoneticPr fontId="2" type="noConversion"/>
  </si>
  <si>
    <t>CSD</t>
    <phoneticPr fontId="2" type="noConversion"/>
  </si>
  <si>
    <t>Pcs</t>
    <phoneticPr fontId="2" type="noConversion"/>
  </si>
  <si>
    <t>g</t>
    <phoneticPr fontId="2" type="noConversion"/>
  </si>
  <si>
    <t>Cost of Capital</t>
    <phoneticPr fontId="2" type="noConversion"/>
  </si>
  <si>
    <t>Preferred Stock</t>
    <phoneticPr fontId="2" type="noConversion"/>
  </si>
  <si>
    <t>Percentage</t>
    <phoneticPr fontId="2" type="noConversion"/>
  </si>
  <si>
    <t>PSD</t>
    <phoneticPr fontId="2" type="noConversion"/>
  </si>
  <si>
    <t>Pps</t>
    <phoneticPr fontId="2" type="noConversion"/>
  </si>
  <si>
    <t>Cost of Capital</t>
    <phoneticPr fontId="2" type="noConversion"/>
  </si>
  <si>
    <t>Retained Earnings</t>
    <phoneticPr fontId="2" type="noConversion"/>
  </si>
  <si>
    <t>Percentage</t>
    <phoneticPr fontId="2" type="noConversion"/>
  </si>
  <si>
    <t>Cost of Copital</t>
    <phoneticPr fontId="2" type="noConversion"/>
  </si>
  <si>
    <t>Source</t>
    <phoneticPr fontId="2" type="noConversion"/>
  </si>
  <si>
    <t>CS</t>
    <phoneticPr fontId="2" type="noConversion"/>
  </si>
  <si>
    <t>PS</t>
    <phoneticPr fontId="2" type="noConversion"/>
  </si>
  <si>
    <t>RE</t>
    <phoneticPr fontId="2" type="noConversion"/>
  </si>
  <si>
    <t>Profit Margin</t>
    <phoneticPr fontId="2" type="noConversion"/>
  </si>
  <si>
    <t>WACC</t>
    <phoneticPr fontId="2" type="noConversion"/>
  </si>
  <si>
    <t>ATCF</t>
    <phoneticPr fontId="2" type="noConversion"/>
  </si>
  <si>
    <t>Geomatric CF</t>
    <phoneticPr fontId="2" type="noConversion"/>
  </si>
  <si>
    <t>Uniform CF</t>
    <phoneticPr fontId="2" type="noConversion"/>
  </si>
  <si>
    <t>Geometric</t>
    <phoneticPr fontId="2" type="noConversion"/>
  </si>
  <si>
    <t>Interest Rate</t>
    <phoneticPr fontId="2" type="noConversion"/>
  </si>
  <si>
    <t>Uniform</t>
    <phoneticPr fontId="2" type="noConversion"/>
  </si>
  <si>
    <t>SLN</t>
    <phoneticPr fontId="2" type="noConversion"/>
  </si>
  <si>
    <t>PPMT</t>
    <phoneticPr fontId="2" type="noConversion"/>
  </si>
  <si>
    <t>IMPT</t>
    <phoneticPr fontId="2" type="noConversion"/>
  </si>
  <si>
    <t>DWO</t>
    <phoneticPr fontId="2" type="noConversion"/>
  </si>
  <si>
    <t>TI</t>
    <phoneticPr fontId="2" type="noConversion"/>
  </si>
  <si>
    <t>Tax</t>
    <phoneticPr fontId="2" type="noConversion"/>
  </si>
  <si>
    <t>Present Worth</t>
    <phoneticPr fontId="2" type="noConversion"/>
  </si>
  <si>
    <t>B30</t>
    <phoneticPr fontId="2" type="noConversion"/>
  </si>
  <si>
    <t>IRR</t>
    <phoneticPr fontId="2" type="noConversion"/>
  </si>
  <si>
    <t>EOY</t>
    <phoneticPr fontId="2" type="noConversion"/>
  </si>
  <si>
    <t>BTCF</t>
    <phoneticPr fontId="2" type="noConversion"/>
  </si>
  <si>
    <t>BTCF</t>
    <phoneticPr fontId="2" type="noConversion"/>
  </si>
  <si>
    <t>Geometric</t>
    <phoneticPr fontId="2" type="noConversion"/>
  </si>
  <si>
    <t>BTCF</t>
    <phoneticPr fontId="2" type="noConversion"/>
  </si>
  <si>
    <t>BTMARR</t>
    <phoneticPr fontId="2" type="noConversion"/>
  </si>
  <si>
    <t>ATMARR</t>
    <phoneticPr fontId="2" type="noConversion"/>
  </si>
  <si>
    <t>Present Worth</t>
    <phoneticPr fontId="2" type="noConversion"/>
  </si>
  <si>
    <t>Uniform</t>
    <phoneticPr fontId="2" type="noConversion"/>
  </si>
  <si>
    <t>MACRS</t>
    <phoneticPr fontId="2" type="noConversion"/>
  </si>
  <si>
    <t>Depreciation</t>
    <phoneticPr fontId="2" type="noConversion"/>
  </si>
  <si>
    <t>Plan 4</t>
    <phoneticPr fontId="2" type="noConversion"/>
  </si>
  <si>
    <t>Salvage Value after 30 years</t>
    <phoneticPr fontId="2" type="noConversion"/>
  </si>
  <si>
    <t>Initial Costs</t>
    <phoneticPr fontId="2" type="noConversion"/>
  </si>
  <si>
    <t>Monthly Costs</t>
    <phoneticPr fontId="2" type="noConversion"/>
  </si>
  <si>
    <t>per floor</t>
    <phoneticPr fontId="2" type="noConversion"/>
  </si>
  <si>
    <t>Whole building</t>
    <phoneticPr fontId="2" type="noConversion"/>
  </si>
  <si>
    <t>Garage</t>
    <phoneticPr fontId="2" type="noConversion"/>
  </si>
  <si>
    <t>Total Monthly Costs</t>
    <phoneticPr fontId="2" type="noConversion"/>
  </si>
  <si>
    <t>Total Annually Costs</t>
    <phoneticPr fontId="2" type="noConversion"/>
  </si>
  <si>
    <t>Monthly Revenues</t>
    <phoneticPr fontId="2" type="noConversion"/>
  </si>
  <si>
    <t>39 years MACRS</t>
    <phoneticPr fontId="2" type="noConversion"/>
  </si>
  <si>
    <t>Area Each floor</t>
    <phoneticPr fontId="2" type="noConversion"/>
  </si>
  <si>
    <t>Area Each Store</t>
    <phoneticPr fontId="2" type="noConversion"/>
  </si>
  <si>
    <t>Total Area for shop</t>
    <phoneticPr fontId="2" type="noConversion"/>
  </si>
  <si>
    <t>Unit</t>
    <phoneticPr fontId="2" type="noConversion"/>
  </si>
  <si>
    <t>sqft</t>
    <phoneticPr fontId="2" type="noConversion"/>
  </si>
  <si>
    <t>Unit</t>
    <phoneticPr fontId="2" type="noConversion"/>
  </si>
  <si>
    <t>Summary</t>
    <phoneticPr fontId="2" type="noConversion"/>
  </si>
  <si>
    <t>SLN</t>
    <phoneticPr fontId="2" type="noConversion"/>
  </si>
  <si>
    <t>Uniform</t>
    <phoneticPr fontId="2" type="noConversion"/>
  </si>
  <si>
    <t>i</t>
    <phoneticPr fontId="2" type="noConversion"/>
  </si>
  <si>
    <t>PPMT</t>
    <phoneticPr fontId="2" type="noConversion"/>
  </si>
  <si>
    <t>IPMT</t>
    <phoneticPr fontId="2" type="noConversion"/>
  </si>
  <si>
    <t>NCF</t>
    <phoneticPr fontId="2" type="noConversion"/>
  </si>
  <si>
    <t>TVOM</t>
    <phoneticPr fontId="2" type="noConversion"/>
  </si>
  <si>
    <t>i</t>
    <phoneticPr fontId="2" type="noConversion"/>
  </si>
  <si>
    <t>Plan 3</t>
    <phoneticPr fontId="2" type="noConversion"/>
  </si>
  <si>
    <t>Present Worth</t>
    <phoneticPr fontId="2" type="noConversion"/>
  </si>
  <si>
    <t>Exponential Regression</t>
    <phoneticPr fontId="2" type="noConversion"/>
  </si>
  <si>
    <t>Wages (per Person)</t>
    <phoneticPr fontId="2" type="noConversion"/>
  </si>
  <si>
    <t>Rent (per Store)</t>
    <phoneticPr fontId="2" type="noConversion"/>
  </si>
  <si>
    <t>j(Wage)</t>
    <phoneticPr fontId="2" type="noConversion"/>
  </si>
  <si>
    <t>j(Rent)</t>
    <phoneticPr fontId="2" type="noConversion"/>
  </si>
  <si>
    <t>Linear Regression</t>
    <phoneticPr fontId="2" type="noConversion"/>
  </si>
  <si>
    <t>Rent up</t>
    <phoneticPr fontId="2" type="noConversion"/>
  </si>
  <si>
    <t>Wage up</t>
    <phoneticPr fontId="2" type="noConversion"/>
  </si>
  <si>
    <t>Exponential Regression</t>
    <phoneticPr fontId="2" type="noConversion"/>
  </si>
  <si>
    <t>Exponential Regression</t>
    <phoneticPr fontId="2" type="noConversion"/>
  </si>
  <si>
    <t>Linear Regression</t>
    <phoneticPr fontId="2" type="noConversion"/>
  </si>
  <si>
    <t>Linear Regression</t>
    <phoneticPr fontId="2" type="noConversion"/>
  </si>
  <si>
    <t>Present Worth</t>
    <phoneticPr fontId="2" type="noConversion"/>
  </si>
  <si>
    <t>Initial Rate of Revenue (IRR)</t>
    <phoneticPr fontId="2" type="noConversion"/>
  </si>
  <si>
    <t>Uniform</t>
    <phoneticPr fontId="2" type="noConversion"/>
  </si>
  <si>
    <t>Geometric</t>
    <phoneticPr fontId="2" type="noConversion"/>
  </si>
  <si>
    <t>Plan 3</t>
    <phoneticPr fontId="2" type="noConversion"/>
  </si>
  <si>
    <t>Plan 4</t>
    <phoneticPr fontId="2" type="noConversion"/>
  </si>
  <si>
    <t>Plan 3</t>
    <phoneticPr fontId="2" type="noConversion"/>
  </si>
  <si>
    <t>Plan 4</t>
    <phoneticPr fontId="2" type="noConversion"/>
  </si>
  <si>
    <t>SLN</t>
    <phoneticPr fontId="2" type="noConversion"/>
  </si>
  <si>
    <t>MACRS</t>
    <phoneticPr fontId="2" type="noConversion"/>
  </si>
  <si>
    <t>ATMARR</t>
    <phoneticPr fontId="2" type="noConversion"/>
  </si>
  <si>
    <t>ATMARR</t>
    <phoneticPr fontId="2" type="noConversion"/>
  </si>
  <si>
    <t>BTMARR</t>
    <phoneticPr fontId="2" type="noConversion"/>
  </si>
  <si>
    <t>Whole Project Total Initial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</si>
</sst>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164" formatCode="0.0000%"/>
    <numFmt numFmtId="165" formatCode="0.0%"/>
    <numFmt numFmtId="166" formatCode="0.000%"/>
    <numFmt numFmtId="167" formatCode="&quot;$&quot;#,##0.00_);\(&quot;$&quot;#,##0.00\)"/>
    <numFmt numFmtId="168" formatCode="&quot;$&quot;#,##0.00;[Red]\(&quot;$&quot;#,##0.00\)"/>
    <numFmt numFmtId="169" formatCode="&quot;$&quot;#,##0.00_);[Red]\(&quot;$&quot;#,##0.00\)"/>
    <numFmt numFmtId="170" formatCode="0.00000%"/>
  </numFmts>
  <fonts count="9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b/>
      <sz val="20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4" fontId="0" fillId="0" borderId="0" xfId="3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7" fontId="0" fillId="0" borderId="0" xfId="0" applyNumberFormat="1" applyAlignment="1">
      <alignment vertical="center"/>
    </xf>
    <xf numFmtId="0" fontId="8" fillId="0" borderId="0" xfId="0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3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3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2400"/>
              <a:t>Lender's Rate VS Present Worth</a:t>
            </a:r>
            <a:endParaRPr lang="zh-CN" altLang="en-US" sz="2400"/>
          </a:p>
        </c:rich>
      </c:tx>
      <c:layout>
        <c:manualLayout>
          <c:xMode val="edge"/>
          <c:yMode val="edge"/>
          <c:x val="0.319372757627654"/>
          <c:y val="0.046692607003891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Plan 3</c:v>
          </c:tx>
          <c:marker>
            <c:symbol val="none"/>
          </c:marker>
          <c:xVal>
            <c:numRef>
              <c:f>'Step-1-Plan-3 vs Plan-4'!$A$39:$A$49</c:f>
              <c:numCache>
                <c:formatCode>0.00%</c:formatCode>
                <c:ptCount val="1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'Step-1-Plan-3 vs Plan-4'!$B$39:$B$49</c:f>
              <c:numCache>
                <c:formatCode>"$"#,##0.00;[Red]\("$"#,##0.00\)</c:formatCode>
                <c:ptCount val="11"/>
                <c:pt idx="0">
                  <c:v>1.91878024050329E7</c:v>
                </c:pt>
                <c:pt idx="1">
                  <c:v>1.61205140947866E7</c:v>
                </c:pt>
                <c:pt idx="2">
                  <c:v>1.27773403396812E7</c:v>
                </c:pt>
                <c:pt idx="3">
                  <c:v>9.16932793098378E6</c:v>
                </c:pt>
                <c:pt idx="4">
                  <c:v>5.31121923665019E6</c:v>
                </c:pt>
                <c:pt idx="5">
                  <c:v>1.22057846934135E6</c:v>
                </c:pt>
                <c:pt idx="6">
                  <c:v>-3.08313305443035E6</c:v>
                </c:pt>
                <c:pt idx="7">
                  <c:v>-7.57945183693649E6</c:v>
                </c:pt>
                <c:pt idx="8">
                  <c:v>-1.22477144721675E7</c:v>
                </c:pt>
                <c:pt idx="9">
                  <c:v>-1.70677266040779E7</c:v>
                </c:pt>
                <c:pt idx="10">
                  <c:v>-2.2020279786954E7</c:v>
                </c:pt>
              </c:numCache>
            </c:numRef>
          </c:yVal>
          <c:smooth val="1"/>
        </c:ser>
        <c:ser>
          <c:idx val="1"/>
          <c:order val="1"/>
          <c:tx>
            <c:v>Plan 4</c:v>
          </c:tx>
          <c:marker>
            <c:symbol val="none"/>
          </c:marker>
          <c:xVal>
            <c:numRef>
              <c:f>'Step-1-Plan-3 vs Plan-4'!$A$39:$A$49</c:f>
              <c:numCache>
                <c:formatCode>0.00%</c:formatCode>
                <c:ptCount val="1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'Step-1-Plan-3 vs Plan-4'!$C$39:$C$49</c:f>
              <c:numCache>
                <c:formatCode>"$"#,##0.00;[Red]\("$"#,##0.00\)</c:formatCode>
                <c:ptCount val="11"/>
                <c:pt idx="0">
                  <c:v>2.99574647661241E7</c:v>
                </c:pt>
                <c:pt idx="1">
                  <c:v>2.71355281844205E7</c:v>
                </c:pt>
                <c:pt idx="2">
                  <c:v>2.33752653276724E7</c:v>
                </c:pt>
                <c:pt idx="3">
                  <c:v>1.83787476806093E7</c:v>
                </c:pt>
                <c:pt idx="4">
                  <c:v>1.17578234224364E7</c:v>
                </c:pt>
                <c:pt idx="5">
                  <c:v>3.00809020280916E6</c:v>
                </c:pt>
                <c:pt idx="6" formatCode="&quot;$&quot;#,##0.00_);[Red]\(&quot;$&quot;#,##0.00\)">
                  <c:v>-8.52427450571376E6</c:v>
                </c:pt>
                <c:pt idx="7">
                  <c:v>-2.36846872428448E7</c:v>
                </c:pt>
                <c:pt idx="8">
                  <c:v>-4.35636585590119E7</c:v>
                </c:pt>
                <c:pt idx="9">
                  <c:v>-6.95645090525634E7</c:v>
                </c:pt>
                <c:pt idx="10">
                  <c:v>-1.03488890716414E8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31096"/>
        <c:axId val="2113036680"/>
      </c:scatterChart>
      <c:valAx>
        <c:axId val="2113031096"/>
        <c:scaling>
          <c:orientation val="minMax"/>
          <c:max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/>
                  <a:t>Interest Rate %</a:t>
                </a:r>
                <a:endParaRPr lang="zh-CN" altLang="en-US" sz="1600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13036680"/>
        <c:crosses val="autoZero"/>
        <c:crossBetween val="midCat"/>
      </c:valAx>
      <c:valAx>
        <c:axId val="2113036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600"/>
                  <a:t>Present Worth</a:t>
                </a:r>
                <a:endParaRPr lang="zh-CN" altLang="en-US" sz="1600"/>
              </a:p>
            </c:rich>
          </c:tx>
          <c:layout/>
          <c:overlay val="0"/>
        </c:title>
        <c:numFmt formatCode="&quot;$&quot;#,##0.00;[Red]\(&quot;$&quot;#,##0.00\)" sourceLinked="1"/>
        <c:majorTickMark val="out"/>
        <c:minorTickMark val="none"/>
        <c:tickLblPos val="nextTo"/>
        <c:crossAx val="2113031096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 Rent</c:v>
          </c:tx>
          <c:marker>
            <c:symbol val="none"/>
          </c:marker>
          <c:xVal>
            <c:numRef>
              <c:f>'Step-1-Regression'!$A$4:$A$33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'Step-1-Regression'!$B$4:$B$33</c:f>
              <c:numCache>
                <c:formatCode>"$"#,##0.00_);\("$"#,##0.00\)</c:formatCode>
                <c:ptCount val="30"/>
                <c:pt idx="0">
                  <c:v>100000.0</c:v>
                </c:pt>
                <c:pt idx="1">
                  <c:v>102000.0</c:v>
                </c:pt>
                <c:pt idx="2">
                  <c:v>104040.0</c:v>
                </c:pt>
                <c:pt idx="3">
                  <c:v>106120.8</c:v>
                </c:pt>
                <c:pt idx="4">
                  <c:v>108243.216</c:v>
                </c:pt>
                <c:pt idx="5">
                  <c:v>110408.08032</c:v>
                </c:pt>
                <c:pt idx="6">
                  <c:v>112616.2419264</c:v>
                </c:pt>
                <c:pt idx="7">
                  <c:v>114868.566764928</c:v>
                </c:pt>
                <c:pt idx="8">
                  <c:v>117165.9381002266</c:v>
                </c:pt>
                <c:pt idx="9">
                  <c:v>119509.2568622311</c:v>
                </c:pt>
                <c:pt idx="10">
                  <c:v>121899.4419994757</c:v>
                </c:pt>
                <c:pt idx="11">
                  <c:v>124337.4308394652</c:v>
                </c:pt>
                <c:pt idx="12">
                  <c:v>126824.1794562545</c:v>
                </c:pt>
                <c:pt idx="13">
                  <c:v>129360.6630453796</c:v>
                </c:pt>
                <c:pt idx="14">
                  <c:v>131947.8763062872</c:v>
                </c:pt>
                <c:pt idx="15">
                  <c:v>134586.8338324129</c:v>
                </c:pt>
                <c:pt idx="16">
                  <c:v>137278.5705090612</c:v>
                </c:pt>
                <c:pt idx="17">
                  <c:v>140024.1419192425</c:v>
                </c:pt>
                <c:pt idx="18">
                  <c:v>142824.6247576273</c:v>
                </c:pt>
                <c:pt idx="19">
                  <c:v>145681.1172527798</c:v>
                </c:pt>
                <c:pt idx="20">
                  <c:v>148594.7395978354</c:v>
                </c:pt>
                <c:pt idx="21">
                  <c:v>151566.6343897921</c:v>
                </c:pt>
                <c:pt idx="22">
                  <c:v>154597.967077588</c:v>
                </c:pt>
                <c:pt idx="23">
                  <c:v>157689.9264191397</c:v>
                </c:pt>
                <c:pt idx="24">
                  <c:v>160843.7249475225</c:v>
                </c:pt>
                <c:pt idx="25">
                  <c:v>164060.5994464729</c:v>
                </c:pt>
                <c:pt idx="26">
                  <c:v>167341.8114354024</c:v>
                </c:pt>
                <c:pt idx="27">
                  <c:v>170688.6476641104</c:v>
                </c:pt>
                <c:pt idx="28">
                  <c:v>174102.4206173927</c:v>
                </c:pt>
                <c:pt idx="29">
                  <c:v>177584.4690297405</c:v>
                </c:pt>
              </c:numCache>
            </c:numRef>
          </c:yVal>
          <c:smooth val="1"/>
        </c:ser>
        <c:ser>
          <c:idx val="1"/>
          <c:order val="1"/>
          <c:tx>
            <c:v>Exponential Regression</c:v>
          </c:tx>
          <c:marker>
            <c:symbol val="none"/>
          </c:marker>
          <c:xVal>
            <c:numRef>
              <c:f>'Step-1-Regression'!$A$4:$A$33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'Step-1-Regression'!$C$4:$C$33</c:f>
              <c:numCache>
                <c:formatCode>"$"#,##0.00_);\("$"#,##0.00\)</c:formatCode>
                <c:ptCount val="30"/>
                <c:pt idx="0">
                  <c:v>100000.0</c:v>
                </c:pt>
                <c:pt idx="1">
                  <c:v>102200.0</c:v>
                </c:pt>
                <c:pt idx="2">
                  <c:v>104448.4</c:v>
                </c:pt>
                <c:pt idx="3">
                  <c:v>106746.2648</c:v>
                </c:pt>
                <c:pt idx="4">
                  <c:v>109094.6826256</c:v>
                </c:pt>
                <c:pt idx="5">
                  <c:v>111494.7656433632</c:v>
                </c:pt>
                <c:pt idx="6">
                  <c:v>113947.6504875172</c:v>
                </c:pt>
                <c:pt idx="7">
                  <c:v>116454.4987982426</c:v>
                </c:pt>
                <c:pt idx="8">
                  <c:v>119016.4977718039</c:v>
                </c:pt>
                <c:pt idx="9">
                  <c:v>121634.8607227836</c:v>
                </c:pt>
                <c:pt idx="10">
                  <c:v>124310.8276586848</c:v>
                </c:pt>
                <c:pt idx="11">
                  <c:v>127045.6658671759</c:v>
                </c:pt>
                <c:pt idx="12">
                  <c:v>129840.6705162538</c:v>
                </c:pt>
                <c:pt idx="13">
                  <c:v>132697.1652676114</c:v>
                </c:pt>
                <c:pt idx="14">
                  <c:v>135616.5029034988</c:v>
                </c:pt>
                <c:pt idx="15">
                  <c:v>138600.0659673758</c:v>
                </c:pt>
                <c:pt idx="16">
                  <c:v>141649.2674186581</c:v>
                </c:pt>
                <c:pt idx="17">
                  <c:v>144765.5513018685</c:v>
                </c:pt>
                <c:pt idx="18">
                  <c:v>147950.3934305096</c:v>
                </c:pt>
                <c:pt idx="19">
                  <c:v>151205.3020859809</c:v>
                </c:pt>
                <c:pt idx="20">
                  <c:v>154531.8187318725</c:v>
                </c:pt>
                <c:pt idx="21">
                  <c:v>157931.5187439736</c:v>
                </c:pt>
                <c:pt idx="22">
                  <c:v>161406.0121563411</c:v>
                </c:pt>
                <c:pt idx="23">
                  <c:v>164956.9444237805</c:v>
                </c:pt>
                <c:pt idx="24">
                  <c:v>168585.9972011037</c:v>
                </c:pt>
                <c:pt idx="25">
                  <c:v>172294.889139528</c:v>
                </c:pt>
                <c:pt idx="26">
                  <c:v>176085.3767005976</c:v>
                </c:pt>
                <c:pt idx="27">
                  <c:v>179959.2549880108</c:v>
                </c:pt>
                <c:pt idx="28">
                  <c:v>183918.358597747</c:v>
                </c:pt>
                <c:pt idx="29">
                  <c:v>187964.5624868975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87048"/>
        <c:axId val="2113090104"/>
      </c:scatterChart>
      <c:valAx>
        <c:axId val="211308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090104"/>
        <c:crosses val="autoZero"/>
        <c:crossBetween val="midCat"/>
      </c:valAx>
      <c:valAx>
        <c:axId val="2113090104"/>
        <c:scaling>
          <c:orientation val="minMax"/>
        </c:scaling>
        <c:delete val="0"/>
        <c:axPos val="l"/>
        <c:majorGridlines/>
        <c:numFmt formatCode="&quot;$&quot;#,##0.00_);\(&quot;$&quot;#,##0.00\)" sourceLinked="1"/>
        <c:majorTickMark val="out"/>
        <c:minorTickMark val="none"/>
        <c:tickLblPos val="nextTo"/>
        <c:crossAx val="2113087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 Wage</c:v>
          </c:tx>
          <c:marker>
            <c:symbol val="none"/>
          </c:marker>
          <c:xVal>
            <c:numRef>
              <c:f>'Step-1-Regression'!$A$39:$A$68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'Step-1-Regression'!$B$39:$B$68</c:f>
              <c:numCache>
                <c:formatCode>"$"#,##0.00_);\("$"#,##0.00\)</c:formatCode>
                <c:ptCount val="30"/>
                <c:pt idx="0">
                  <c:v>12000.0</c:v>
                </c:pt>
                <c:pt idx="1">
                  <c:v>12240.0</c:v>
                </c:pt>
                <c:pt idx="2">
                  <c:v>12484.8</c:v>
                </c:pt>
                <c:pt idx="3">
                  <c:v>12734.496</c:v>
                </c:pt>
                <c:pt idx="4">
                  <c:v>12989.18592</c:v>
                </c:pt>
                <c:pt idx="5">
                  <c:v>13248.9696384</c:v>
                </c:pt>
                <c:pt idx="6">
                  <c:v>13513.949031168</c:v>
                </c:pt>
                <c:pt idx="7">
                  <c:v>13784.22801179136</c:v>
                </c:pt>
                <c:pt idx="8">
                  <c:v>14059.91257202719</c:v>
                </c:pt>
                <c:pt idx="9">
                  <c:v>14341.11082346773</c:v>
                </c:pt>
                <c:pt idx="10">
                  <c:v>14627.93303993708</c:v>
                </c:pt>
                <c:pt idx="11">
                  <c:v>14920.49170073582</c:v>
                </c:pt>
                <c:pt idx="12">
                  <c:v>15218.90153475054</c:v>
                </c:pt>
                <c:pt idx="13">
                  <c:v>15523.27956544555</c:v>
                </c:pt>
                <c:pt idx="14">
                  <c:v>15833.74515675446</c:v>
                </c:pt>
                <c:pt idx="15">
                  <c:v>16150.42005988955</c:v>
                </c:pt>
                <c:pt idx="16">
                  <c:v>16473.42846108734</c:v>
                </c:pt>
                <c:pt idx="17">
                  <c:v>16802.89703030909</c:v>
                </c:pt>
                <c:pt idx="18">
                  <c:v>17138.95497091527</c:v>
                </c:pt>
                <c:pt idx="19">
                  <c:v>17481.73407033358</c:v>
                </c:pt>
                <c:pt idx="20">
                  <c:v>17831.36875174025</c:v>
                </c:pt>
                <c:pt idx="21">
                  <c:v>18187.99612677506</c:v>
                </c:pt>
                <c:pt idx="22">
                  <c:v>18551.75604931056</c:v>
                </c:pt>
                <c:pt idx="23">
                  <c:v>18922.79117029676</c:v>
                </c:pt>
                <c:pt idx="24">
                  <c:v>19301.2469937027</c:v>
                </c:pt>
                <c:pt idx="25">
                  <c:v>19687.27193357675</c:v>
                </c:pt>
                <c:pt idx="26">
                  <c:v>20081.0173722483</c:v>
                </c:pt>
                <c:pt idx="27">
                  <c:v>20482.63771969326</c:v>
                </c:pt>
                <c:pt idx="28">
                  <c:v>20892.29047408712</c:v>
                </c:pt>
                <c:pt idx="29">
                  <c:v>21310.13628356886</c:v>
                </c:pt>
              </c:numCache>
            </c:numRef>
          </c:yVal>
          <c:smooth val="1"/>
        </c:ser>
        <c:ser>
          <c:idx val="1"/>
          <c:order val="1"/>
          <c:tx>
            <c:v>Exponential Regression</c:v>
          </c:tx>
          <c:marker>
            <c:symbol val="none"/>
          </c:marker>
          <c:xVal>
            <c:numRef>
              <c:f>'Step-1-Regression'!$A$39:$A$68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'Step-1-Regression'!$C$39:$C$68</c:f>
              <c:numCache>
                <c:formatCode>"$"#,##0.00_);\("$"#,##0.00\)</c:formatCode>
                <c:ptCount val="30"/>
                <c:pt idx="0">
                  <c:v>12000.0</c:v>
                </c:pt>
                <c:pt idx="1">
                  <c:v>12264.0</c:v>
                </c:pt>
                <c:pt idx="2">
                  <c:v>12533.808</c:v>
                </c:pt>
                <c:pt idx="3">
                  <c:v>12809.551776</c:v>
                </c:pt>
                <c:pt idx="4">
                  <c:v>13091.361915072</c:v>
                </c:pt>
                <c:pt idx="5">
                  <c:v>13379.37187720358</c:v>
                </c:pt>
                <c:pt idx="6">
                  <c:v>13673.71805850206</c:v>
                </c:pt>
                <c:pt idx="7">
                  <c:v>13974.53985578911</c:v>
                </c:pt>
                <c:pt idx="8">
                  <c:v>14281.97973261647</c:v>
                </c:pt>
                <c:pt idx="9">
                  <c:v>14596.18328673403</c:v>
                </c:pt>
                <c:pt idx="10">
                  <c:v>14917.29931904218</c:v>
                </c:pt>
                <c:pt idx="11">
                  <c:v>15245.47990406111</c:v>
                </c:pt>
                <c:pt idx="12">
                  <c:v>15580.88046195045</c:v>
                </c:pt>
                <c:pt idx="13">
                  <c:v>15923.65983211336</c:v>
                </c:pt>
                <c:pt idx="14">
                  <c:v>16273.98034841986</c:v>
                </c:pt>
                <c:pt idx="15">
                  <c:v>16632.00791608509</c:v>
                </c:pt>
                <c:pt idx="16">
                  <c:v>16997.91209023897</c:v>
                </c:pt>
                <c:pt idx="17">
                  <c:v>17371.86615622423</c:v>
                </c:pt>
                <c:pt idx="18">
                  <c:v>17754.04721166116</c:v>
                </c:pt>
                <c:pt idx="19">
                  <c:v>18144.6362503177</c:v>
                </c:pt>
                <c:pt idx="20">
                  <c:v>18543.81824782469</c:v>
                </c:pt>
                <c:pt idx="21">
                  <c:v>18951.78224927684</c:v>
                </c:pt>
                <c:pt idx="22">
                  <c:v>19368.72145876093</c:v>
                </c:pt>
                <c:pt idx="23">
                  <c:v>19794.83333085367</c:v>
                </c:pt>
                <c:pt idx="24">
                  <c:v>20230.31966413245</c:v>
                </c:pt>
                <c:pt idx="25">
                  <c:v>20675.38669674336</c:v>
                </c:pt>
                <c:pt idx="26">
                  <c:v>21130.24520407172</c:v>
                </c:pt>
                <c:pt idx="27">
                  <c:v>21595.1105985613</c:v>
                </c:pt>
                <c:pt idx="28">
                  <c:v>22070.20303172964</c:v>
                </c:pt>
                <c:pt idx="29">
                  <c:v>22555.7474984277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19384"/>
        <c:axId val="2113122440"/>
      </c:scatterChart>
      <c:valAx>
        <c:axId val="211311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122440"/>
        <c:crosses val="autoZero"/>
        <c:crossBetween val="midCat"/>
      </c:valAx>
      <c:valAx>
        <c:axId val="2113122440"/>
        <c:scaling>
          <c:orientation val="minMax"/>
        </c:scaling>
        <c:delete val="0"/>
        <c:axPos val="l"/>
        <c:majorGridlines/>
        <c:numFmt formatCode="&quot;$&quot;#,##0.00_);\(&quot;$&quot;#,##0.00\)" sourceLinked="1"/>
        <c:majorTickMark val="out"/>
        <c:minorTickMark val="none"/>
        <c:tickLblPos val="nextTo"/>
        <c:crossAx val="211311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 Rent</c:v>
          </c:tx>
          <c:marker>
            <c:symbol val="none"/>
          </c:marker>
          <c:xVal>
            <c:numRef>
              <c:f>'Step-1-Regression'!$R$4:$R$33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'Step-1-Regression'!$S$4:$S$33</c:f>
              <c:numCache>
                <c:formatCode>"$"#,##0.00_);\("$"#,##0.00\)</c:formatCode>
                <c:ptCount val="30"/>
                <c:pt idx="0">
                  <c:v>100000.0</c:v>
                </c:pt>
                <c:pt idx="1">
                  <c:v>102000.0</c:v>
                </c:pt>
                <c:pt idx="2">
                  <c:v>104040.0</c:v>
                </c:pt>
                <c:pt idx="3">
                  <c:v>106120.8</c:v>
                </c:pt>
                <c:pt idx="4">
                  <c:v>108243.216</c:v>
                </c:pt>
                <c:pt idx="5">
                  <c:v>110408.08032</c:v>
                </c:pt>
                <c:pt idx="6">
                  <c:v>112616.2419264</c:v>
                </c:pt>
                <c:pt idx="7">
                  <c:v>114868.566764928</c:v>
                </c:pt>
                <c:pt idx="8">
                  <c:v>117165.9381002266</c:v>
                </c:pt>
                <c:pt idx="9">
                  <c:v>119509.2568622311</c:v>
                </c:pt>
                <c:pt idx="10">
                  <c:v>121899.4419994757</c:v>
                </c:pt>
                <c:pt idx="11">
                  <c:v>124337.4308394652</c:v>
                </c:pt>
                <c:pt idx="12">
                  <c:v>126824.1794562545</c:v>
                </c:pt>
                <c:pt idx="13">
                  <c:v>129360.6630453796</c:v>
                </c:pt>
                <c:pt idx="14">
                  <c:v>131947.8763062872</c:v>
                </c:pt>
                <c:pt idx="15">
                  <c:v>134586.8338324129</c:v>
                </c:pt>
                <c:pt idx="16">
                  <c:v>137278.5705090612</c:v>
                </c:pt>
                <c:pt idx="17">
                  <c:v>140024.1419192425</c:v>
                </c:pt>
                <c:pt idx="18">
                  <c:v>142824.6247576273</c:v>
                </c:pt>
                <c:pt idx="19">
                  <c:v>145681.1172527798</c:v>
                </c:pt>
                <c:pt idx="20">
                  <c:v>148594.7395978354</c:v>
                </c:pt>
                <c:pt idx="21">
                  <c:v>151566.6343897921</c:v>
                </c:pt>
                <c:pt idx="22">
                  <c:v>154597.967077588</c:v>
                </c:pt>
                <c:pt idx="23">
                  <c:v>157689.9264191397</c:v>
                </c:pt>
                <c:pt idx="24">
                  <c:v>160843.7249475225</c:v>
                </c:pt>
                <c:pt idx="25">
                  <c:v>164060.5994464729</c:v>
                </c:pt>
                <c:pt idx="26">
                  <c:v>167341.8114354024</c:v>
                </c:pt>
                <c:pt idx="27">
                  <c:v>170688.6476641104</c:v>
                </c:pt>
                <c:pt idx="28">
                  <c:v>174102.4206173927</c:v>
                </c:pt>
                <c:pt idx="29">
                  <c:v>177584.4690297405</c:v>
                </c:pt>
              </c:numCache>
            </c:numRef>
          </c:yVal>
          <c:smooth val="1"/>
        </c:ser>
        <c:ser>
          <c:idx val="1"/>
          <c:order val="1"/>
          <c:tx>
            <c:v>Linear Regression</c:v>
          </c:tx>
          <c:marker>
            <c:symbol val="none"/>
          </c:marker>
          <c:xVal>
            <c:numRef>
              <c:f>'Step-1-Regression'!$R$4:$R$33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'Step-1-Regression'!$T$4:$T$33</c:f>
              <c:numCache>
                <c:formatCode>"$"#,##0.00_);\("$"#,##0.00\)</c:formatCode>
                <c:ptCount val="30"/>
                <c:pt idx="0">
                  <c:v>100000.0</c:v>
                </c:pt>
                <c:pt idx="1">
                  <c:v>102000.0</c:v>
                </c:pt>
                <c:pt idx="2">
                  <c:v>104000.0</c:v>
                </c:pt>
                <c:pt idx="3">
                  <c:v>106000.0</c:v>
                </c:pt>
                <c:pt idx="4">
                  <c:v>108000.0</c:v>
                </c:pt>
                <c:pt idx="5">
                  <c:v>110000.0</c:v>
                </c:pt>
                <c:pt idx="6">
                  <c:v>112000.0</c:v>
                </c:pt>
                <c:pt idx="7">
                  <c:v>114000.0</c:v>
                </c:pt>
                <c:pt idx="8">
                  <c:v>116000.0</c:v>
                </c:pt>
                <c:pt idx="9">
                  <c:v>118000.0</c:v>
                </c:pt>
                <c:pt idx="10">
                  <c:v>120000.0</c:v>
                </c:pt>
                <c:pt idx="11">
                  <c:v>122000.0</c:v>
                </c:pt>
                <c:pt idx="12">
                  <c:v>124000.0</c:v>
                </c:pt>
                <c:pt idx="13">
                  <c:v>126000.0</c:v>
                </c:pt>
                <c:pt idx="14">
                  <c:v>128000.0</c:v>
                </c:pt>
                <c:pt idx="15">
                  <c:v>130000.0</c:v>
                </c:pt>
                <c:pt idx="16">
                  <c:v>132000.0</c:v>
                </c:pt>
                <c:pt idx="17">
                  <c:v>134000.0</c:v>
                </c:pt>
                <c:pt idx="18">
                  <c:v>136000.0</c:v>
                </c:pt>
                <c:pt idx="19">
                  <c:v>138000.0</c:v>
                </c:pt>
                <c:pt idx="20">
                  <c:v>140000.0</c:v>
                </c:pt>
                <c:pt idx="21">
                  <c:v>142000.0</c:v>
                </c:pt>
                <c:pt idx="22">
                  <c:v>144000.0</c:v>
                </c:pt>
                <c:pt idx="23">
                  <c:v>146000.0</c:v>
                </c:pt>
                <c:pt idx="24">
                  <c:v>148000.0</c:v>
                </c:pt>
                <c:pt idx="25">
                  <c:v>150000.0</c:v>
                </c:pt>
                <c:pt idx="26">
                  <c:v>152000.0</c:v>
                </c:pt>
                <c:pt idx="27">
                  <c:v>154000.0</c:v>
                </c:pt>
                <c:pt idx="28">
                  <c:v>156000.0</c:v>
                </c:pt>
                <c:pt idx="29">
                  <c:v>158000.0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50696"/>
        <c:axId val="2113153752"/>
      </c:scatterChart>
      <c:valAx>
        <c:axId val="211315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153752"/>
        <c:crosses val="autoZero"/>
        <c:crossBetween val="midCat"/>
      </c:valAx>
      <c:valAx>
        <c:axId val="2113153752"/>
        <c:scaling>
          <c:orientation val="minMax"/>
        </c:scaling>
        <c:delete val="0"/>
        <c:axPos val="l"/>
        <c:majorGridlines/>
        <c:numFmt formatCode="&quot;$&quot;#,##0.00_);\(&quot;$&quot;#,##0.00\)" sourceLinked="1"/>
        <c:majorTickMark val="out"/>
        <c:minorTickMark val="none"/>
        <c:tickLblPos val="nextTo"/>
        <c:crossAx val="2113150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 Wage</c:v>
          </c:tx>
          <c:marker>
            <c:symbol val="none"/>
          </c:marker>
          <c:xVal>
            <c:numRef>
              <c:f>'Step-1-Regression'!$R$39:$R$68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'Step-1-Regression'!$S$39:$S$68</c:f>
              <c:numCache>
                <c:formatCode>"$"#,##0.00_);\("$"#,##0.00\)</c:formatCode>
                <c:ptCount val="30"/>
                <c:pt idx="0">
                  <c:v>12000.0</c:v>
                </c:pt>
                <c:pt idx="1">
                  <c:v>12240.0</c:v>
                </c:pt>
                <c:pt idx="2">
                  <c:v>12484.8</c:v>
                </c:pt>
                <c:pt idx="3">
                  <c:v>12734.496</c:v>
                </c:pt>
                <c:pt idx="4">
                  <c:v>12989.18592</c:v>
                </c:pt>
                <c:pt idx="5">
                  <c:v>13248.9696384</c:v>
                </c:pt>
                <c:pt idx="6">
                  <c:v>13513.949031168</c:v>
                </c:pt>
                <c:pt idx="7">
                  <c:v>13784.22801179136</c:v>
                </c:pt>
                <c:pt idx="8">
                  <c:v>14059.91257202719</c:v>
                </c:pt>
                <c:pt idx="9">
                  <c:v>14341.11082346773</c:v>
                </c:pt>
                <c:pt idx="10">
                  <c:v>14627.93303993708</c:v>
                </c:pt>
                <c:pt idx="11">
                  <c:v>14920.49170073582</c:v>
                </c:pt>
                <c:pt idx="12">
                  <c:v>15218.90153475054</c:v>
                </c:pt>
                <c:pt idx="13">
                  <c:v>15523.27956544555</c:v>
                </c:pt>
                <c:pt idx="14">
                  <c:v>15833.74515675446</c:v>
                </c:pt>
                <c:pt idx="15">
                  <c:v>16150.42005988955</c:v>
                </c:pt>
                <c:pt idx="16">
                  <c:v>16473.42846108734</c:v>
                </c:pt>
                <c:pt idx="17">
                  <c:v>16802.89703030909</c:v>
                </c:pt>
                <c:pt idx="18">
                  <c:v>17138.95497091527</c:v>
                </c:pt>
                <c:pt idx="19">
                  <c:v>17481.73407033358</c:v>
                </c:pt>
                <c:pt idx="20">
                  <c:v>17831.36875174025</c:v>
                </c:pt>
                <c:pt idx="21">
                  <c:v>18187.99612677506</c:v>
                </c:pt>
                <c:pt idx="22">
                  <c:v>18551.75604931056</c:v>
                </c:pt>
                <c:pt idx="23">
                  <c:v>18922.79117029676</c:v>
                </c:pt>
                <c:pt idx="24">
                  <c:v>19301.2469937027</c:v>
                </c:pt>
                <c:pt idx="25">
                  <c:v>19687.27193357675</c:v>
                </c:pt>
                <c:pt idx="26">
                  <c:v>20081.0173722483</c:v>
                </c:pt>
                <c:pt idx="27">
                  <c:v>20482.63771969326</c:v>
                </c:pt>
                <c:pt idx="28">
                  <c:v>20892.29047408712</c:v>
                </c:pt>
                <c:pt idx="29">
                  <c:v>21310.13628356886</c:v>
                </c:pt>
              </c:numCache>
            </c:numRef>
          </c:yVal>
          <c:smooth val="1"/>
        </c:ser>
        <c:ser>
          <c:idx val="1"/>
          <c:order val="1"/>
          <c:tx>
            <c:v>Linear Regression</c:v>
          </c:tx>
          <c:marker>
            <c:symbol val="none"/>
          </c:marker>
          <c:xVal>
            <c:numRef>
              <c:f>'Step-1-Regression'!$R$39:$R$68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'Step-1-Regression'!$T$39:$T$68</c:f>
              <c:numCache>
                <c:formatCode>"$"#,##0.00_);\("$"#,##0.00\)</c:formatCode>
                <c:ptCount val="30"/>
                <c:pt idx="0">
                  <c:v>12000.0</c:v>
                </c:pt>
                <c:pt idx="1">
                  <c:v>12300.0</c:v>
                </c:pt>
                <c:pt idx="2">
                  <c:v>12600.0</c:v>
                </c:pt>
                <c:pt idx="3">
                  <c:v>12900.0</c:v>
                </c:pt>
                <c:pt idx="4">
                  <c:v>13200.0</c:v>
                </c:pt>
                <c:pt idx="5">
                  <c:v>13500.0</c:v>
                </c:pt>
                <c:pt idx="6">
                  <c:v>13800.0</c:v>
                </c:pt>
                <c:pt idx="7">
                  <c:v>14100.0</c:v>
                </c:pt>
                <c:pt idx="8">
                  <c:v>14400.0</c:v>
                </c:pt>
                <c:pt idx="9">
                  <c:v>14700.0</c:v>
                </c:pt>
                <c:pt idx="10">
                  <c:v>15000.0</c:v>
                </c:pt>
                <c:pt idx="11">
                  <c:v>15300.0</c:v>
                </c:pt>
                <c:pt idx="12">
                  <c:v>15600.0</c:v>
                </c:pt>
                <c:pt idx="13">
                  <c:v>15900.0</c:v>
                </c:pt>
                <c:pt idx="14">
                  <c:v>16200.0</c:v>
                </c:pt>
                <c:pt idx="15">
                  <c:v>16500.0</c:v>
                </c:pt>
                <c:pt idx="16">
                  <c:v>16800.0</c:v>
                </c:pt>
                <c:pt idx="17">
                  <c:v>17100.0</c:v>
                </c:pt>
                <c:pt idx="18">
                  <c:v>17400.0</c:v>
                </c:pt>
                <c:pt idx="19">
                  <c:v>17700.0</c:v>
                </c:pt>
                <c:pt idx="20">
                  <c:v>18000.0</c:v>
                </c:pt>
                <c:pt idx="21">
                  <c:v>18300.0</c:v>
                </c:pt>
                <c:pt idx="22">
                  <c:v>18600.0</c:v>
                </c:pt>
                <c:pt idx="23">
                  <c:v>18900.0</c:v>
                </c:pt>
                <c:pt idx="24">
                  <c:v>19200.0</c:v>
                </c:pt>
                <c:pt idx="25">
                  <c:v>19500.0</c:v>
                </c:pt>
                <c:pt idx="26">
                  <c:v>19800.0</c:v>
                </c:pt>
                <c:pt idx="27">
                  <c:v>20100.0</c:v>
                </c:pt>
                <c:pt idx="28">
                  <c:v>20400.0</c:v>
                </c:pt>
                <c:pt idx="29">
                  <c:v>20700.0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82296"/>
        <c:axId val="2113185352"/>
      </c:scatterChart>
      <c:valAx>
        <c:axId val="211318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185352"/>
        <c:crosses val="autoZero"/>
        <c:crossBetween val="midCat"/>
      </c:valAx>
      <c:valAx>
        <c:axId val="2113185352"/>
        <c:scaling>
          <c:orientation val="minMax"/>
        </c:scaling>
        <c:delete val="0"/>
        <c:axPos val="l"/>
        <c:majorGridlines/>
        <c:numFmt formatCode="&quot;$&quot;#,##0.00_);\(&quot;$&quot;#,##0.00\)" sourceLinked="1"/>
        <c:majorTickMark val="out"/>
        <c:minorTickMark val="none"/>
        <c:tickLblPos val="nextTo"/>
        <c:crossAx val="2113182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36</xdr:row>
      <xdr:rowOff>38100</xdr:rowOff>
    </xdr:from>
    <xdr:to>
      <xdr:col>12</xdr:col>
      <xdr:colOff>38100</xdr:colOff>
      <xdr:row>70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317500</xdr:colOff>
      <xdr:row>51</xdr:row>
      <xdr:rowOff>177800</xdr:rowOff>
    </xdr:from>
    <xdr:ext cx="3454792" cy="600164"/>
    <xdr:sp macro="" textlink="">
      <xdr:nvSpPr>
        <xdr:cNvPr id="3" name="文本框 2"/>
        <xdr:cNvSpPr txBox="1"/>
      </xdr:nvSpPr>
      <xdr:spPr>
        <a:xfrm>
          <a:off x="317500" y="9994900"/>
          <a:ext cx="3454792" cy="6001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As we can see from the graph, </a:t>
          </a:r>
        </a:p>
        <a:p>
          <a:r>
            <a:rPr lang="en-US" altLang="zh-CN" sz="1100"/>
            <a:t>(i) if the lender's rate &lt; TVOM, use plan-4 for borrowing.</a:t>
          </a:r>
        </a:p>
        <a:p>
          <a:r>
            <a:rPr lang="en-US" altLang="zh-CN" sz="1100"/>
            <a:t>(ii) if the lender's rate&gt; TVOM, use plan-3</a:t>
          </a:r>
          <a:r>
            <a:rPr lang="en-US" altLang="zh-CN" sz="1100" baseline="0"/>
            <a:t> for borrowing.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320660</xdr:colOff>
      <xdr:row>7</xdr:row>
      <xdr:rowOff>159295</xdr:rowOff>
    </xdr:from>
    <xdr:to>
      <xdr:col>13</xdr:col>
      <xdr:colOff>642470</xdr:colOff>
      <xdr:row>33</xdr:row>
      <xdr:rowOff>89646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390769</xdr:colOff>
      <xdr:row>43</xdr:row>
      <xdr:rowOff>64478</xdr:rowOff>
    </xdr:from>
    <xdr:to>
      <xdr:col>13</xdr:col>
      <xdr:colOff>547076</xdr:colOff>
      <xdr:row>68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627529</xdr:colOff>
      <xdr:row>7</xdr:row>
      <xdr:rowOff>92633</xdr:rowOff>
    </xdr:from>
    <xdr:to>
      <xdr:col>31</xdr:col>
      <xdr:colOff>89646</xdr:colOff>
      <xdr:row>32</xdr:row>
      <xdr:rowOff>194234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567764</xdr:colOff>
      <xdr:row>42</xdr:row>
      <xdr:rowOff>44824</xdr:rowOff>
    </xdr:from>
    <xdr:to>
      <xdr:col>31</xdr:col>
      <xdr:colOff>74705</xdr:colOff>
      <xdr:row>67</xdr:row>
      <xdr:rowOff>119528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262196</xdr:colOff>
      <xdr:row>34</xdr:row>
      <xdr:rowOff>61014</xdr:rowOff>
    </xdr:from>
    <xdr:ext cx="2971925" cy="1615827"/>
    <xdr:sp macro="" textlink="">
      <xdr:nvSpPr>
        <xdr:cNvPr id="7" name="文本框 6"/>
        <xdr:cNvSpPr txBox="1"/>
      </xdr:nvSpPr>
      <xdr:spPr>
        <a:xfrm>
          <a:off x="12633490" y="6665014"/>
          <a:ext cx="2971925" cy="161582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1100"/>
            <a:t>R</a:t>
          </a:r>
          <a:r>
            <a:rPr lang="en-US" altLang="zh-CN" sz="1100"/>
            <a:t>ent:</a:t>
          </a:r>
          <a:r>
            <a:rPr lang="en-US" altLang="zh-CN" sz="1100" baseline="0"/>
            <a:t> Linear Regression line:</a:t>
          </a:r>
        </a:p>
        <a:p>
          <a:r>
            <a:rPr lang="en-US" altLang="zh-CN" sz="1100" baseline="0"/>
            <a:t>     Y = aX + b,   b = base rent = $100,000</a:t>
          </a:r>
        </a:p>
        <a:p>
          <a:r>
            <a:rPr lang="en-US" altLang="zh-CN" sz="1100" baseline="0"/>
            <a:t>                          a = increase rent amount  = $2000</a:t>
          </a:r>
        </a:p>
        <a:p>
          <a:r>
            <a:rPr lang="en-US" altLang="zh-CN" sz="1100" baseline="0"/>
            <a:t>                          </a:t>
          </a:r>
        </a:p>
        <a:p>
          <a:r>
            <a:rPr lang="zh-CN" altLang="zh-CN" sz="1100" baseline="0"/>
            <a:t>W</a:t>
          </a:r>
          <a:r>
            <a:rPr lang="en-US" altLang="zh-CN" sz="1100" baseline="0"/>
            <a:t>age: Linear Regression line:</a:t>
          </a:r>
        </a:p>
        <a:p>
          <a:r>
            <a:rPr lang="en-US" altLang="zh-CN" sz="1100" baseline="0"/>
            <a:t>    Y = aX + b,     b = base wage = $12,000</a:t>
          </a:r>
        </a:p>
        <a:p>
          <a:r>
            <a:rPr lang="en-US" altLang="zh-CN" sz="1100" baseline="0"/>
            <a:t>                          a = increase wage amount = $300</a:t>
          </a:r>
        </a:p>
        <a:p>
          <a:r>
            <a:rPr lang="en-US" altLang="zh-CN" sz="1100" baseline="0"/>
            <a:t>	</a:t>
          </a:r>
        </a:p>
        <a:p>
          <a:r>
            <a:rPr lang="en-US" altLang="zh-CN" sz="1100" baseline="0"/>
            <a:t>                            X = Number of year</a:t>
          </a:r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476250</xdr:colOff>
      <xdr:row>17</xdr:row>
      <xdr:rowOff>119063</xdr:rowOff>
    </xdr:from>
    <xdr:ext cx="4010001" cy="938719"/>
    <xdr:sp macro="" textlink="">
      <xdr:nvSpPr>
        <xdr:cNvPr id="2" name="文本框 1"/>
        <xdr:cNvSpPr txBox="1"/>
      </xdr:nvSpPr>
      <xdr:spPr>
        <a:xfrm>
          <a:off x="2992438" y="3460751"/>
          <a:ext cx="4010001" cy="93871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WACC = Summation of the Product of Percentage &amp; Cost of Capital</a:t>
          </a:r>
        </a:p>
        <a:p>
          <a:endParaRPr lang="en-US" altLang="zh-CN" sz="1100"/>
        </a:p>
        <a:p>
          <a:r>
            <a:rPr lang="en-US" altLang="zh-CN" sz="1100"/>
            <a:t>BTMARR = WACC + Profit </a:t>
          </a:r>
        </a:p>
        <a:p>
          <a:endParaRPr lang="en-US" altLang="zh-CN" sz="1100"/>
        </a:p>
        <a:p>
          <a:r>
            <a:rPr lang="en-US" altLang="zh-CN" sz="1100"/>
            <a:t>ATMARR = BTMARR * (1- itr)</a:t>
          </a:r>
          <a:endParaRPr lang="zh-CN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317500</xdr:colOff>
      <xdr:row>15</xdr:row>
      <xdr:rowOff>121227</xdr:rowOff>
    </xdr:from>
    <xdr:ext cx="184666" cy="261610"/>
    <xdr:sp macro="" textlink="">
      <xdr:nvSpPr>
        <xdr:cNvPr id="2" name="文本框 1"/>
        <xdr:cNvSpPr txBox="1"/>
      </xdr:nvSpPr>
      <xdr:spPr>
        <a:xfrm>
          <a:off x="1420091" y="2978727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355745</xdr:colOff>
      <xdr:row>9</xdr:row>
      <xdr:rowOff>38244</xdr:rowOff>
    </xdr:from>
    <xdr:ext cx="6041881" cy="769441"/>
    <xdr:sp macro="" textlink="">
      <xdr:nvSpPr>
        <xdr:cNvPr id="3" name="文本框 2"/>
        <xdr:cNvSpPr txBox="1"/>
      </xdr:nvSpPr>
      <xdr:spPr>
        <a:xfrm>
          <a:off x="355745" y="1752744"/>
          <a:ext cx="6041881" cy="76944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100"/>
            <a:t>---1.It shows that the 2% of increase geometric rate matters so much to the PW so it is necessary for us to increase the rent and make a geometric cash flow in order to maintain positive Present Worth.</a:t>
          </a:r>
        </a:p>
        <a:p>
          <a:r>
            <a:rPr lang="en-US" altLang="zh-CN" sz="1100"/>
            <a:t>---2. Plan 4 makes more Present Worth in than Plan 3 with similar other conditions because under certain interest rate, Plan 4 is helping us holding more money on our hand.</a:t>
          </a:r>
          <a:endParaRPr lang="zh-CN" altLang="en-US" sz="1100"/>
        </a:p>
      </xdr:txBody>
    </xdr:sp>
    <xdr:clientData/>
  </xdr:oneCellAnchor>
  <xdr:oneCellAnchor>
    <xdr:from>
      <xdr:col>1</xdr:col>
      <xdr:colOff>47625</xdr:colOff>
      <xdr:row>23</xdr:row>
      <xdr:rowOff>103188</xdr:rowOff>
    </xdr:from>
    <xdr:ext cx="5006499" cy="769441"/>
    <xdr:sp macro="" textlink="">
      <xdr:nvSpPr>
        <xdr:cNvPr id="4" name="文本框 3"/>
        <xdr:cNvSpPr txBox="1"/>
      </xdr:nvSpPr>
      <xdr:spPr>
        <a:xfrm>
          <a:off x="1150938" y="4627563"/>
          <a:ext cx="5006499" cy="76944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Observations:</a:t>
          </a:r>
        </a:p>
        <a:p>
          <a:endParaRPr lang="en-US" altLang="zh-CN" sz="1100"/>
        </a:p>
        <a:p>
          <a:r>
            <a:rPr lang="en-US" altLang="zh-CN" sz="1100"/>
            <a:t>For all the cases, IRR is greater than ATMARR. Thus, the investment is feasible to do.</a:t>
          </a:r>
        </a:p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34" zoomScale="130" zoomScaleNormal="130" zoomScalePageLayoutView="130" workbookViewId="0">
      <selection activeCell="B21" sqref="B21"/>
    </sheetView>
  </sheetViews>
  <sheetFormatPr baseColWidth="10" defaultRowHeight="15" x14ac:dyDescent="0"/>
  <cols>
    <col min="1" max="1" width="43.1640625" style="3" customWidth="1"/>
    <col min="2" max="2" width="20.5" style="3" bestFit="1" customWidth="1"/>
    <col min="3" max="3" width="17.5" style="3" bestFit="1" customWidth="1"/>
    <col min="4" max="6" width="10.83203125" style="3"/>
    <col min="7" max="7" width="18.5" style="3" bestFit="1" customWidth="1"/>
    <col min="8" max="8" width="17.6640625" style="3" bestFit="1" customWidth="1"/>
    <col min="9" max="9" width="10.83203125" style="3"/>
    <col min="10" max="10" width="16.5" style="3" bestFit="1" customWidth="1"/>
    <col min="11" max="16384" width="10.83203125" style="3"/>
  </cols>
  <sheetData>
    <row r="1" spans="1:8">
      <c r="A1" s="1" t="s">
        <v>96</v>
      </c>
      <c r="B1" s="3" t="s">
        <v>103</v>
      </c>
      <c r="C1" s="3">
        <v>90000</v>
      </c>
      <c r="D1" s="3" t="s">
        <v>7</v>
      </c>
      <c r="F1" s="1" t="s">
        <v>35</v>
      </c>
      <c r="H1" s="4">
        <v>0.02</v>
      </c>
    </row>
    <row r="2" spans="1:8">
      <c r="B2" s="3" t="s">
        <v>104</v>
      </c>
      <c r="C2" s="3">
        <v>2000</v>
      </c>
      <c r="D2" s="3" t="s">
        <v>7</v>
      </c>
    </row>
    <row r="3" spans="1:8">
      <c r="B3" s="3" t="s">
        <v>105</v>
      </c>
      <c r="C3" s="3">
        <v>60000</v>
      </c>
      <c r="D3" s="3" t="s">
        <v>7</v>
      </c>
    </row>
    <row r="4" spans="1:8">
      <c r="B4" s="3" t="s">
        <v>10</v>
      </c>
      <c r="C4" s="3">
        <f>C3/C2</f>
        <v>30</v>
      </c>
      <c r="D4" s="3" t="s">
        <v>106</v>
      </c>
    </row>
    <row r="6" spans="1:8">
      <c r="A6" s="1" t="s">
        <v>97</v>
      </c>
      <c r="B6" s="3" t="s">
        <v>8</v>
      </c>
      <c r="C6" s="3">
        <f>C1*3</f>
        <v>270000</v>
      </c>
      <c r="D6" s="3" t="s">
        <v>107</v>
      </c>
    </row>
    <row r="7" spans="1:8">
      <c r="B7" s="3" t="s">
        <v>9</v>
      </c>
      <c r="C7" s="3">
        <f>C4*3</f>
        <v>90</v>
      </c>
      <c r="D7" s="3" t="s">
        <v>108</v>
      </c>
    </row>
    <row r="8" spans="1:8">
      <c r="A8" s="1" t="s">
        <v>98</v>
      </c>
      <c r="B8" s="3" t="s">
        <v>8</v>
      </c>
      <c r="C8" s="3">
        <f>C1</f>
        <v>90000</v>
      </c>
      <c r="D8" s="3" t="s">
        <v>107</v>
      </c>
    </row>
    <row r="11" spans="1:8" ht="25">
      <c r="A11" s="5" t="s">
        <v>94</v>
      </c>
    </row>
    <row r="12" spans="1:8">
      <c r="B12" s="3" t="s">
        <v>11</v>
      </c>
      <c r="C12" s="3" t="s">
        <v>12</v>
      </c>
    </row>
    <row r="13" spans="1:8">
      <c r="A13" s="3" t="s">
        <v>20</v>
      </c>
      <c r="B13" s="9">
        <v>200</v>
      </c>
      <c r="C13" s="9">
        <f>B13*C6</f>
        <v>54000000</v>
      </c>
    </row>
    <row r="14" spans="1:8">
      <c r="A14" s="3" t="s">
        <v>21</v>
      </c>
      <c r="B14" s="9">
        <v>250</v>
      </c>
      <c r="C14" s="9">
        <f>B14*C6</f>
        <v>67500000</v>
      </c>
    </row>
    <row r="15" spans="1:8">
      <c r="A15" s="3" t="s">
        <v>13</v>
      </c>
      <c r="B15" s="9"/>
      <c r="C15" s="9">
        <f>C13+C14</f>
        <v>121500000</v>
      </c>
    </row>
    <row r="16" spans="1:8">
      <c r="B16" s="9"/>
      <c r="C16" s="9"/>
    </row>
    <row r="17" spans="1:3">
      <c r="A17" s="3" t="s">
        <v>14</v>
      </c>
      <c r="B17" s="9">
        <v>30</v>
      </c>
      <c r="C17" s="9">
        <f>B17*C8</f>
        <v>2700000</v>
      </c>
    </row>
    <row r="18" spans="1:3">
      <c r="A18" s="3" t="s">
        <v>15</v>
      </c>
      <c r="B18" s="9">
        <v>30</v>
      </c>
      <c r="C18" s="9">
        <f>B18*C8</f>
        <v>2700000</v>
      </c>
    </row>
    <row r="19" spans="1:3">
      <c r="A19" s="3" t="s">
        <v>16</v>
      </c>
      <c r="B19" s="9"/>
      <c r="C19" s="9">
        <f>C17+C18</f>
        <v>5400000</v>
      </c>
    </row>
    <row r="20" spans="1:3">
      <c r="B20" s="9"/>
      <c r="C20" s="9"/>
    </row>
    <row r="21" spans="1:3" ht="20">
      <c r="A21" s="7" t="s">
        <v>145</v>
      </c>
      <c r="B21" s="9"/>
      <c r="C21" s="9">
        <f>C15+C19</f>
        <v>126900000</v>
      </c>
    </row>
    <row r="24" spans="1:3" ht="25">
      <c r="A24" s="5" t="s">
        <v>95</v>
      </c>
    </row>
    <row r="25" spans="1:3">
      <c r="A25" s="3" t="s">
        <v>17</v>
      </c>
      <c r="B25" s="3" t="s">
        <v>18</v>
      </c>
    </row>
    <row r="26" spans="1:3">
      <c r="A26" s="3" t="s">
        <v>19</v>
      </c>
      <c r="B26" s="9">
        <v>80</v>
      </c>
      <c r="C26" s="9">
        <f>(C1-C3)*3*B26+B26/50*C8</f>
        <v>7344000</v>
      </c>
    </row>
    <row r="27" spans="1:3">
      <c r="A27" s="3" t="s">
        <v>22</v>
      </c>
      <c r="B27" s="9"/>
      <c r="C27" s="9">
        <f>(5*3+2)*5000</f>
        <v>85000</v>
      </c>
    </row>
    <row r="28" spans="1:3">
      <c r="A28" s="3" t="s">
        <v>23</v>
      </c>
      <c r="B28" s="9"/>
      <c r="C28" s="9">
        <v>10000</v>
      </c>
    </row>
    <row r="29" spans="1:3">
      <c r="A29" s="3" t="s">
        <v>24</v>
      </c>
      <c r="B29" s="9"/>
      <c r="C29" s="9">
        <f>3*7000</f>
        <v>21000</v>
      </c>
    </row>
    <row r="30" spans="1:3">
      <c r="A30" s="3" t="s">
        <v>25</v>
      </c>
      <c r="B30" s="9"/>
      <c r="C30" s="9">
        <v>30000</v>
      </c>
    </row>
    <row r="31" spans="1:3">
      <c r="B31" s="9"/>
      <c r="C31" s="9"/>
    </row>
    <row r="32" spans="1:3">
      <c r="A32" s="1" t="s">
        <v>99</v>
      </c>
      <c r="B32" s="9"/>
      <c r="C32" s="9">
        <f>SUM(C26:C30)</f>
        <v>7490000</v>
      </c>
    </row>
    <row r="33" spans="1:12">
      <c r="A33" s="1" t="s">
        <v>100</v>
      </c>
      <c r="B33" s="9"/>
      <c r="C33" s="9">
        <f>C32*12</f>
        <v>89880000</v>
      </c>
    </row>
    <row r="36" spans="1:12" ht="25">
      <c r="A36" s="5" t="s">
        <v>101</v>
      </c>
      <c r="F36" s="1" t="s">
        <v>4</v>
      </c>
      <c r="G36" s="1" t="s">
        <v>67</v>
      </c>
      <c r="H36" s="1" t="s">
        <v>68</v>
      </c>
      <c r="J36" s="1" t="s">
        <v>93</v>
      </c>
      <c r="K36" s="1"/>
      <c r="L36" s="1"/>
    </row>
    <row r="37" spans="1:12">
      <c r="A37" s="3" t="s">
        <v>26</v>
      </c>
      <c r="C37" s="9">
        <v>50</v>
      </c>
      <c r="F37" s="3">
        <v>0</v>
      </c>
      <c r="G37" s="11">
        <f>-C21</f>
        <v>-126900000</v>
      </c>
      <c r="H37" s="11">
        <f>-C21</f>
        <v>-126900000</v>
      </c>
      <c r="J37" s="9">
        <f>30%*C21</f>
        <v>38070000</v>
      </c>
    </row>
    <row r="38" spans="1:12">
      <c r="A38" s="3" t="s">
        <v>27</v>
      </c>
      <c r="C38" s="9">
        <f>C37*2000</f>
        <v>100000</v>
      </c>
      <c r="F38" s="3">
        <v>1</v>
      </c>
      <c r="G38" s="11">
        <f>$C$42*50%+$C$43-$C$33</f>
        <v>-34680000</v>
      </c>
      <c r="H38" s="11">
        <f>$C$42*50%+$C$43-$C$33</f>
        <v>-34680000</v>
      </c>
    </row>
    <row r="39" spans="1:12">
      <c r="A39" s="3" t="s">
        <v>28</v>
      </c>
      <c r="C39" s="9">
        <f>C38*C7</f>
        <v>9000000</v>
      </c>
      <c r="F39" s="3">
        <v>2</v>
      </c>
      <c r="G39" s="11">
        <f>($C$42*70%+$C$43)*(1+H1)^F38-$C$33</f>
        <v>-11544000</v>
      </c>
      <c r="H39" s="11">
        <f>$C$42*70%+$C$43-$C$33</f>
        <v>-13080000</v>
      </c>
    </row>
    <row r="40" spans="1:12">
      <c r="A40" s="3" t="s">
        <v>29</v>
      </c>
      <c r="C40" s="9">
        <f>100000</f>
        <v>100000</v>
      </c>
      <c r="F40" s="3">
        <v>3</v>
      </c>
      <c r="G40" s="11">
        <f>($C$42+$C$43)*(1+$H$1)^F39-$C$33</f>
        <v>23731680</v>
      </c>
      <c r="H40" s="11">
        <f>$C$42+$C$43-$C$33</f>
        <v>19320000</v>
      </c>
    </row>
    <row r="41" spans="1:12">
      <c r="C41" s="9"/>
      <c r="F41" s="3">
        <v>4</v>
      </c>
      <c r="G41" s="11">
        <f>($C$42+$C$43)*(1+$H$1)^F40-$C$33</f>
        <v>26003913.599999994</v>
      </c>
      <c r="H41" s="11">
        <f t="shared" ref="H41:H66" si="0">$C$42+$C$43-$C$33</f>
        <v>19320000</v>
      </c>
    </row>
    <row r="42" spans="1:12">
      <c r="A42" s="1" t="s">
        <v>30</v>
      </c>
      <c r="C42" s="9">
        <f>C39*12</f>
        <v>108000000</v>
      </c>
      <c r="F42" s="3">
        <v>5</v>
      </c>
      <c r="G42" s="11">
        <f t="shared" ref="G42:G66" si="1">($C$42+$C$43)*(1+$H$1)^F41-$C$33</f>
        <v>28321591.871999994</v>
      </c>
      <c r="H42" s="11">
        <f t="shared" si="0"/>
        <v>19320000</v>
      </c>
    </row>
    <row r="43" spans="1:12">
      <c r="A43" s="1" t="s">
        <v>31</v>
      </c>
      <c r="C43" s="9">
        <f>C40*12</f>
        <v>1200000</v>
      </c>
      <c r="F43" s="3">
        <v>6</v>
      </c>
      <c r="G43" s="11">
        <f t="shared" si="1"/>
        <v>30685623.709440008</v>
      </c>
      <c r="H43" s="11">
        <f t="shared" si="0"/>
        <v>19320000</v>
      </c>
    </row>
    <row r="44" spans="1:12">
      <c r="C44" s="9"/>
      <c r="F44" s="3">
        <v>7</v>
      </c>
      <c r="G44" s="11">
        <f t="shared" si="1"/>
        <v>33096936.183628812</v>
      </c>
      <c r="H44" s="11">
        <f t="shared" si="0"/>
        <v>19320000</v>
      </c>
    </row>
    <row r="45" spans="1:12">
      <c r="A45" s="1" t="s">
        <v>32</v>
      </c>
      <c r="C45" s="9">
        <f>C42+C43</f>
        <v>109200000</v>
      </c>
      <c r="F45" s="3">
        <v>8</v>
      </c>
      <c r="G45" s="11">
        <f t="shared" si="1"/>
        <v>35556474.907301351</v>
      </c>
      <c r="H45" s="11">
        <f t="shared" si="0"/>
        <v>19320000</v>
      </c>
    </row>
    <row r="46" spans="1:12">
      <c r="C46" s="9"/>
      <c r="F46" s="3">
        <v>9</v>
      </c>
      <c r="G46" s="11">
        <f t="shared" si="1"/>
        <v>38065204.405447394</v>
      </c>
      <c r="H46" s="11">
        <f t="shared" si="0"/>
        <v>19320000</v>
      </c>
    </row>
    <row r="47" spans="1:12">
      <c r="A47" s="1" t="s">
        <v>33</v>
      </c>
      <c r="C47" s="9">
        <f>C45-C33</f>
        <v>19320000</v>
      </c>
      <c r="F47" s="3">
        <v>10</v>
      </c>
      <c r="G47" s="11">
        <f t="shared" si="1"/>
        <v>40624108.49355635</v>
      </c>
      <c r="H47" s="11">
        <f t="shared" si="0"/>
        <v>19320000</v>
      </c>
    </row>
    <row r="48" spans="1:12">
      <c r="F48" s="3">
        <v>11</v>
      </c>
      <c r="G48" s="11">
        <f t="shared" si="1"/>
        <v>43234190.663427472</v>
      </c>
      <c r="H48" s="11">
        <f t="shared" si="0"/>
        <v>19320000</v>
      </c>
    </row>
    <row r="49" spans="6:8">
      <c r="F49" s="3">
        <v>12</v>
      </c>
      <c r="G49" s="11">
        <f t="shared" si="1"/>
        <v>45896474.476696014</v>
      </c>
      <c r="H49" s="11">
        <f t="shared" si="0"/>
        <v>19320000</v>
      </c>
    </row>
    <row r="50" spans="6:8">
      <c r="F50" s="3">
        <v>13</v>
      </c>
      <c r="G50" s="11">
        <f t="shared" si="1"/>
        <v>48612003.966229945</v>
      </c>
      <c r="H50" s="11">
        <f t="shared" si="0"/>
        <v>19320000</v>
      </c>
    </row>
    <row r="51" spans="6:8">
      <c r="F51" s="3">
        <v>14</v>
      </c>
      <c r="G51" s="11">
        <f t="shared" si="1"/>
        <v>51381844.045554519</v>
      </c>
      <c r="H51" s="11">
        <f t="shared" si="0"/>
        <v>19320000</v>
      </c>
    </row>
    <row r="52" spans="6:8">
      <c r="F52" s="3">
        <v>15</v>
      </c>
      <c r="G52" s="11">
        <f t="shared" si="1"/>
        <v>54207080.926465631</v>
      </c>
      <c r="H52" s="11">
        <f t="shared" si="0"/>
        <v>19320000</v>
      </c>
    </row>
    <row r="53" spans="6:8">
      <c r="F53" s="3">
        <v>16</v>
      </c>
      <c r="G53" s="11">
        <f t="shared" si="1"/>
        <v>57088822.54499492</v>
      </c>
      <c r="H53" s="11">
        <f t="shared" si="0"/>
        <v>19320000</v>
      </c>
    </row>
    <row r="54" spans="6:8">
      <c r="F54" s="3">
        <v>17</v>
      </c>
      <c r="G54" s="11">
        <f t="shared" si="1"/>
        <v>60028198.995894849</v>
      </c>
      <c r="H54" s="11">
        <f t="shared" si="0"/>
        <v>19320000</v>
      </c>
    </row>
    <row r="55" spans="6:8">
      <c r="F55" s="3">
        <v>18</v>
      </c>
      <c r="G55" s="11">
        <f t="shared" si="1"/>
        <v>63026362.975812733</v>
      </c>
      <c r="H55" s="11">
        <f t="shared" si="0"/>
        <v>19320000</v>
      </c>
    </row>
    <row r="56" spans="6:8">
      <c r="F56" s="3">
        <v>19</v>
      </c>
      <c r="G56" s="11">
        <f t="shared" si="1"/>
        <v>66084490.235328972</v>
      </c>
      <c r="H56" s="11">
        <f t="shared" si="0"/>
        <v>19320000</v>
      </c>
    </row>
    <row r="57" spans="6:8">
      <c r="F57" s="3">
        <v>20</v>
      </c>
      <c r="G57" s="11">
        <f t="shared" si="1"/>
        <v>69203780.040035546</v>
      </c>
      <c r="H57" s="11">
        <f t="shared" si="0"/>
        <v>19320000</v>
      </c>
    </row>
    <row r="58" spans="6:8">
      <c r="F58" s="3">
        <v>21</v>
      </c>
      <c r="G58" s="11">
        <f t="shared" si="1"/>
        <v>72385455.640836269</v>
      </c>
      <c r="H58" s="11">
        <f t="shared" si="0"/>
        <v>19320000</v>
      </c>
    </row>
    <row r="59" spans="6:8">
      <c r="F59" s="3">
        <v>22</v>
      </c>
      <c r="G59" s="11">
        <f t="shared" si="1"/>
        <v>75630764.75365299</v>
      </c>
      <c r="H59" s="11">
        <f t="shared" si="0"/>
        <v>19320000</v>
      </c>
    </row>
    <row r="60" spans="6:8">
      <c r="F60" s="3">
        <v>23</v>
      </c>
      <c r="G60" s="11">
        <f t="shared" si="1"/>
        <v>78940980.048726052</v>
      </c>
      <c r="H60" s="11">
        <f t="shared" si="0"/>
        <v>19320000</v>
      </c>
    </row>
    <row r="61" spans="6:8">
      <c r="F61" s="3">
        <v>24</v>
      </c>
      <c r="G61" s="11">
        <f t="shared" si="1"/>
        <v>82317399.649700552</v>
      </c>
      <c r="H61" s="11">
        <f t="shared" si="0"/>
        <v>19320000</v>
      </c>
    </row>
    <row r="62" spans="6:8">
      <c r="F62" s="3">
        <v>25</v>
      </c>
      <c r="G62" s="11">
        <f t="shared" si="1"/>
        <v>85761347.642694563</v>
      </c>
      <c r="H62" s="11">
        <f t="shared" si="0"/>
        <v>19320000</v>
      </c>
    </row>
    <row r="63" spans="6:8">
      <c r="F63" s="3">
        <v>26</v>
      </c>
      <c r="G63" s="11">
        <f t="shared" si="1"/>
        <v>89274174.595548481</v>
      </c>
      <c r="H63" s="11">
        <f t="shared" si="0"/>
        <v>19320000</v>
      </c>
    </row>
    <row r="64" spans="6:8">
      <c r="F64" s="3">
        <v>27</v>
      </c>
      <c r="G64" s="11">
        <f t="shared" si="1"/>
        <v>92857258.087459445</v>
      </c>
      <c r="H64" s="11">
        <f t="shared" si="0"/>
        <v>19320000</v>
      </c>
    </row>
    <row r="65" spans="6:8">
      <c r="F65" s="3">
        <v>28</v>
      </c>
      <c r="G65" s="11">
        <f t="shared" si="1"/>
        <v>96512003.249208599</v>
      </c>
      <c r="H65" s="11">
        <f t="shared" si="0"/>
        <v>19320000</v>
      </c>
    </row>
    <row r="66" spans="6:8">
      <c r="F66" s="3">
        <v>29</v>
      </c>
      <c r="G66" s="11">
        <f t="shared" si="1"/>
        <v>100239843.31419283</v>
      </c>
      <c r="H66" s="11">
        <f t="shared" si="0"/>
        <v>19320000</v>
      </c>
    </row>
    <row r="67" spans="6:8">
      <c r="F67" s="3">
        <v>30</v>
      </c>
      <c r="G67" s="11">
        <f>($C$42+$C$43)*(1+$H$1)^F66-$C$33+J37</f>
        <v>142112240.18047664</v>
      </c>
      <c r="H67" s="11">
        <f>$C$42+$C$43-$C$33+J37</f>
        <v>57390000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B27" workbookViewId="0">
      <selection activeCell="C68" sqref="C68"/>
    </sheetView>
  </sheetViews>
  <sheetFormatPr baseColWidth="10" defaultRowHeight="15" x14ac:dyDescent="0"/>
  <cols>
    <col min="1" max="1" width="10.83203125" style="3"/>
    <col min="2" max="2" width="17.6640625" style="3" customWidth="1"/>
    <col min="3" max="3" width="18.5" style="3" bestFit="1" customWidth="1"/>
    <col min="4" max="4" width="17.5" style="3" bestFit="1" customWidth="1"/>
    <col min="5" max="5" width="15.33203125" style="3" customWidth="1"/>
    <col min="6" max="6" width="15.5" style="3" customWidth="1"/>
    <col min="7" max="7" width="16.5" style="3" bestFit="1" customWidth="1"/>
    <col min="8" max="8" width="17.6640625" style="3" bestFit="1" customWidth="1"/>
    <col min="9" max="9" width="18.5" style="3" bestFit="1" customWidth="1"/>
    <col min="10" max="10" width="18.6640625" style="3" bestFit="1" customWidth="1"/>
    <col min="11" max="16384" width="10.83203125" style="3"/>
  </cols>
  <sheetData>
    <row r="1" spans="1:14" ht="25">
      <c r="A1" s="30" t="s">
        <v>1</v>
      </c>
      <c r="B1" s="30"/>
      <c r="G1" s="30" t="s">
        <v>92</v>
      </c>
      <c r="H1" s="30"/>
    </row>
    <row r="2" spans="1:14">
      <c r="A2" s="1" t="s">
        <v>4</v>
      </c>
      <c r="B2" s="19" t="s">
        <v>113</v>
      </c>
      <c r="C2" s="19" t="s">
        <v>114</v>
      </c>
      <c r="D2" s="1" t="s">
        <v>115</v>
      </c>
      <c r="F2" s="4"/>
      <c r="G2" s="1" t="s">
        <v>4</v>
      </c>
      <c r="H2" s="19" t="s">
        <v>113</v>
      </c>
      <c r="I2" s="19" t="s">
        <v>114</v>
      </c>
      <c r="J2" s="1" t="s">
        <v>115</v>
      </c>
    </row>
    <row r="3" spans="1:14">
      <c r="A3" s="3">
        <v>0</v>
      </c>
      <c r="B3" s="11">
        <f>-'Step-3&amp;4-AT Analysis'!C11</f>
        <v>38070000</v>
      </c>
      <c r="C3" s="11"/>
      <c r="D3" s="11">
        <f>B3+C3</f>
        <v>38070000</v>
      </c>
      <c r="F3" s="4"/>
      <c r="G3" s="3">
        <v>0</v>
      </c>
      <c r="H3" s="11">
        <f>-'Step-3&amp;4-AT Analysis'!C11</f>
        <v>38070000</v>
      </c>
      <c r="I3" s="11"/>
      <c r="J3" s="11">
        <f>H3+I3</f>
        <v>38070000</v>
      </c>
    </row>
    <row r="4" spans="1:14">
      <c r="A4" s="3">
        <v>1</v>
      </c>
      <c r="B4" s="11">
        <f>PPMT($N$8,A4,30,$B$3)</f>
        <v>-1269000</v>
      </c>
      <c r="C4" s="11">
        <f>IPMT($N$8,A4,30,$B$3)</f>
        <v>0</v>
      </c>
      <c r="D4" s="11">
        <f t="shared" ref="D4:D33" si="0">B4+C4</f>
        <v>-1269000</v>
      </c>
      <c r="G4" s="3">
        <v>1</v>
      </c>
      <c r="H4" s="11">
        <v>0</v>
      </c>
      <c r="I4" s="11">
        <v>0</v>
      </c>
      <c r="J4" s="11">
        <f t="shared" ref="J4:J32" si="1">H4+I4</f>
        <v>0</v>
      </c>
    </row>
    <row r="5" spans="1:14">
      <c r="A5" s="3">
        <v>2</v>
      </c>
      <c r="B5" s="11">
        <f t="shared" ref="B5:B33" si="2">PPMT($N$8,A5,30,$B$3)</f>
        <v>-1269000</v>
      </c>
      <c r="C5" s="11">
        <f t="shared" ref="C5:C33" si="3">IPMT($N$8,A5,30,$B$3)</f>
        <v>0</v>
      </c>
      <c r="D5" s="11">
        <f t="shared" si="0"/>
        <v>-1269000</v>
      </c>
      <c r="G5" s="3">
        <v>2</v>
      </c>
      <c r="H5" s="11">
        <v>0</v>
      </c>
      <c r="I5" s="11">
        <v>0</v>
      </c>
      <c r="J5" s="11">
        <f t="shared" si="1"/>
        <v>0</v>
      </c>
      <c r="L5" s="30" t="s">
        <v>116</v>
      </c>
      <c r="M5" s="31"/>
      <c r="N5" s="32">
        <f>'Step-3&amp;4-AT Analysis'!B3</f>
        <v>5.2884848484848486E-2</v>
      </c>
    </row>
    <row r="6" spans="1:14">
      <c r="A6" s="3">
        <v>3</v>
      </c>
      <c r="B6" s="11">
        <f t="shared" si="2"/>
        <v>-1269000</v>
      </c>
      <c r="C6" s="11">
        <f t="shared" si="3"/>
        <v>0</v>
      </c>
      <c r="D6" s="11">
        <f t="shared" si="0"/>
        <v>-1269000</v>
      </c>
      <c r="G6" s="3">
        <v>3</v>
      </c>
      <c r="H6" s="11">
        <v>0</v>
      </c>
      <c r="I6" s="11">
        <v>0</v>
      </c>
      <c r="J6" s="11">
        <f t="shared" si="1"/>
        <v>0</v>
      </c>
      <c r="L6" s="31"/>
      <c r="M6" s="31"/>
      <c r="N6" s="32"/>
    </row>
    <row r="7" spans="1:14">
      <c r="A7" s="3">
        <v>4</v>
      </c>
      <c r="B7" s="11">
        <f t="shared" si="2"/>
        <v>-1269000</v>
      </c>
      <c r="C7" s="11">
        <f t="shared" si="3"/>
        <v>0</v>
      </c>
      <c r="D7" s="11">
        <f t="shared" si="0"/>
        <v>-1269000</v>
      </c>
      <c r="G7" s="3">
        <v>4</v>
      </c>
      <c r="H7" s="11">
        <v>0</v>
      </c>
      <c r="I7" s="11">
        <v>0</v>
      </c>
      <c r="J7" s="11">
        <f t="shared" si="1"/>
        <v>0</v>
      </c>
    </row>
    <row r="8" spans="1:14">
      <c r="A8" s="3">
        <v>5</v>
      </c>
      <c r="B8" s="11">
        <f t="shared" si="2"/>
        <v>-1269000</v>
      </c>
      <c r="C8" s="11">
        <f t="shared" si="3"/>
        <v>0</v>
      </c>
      <c r="D8" s="11">
        <f t="shared" si="0"/>
        <v>-1269000</v>
      </c>
      <c r="G8" s="3">
        <v>5</v>
      </c>
      <c r="H8" s="11">
        <v>0</v>
      </c>
      <c r="I8" s="11">
        <v>0</v>
      </c>
      <c r="J8" s="11">
        <f t="shared" si="1"/>
        <v>0</v>
      </c>
      <c r="L8" s="30" t="s">
        <v>117</v>
      </c>
      <c r="M8" s="31"/>
      <c r="N8" s="32">
        <v>0</v>
      </c>
    </row>
    <row r="9" spans="1:14">
      <c r="A9" s="3">
        <v>6</v>
      </c>
      <c r="B9" s="11">
        <f t="shared" si="2"/>
        <v>-1269000</v>
      </c>
      <c r="C9" s="11">
        <f t="shared" si="3"/>
        <v>0</v>
      </c>
      <c r="D9" s="11">
        <f t="shared" si="0"/>
        <v>-1269000</v>
      </c>
      <c r="G9" s="3">
        <v>6</v>
      </c>
      <c r="H9" s="11">
        <v>0</v>
      </c>
      <c r="I9" s="11">
        <v>0</v>
      </c>
      <c r="J9" s="11">
        <f t="shared" si="1"/>
        <v>0</v>
      </c>
      <c r="L9" s="31"/>
      <c r="M9" s="31"/>
      <c r="N9" s="32"/>
    </row>
    <row r="10" spans="1:14">
      <c r="A10" s="3">
        <v>7</v>
      </c>
      <c r="B10" s="11">
        <f t="shared" si="2"/>
        <v>-1269000</v>
      </c>
      <c r="C10" s="11">
        <f t="shared" si="3"/>
        <v>0</v>
      </c>
      <c r="D10" s="11">
        <f t="shared" si="0"/>
        <v>-1269000</v>
      </c>
      <c r="G10" s="3">
        <v>7</v>
      </c>
      <c r="H10" s="11">
        <v>0</v>
      </c>
      <c r="I10" s="11">
        <v>0</v>
      </c>
      <c r="J10" s="11">
        <f t="shared" si="1"/>
        <v>0</v>
      </c>
    </row>
    <row r="11" spans="1:14">
      <c r="A11" s="3">
        <v>8</v>
      </c>
      <c r="B11" s="11">
        <f t="shared" si="2"/>
        <v>-1269000</v>
      </c>
      <c r="C11" s="11">
        <f t="shared" si="3"/>
        <v>0</v>
      </c>
      <c r="D11" s="11">
        <f t="shared" si="0"/>
        <v>-1269000</v>
      </c>
      <c r="G11" s="3">
        <v>8</v>
      </c>
      <c r="H11" s="11">
        <v>0</v>
      </c>
      <c r="I11" s="11">
        <v>0</v>
      </c>
      <c r="J11" s="11">
        <f t="shared" si="1"/>
        <v>0</v>
      </c>
    </row>
    <row r="12" spans="1:14">
      <c r="A12" s="3">
        <v>9</v>
      </c>
      <c r="B12" s="11">
        <f t="shared" si="2"/>
        <v>-1269000</v>
      </c>
      <c r="C12" s="11">
        <f t="shared" si="3"/>
        <v>0</v>
      </c>
      <c r="D12" s="11">
        <f t="shared" si="0"/>
        <v>-1269000</v>
      </c>
      <c r="G12" s="3">
        <v>9</v>
      </c>
      <c r="H12" s="11">
        <v>0</v>
      </c>
      <c r="I12" s="11">
        <v>0</v>
      </c>
      <c r="J12" s="11">
        <f t="shared" si="1"/>
        <v>0</v>
      </c>
    </row>
    <row r="13" spans="1:14">
      <c r="A13" s="3">
        <v>10</v>
      </c>
      <c r="B13" s="11">
        <f t="shared" si="2"/>
        <v>-1269000</v>
      </c>
      <c r="C13" s="11">
        <f t="shared" si="3"/>
        <v>0</v>
      </c>
      <c r="D13" s="11">
        <f t="shared" si="0"/>
        <v>-1269000</v>
      </c>
      <c r="G13" s="3">
        <v>10</v>
      </c>
      <c r="H13" s="11">
        <v>0</v>
      </c>
      <c r="I13" s="11">
        <v>0</v>
      </c>
      <c r="J13" s="11">
        <f t="shared" si="1"/>
        <v>0</v>
      </c>
    </row>
    <row r="14" spans="1:14">
      <c r="A14" s="3">
        <v>11</v>
      </c>
      <c r="B14" s="11">
        <f t="shared" si="2"/>
        <v>-1269000</v>
      </c>
      <c r="C14" s="11">
        <f t="shared" si="3"/>
        <v>0</v>
      </c>
      <c r="D14" s="11">
        <f t="shared" si="0"/>
        <v>-1269000</v>
      </c>
      <c r="G14" s="3">
        <v>11</v>
      </c>
      <c r="H14" s="11">
        <v>0</v>
      </c>
      <c r="I14" s="11">
        <v>0</v>
      </c>
      <c r="J14" s="11">
        <f t="shared" si="1"/>
        <v>0</v>
      </c>
    </row>
    <row r="15" spans="1:14">
      <c r="A15" s="3">
        <v>12</v>
      </c>
      <c r="B15" s="11">
        <f t="shared" si="2"/>
        <v>-1269000</v>
      </c>
      <c r="C15" s="11">
        <f t="shared" si="3"/>
        <v>0</v>
      </c>
      <c r="D15" s="11">
        <f t="shared" si="0"/>
        <v>-1269000</v>
      </c>
      <c r="G15" s="3">
        <v>12</v>
      </c>
      <c r="H15" s="11">
        <v>0</v>
      </c>
      <c r="I15" s="11">
        <v>0</v>
      </c>
      <c r="J15" s="11">
        <f t="shared" si="1"/>
        <v>0</v>
      </c>
    </row>
    <row r="16" spans="1:14">
      <c r="A16" s="3">
        <v>13</v>
      </c>
      <c r="B16" s="11">
        <f t="shared" si="2"/>
        <v>-1269000</v>
      </c>
      <c r="C16" s="11">
        <f t="shared" si="3"/>
        <v>0</v>
      </c>
      <c r="D16" s="11">
        <f t="shared" si="0"/>
        <v>-1269000</v>
      </c>
      <c r="G16" s="3">
        <v>13</v>
      </c>
      <c r="H16" s="11">
        <v>0</v>
      </c>
      <c r="I16" s="11">
        <v>0</v>
      </c>
      <c r="J16" s="11">
        <f t="shared" si="1"/>
        <v>0</v>
      </c>
    </row>
    <row r="17" spans="1:10">
      <c r="A17" s="3">
        <v>14</v>
      </c>
      <c r="B17" s="11">
        <f t="shared" si="2"/>
        <v>-1269000</v>
      </c>
      <c r="C17" s="11">
        <f t="shared" si="3"/>
        <v>0</v>
      </c>
      <c r="D17" s="11">
        <f t="shared" si="0"/>
        <v>-1269000</v>
      </c>
      <c r="G17" s="3">
        <v>14</v>
      </c>
      <c r="H17" s="11">
        <v>0</v>
      </c>
      <c r="I17" s="11">
        <v>0</v>
      </c>
      <c r="J17" s="11">
        <f t="shared" si="1"/>
        <v>0</v>
      </c>
    </row>
    <row r="18" spans="1:10">
      <c r="A18" s="3">
        <v>15</v>
      </c>
      <c r="B18" s="11">
        <f t="shared" si="2"/>
        <v>-1269000</v>
      </c>
      <c r="C18" s="11">
        <f t="shared" si="3"/>
        <v>0</v>
      </c>
      <c r="D18" s="11">
        <f t="shared" si="0"/>
        <v>-1269000</v>
      </c>
      <c r="G18" s="3">
        <v>15</v>
      </c>
      <c r="H18" s="11">
        <v>0</v>
      </c>
      <c r="I18" s="11">
        <v>0</v>
      </c>
      <c r="J18" s="11">
        <f t="shared" si="1"/>
        <v>0</v>
      </c>
    </row>
    <row r="19" spans="1:10">
      <c r="A19" s="3">
        <v>16</v>
      </c>
      <c r="B19" s="11">
        <f t="shared" si="2"/>
        <v>-1269000</v>
      </c>
      <c r="C19" s="11">
        <f t="shared" si="3"/>
        <v>0</v>
      </c>
      <c r="D19" s="11">
        <f t="shared" si="0"/>
        <v>-1269000</v>
      </c>
      <c r="G19" s="3">
        <v>16</v>
      </c>
      <c r="H19" s="11">
        <v>0</v>
      </c>
      <c r="I19" s="11">
        <v>0</v>
      </c>
      <c r="J19" s="11">
        <f t="shared" si="1"/>
        <v>0</v>
      </c>
    </row>
    <row r="20" spans="1:10">
      <c r="A20" s="3">
        <v>17</v>
      </c>
      <c r="B20" s="11">
        <f t="shared" si="2"/>
        <v>-1269000</v>
      </c>
      <c r="C20" s="11">
        <f t="shared" si="3"/>
        <v>0</v>
      </c>
      <c r="D20" s="11">
        <f t="shared" si="0"/>
        <v>-1269000</v>
      </c>
      <c r="G20" s="3">
        <v>17</v>
      </c>
      <c r="H20" s="11">
        <v>0</v>
      </c>
      <c r="I20" s="11">
        <v>0</v>
      </c>
      <c r="J20" s="11">
        <f t="shared" si="1"/>
        <v>0</v>
      </c>
    </row>
    <row r="21" spans="1:10">
      <c r="A21" s="3">
        <v>18</v>
      </c>
      <c r="B21" s="11">
        <f t="shared" si="2"/>
        <v>-1269000</v>
      </c>
      <c r="C21" s="11">
        <f t="shared" si="3"/>
        <v>0</v>
      </c>
      <c r="D21" s="11">
        <f t="shared" si="0"/>
        <v>-1269000</v>
      </c>
      <c r="G21" s="3">
        <v>18</v>
      </c>
      <c r="H21" s="11">
        <v>0</v>
      </c>
      <c r="I21" s="11">
        <v>0</v>
      </c>
      <c r="J21" s="11">
        <f t="shared" si="1"/>
        <v>0</v>
      </c>
    </row>
    <row r="22" spans="1:10">
      <c r="A22" s="3">
        <v>19</v>
      </c>
      <c r="B22" s="11">
        <f t="shared" si="2"/>
        <v>-1269000</v>
      </c>
      <c r="C22" s="11">
        <f t="shared" si="3"/>
        <v>0</v>
      </c>
      <c r="D22" s="11">
        <f t="shared" si="0"/>
        <v>-1269000</v>
      </c>
      <c r="G22" s="3">
        <v>19</v>
      </c>
      <c r="H22" s="11">
        <v>0</v>
      </c>
      <c r="I22" s="11">
        <v>0</v>
      </c>
      <c r="J22" s="11">
        <f t="shared" si="1"/>
        <v>0</v>
      </c>
    </row>
    <row r="23" spans="1:10">
      <c r="A23" s="3">
        <v>20</v>
      </c>
      <c r="B23" s="11">
        <f t="shared" si="2"/>
        <v>-1269000</v>
      </c>
      <c r="C23" s="11">
        <f t="shared" si="3"/>
        <v>0</v>
      </c>
      <c r="D23" s="11">
        <f t="shared" si="0"/>
        <v>-1269000</v>
      </c>
      <c r="G23" s="3">
        <v>20</v>
      </c>
      <c r="H23" s="11">
        <v>0</v>
      </c>
      <c r="I23" s="11">
        <v>0</v>
      </c>
      <c r="J23" s="11">
        <f t="shared" si="1"/>
        <v>0</v>
      </c>
    </row>
    <row r="24" spans="1:10">
      <c r="A24" s="3">
        <v>21</v>
      </c>
      <c r="B24" s="11">
        <f t="shared" si="2"/>
        <v>-1269000</v>
      </c>
      <c r="C24" s="11">
        <f t="shared" si="3"/>
        <v>0</v>
      </c>
      <c r="D24" s="11">
        <f t="shared" si="0"/>
        <v>-1269000</v>
      </c>
      <c r="G24" s="3">
        <v>21</v>
      </c>
      <c r="H24" s="11">
        <v>0</v>
      </c>
      <c r="I24" s="11">
        <v>0</v>
      </c>
      <c r="J24" s="11">
        <f t="shared" si="1"/>
        <v>0</v>
      </c>
    </row>
    <row r="25" spans="1:10">
      <c r="A25" s="3">
        <v>22</v>
      </c>
      <c r="B25" s="11">
        <f t="shared" si="2"/>
        <v>-1269000</v>
      </c>
      <c r="C25" s="11">
        <f t="shared" si="3"/>
        <v>0</v>
      </c>
      <c r="D25" s="11">
        <f t="shared" si="0"/>
        <v>-1269000</v>
      </c>
      <c r="G25" s="3">
        <v>22</v>
      </c>
      <c r="H25" s="11">
        <v>0</v>
      </c>
      <c r="I25" s="11">
        <v>0</v>
      </c>
      <c r="J25" s="11">
        <f t="shared" si="1"/>
        <v>0</v>
      </c>
    </row>
    <row r="26" spans="1:10">
      <c r="A26" s="3">
        <v>23</v>
      </c>
      <c r="B26" s="11">
        <f t="shared" si="2"/>
        <v>-1269000</v>
      </c>
      <c r="C26" s="11">
        <f t="shared" si="3"/>
        <v>0</v>
      </c>
      <c r="D26" s="11">
        <f t="shared" si="0"/>
        <v>-1269000</v>
      </c>
      <c r="E26" s="9"/>
      <c r="F26" s="9"/>
      <c r="G26" s="3">
        <v>23</v>
      </c>
      <c r="H26" s="11">
        <v>0</v>
      </c>
      <c r="I26" s="11">
        <v>0</v>
      </c>
      <c r="J26" s="11">
        <f t="shared" si="1"/>
        <v>0</v>
      </c>
    </row>
    <row r="27" spans="1:10">
      <c r="A27" s="3">
        <v>24</v>
      </c>
      <c r="B27" s="11">
        <f t="shared" si="2"/>
        <v>-1269000</v>
      </c>
      <c r="C27" s="11">
        <f t="shared" si="3"/>
        <v>0</v>
      </c>
      <c r="D27" s="11">
        <f t="shared" si="0"/>
        <v>-1269000</v>
      </c>
      <c r="G27" s="3">
        <v>24</v>
      </c>
      <c r="H27" s="11">
        <v>0</v>
      </c>
      <c r="I27" s="11">
        <v>0</v>
      </c>
      <c r="J27" s="11">
        <f t="shared" si="1"/>
        <v>0</v>
      </c>
    </row>
    <row r="28" spans="1:10">
      <c r="A28" s="3">
        <v>25</v>
      </c>
      <c r="B28" s="11">
        <f t="shared" si="2"/>
        <v>-1269000</v>
      </c>
      <c r="C28" s="11">
        <f t="shared" si="3"/>
        <v>0</v>
      </c>
      <c r="D28" s="11">
        <f t="shared" si="0"/>
        <v>-1269000</v>
      </c>
      <c r="G28" s="3">
        <v>25</v>
      </c>
      <c r="H28" s="11">
        <v>0</v>
      </c>
      <c r="I28" s="11">
        <v>0</v>
      </c>
      <c r="J28" s="11">
        <f t="shared" si="1"/>
        <v>0</v>
      </c>
    </row>
    <row r="29" spans="1:10">
      <c r="A29" s="3">
        <v>26</v>
      </c>
      <c r="B29" s="11">
        <f t="shared" si="2"/>
        <v>-1269000</v>
      </c>
      <c r="C29" s="11">
        <f t="shared" si="3"/>
        <v>0</v>
      </c>
      <c r="D29" s="11">
        <f t="shared" si="0"/>
        <v>-1269000</v>
      </c>
      <c r="G29" s="3">
        <v>26</v>
      </c>
      <c r="H29" s="11">
        <v>0</v>
      </c>
      <c r="I29" s="11">
        <v>0</v>
      </c>
      <c r="J29" s="11">
        <f t="shared" si="1"/>
        <v>0</v>
      </c>
    </row>
    <row r="30" spans="1:10">
      <c r="A30" s="3">
        <v>27</v>
      </c>
      <c r="B30" s="11">
        <f t="shared" si="2"/>
        <v>-1269000</v>
      </c>
      <c r="C30" s="11">
        <f t="shared" si="3"/>
        <v>0</v>
      </c>
      <c r="D30" s="11">
        <f t="shared" si="0"/>
        <v>-1269000</v>
      </c>
      <c r="G30" s="3">
        <v>27</v>
      </c>
      <c r="H30" s="11">
        <v>0</v>
      </c>
      <c r="I30" s="11">
        <v>0</v>
      </c>
      <c r="J30" s="11">
        <f t="shared" si="1"/>
        <v>0</v>
      </c>
    </row>
    <row r="31" spans="1:10">
      <c r="A31" s="3">
        <v>28</v>
      </c>
      <c r="B31" s="11">
        <f t="shared" si="2"/>
        <v>-1269000</v>
      </c>
      <c r="C31" s="11">
        <f t="shared" si="3"/>
        <v>0</v>
      </c>
      <c r="D31" s="11">
        <f t="shared" si="0"/>
        <v>-1269000</v>
      </c>
      <c r="G31" s="3">
        <v>28</v>
      </c>
      <c r="H31" s="11">
        <v>0</v>
      </c>
      <c r="I31" s="11">
        <v>0</v>
      </c>
      <c r="J31" s="11">
        <f t="shared" si="1"/>
        <v>0</v>
      </c>
    </row>
    <row r="32" spans="1:10">
      <c r="A32" s="3">
        <v>29</v>
      </c>
      <c r="B32" s="11">
        <f t="shared" si="2"/>
        <v>-1269000</v>
      </c>
      <c r="C32" s="11">
        <f t="shared" si="3"/>
        <v>0</v>
      </c>
      <c r="D32" s="11">
        <f t="shared" si="0"/>
        <v>-1269000</v>
      </c>
      <c r="G32" s="3">
        <v>29</v>
      </c>
      <c r="H32" s="11">
        <v>0</v>
      </c>
      <c r="I32" s="11">
        <v>0</v>
      </c>
      <c r="J32" s="11">
        <f t="shared" si="1"/>
        <v>0</v>
      </c>
    </row>
    <row r="33" spans="1:10">
      <c r="A33" s="3">
        <v>30</v>
      </c>
      <c r="B33" s="11">
        <f t="shared" si="2"/>
        <v>-1269000</v>
      </c>
      <c r="C33" s="11">
        <f t="shared" si="3"/>
        <v>0</v>
      </c>
      <c r="D33" s="11">
        <f t="shared" si="0"/>
        <v>-1269000</v>
      </c>
      <c r="G33" s="3">
        <v>30</v>
      </c>
      <c r="H33" s="11">
        <f>-H3</f>
        <v>-38070000</v>
      </c>
      <c r="I33" s="11">
        <f>-FV(N8,30,0,-H3)-H33</f>
        <v>0</v>
      </c>
      <c r="J33" s="11">
        <f>H33+I33</f>
        <v>-38070000</v>
      </c>
    </row>
    <row r="35" spans="1:10">
      <c r="C35" s="1" t="s">
        <v>119</v>
      </c>
      <c r="D35" s="20">
        <f>NPV(N5,D4:D33)+D3</f>
        <v>19187802.405032936</v>
      </c>
      <c r="I35" s="1" t="s">
        <v>119</v>
      </c>
      <c r="J35" s="20">
        <f>NPV(N5,J4:J33)+J3</f>
        <v>29957464.766124148</v>
      </c>
    </row>
    <row r="38" spans="1:10">
      <c r="A38" s="21" t="s">
        <v>112</v>
      </c>
      <c r="B38" s="1" t="s">
        <v>118</v>
      </c>
      <c r="C38" s="1" t="s">
        <v>92</v>
      </c>
    </row>
    <row r="39" spans="1:10">
      <c r="A39" s="6">
        <v>0</v>
      </c>
      <c r="B39" s="11">
        <v>19187802.405032936</v>
      </c>
      <c r="C39" s="11">
        <v>29957464.766124148</v>
      </c>
    </row>
    <row r="40" spans="1:10">
      <c r="A40" s="6">
        <v>0.01</v>
      </c>
      <c r="B40" s="11">
        <v>16120514.094786584</v>
      </c>
      <c r="C40" s="11">
        <v>27135528.184420452</v>
      </c>
    </row>
    <row r="41" spans="1:10">
      <c r="A41" s="6">
        <v>0.02</v>
      </c>
      <c r="B41" s="11">
        <v>12777340.339681201</v>
      </c>
      <c r="C41" s="11">
        <v>23375265.32767237</v>
      </c>
    </row>
    <row r="42" spans="1:10">
      <c r="A42" s="6">
        <v>0.03</v>
      </c>
      <c r="B42" s="11">
        <v>9169327.9309837781</v>
      </c>
      <c r="C42" s="11">
        <v>18378747.680609323</v>
      </c>
    </row>
    <row r="43" spans="1:10">
      <c r="A43" s="6">
        <v>0.04</v>
      </c>
      <c r="B43" s="11">
        <v>5311219.236650195</v>
      </c>
      <c r="C43" s="11">
        <v>11757823.42243636</v>
      </c>
    </row>
    <row r="44" spans="1:10">
      <c r="A44" s="6">
        <v>0.05</v>
      </c>
      <c r="B44" s="11">
        <v>1220578.4693413526</v>
      </c>
      <c r="C44" s="11">
        <v>3008090.2028091624</v>
      </c>
    </row>
    <row r="45" spans="1:10">
      <c r="A45" s="6">
        <v>0.06</v>
      </c>
      <c r="B45" s="11">
        <v>-3083133.0544303507</v>
      </c>
      <c r="C45" s="20">
        <v>-8524274.5057137609</v>
      </c>
    </row>
    <row r="46" spans="1:10">
      <c r="A46" s="6">
        <v>7.0000000000000007E-2</v>
      </c>
      <c r="B46" s="11">
        <v>-7579451.8369364887</v>
      </c>
      <c r="C46" s="11">
        <v>-23684687.242844842</v>
      </c>
    </row>
    <row r="47" spans="1:10">
      <c r="A47" s="6">
        <v>0.08</v>
      </c>
      <c r="B47" s="11">
        <v>-12247714.472167499</v>
      </c>
      <c r="C47" s="11">
        <v>-43563658.559011891</v>
      </c>
    </row>
    <row r="48" spans="1:10">
      <c r="A48" s="6">
        <v>0.09</v>
      </c>
      <c r="B48" s="11">
        <v>-17067726.604077868</v>
      </c>
      <c r="C48" s="11">
        <v>-69564509.052563444</v>
      </c>
    </row>
    <row r="49" spans="1:3">
      <c r="A49" s="6">
        <v>0.1</v>
      </c>
      <c r="B49" s="11">
        <v>-22020279.786953963</v>
      </c>
      <c r="C49" s="11">
        <v>-103488890.71641448</v>
      </c>
    </row>
    <row r="50" spans="1:3">
      <c r="A50" s="6"/>
    </row>
    <row r="51" spans="1:3">
      <c r="A51" s="6"/>
    </row>
    <row r="52" spans="1:3">
      <c r="A52" s="6"/>
    </row>
    <row r="53" spans="1:3">
      <c r="A53" s="6"/>
    </row>
    <row r="54" spans="1:3">
      <c r="A54" s="6"/>
    </row>
    <row r="55" spans="1:3">
      <c r="A55" s="6"/>
    </row>
    <row r="56" spans="1:3">
      <c r="A56" s="6"/>
    </row>
    <row r="57" spans="1:3">
      <c r="A57" s="6"/>
    </row>
    <row r="58" spans="1:3">
      <c r="A58" s="6"/>
    </row>
  </sheetData>
  <mergeCells count="6">
    <mergeCell ref="A1:B1"/>
    <mergeCell ref="G1:H1"/>
    <mergeCell ref="L5:M6"/>
    <mergeCell ref="N5:N6"/>
    <mergeCell ref="L8:M9"/>
    <mergeCell ref="N8:N9"/>
  </mergeCells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workbookViewId="0">
      <selection activeCell="I7" sqref="I7"/>
    </sheetView>
  </sheetViews>
  <sheetFormatPr baseColWidth="10" defaultRowHeight="15" x14ac:dyDescent="0"/>
  <cols>
    <col min="2" max="2" width="19.83203125" bestFit="1" customWidth="1"/>
    <col min="3" max="3" width="23.83203125" bestFit="1" customWidth="1"/>
    <col min="19" max="19" width="19.83203125" bestFit="1" customWidth="1"/>
    <col min="20" max="20" width="18.83203125" bestFit="1" customWidth="1"/>
  </cols>
  <sheetData>
    <row r="1" spans="1:24">
      <c r="A1" s="33" t="s">
        <v>120</v>
      </c>
      <c r="B1" s="33"/>
      <c r="C1" s="33"/>
      <c r="D1" s="33"/>
      <c r="E1" s="16"/>
      <c r="F1" s="16"/>
      <c r="G1" s="16"/>
      <c r="Q1" s="16"/>
      <c r="R1" s="33" t="s">
        <v>125</v>
      </c>
      <c r="S1" s="33"/>
      <c r="T1" s="33"/>
      <c r="U1" s="33"/>
      <c r="V1" s="16"/>
      <c r="W1" s="16"/>
      <c r="X1" s="16"/>
    </row>
    <row r="2" spans="1:24">
      <c r="A2" s="33"/>
      <c r="B2" s="33"/>
      <c r="C2" s="33"/>
      <c r="D2" s="33"/>
      <c r="E2" s="1" t="s">
        <v>124</v>
      </c>
      <c r="F2" s="18">
        <v>0.02</v>
      </c>
      <c r="G2" s="6"/>
      <c r="Q2" s="16"/>
      <c r="R2" s="33"/>
      <c r="S2" s="33"/>
      <c r="T2" s="33"/>
      <c r="U2" s="33"/>
      <c r="V2" s="1" t="s">
        <v>126</v>
      </c>
      <c r="W2" s="25">
        <v>2000</v>
      </c>
      <c r="X2" s="16">
        <v>2000</v>
      </c>
    </row>
    <row r="3" spans="1:24">
      <c r="A3" s="1" t="s">
        <v>4</v>
      </c>
      <c r="B3" s="1" t="s">
        <v>122</v>
      </c>
      <c r="C3" s="1" t="s">
        <v>128</v>
      </c>
      <c r="D3" s="1"/>
      <c r="E3" s="1" t="s">
        <v>123</v>
      </c>
      <c r="F3" s="18">
        <v>0.02</v>
      </c>
      <c r="G3" s="6"/>
      <c r="Q3" s="16"/>
      <c r="R3" s="1" t="s">
        <v>4</v>
      </c>
      <c r="S3" s="1" t="s">
        <v>122</v>
      </c>
      <c r="T3" s="1" t="s">
        <v>130</v>
      </c>
      <c r="U3" s="16"/>
      <c r="V3" s="1" t="s">
        <v>127</v>
      </c>
      <c r="W3" s="25">
        <v>250</v>
      </c>
      <c r="X3" s="16">
        <v>300</v>
      </c>
    </row>
    <row r="4" spans="1:24">
      <c r="A4" s="16">
        <v>1</v>
      </c>
      <c r="B4" s="9">
        <f>'Step-1-Cost &amp; Revenues'!C38</f>
        <v>100000</v>
      </c>
      <c r="C4" s="9">
        <f>B4</f>
        <v>100000</v>
      </c>
      <c r="D4" s="16"/>
      <c r="E4" s="16"/>
      <c r="F4" s="16"/>
      <c r="G4" s="16"/>
      <c r="Q4" s="16"/>
      <c r="R4" s="16">
        <v>1</v>
      </c>
      <c r="S4" s="9">
        <f>B4</f>
        <v>100000</v>
      </c>
      <c r="T4" s="9">
        <f>S4</f>
        <v>100000</v>
      </c>
      <c r="U4" s="16"/>
      <c r="V4" s="16"/>
      <c r="W4" s="16"/>
      <c r="X4" s="16"/>
    </row>
    <row r="5" spans="1:24">
      <c r="A5" s="16">
        <v>2</v>
      </c>
      <c r="B5" s="9">
        <f>$B$4*(1+$F$2)^A4</f>
        <v>102000</v>
      </c>
      <c r="C5" s="9">
        <f>$C$4*(1+2.2%)^A4</f>
        <v>102200</v>
      </c>
      <c r="D5" s="16"/>
      <c r="E5" s="16"/>
      <c r="F5" s="16"/>
      <c r="G5" s="16"/>
      <c r="Q5" s="16"/>
      <c r="R5" s="16">
        <v>2</v>
      </c>
      <c r="S5" s="9">
        <f>$S$4*(1+$F$2)^R4</f>
        <v>102000</v>
      </c>
      <c r="T5" s="9">
        <f>$T$4+$X$2*R4</f>
        <v>102000</v>
      </c>
      <c r="U5" s="16"/>
      <c r="V5" s="16"/>
      <c r="W5" s="16"/>
      <c r="X5" s="16"/>
    </row>
    <row r="6" spans="1:24">
      <c r="A6" s="16">
        <v>3</v>
      </c>
      <c r="B6" s="9">
        <f t="shared" ref="B6:B33" si="0">$B$4*(1+$F$2)^A5</f>
        <v>104040</v>
      </c>
      <c r="C6" s="9">
        <f t="shared" ref="C6:C33" si="1">$C$4*(1+2.2%)^A5</f>
        <v>104448.4</v>
      </c>
      <c r="D6" s="16"/>
      <c r="E6" s="16"/>
      <c r="F6" s="16"/>
      <c r="G6" s="16"/>
      <c r="Q6" s="16"/>
      <c r="R6" s="16">
        <v>3</v>
      </c>
      <c r="S6" s="9">
        <f t="shared" ref="S6:S33" si="2">$S$4*(1+$F$2)^R5</f>
        <v>104040</v>
      </c>
      <c r="T6" s="9">
        <f t="shared" ref="T6:T33" si="3">$T$4+$X$2*R5</f>
        <v>104000</v>
      </c>
      <c r="U6" s="16"/>
      <c r="V6" s="16"/>
      <c r="W6" s="16"/>
      <c r="X6" s="16"/>
    </row>
    <row r="7" spans="1:24">
      <c r="A7" s="16">
        <v>4</v>
      </c>
      <c r="B7" s="9">
        <f t="shared" si="0"/>
        <v>106120.79999999999</v>
      </c>
      <c r="C7" s="9">
        <f t="shared" si="1"/>
        <v>106746.2648</v>
      </c>
      <c r="D7" s="16"/>
      <c r="E7" s="16"/>
      <c r="F7" s="16"/>
      <c r="G7" s="16"/>
      <c r="Q7" s="16"/>
      <c r="R7" s="16">
        <v>4</v>
      </c>
      <c r="S7" s="9">
        <f t="shared" si="2"/>
        <v>106120.79999999999</v>
      </c>
      <c r="T7" s="9">
        <f t="shared" si="3"/>
        <v>106000</v>
      </c>
      <c r="U7" s="16"/>
      <c r="V7" s="16"/>
      <c r="W7" s="16"/>
      <c r="X7" s="16"/>
    </row>
    <row r="8" spans="1:24">
      <c r="A8" s="16">
        <v>5</v>
      </c>
      <c r="B8" s="9">
        <f t="shared" si="0"/>
        <v>108243.216</v>
      </c>
      <c r="C8" s="9">
        <f t="shared" si="1"/>
        <v>109094.68262560001</v>
      </c>
      <c r="D8" s="16"/>
      <c r="E8" s="16"/>
      <c r="F8" s="16"/>
      <c r="G8" s="16"/>
      <c r="Q8" s="16"/>
      <c r="R8" s="16">
        <v>5</v>
      </c>
      <c r="S8" s="9">
        <f t="shared" si="2"/>
        <v>108243.216</v>
      </c>
      <c r="T8" s="9">
        <f t="shared" si="3"/>
        <v>108000</v>
      </c>
      <c r="U8" s="16"/>
      <c r="V8" s="16"/>
      <c r="W8" s="16"/>
      <c r="X8" s="16"/>
    </row>
    <row r="9" spans="1:24">
      <c r="A9" s="16">
        <v>6</v>
      </c>
      <c r="B9" s="9">
        <f t="shared" si="0"/>
        <v>110408.08032000001</v>
      </c>
      <c r="C9" s="9">
        <f t="shared" si="1"/>
        <v>111494.76564336321</v>
      </c>
      <c r="D9" s="16"/>
      <c r="E9" s="16"/>
      <c r="F9" s="16"/>
      <c r="G9" s="16"/>
      <c r="Q9" s="16"/>
      <c r="R9" s="16">
        <v>6</v>
      </c>
      <c r="S9" s="9">
        <f t="shared" si="2"/>
        <v>110408.08032000001</v>
      </c>
      <c r="T9" s="9">
        <f t="shared" si="3"/>
        <v>110000</v>
      </c>
      <c r="U9" s="16"/>
      <c r="V9" s="16"/>
      <c r="W9" s="16"/>
      <c r="X9" s="16"/>
    </row>
    <row r="10" spans="1:24">
      <c r="A10" s="16">
        <v>7</v>
      </c>
      <c r="B10" s="9">
        <f t="shared" si="0"/>
        <v>112616.24192640001</v>
      </c>
      <c r="C10" s="9">
        <f t="shared" si="1"/>
        <v>113947.65048751718</v>
      </c>
      <c r="D10" s="16"/>
      <c r="E10" s="16"/>
      <c r="F10" s="16"/>
      <c r="G10" s="16"/>
      <c r="Q10" s="16"/>
      <c r="R10" s="16">
        <v>7</v>
      </c>
      <c r="S10" s="9">
        <f t="shared" si="2"/>
        <v>112616.24192640001</v>
      </c>
      <c r="T10" s="9">
        <f t="shared" si="3"/>
        <v>112000</v>
      </c>
      <c r="U10" s="16"/>
      <c r="V10" s="16"/>
      <c r="W10" s="16"/>
      <c r="X10" s="16"/>
    </row>
    <row r="11" spans="1:24">
      <c r="A11" s="16">
        <v>8</v>
      </c>
      <c r="B11" s="9">
        <f t="shared" si="0"/>
        <v>114868.56676492798</v>
      </c>
      <c r="C11" s="9">
        <f t="shared" si="1"/>
        <v>116454.49879824257</v>
      </c>
      <c r="D11" s="16"/>
      <c r="E11" s="16"/>
      <c r="F11" s="16"/>
      <c r="G11" s="16"/>
      <c r="Q11" s="16"/>
      <c r="R11" s="16">
        <v>8</v>
      </c>
      <c r="S11" s="9">
        <f t="shared" si="2"/>
        <v>114868.56676492798</v>
      </c>
      <c r="T11" s="9">
        <f t="shared" si="3"/>
        <v>114000</v>
      </c>
      <c r="U11" s="16"/>
      <c r="V11" s="16"/>
      <c r="W11" s="16"/>
      <c r="X11" s="16"/>
    </row>
    <row r="12" spans="1:24">
      <c r="A12" s="16">
        <v>9</v>
      </c>
      <c r="B12" s="9">
        <f t="shared" si="0"/>
        <v>117165.93810022656</v>
      </c>
      <c r="C12" s="9">
        <f t="shared" si="1"/>
        <v>119016.49777180392</v>
      </c>
      <c r="D12" s="16"/>
      <c r="E12" s="16"/>
      <c r="F12" s="16"/>
      <c r="G12" s="16"/>
      <c r="Q12" s="16"/>
      <c r="R12" s="16">
        <v>9</v>
      </c>
      <c r="S12" s="9">
        <f t="shared" si="2"/>
        <v>117165.93810022656</v>
      </c>
      <c r="T12" s="9">
        <f t="shared" si="3"/>
        <v>116000</v>
      </c>
      <c r="U12" s="16"/>
      <c r="V12" s="16"/>
      <c r="W12" s="16"/>
      <c r="X12" s="16"/>
    </row>
    <row r="13" spans="1:24">
      <c r="A13" s="16">
        <v>10</v>
      </c>
      <c r="B13" s="9">
        <f t="shared" si="0"/>
        <v>119509.25686223108</v>
      </c>
      <c r="C13" s="9">
        <f t="shared" si="1"/>
        <v>121634.8607227836</v>
      </c>
      <c r="D13" s="16"/>
      <c r="E13" s="16"/>
      <c r="F13" s="16"/>
      <c r="G13" s="16"/>
      <c r="Q13" s="16"/>
      <c r="R13" s="16">
        <v>10</v>
      </c>
      <c r="S13" s="9">
        <f t="shared" si="2"/>
        <v>119509.25686223108</v>
      </c>
      <c r="T13" s="9">
        <f t="shared" si="3"/>
        <v>118000</v>
      </c>
      <c r="U13" s="16"/>
      <c r="V13" s="16"/>
      <c r="W13" s="16"/>
      <c r="X13" s="16"/>
    </row>
    <row r="14" spans="1:24">
      <c r="A14" s="16">
        <v>11</v>
      </c>
      <c r="B14" s="9">
        <f t="shared" si="0"/>
        <v>121899.4419994757</v>
      </c>
      <c r="C14" s="9">
        <f t="shared" si="1"/>
        <v>124310.82765868484</v>
      </c>
      <c r="D14" s="16"/>
      <c r="E14" s="16"/>
      <c r="F14" s="16"/>
      <c r="G14" s="16"/>
      <c r="Q14" s="16"/>
      <c r="R14" s="16">
        <v>11</v>
      </c>
      <c r="S14" s="9">
        <f t="shared" si="2"/>
        <v>121899.4419994757</v>
      </c>
      <c r="T14" s="9">
        <f t="shared" si="3"/>
        <v>120000</v>
      </c>
      <c r="U14" s="16"/>
      <c r="V14" s="16"/>
      <c r="W14" s="16"/>
      <c r="X14" s="16"/>
    </row>
    <row r="15" spans="1:24">
      <c r="A15" s="16">
        <v>12</v>
      </c>
      <c r="B15" s="9">
        <f t="shared" si="0"/>
        <v>124337.4308394652</v>
      </c>
      <c r="C15" s="9">
        <f t="shared" si="1"/>
        <v>127045.66586717592</v>
      </c>
      <c r="D15" s="16"/>
      <c r="E15" s="16"/>
      <c r="F15" s="16"/>
      <c r="G15" s="16"/>
      <c r="Q15" s="16"/>
      <c r="R15" s="16">
        <v>12</v>
      </c>
      <c r="S15" s="9">
        <f t="shared" si="2"/>
        <v>124337.4308394652</v>
      </c>
      <c r="T15" s="9">
        <f t="shared" si="3"/>
        <v>122000</v>
      </c>
      <c r="U15" s="16"/>
      <c r="V15" s="16"/>
      <c r="W15" s="16"/>
      <c r="X15" s="16"/>
    </row>
    <row r="16" spans="1:24">
      <c r="A16" s="16">
        <v>13</v>
      </c>
      <c r="B16" s="9">
        <f t="shared" si="0"/>
        <v>126824.17945625453</v>
      </c>
      <c r="C16" s="9">
        <f t="shared" si="1"/>
        <v>129840.67051625378</v>
      </c>
      <c r="D16" s="16"/>
      <c r="E16" s="16"/>
      <c r="F16" s="16"/>
      <c r="G16" s="16"/>
      <c r="Q16" s="16"/>
      <c r="R16" s="16">
        <v>13</v>
      </c>
      <c r="S16" s="9">
        <f t="shared" si="2"/>
        <v>126824.17945625453</v>
      </c>
      <c r="T16" s="9">
        <f t="shared" si="3"/>
        <v>124000</v>
      </c>
      <c r="U16" s="16"/>
      <c r="V16" s="16"/>
      <c r="W16" s="16"/>
      <c r="X16" s="16"/>
    </row>
    <row r="17" spans="1:24">
      <c r="A17" s="16">
        <v>14</v>
      </c>
      <c r="B17" s="9">
        <f t="shared" si="0"/>
        <v>129360.66304537961</v>
      </c>
      <c r="C17" s="9">
        <f t="shared" si="1"/>
        <v>132697.16526761136</v>
      </c>
      <c r="D17" s="16"/>
      <c r="E17" s="16"/>
      <c r="F17" s="16"/>
      <c r="G17" s="16"/>
      <c r="Q17" s="16"/>
      <c r="R17" s="16">
        <v>14</v>
      </c>
      <c r="S17" s="9">
        <f t="shared" si="2"/>
        <v>129360.66304537961</v>
      </c>
      <c r="T17" s="9">
        <f t="shared" si="3"/>
        <v>126000</v>
      </c>
      <c r="U17" s="16"/>
      <c r="V17" s="16"/>
      <c r="W17" s="16"/>
      <c r="X17" s="16"/>
    </row>
    <row r="18" spans="1:24">
      <c r="A18" s="16">
        <v>15</v>
      </c>
      <c r="B18" s="9">
        <f t="shared" si="0"/>
        <v>131947.87630628722</v>
      </c>
      <c r="C18" s="9">
        <f t="shared" si="1"/>
        <v>135616.5029034988</v>
      </c>
      <c r="D18" s="16"/>
      <c r="E18" s="16"/>
      <c r="F18" s="16"/>
      <c r="G18" s="16"/>
      <c r="Q18" s="16"/>
      <c r="R18" s="16">
        <v>15</v>
      </c>
      <c r="S18" s="9">
        <f t="shared" si="2"/>
        <v>131947.87630628722</v>
      </c>
      <c r="T18" s="9">
        <f t="shared" si="3"/>
        <v>128000</v>
      </c>
      <c r="U18" s="16"/>
      <c r="V18" s="16"/>
      <c r="W18" s="16"/>
      <c r="X18" s="16"/>
    </row>
    <row r="19" spans="1:24">
      <c r="A19" s="16">
        <v>16</v>
      </c>
      <c r="B19" s="9">
        <f t="shared" si="0"/>
        <v>134586.83383241293</v>
      </c>
      <c r="C19" s="9">
        <f t="shared" si="1"/>
        <v>138600.06596737579</v>
      </c>
      <c r="D19" s="16"/>
      <c r="E19" s="16"/>
      <c r="F19" s="16"/>
      <c r="G19" s="16"/>
      <c r="Q19" s="16"/>
      <c r="R19" s="16">
        <v>16</v>
      </c>
      <c r="S19" s="9">
        <f t="shared" si="2"/>
        <v>134586.83383241293</v>
      </c>
      <c r="T19" s="9">
        <f t="shared" si="3"/>
        <v>130000</v>
      </c>
      <c r="U19" s="16"/>
      <c r="V19" s="16"/>
      <c r="W19" s="16"/>
      <c r="X19" s="16"/>
    </row>
    <row r="20" spans="1:24">
      <c r="A20" s="16">
        <v>17</v>
      </c>
      <c r="B20" s="9">
        <f t="shared" si="0"/>
        <v>137278.57050906122</v>
      </c>
      <c r="C20" s="9">
        <f t="shared" si="1"/>
        <v>141649.26741865807</v>
      </c>
      <c r="D20" s="16"/>
      <c r="E20" s="16"/>
      <c r="F20" s="16"/>
      <c r="G20" s="16"/>
      <c r="Q20" s="16"/>
      <c r="R20" s="16">
        <v>17</v>
      </c>
      <c r="S20" s="9">
        <f t="shared" si="2"/>
        <v>137278.57050906122</v>
      </c>
      <c r="T20" s="9">
        <f t="shared" si="3"/>
        <v>132000</v>
      </c>
      <c r="U20" s="16"/>
      <c r="V20" s="16"/>
      <c r="W20" s="16"/>
      <c r="X20" s="16"/>
    </row>
    <row r="21" spans="1:24">
      <c r="A21" s="16">
        <v>18</v>
      </c>
      <c r="B21" s="9">
        <f t="shared" si="0"/>
        <v>140024.14191924245</v>
      </c>
      <c r="C21" s="9">
        <f t="shared" si="1"/>
        <v>144765.55130186855</v>
      </c>
      <c r="D21" s="16"/>
      <c r="E21" s="16"/>
      <c r="F21" s="16"/>
      <c r="G21" s="16"/>
      <c r="Q21" s="16"/>
      <c r="R21" s="16">
        <v>18</v>
      </c>
      <c r="S21" s="9">
        <f t="shared" si="2"/>
        <v>140024.14191924245</v>
      </c>
      <c r="T21" s="9">
        <f t="shared" si="3"/>
        <v>134000</v>
      </c>
      <c r="U21" s="16"/>
      <c r="V21" s="16"/>
      <c r="W21" s="16"/>
      <c r="X21" s="16"/>
    </row>
    <row r="22" spans="1:24">
      <c r="A22" s="16">
        <v>19</v>
      </c>
      <c r="B22" s="9">
        <f t="shared" si="0"/>
        <v>142824.62475762726</v>
      </c>
      <c r="C22" s="9">
        <f t="shared" si="1"/>
        <v>147950.39343050963</v>
      </c>
      <c r="D22" s="16"/>
      <c r="E22" s="16"/>
      <c r="F22" s="16"/>
      <c r="G22" s="16"/>
      <c r="Q22" s="16"/>
      <c r="R22" s="16">
        <v>19</v>
      </c>
      <c r="S22" s="9">
        <f t="shared" si="2"/>
        <v>142824.62475762726</v>
      </c>
      <c r="T22" s="9">
        <f t="shared" si="3"/>
        <v>136000</v>
      </c>
      <c r="U22" s="16"/>
      <c r="V22" s="16"/>
      <c r="W22" s="16"/>
      <c r="X22" s="16"/>
    </row>
    <row r="23" spans="1:24">
      <c r="A23" s="16">
        <v>20</v>
      </c>
      <c r="B23" s="9">
        <f t="shared" si="0"/>
        <v>145681.1172527798</v>
      </c>
      <c r="C23" s="9">
        <f t="shared" si="1"/>
        <v>151205.30208598086</v>
      </c>
      <c r="D23" s="16"/>
      <c r="E23" s="16"/>
      <c r="F23" s="16"/>
      <c r="G23" s="16"/>
      <c r="Q23" s="16"/>
      <c r="R23" s="16">
        <v>20</v>
      </c>
      <c r="S23" s="9">
        <f t="shared" si="2"/>
        <v>145681.1172527798</v>
      </c>
      <c r="T23" s="9">
        <f t="shared" si="3"/>
        <v>138000</v>
      </c>
      <c r="U23" s="16"/>
      <c r="V23" s="16"/>
      <c r="W23" s="16"/>
      <c r="X23" s="16"/>
    </row>
    <row r="24" spans="1:24">
      <c r="A24" s="16">
        <v>21</v>
      </c>
      <c r="B24" s="9">
        <f t="shared" si="0"/>
        <v>148594.73959783543</v>
      </c>
      <c r="C24" s="9">
        <f t="shared" si="1"/>
        <v>154531.81873187245</v>
      </c>
      <c r="D24" s="16"/>
      <c r="E24" s="16"/>
      <c r="F24" s="16"/>
      <c r="G24" s="16"/>
      <c r="Q24" s="16"/>
      <c r="R24" s="16">
        <v>21</v>
      </c>
      <c r="S24" s="9">
        <f t="shared" si="2"/>
        <v>148594.73959783543</v>
      </c>
      <c r="T24" s="9">
        <f t="shared" si="3"/>
        <v>140000</v>
      </c>
      <c r="U24" s="16"/>
      <c r="V24" s="16"/>
      <c r="W24" s="16"/>
      <c r="X24" s="16"/>
    </row>
    <row r="25" spans="1:24">
      <c r="A25" s="16">
        <v>22</v>
      </c>
      <c r="B25" s="9">
        <f t="shared" si="0"/>
        <v>151566.63438979213</v>
      </c>
      <c r="C25" s="9">
        <f t="shared" si="1"/>
        <v>157931.51874397363</v>
      </c>
      <c r="D25" s="16"/>
      <c r="E25" s="16"/>
      <c r="F25" s="16"/>
      <c r="G25" s="16"/>
      <c r="Q25" s="16"/>
      <c r="R25" s="16">
        <v>22</v>
      </c>
      <c r="S25" s="9">
        <f t="shared" si="2"/>
        <v>151566.63438979213</v>
      </c>
      <c r="T25" s="9">
        <f t="shared" si="3"/>
        <v>142000</v>
      </c>
      <c r="U25" s="16"/>
      <c r="V25" s="16"/>
      <c r="W25" s="16"/>
      <c r="X25" s="16"/>
    </row>
    <row r="26" spans="1:24">
      <c r="A26" s="16">
        <v>23</v>
      </c>
      <c r="B26" s="9">
        <f t="shared" si="0"/>
        <v>154597.96707758796</v>
      </c>
      <c r="C26" s="9">
        <f t="shared" si="1"/>
        <v>161406.01215634105</v>
      </c>
      <c r="D26" s="16"/>
      <c r="E26" s="16"/>
      <c r="F26" s="16"/>
      <c r="G26" s="16"/>
      <c r="Q26" s="16"/>
      <c r="R26" s="16">
        <v>23</v>
      </c>
      <c r="S26" s="9">
        <f t="shared" si="2"/>
        <v>154597.96707758796</v>
      </c>
      <c r="T26" s="9">
        <f t="shared" si="3"/>
        <v>144000</v>
      </c>
      <c r="U26" s="16"/>
      <c r="V26" s="16"/>
      <c r="W26" s="16"/>
      <c r="X26" s="16"/>
    </row>
    <row r="27" spans="1:24">
      <c r="A27" s="16">
        <v>24</v>
      </c>
      <c r="B27" s="9">
        <f t="shared" si="0"/>
        <v>157689.92641913969</v>
      </c>
      <c r="C27" s="9">
        <f t="shared" si="1"/>
        <v>164956.94442378054</v>
      </c>
      <c r="D27" s="16"/>
      <c r="E27" s="16"/>
      <c r="F27" s="16"/>
      <c r="G27" s="16"/>
      <c r="Q27" s="16"/>
      <c r="R27" s="16">
        <v>24</v>
      </c>
      <c r="S27" s="9">
        <f t="shared" si="2"/>
        <v>157689.92641913969</v>
      </c>
      <c r="T27" s="9">
        <f t="shared" si="3"/>
        <v>146000</v>
      </c>
      <c r="U27" s="16"/>
      <c r="V27" s="16"/>
      <c r="W27" s="16"/>
      <c r="X27" s="16"/>
    </row>
    <row r="28" spans="1:24">
      <c r="A28" s="16">
        <v>25</v>
      </c>
      <c r="B28" s="9">
        <f t="shared" si="0"/>
        <v>160843.72494752251</v>
      </c>
      <c r="C28" s="9">
        <f t="shared" si="1"/>
        <v>168585.99720110375</v>
      </c>
      <c r="D28" s="16"/>
      <c r="E28" s="16"/>
      <c r="F28" s="16"/>
      <c r="G28" s="16"/>
      <c r="Q28" s="16"/>
      <c r="R28" s="16">
        <v>25</v>
      </c>
      <c r="S28" s="9">
        <f t="shared" si="2"/>
        <v>160843.72494752251</v>
      </c>
      <c r="T28" s="9">
        <f t="shared" si="3"/>
        <v>148000</v>
      </c>
      <c r="U28" s="16"/>
      <c r="V28" s="16"/>
      <c r="W28" s="16"/>
      <c r="X28" s="16"/>
    </row>
    <row r="29" spans="1:24">
      <c r="A29" s="16">
        <v>26</v>
      </c>
      <c r="B29" s="9">
        <f t="shared" si="0"/>
        <v>164060.59944647294</v>
      </c>
      <c r="C29" s="9">
        <f t="shared" si="1"/>
        <v>172294.88913952801</v>
      </c>
      <c r="D29" s="16"/>
      <c r="E29" s="16"/>
      <c r="F29" s="16"/>
      <c r="G29" s="16"/>
      <c r="Q29" s="16"/>
      <c r="R29" s="16">
        <v>26</v>
      </c>
      <c r="S29" s="9">
        <f t="shared" si="2"/>
        <v>164060.59944647294</v>
      </c>
      <c r="T29" s="9">
        <f t="shared" si="3"/>
        <v>150000</v>
      </c>
      <c r="U29" s="16"/>
      <c r="V29" s="16"/>
      <c r="W29" s="16"/>
      <c r="X29" s="16"/>
    </row>
    <row r="30" spans="1:24">
      <c r="A30" s="16">
        <v>27</v>
      </c>
      <c r="B30" s="9">
        <f t="shared" si="0"/>
        <v>167341.81143540243</v>
      </c>
      <c r="C30" s="9">
        <f t="shared" si="1"/>
        <v>176085.37670059764</v>
      </c>
      <c r="D30" s="16"/>
      <c r="E30" s="16"/>
      <c r="F30" s="16"/>
      <c r="G30" s="16"/>
      <c r="Q30" s="16"/>
      <c r="R30" s="16">
        <v>27</v>
      </c>
      <c r="S30" s="9">
        <f t="shared" si="2"/>
        <v>167341.81143540243</v>
      </c>
      <c r="T30" s="9">
        <f t="shared" si="3"/>
        <v>152000</v>
      </c>
      <c r="U30" s="16"/>
      <c r="V30" s="16"/>
      <c r="W30" s="16"/>
      <c r="X30" s="16"/>
    </row>
    <row r="31" spans="1:24">
      <c r="A31" s="16">
        <v>28</v>
      </c>
      <c r="B31" s="9">
        <f t="shared" si="0"/>
        <v>170688.64766411044</v>
      </c>
      <c r="C31" s="9">
        <f t="shared" si="1"/>
        <v>179959.2549880108</v>
      </c>
      <c r="D31" s="16"/>
      <c r="E31" s="16"/>
      <c r="F31" s="16"/>
      <c r="G31" s="16"/>
      <c r="Q31" s="16"/>
      <c r="R31" s="16">
        <v>28</v>
      </c>
      <c r="S31" s="9">
        <f t="shared" si="2"/>
        <v>170688.64766411044</v>
      </c>
      <c r="T31" s="9">
        <f t="shared" si="3"/>
        <v>154000</v>
      </c>
      <c r="U31" s="16"/>
      <c r="V31" s="16"/>
      <c r="W31" s="16"/>
      <c r="X31" s="16"/>
    </row>
    <row r="32" spans="1:24">
      <c r="A32" s="16">
        <v>29</v>
      </c>
      <c r="B32" s="9">
        <f t="shared" si="0"/>
        <v>174102.42061739269</v>
      </c>
      <c r="C32" s="9">
        <f t="shared" si="1"/>
        <v>183918.35859774702</v>
      </c>
      <c r="D32" s="16"/>
      <c r="E32" s="16"/>
      <c r="F32" s="16"/>
      <c r="G32" s="16"/>
      <c r="Q32" s="16"/>
      <c r="R32" s="16">
        <v>29</v>
      </c>
      <c r="S32" s="9">
        <f t="shared" si="2"/>
        <v>174102.42061739269</v>
      </c>
      <c r="T32" s="9">
        <f t="shared" si="3"/>
        <v>156000</v>
      </c>
      <c r="U32" s="16"/>
      <c r="V32" s="16"/>
      <c r="W32" s="16"/>
      <c r="X32" s="16"/>
    </row>
    <row r="33" spans="1:24">
      <c r="A33" s="16">
        <v>30</v>
      </c>
      <c r="B33" s="9">
        <f t="shared" si="0"/>
        <v>177584.46902974052</v>
      </c>
      <c r="C33" s="9">
        <f t="shared" si="1"/>
        <v>187964.56248689748</v>
      </c>
      <c r="D33" s="16"/>
      <c r="E33" s="16"/>
      <c r="F33" s="16"/>
      <c r="G33" s="16"/>
      <c r="Q33" s="16"/>
      <c r="R33" s="16">
        <v>30</v>
      </c>
      <c r="S33" s="9">
        <f t="shared" si="2"/>
        <v>177584.46902974052</v>
      </c>
      <c r="T33" s="9">
        <f t="shared" si="3"/>
        <v>158000</v>
      </c>
      <c r="U33" s="16"/>
      <c r="V33" s="16"/>
      <c r="W33" s="16"/>
      <c r="X33" s="16"/>
    </row>
    <row r="38" spans="1:24">
      <c r="A38" s="1" t="s">
        <v>4</v>
      </c>
      <c r="B38" s="1" t="s">
        <v>121</v>
      </c>
      <c r="C38" s="1" t="s">
        <v>129</v>
      </c>
      <c r="R38" s="22" t="s">
        <v>4</v>
      </c>
      <c r="S38" s="22" t="s">
        <v>121</v>
      </c>
      <c r="T38" s="22" t="s">
        <v>131</v>
      </c>
    </row>
    <row r="39" spans="1:24">
      <c r="A39" s="16">
        <v>1</v>
      </c>
      <c r="B39" s="9">
        <f>'Step-1-Cost &amp; Revenues'!C29/3+'Step-1-Cost &amp; Revenues'!C27/(3*5+2)</f>
        <v>12000</v>
      </c>
      <c r="C39" s="9">
        <f>B39</f>
        <v>12000</v>
      </c>
      <c r="R39" s="23">
        <v>1</v>
      </c>
      <c r="S39" s="24">
        <f>B39</f>
        <v>12000</v>
      </c>
      <c r="T39" s="24">
        <f>S39</f>
        <v>12000</v>
      </c>
    </row>
    <row r="40" spans="1:24">
      <c r="A40" s="16">
        <v>2</v>
      </c>
      <c r="B40" s="9">
        <f>$B$39*(1+$F$2)^A39</f>
        <v>12240</v>
      </c>
      <c r="C40" s="9">
        <f>$C$39*(1+2.2%)^A39</f>
        <v>12264</v>
      </c>
      <c r="R40" s="23">
        <v>2</v>
      </c>
      <c r="S40" s="24">
        <f>$S$39*(1+$F$3)^R39</f>
        <v>12240</v>
      </c>
      <c r="T40" s="24">
        <f>$T$39+$X$3*R39</f>
        <v>12300</v>
      </c>
    </row>
    <row r="41" spans="1:24">
      <c r="A41" s="16">
        <v>3</v>
      </c>
      <c r="B41" s="9">
        <f t="shared" ref="B41:B68" si="4">$B$39*(1+$F$2)^A40</f>
        <v>12484.8</v>
      </c>
      <c r="C41" s="9">
        <f t="shared" ref="C41:C68" si="5">$C$39*(1+2.2%)^A40</f>
        <v>12533.807999999999</v>
      </c>
      <c r="R41" s="23">
        <v>3</v>
      </c>
      <c r="S41" s="24">
        <f t="shared" ref="S41:S68" si="6">$S$39*(1+$F$3)^R40</f>
        <v>12484.8</v>
      </c>
      <c r="T41" s="24">
        <f t="shared" ref="T41:T68" si="7">$T$39+$X$3*R40</f>
        <v>12600</v>
      </c>
    </row>
    <row r="42" spans="1:24">
      <c r="A42" s="16">
        <v>4</v>
      </c>
      <c r="B42" s="9">
        <f>$B$39*(1+$F$2)^A41</f>
        <v>12734.495999999999</v>
      </c>
      <c r="C42" s="9">
        <f t="shared" si="5"/>
        <v>12809.551776</v>
      </c>
      <c r="R42" s="23">
        <v>4</v>
      </c>
      <c r="S42" s="24">
        <f t="shared" si="6"/>
        <v>12734.495999999999</v>
      </c>
      <c r="T42" s="24">
        <f t="shared" si="7"/>
        <v>12900</v>
      </c>
    </row>
    <row r="43" spans="1:24">
      <c r="A43" s="16">
        <v>5</v>
      </c>
      <c r="B43" s="9">
        <f t="shared" si="4"/>
        <v>12989.18592</v>
      </c>
      <c r="C43" s="9">
        <f t="shared" si="5"/>
        <v>13091.361915072001</v>
      </c>
      <c r="R43" s="23">
        <v>5</v>
      </c>
      <c r="S43" s="24">
        <f t="shared" si="6"/>
        <v>12989.18592</v>
      </c>
      <c r="T43" s="24">
        <f t="shared" si="7"/>
        <v>13200</v>
      </c>
    </row>
    <row r="44" spans="1:24">
      <c r="A44" s="16">
        <v>6</v>
      </c>
      <c r="B44" s="9">
        <f t="shared" si="4"/>
        <v>13248.9696384</v>
      </c>
      <c r="C44" s="9">
        <f t="shared" si="5"/>
        <v>13379.371877203585</v>
      </c>
      <c r="R44" s="23">
        <v>6</v>
      </c>
      <c r="S44" s="24">
        <f t="shared" si="6"/>
        <v>13248.9696384</v>
      </c>
      <c r="T44" s="24">
        <f t="shared" si="7"/>
        <v>13500</v>
      </c>
    </row>
    <row r="45" spans="1:24">
      <c r="A45" s="16">
        <v>7</v>
      </c>
      <c r="B45" s="9">
        <f t="shared" si="4"/>
        <v>13513.949031168</v>
      </c>
      <c r="C45" s="9">
        <f t="shared" si="5"/>
        <v>13673.718058502061</v>
      </c>
      <c r="R45" s="23">
        <v>7</v>
      </c>
      <c r="S45" s="24">
        <f t="shared" si="6"/>
        <v>13513.949031168</v>
      </c>
      <c r="T45" s="24">
        <f t="shared" si="7"/>
        <v>13800</v>
      </c>
    </row>
    <row r="46" spans="1:24">
      <c r="A46" s="16">
        <v>8</v>
      </c>
      <c r="B46" s="9">
        <f t="shared" si="4"/>
        <v>13784.228011791358</v>
      </c>
      <c r="C46" s="9">
        <f t="shared" si="5"/>
        <v>13974.539855789108</v>
      </c>
      <c r="R46" s="23">
        <v>8</v>
      </c>
      <c r="S46" s="24">
        <f t="shared" si="6"/>
        <v>13784.228011791358</v>
      </c>
      <c r="T46" s="24">
        <f t="shared" si="7"/>
        <v>14100</v>
      </c>
    </row>
    <row r="47" spans="1:24">
      <c r="A47" s="16">
        <v>9</v>
      </c>
      <c r="B47" s="9">
        <f t="shared" si="4"/>
        <v>14059.912572027186</v>
      </c>
      <c r="C47" s="9">
        <f t="shared" si="5"/>
        <v>14281.97973261647</v>
      </c>
      <c r="R47" s="23">
        <v>9</v>
      </c>
      <c r="S47" s="24">
        <f t="shared" si="6"/>
        <v>14059.912572027186</v>
      </c>
      <c r="T47" s="24">
        <f t="shared" si="7"/>
        <v>14400</v>
      </c>
    </row>
    <row r="48" spans="1:24">
      <c r="A48" s="16">
        <v>10</v>
      </c>
      <c r="B48" s="9">
        <f t="shared" si="4"/>
        <v>14341.11082346773</v>
      </c>
      <c r="C48" s="9">
        <f t="shared" si="5"/>
        <v>14596.183286734033</v>
      </c>
      <c r="R48" s="23">
        <v>10</v>
      </c>
      <c r="S48" s="24">
        <f t="shared" si="6"/>
        <v>14341.11082346773</v>
      </c>
      <c r="T48" s="24">
        <f t="shared" si="7"/>
        <v>14700</v>
      </c>
    </row>
    <row r="49" spans="1:20">
      <c r="A49" s="16">
        <v>11</v>
      </c>
      <c r="B49" s="9">
        <f t="shared" si="4"/>
        <v>14627.933039937085</v>
      </c>
      <c r="C49" s="9">
        <f t="shared" si="5"/>
        <v>14917.29931904218</v>
      </c>
      <c r="R49" s="23">
        <v>11</v>
      </c>
      <c r="S49" s="24">
        <f t="shared" si="6"/>
        <v>14627.933039937085</v>
      </c>
      <c r="T49" s="24">
        <f t="shared" si="7"/>
        <v>15000</v>
      </c>
    </row>
    <row r="50" spans="1:20">
      <c r="A50" s="16">
        <v>12</v>
      </c>
      <c r="B50" s="9">
        <f t="shared" si="4"/>
        <v>14920.491700735824</v>
      </c>
      <c r="C50" s="9">
        <f t="shared" si="5"/>
        <v>15245.479904061111</v>
      </c>
      <c r="R50" s="23">
        <v>12</v>
      </c>
      <c r="S50" s="24">
        <f t="shared" si="6"/>
        <v>14920.491700735824</v>
      </c>
      <c r="T50" s="24">
        <f t="shared" si="7"/>
        <v>15300</v>
      </c>
    </row>
    <row r="51" spans="1:20">
      <c r="A51" s="16">
        <v>13</v>
      </c>
      <c r="B51" s="9">
        <f t="shared" si="4"/>
        <v>15218.901534750543</v>
      </c>
      <c r="C51" s="9">
        <f t="shared" si="5"/>
        <v>15580.880461950454</v>
      </c>
      <c r="R51" s="23">
        <v>13</v>
      </c>
      <c r="S51" s="24">
        <f t="shared" si="6"/>
        <v>15218.901534750543</v>
      </c>
      <c r="T51" s="24">
        <f t="shared" si="7"/>
        <v>15600</v>
      </c>
    </row>
    <row r="52" spans="1:20">
      <c r="A52" s="16">
        <v>14</v>
      </c>
      <c r="B52" s="9">
        <f t="shared" si="4"/>
        <v>15523.279565445553</v>
      </c>
      <c r="C52" s="9">
        <f t="shared" si="5"/>
        <v>15923.659832113364</v>
      </c>
      <c r="R52" s="23">
        <v>14</v>
      </c>
      <c r="S52" s="24">
        <f t="shared" si="6"/>
        <v>15523.279565445553</v>
      </c>
      <c r="T52" s="24">
        <f t="shared" si="7"/>
        <v>15900</v>
      </c>
    </row>
    <row r="53" spans="1:20">
      <c r="A53" s="16">
        <v>15</v>
      </c>
      <c r="B53" s="9">
        <f t="shared" si="4"/>
        <v>15833.745156754465</v>
      </c>
      <c r="C53" s="9">
        <f t="shared" si="5"/>
        <v>16273.980348419856</v>
      </c>
      <c r="R53" s="23">
        <v>15</v>
      </c>
      <c r="S53" s="24">
        <f t="shared" si="6"/>
        <v>15833.745156754465</v>
      </c>
      <c r="T53" s="24">
        <f t="shared" si="7"/>
        <v>16200</v>
      </c>
    </row>
    <row r="54" spans="1:20">
      <c r="A54" s="16">
        <v>16</v>
      </c>
      <c r="B54" s="9">
        <f t="shared" si="4"/>
        <v>16150.420059889551</v>
      </c>
      <c r="C54" s="9">
        <f t="shared" si="5"/>
        <v>16632.007916085095</v>
      </c>
      <c r="R54" s="23">
        <v>16</v>
      </c>
      <c r="S54" s="24">
        <f t="shared" si="6"/>
        <v>16150.420059889551</v>
      </c>
      <c r="T54" s="24">
        <f t="shared" si="7"/>
        <v>16500</v>
      </c>
    </row>
    <row r="55" spans="1:20">
      <c r="A55" s="16">
        <v>17</v>
      </c>
      <c r="B55" s="9">
        <f t="shared" si="4"/>
        <v>16473.428461087344</v>
      </c>
      <c r="C55" s="9">
        <f t="shared" si="5"/>
        <v>16997.91209023897</v>
      </c>
      <c r="R55" s="23">
        <v>17</v>
      </c>
      <c r="S55" s="24">
        <f t="shared" si="6"/>
        <v>16473.428461087344</v>
      </c>
      <c r="T55" s="24">
        <f t="shared" si="7"/>
        <v>16800</v>
      </c>
    </row>
    <row r="56" spans="1:20">
      <c r="A56" s="16">
        <v>18</v>
      </c>
      <c r="B56" s="9">
        <f t="shared" si="4"/>
        <v>16802.897030309094</v>
      </c>
      <c r="C56" s="9">
        <f t="shared" si="5"/>
        <v>17371.866156224227</v>
      </c>
      <c r="R56" s="23">
        <v>18</v>
      </c>
      <c r="S56" s="24">
        <f t="shared" si="6"/>
        <v>16802.897030309094</v>
      </c>
      <c r="T56" s="24">
        <f t="shared" si="7"/>
        <v>17100</v>
      </c>
    </row>
    <row r="57" spans="1:20">
      <c r="A57" s="16">
        <v>19</v>
      </c>
      <c r="B57" s="9">
        <f t="shared" si="4"/>
        <v>17138.954970915274</v>
      </c>
      <c r="C57" s="9">
        <f t="shared" si="5"/>
        <v>17754.047211661156</v>
      </c>
      <c r="R57" s="23">
        <v>19</v>
      </c>
      <c r="S57" s="24">
        <f t="shared" si="6"/>
        <v>17138.954970915274</v>
      </c>
      <c r="T57" s="24">
        <f t="shared" si="7"/>
        <v>17400</v>
      </c>
    </row>
    <row r="58" spans="1:20">
      <c r="A58" s="16">
        <v>20</v>
      </c>
      <c r="B58" s="9">
        <f t="shared" si="4"/>
        <v>17481.734070333576</v>
      </c>
      <c r="C58" s="9">
        <f t="shared" si="5"/>
        <v>18144.636250317704</v>
      </c>
      <c r="R58" s="23">
        <v>20</v>
      </c>
      <c r="S58" s="24">
        <f t="shared" si="6"/>
        <v>17481.734070333576</v>
      </c>
      <c r="T58" s="24">
        <f t="shared" si="7"/>
        <v>17700</v>
      </c>
    </row>
    <row r="59" spans="1:20">
      <c r="A59" s="16">
        <v>21</v>
      </c>
      <c r="B59" s="9">
        <f t="shared" si="4"/>
        <v>17831.36875174025</v>
      </c>
      <c r="C59" s="9">
        <f t="shared" si="5"/>
        <v>18543.818247824693</v>
      </c>
      <c r="R59" s="23">
        <v>21</v>
      </c>
      <c r="S59" s="24">
        <f t="shared" si="6"/>
        <v>17831.36875174025</v>
      </c>
      <c r="T59" s="24">
        <f t="shared" si="7"/>
        <v>18000</v>
      </c>
    </row>
    <row r="60" spans="1:20">
      <c r="A60" s="16">
        <v>22</v>
      </c>
      <c r="B60" s="9">
        <f t="shared" si="4"/>
        <v>18187.996126775055</v>
      </c>
      <c r="C60" s="9">
        <f t="shared" si="5"/>
        <v>18951.782249276836</v>
      </c>
      <c r="R60" s="23">
        <v>22</v>
      </c>
      <c r="S60" s="24">
        <f t="shared" si="6"/>
        <v>18187.996126775055</v>
      </c>
      <c r="T60" s="24">
        <f t="shared" si="7"/>
        <v>18300</v>
      </c>
    </row>
    <row r="61" spans="1:20">
      <c r="A61" s="16">
        <v>23</v>
      </c>
      <c r="B61" s="9">
        <f t="shared" si="4"/>
        <v>18551.756049310556</v>
      </c>
      <c r="C61" s="9">
        <f t="shared" si="5"/>
        <v>19368.721458760927</v>
      </c>
      <c r="R61" s="23">
        <v>23</v>
      </c>
      <c r="S61" s="24">
        <f t="shared" si="6"/>
        <v>18551.756049310556</v>
      </c>
      <c r="T61" s="24">
        <f t="shared" si="7"/>
        <v>18600</v>
      </c>
    </row>
    <row r="62" spans="1:20">
      <c r="A62" s="16">
        <v>24</v>
      </c>
      <c r="B62" s="9">
        <f t="shared" si="4"/>
        <v>18922.791170296765</v>
      </c>
      <c r="C62" s="9">
        <f t="shared" si="5"/>
        <v>19794.833330853668</v>
      </c>
      <c r="R62" s="23">
        <v>24</v>
      </c>
      <c r="S62" s="24">
        <f t="shared" si="6"/>
        <v>18922.791170296765</v>
      </c>
      <c r="T62" s="24">
        <f t="shared" si="7"/>
        <v>18900</v>
      </c>
    </row>
    <row r="63" spans="1:20">
      <c r="A63" s="16">
        <v>25</v>
      </c>
      <c r="B63" s="9">
        <f t="shared" si="4"/>
        <v>19301.246993702702</v>
      </c>
      <c r="C63" s="9">
        <f t="shared" si="5"/>
        <v>20230.31966413245</v>
      </c>
      <c r="R63" s="23">
        <v>25</v>
      </c>
      <c r="S63" s="24">
        <f t="shared" si="6"/>
        <v>19301.246993702702</v>
      </c>
      <c r="T63" s="24">
        <f t="shared" si="7"/>
        <v>19200</v>
      </c>
    </row>
    <row r="64" spans="1:20">
      <c r="A64" s="16">
        <v>26</v>
      </c>
      <c r="B64" s="9">
        <f t="shared" si="4"/>
        <v>19687.271933576754</v>
      </c>
      <c r="C64" s="9">
        <f t="shared" si="5"/>
        <v>20675.386696743361</v>
      </c>
      <c r="R64" s="23">
        <v>26</v>
      </c>
      <c r="S64" s="24">
        <f t="shared" si="6"/>
        <v>19687.271933576754</v>
      </c>
      <c r="T64" s="24">
        <f t="shared" si="7"/>
        <v>19500</v>
      </c>
    </row>
    <row r="65" spans="1:20">
      <c r="A65" s="16">
        <v>27</v>
      </c>
      <c r="B65" s="9">
        <f t="shared" si="4"/>
        <v>20081.01737224829</v>
      </c>
      <c r="C65" s="9">
        <f t="shared" si="5"/>
        <v>21130.245204071718</v>
      </c>
      <c r="R65" s="23">
        <v>27</v>
      </c>
      <c r="S65" s="24">
        <f t="shared" si="6"/>
        <v>20081.01737224829</v>
      </c>
      <c r="T65" s="24">
        <f t="shared" si="7"/>
        <v>19800</v>
      </c>
    </row>
    <row r="66" spans="1:20">
      <c r="A66" s="16">
        <v>28</v>
      </c>
      <c r="B66" s="9">
        <f t="shared" si="4"/>
        <v>20482.637719693255</v>
      </c>
      <c r="C66" s="9">
        <f t="shared" si="5"/>
        <v>21595.110598561296</v>
      </c>
      <c r="R66" s="23">
        <v>28</v>
      </c>
      <c r="S66" s="24">
        <f t="shared" si="6"/>
        <v>20482.637719693255</v>
      </c>
      <c r="T66" s="24">
        <f t="shared" si="7"/>
        <v>20100</v>
      </c>
    </row>
    <row r="67" spans="1:20">
      <c r="A67" s="16">
        <v>29</v>
      </c>
      <c r="B67" s="9">
        <f t="shared" si="4"/>
        <v>20892.290474087124</v>
      </c>
      <c r="C67" s="9">
        <f t="shared" si="5"/>
        <v>22070.203031729645</v>
      </c>
      <c r="R67" s="23">
        <v>29</v>
      </c>
      <c r="S67" s="24">
        <f t="shared" si="6"/>
        <v>20892.290474087124</v>
      </c>
      <c r="T67" s="24">
        <f t="shared" si="7"/>
        <v>20400</v>
      </c>
    </row>
    <row r="68" spans="1:20">
      <c r="A68" s="16">
        <v>30</v>
      </c>
      <c r="B68" s="9">
        <f t="shared" si="4"/>
        <v>21310.136283568863</v>
      </c>
      <c r="C68" s="9">
        <f t="shared" si="5"/>
        <v>22555.747498427696</v>
      </c>
      <c r="R68" s="23">
        <v>30</v>
      </c>
      <c r="S68" s="24">
        <f t="shared" si="6"/>
        <v>21310.136283568863</v>
      </c>
      <c r="T68" s="24">
        <f t="shared" si="7"/>
        <v>20700</v>
      </c>
    </row>
  </sheetData>
  <mergeCells count="2">
    <mergeCell ref="A1:D2"/>
    <mergeCell ref="R1:U2"/>
  </mergeCells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60" zoomScaleNormal="160" zoomScalePageLayoutView="160" workbookViewId="0">
      <selection activeCell="D28" sqref="D28"/>
    </sheetView>
  </sheetViews>
  <sheetFormatPr baseColWidth="10" defaultRowHeight="15" x14ac:dyDescent="0"/>
  <cols>
    <col min="1" max="1" width="19.5" style="3" bestFit="1" customWidth="1"/>
    <col min="2" max="2" width="13.5" style="3" bestFit="1" customWidth="1"/>
    <col min="3" max="3" width="16.5" style="3" bestFit="1" customWidth="1"/>
    <col min="4" max="4" width="21.83203125" style="3" bestFit="1" customWidth="1"/>
    <col min="5" max="5" width="12.5" style="3" bestFit="1" customWidth="1"/>
    <col min="6" max="6" width="10.83203125" style="3"/>
    <col min="7" max="7" width="26.83203125" style="3" bestFit="1" customWidth="1"/>
    <col min="8" max="8" width="12.5" style="3" bestFit="1" customWidth="1"/>
    <col min="9" max="9" width="10.83203125" style="3"/>
    <col min="10" max="10" width="30.1640625" style="3" bestFit="1" customWidth="1"/>
    <col min="11" max="11" width="12.5" style="3" bestFit="1" customWidth="1"/>
    <col min="12" max="16384" width="10.83203125" style="3"/>
  </cols>
  <sheetData>
    <row r="1" spans="1:11">
      <c r="A1" s="1" t="s">
        <v>36</v>
      </c>
      <c r="B1" s="2">
        <f>'Step-1-Cost &amp; Revenues'!C21</f>
        <v>126900000</v>
      </c>
    </row>
    <row r="2" spans="1:11">
      <c r="A2" s="1" t="s">
        <v>37</v>
      </c>
      <c r="B2" s="6">
        <v>0.4</v>
      </c>
    </row>
    <row r="4" spans="1:11" ht="25">
      <c r="A4" s="5" t="s">
        <v>38</v>
      </c>
      <c r="D4" s="5" t="s">
        <v>44</v>
      </c>
      <c r="G4" s="5" t="s">
        <v>52</v>
      </c>
      <c r="J4" s="5" t="s">
        <v>57</v>
      </c>
    </row>
    <row r="5" spans="1:11">
      <c r="A5" s="3" t="s">
        <v>39</v>
      </c>
      <c r="B5" s="6">
        <v>0.3</v>
      </c>
      <c r="D5" s="3" t="s">
        <v>45</v>
      </c>
      <c r="E5" s="6">
        <v>0.4</v>
      </c>
      <c r="G5" s="3" t="s">
        <v>53</v>
      </c>
      <c r="H5" s="6">
        <v>0.2</v>
      </c>
      <c r="J5" s="3" t="s">
        <v>58</v>
      </c>
      <c r="K5" s="4">
        <v>0.1</v>
      </c>
    </row>
    <row r="6" spans="1:11">
      <c r="A6" s="3" t="s">
        <v>47</v>
      </c>
      <c r="B6" s="2">
        <f>B1*B5</f>
        <v>38070000</v>
      </c>
      <c r="D6" s="3" t="s">
        <v>46</v>
      </c>
      <c r="E6" s="2">
        <f>E5*B1</f>
        <v>50760000</v>
      </c>
      <c r="G6" s="3" t="s">
        <v>46</v>
      </c>
      <c r="H6" s="2">
        <f>H5*B1</f>
        <v>25380000</v>
      </c>
      <c r="J6" s="3" t="s">
        <v>46</v>
      </c>
      <c r="K6" s="2">
        <f>K5*B1</f>
        <v>12690000</v>
      </c>
    </row>
    <row r="7" spans="1:11">
      <c r="A7" s="3" t="s">
        <v>40</v>
      </c>
      <c r="B7" s="4">
        <v>0.05</v>
      </c>
      <c r="D7" s="3" t="s">
        <v>48</v>
      </c>
      <c r="E7" s="3">
        <v>5</v>
      </c>
      <c r="G7" s="3" t="s">
        <v>54</v>
      </c>
      <c r="H7" s="3">
        <v>7</v>
      </c>
      <c r="J7" s="3" t="s">
        <v>59</v>
      </c>
      <c r="K7" s="4">
        <v>0.09</v>
      </c>
    </row>
    <row r="8" spans="1:11">
      <c r="A8" s="3" t="s">
        <v>41</v>
      </c>
      <c r="B8" s="3">
        <v>1</v>
      </c>
      <c r="D8" s="3" t="s">
        <v>49</v>
      </c>
      <c r="E8" s="3">
        <v>100</v>
      </c>
      <c r="G8" s="3" t="s">
        <v>55</v>
      </c>
      <c r="H8" s="3">
        <v>100</v>
      </c>
    </row>
    <row r="9" spans="1:11">
      <c r="A9" s="3" t="s">
        <v>42</v>
      </c>
      <c r="B9" s="6">
        <f>EFFECT(B7,B8)</f>
        <v>5.0000000000000044E-2</v>
      </c>
      <c r="D9" s="3" t="s">
        <v>50</v>
      </c>
      <c r="E9" s="6">
        <v>0.04</v>
      </c>
      <c r="G9" s="3">
        <v>1</v>
      </c>
      <c r="H9" s="3">
        <v>1</v>
      </c>
    </row>
    <row r="10" spans="1:11">
      <c r="A10" s="3" t="s">
        <v>43</v>
      </c>
      <c r="B10" s="6">
        <f>B9*(1-B2)</f>
        <v>3.0000000000000027E-2</v>
      </c>
      <c r="D10" s="3" t="s">
        <v>51</v>
      </c>
      <c r="E10" s="6">
        <f>E7/E8+E9</f>
        <v>0.09</v>
      </c>
      <c r="G10" s="3" t="s">
        <v>56</v>
      </c>
      <c r="H10" s="17">
        <f>H7/(H8-H9)</f>
        <v>7.0707070707070704E-2</v>
      </c>
    </row>
    <row r="12" spans="1:11">
      <c r="A12" s="1" t="s">
        <v>60</v>
      </c>
      <c r="B12" s="1" t="s">
        <v>45</v>
      </c>
      <c r="C12" s="1" t="s">
        <v>51</v>
      </c>
      <c r="E12" s="16"/>
    </row>
    <row r="13" spans="1:11">
      <c r="A13" s="3" t="s">
        <v>0</v>
      </c>
      <c r="B13" s="6">
        <f>B5</f>
        <v>0.3</v>
      </c>
      <c r="C13" s="6">
        <f>B10</f>
        <v>3.0000000000000027E-2</v>
      </c>
      <c r="E13" s="16"/>
    </row>
    <row r="14" spans="1:11">
      <c r="A14" s="3" t="s">
        <v>61</v>
      </c>
      <c r="B14" s="6">
        <f>E5</f>
        <v>0.4</v>
      </c>
      <c r="C14" s="6">
        <f>E10</f>
        <v>0.09</v>
      </c>
    </row>
    <row r="15" spans="1:11">
      <c r="A15" s="3" t="s">
        <v>62</v>
      </c>
      <c r="B15" s="6">
        <f>H5</f>
        <v>0.2</v>
      </c>
      <c r="C15" s="6">
        <f>H10</f>
        <v>7.0707070707070704E-2</v>
      </c>
    </row>
    <row r="16" spans="1:11">
      <c r="A16" s="3" t="s">
        <v>63</v>
      </c>
      <c r="B16" s="6">
        <f>K5</f>
        <v>0.1</v>
      </c>
      <c r="C16" s="6">
        <f>K7</f>
        <v>0.09</v>
      </c>
    </row>
    <row r="18" spans="1:2" ht="20">
      <c r="A18" s="7" t="s">
        <v>65</v>
      </c>
      <c r="B18" s="17">
        <f>B13*C13+B14*C14+B15*C15+B16*C16</f>
        <v>6.8141414141414142E-2</v>
      </c>
    </row>
    <row r="20" spans="1:2" ht="20">
      <c r="A20" s="7" t="s">
        <v>64</v>
      </c>
      <c r="B20" s="6">
        <v>0.02</v>
      </c>
    </row>
    <row r="21" spans="1:2" ht="20">
      <c r="A21" s="7" t="s">
        <v>144</v>
      </c>
      <c r="B21" s="26">
        <f>B18+B20</f>
        <v>8.8141414141414146E-2</v>
      </c>
    </row>
    <row r="22" spans="1:2" ht="20">
      <c r="A22" s="7" t="s">
        <v>143</v>
      </c>
      <c r="B22" s="27">
        <f>B21*(1-40%)</f>
        <v>5.2884848484848486E-2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3"/>
  <sheetViews>
    <sheetView tabSelected="1" zoomScale="115" zoomScaleNormal="115" zoomScalePageLayoutView="115" workbookViewId="0">
      <selection activeCell="Z48" sqref="Z48"/>
    </sheetView>
  </sheetViews>
  <sheetFormatPr baseColWidth="10" defaultRowHeight="15" x14ac:dyDescent="0"/>
  <cols>
    <col min="1" max="1" width="16.5" style="3" bestFit="1" customWidth="1"/>
    <col min="2" max="2" width="18.6640625" style="3" bestFit="1" customWidth="1"/>
    <col min="3" max="3" width="17.6640625" style="3" bestFit="1" customWidth="1"/>
    <col min="4" max="4" width="14.6640625" style="3" bestFit="1" customWidth="1"/>
    <col min="5" max="5" width="15.6640625" style="3" bestFit="1" customWidth="1"/>
    <col min="6" max="7" width="17.6640625" style="3" bestFit="1" customWidth="1"/>
    <col min="8" max="8" width="18.5" style="3" bestFit="1" customWidth="1"/>
    <col min="9" max="11" width="10.83203125" style="3"/>
    <col min="12" max="12" width="18.6640625" style="3" bestFit="1" customWidth="1"/>
    <col min="13" max="13" width="17.5" style="3" bestFit="1" customWidth="1"/>
    <col min="14" max="14" width="17.6640625" style="3" bestFit="1" customWidth="1"/>
    <col min="15" max="15" width="15.6640625" style="3" bestFit="1" customWidth="1"/>
    <col min="16" max="16" width="18.6640625" style="3" bestFit="1" customWidth="1"/>
    <col min="17" max="18" width="17.6640625" style="3" bestFit="1" customWidth="1"/>
    <col min="19" max="21" width="10.83203125" style="3"/>
    <col min="22" max="22" width="18.5" style="3" bestFit="1" customWidth="1"/>
    <col min="23" max="23" width="10.83203125" style="3"/>
    <col min="24" max="24" width="18.6640625" style="3" bestFit="1" customWidth="1"/>
    <col min="25" max="25" width="17.5" style="3" bestFit="1" customWidth="1"/>
    <col min="26" max="26" width="14.6640625" style="3" bestFit="1" customWidth="1"/>
    <col min="27" max="27" width="15.6640625" style="3" bestFit="1" customWidth="1"/>
    <col min="28" max="30" width="17.6640625" style="3" bestFit="1" customWidth="1"/>
    <col min="31" max="33" width="10.83203125" style="3"/>
    <col min="34" max="34" width="18.5" style="3" bestFit="1" customWidth="1"/>
    <col min="35" max="35" width="17.5" style="3" bestFit="1" customWidth="1"/>
    <col min="36" max="36" width="10.83203125" style="3"/>
    <col min="37" max="37" width="15.5" style="3" bestFit="1" customWidth="1"/>
    <col min="38" max="40" width="17.5" style="3" bestFit="1" customWidth="1"/>
    <col min="41" max="16384" width="10.83203125" style="3"/>
  </cols>
  <sheetData>
    <row r="1" spans="1:40" ht="25">
      <c r="A1" s="5" t="s">
        <v>66</v>
      </c>
    </row>
    <row r="2" spans="1:40">
      <c r="A2" s="1" t="s">
        <v>86</v>
      </c>
      <c r="B2" s="10">
        <f>'Step-2-WACC'!B21</f>
        <v>8.8141414141414146E-2</v>
      </c>
    </row>
    <row r="3" spans="1:40">
      <c r="A3" s="1" t="s">
        <v>87</v>
      </c>
      <c r="B3" s="27">
        <f>'Step-2-WACC'!B22</f>
        <v>5.2884848484848486E-2</v>
      </c>
    </row>
    <row r="4" spans="1:40">
      <c r="A4" s="1" t="s">
        <v>70</v>
      </c>
      <c r="B4" s="6">
        <f>'Step-2-WACC'!B7</f>
        <v>0.05</v>
      </c>
    </row>
    <row r="5" spans="1:40">
      <c r="A5" s="1" t="s">
        <v>5</v>
      </c>
      <c r="B5" s="14">
        <v>0.4</v>
      </c>
    </row>
    <row r="7" spans="1:40" ht="20">
      <c r="A7" s="29" t="s">
        <v>89</v>
      </c>
      <c r="K7" s="29" t="s">
        <v>71</v>
      </c>
      <c r="W7" s="29" t="s">
        <v>89</v>
      </c>
      <c r="AG7" s="29" t="s">
        <v>89</v>
      </c>
    </row>
    <row r="8" spans="1:40" ht="20">
      <c r="A8" s="29" t="s">
        <v>72</v>
      </c>
      <c r="K8" s="29" t="s">
        <v>72</v>
      </c>
      <c r="W8" s="29" t="s">
        <v>90</v>
      </c>
      <c r="AG8" s="29" t="s">
        <v>90</v>
      </c>
    </row>
    <row r="9" spans="1:40" ht="20">
      <c r="A9" s="29" t="s">
        <v>1</v>
      </c>
      <c r="K9" s="29" t="s">
        <v>6</v>
      </c>
      <c r="U9" s="29" t="s">
        <v>102</v>
      </c>
      <c r="W9" s="29" t="s">
        <v>1</v>
      </c>
      <c r="AG9" s="29" t="s">
        <v>6</v>
      </c>
    </row>
    <row r="10" spans="1:40">
      <c r="A10" s="1" t="str">
        <f>'Step-1-Cost &amp; Revenues'!F36</f>
        <v>EOY</v>
      </c>
      <c r="B10" s="1" t="s">
        <v>82</v>
      </c>
      <c r="C10" s="1" t="s">
        <v>73</v>
      </c>
      <c r="D10" s="1" t="s">
        <v>74</v>
      </c>
      <c r="E10" s="1" t="s">
        <v>75</v>
      </c>
      <c r="F10" s="1" t="s">
        <v>76</v>
      </c>
      <c r="G10" s="1" t="s">
        <v>77</v>
      </c>
      <c r="H10" s="1" t="s">
        <v>66</v>
      </c>
      <c r="K10" s="1" t="s">
        <v>81</v>
      </c>
      <c r="L10" s="1" t="s">
        <v>83</v>
      </c>
      <c r="M10" s="1" t="s">
        <v>73</v>
      </c>
      <c r="N10" s="1" t="s">
        <v>74</v>
      </c>
      <c r="O10" s="1" t="s">
        <v>75</v>
      </c>
      <c r="P10" s="1" t="s">
        <v>76</v>
      </c>
      <c r="Q10" s="1" t="s">
        <v>77</v>
      </c>
      <c r="R10" s="1" t="s">
        <v>66</v>
      </c>
      <c r="U10" s="1" t="s">
        <v>4</v>
      </c>
      <c r="V10" s="1" t="s">
        <v>91</v>
      </c>
      <c r="W10" s="1" t="str">
        <f t="shared" ref="W10:W41" si="0">A10</f>
        <v>EOY</v>
      </c>
      <c r="X10" s="1" t="str">
        <f t="shared" ref="X10:X41" si="1">B10</f>
        <v>BTCF</v>
      </c>
      <c r="Y10" s="1" t="s">
        <v>73</v>
      </c>
      <c r="Z10" s="1" t="s">
        <v>74</v>
      </c>
      <c r="AA10" s="1" t="s">
        <v>75</v>
      </c>
      <c r="AB10" s="1" t="s">
        <v>76</v>
      </c>
      <c r="AC10" s="1" t="s">
        <v>77</v>
      </c>
      <c r="AD10" s="1" t="s">
        <v>66</v>
      </c>
      <c r="AG10" s="1" t="str">
        <f t="shared" ref="AG10:AG41" si="2">A10</f>
        <v>EOY</v>
      </c>
      <c r="AH10" s="1" t="str">
        <f t="shared" ref="AH10:AH41" si="3">B10</f>
        <v>BTCF</v>
      </c>
      <c r="AI10" s="1" t="s">
        <v>73</v>
      </c>
      <c r="AJ10" s="1" t="s">
        <v>74</v>
      </c>
      <c r="AK10" s="1" t="s">
        <v>75</v>
      </c>
      <c r="AL10" s="1" t="s">
        <v>76</v>
      </c>
      <c r="AM10" s="1" t="s">
        <v>77</v>
      </c>
      <c r="AN10" s="1" t="s">
        <v>66</v>
      </c>
    </row>
    <row r="11" spans="1:40">
      <c r="A11" s="3">
        <f>'Step-1-Cost &amp; Revenues'!F37</f>
        <v>0</v>
      </c>
      <c r="B11" s="11">
        <f>'Step-1-Cost &amp; Revenues'!H37</f>
        <v>-126900000</v>
      </c>
      <c r="C11" s="11">
        <f>-'Step-2-WACC'!B6</f>
        <v>-38070000</v>
      </c>
      <c r="D11" s="11"/>
      <c r="E11" s="11"/>
      <c r="F11" s="11"/>
      <c r="G11" s="11"/>
      <c r="H11" s="11">
        <f>B11-C11</f>
        <v>-88830000</v>
      </c>
      <c r="K11" s="3">
        <f t="shared" ref="K11:K41" si="4">A11</f>
        <v>0</v>
      </c>
      <c r="L11" s="11">
        <f>B11</f>
        <v>-126900000</v>
      </c>
      <c r="M11" s="11">
        <f>C11</f>
        <v>-38070000</v>
      </c>
      <c r="N11" s="11"/>
      <c r="O11" s="11"/>
      <c r="P11" s="11"/>
      <c r="Q11" s="11"/>
      <c r="R11" s="11">
        <f>L11-M11</f>
        <v>-88830000</v>
      </c>
      <c r="U11" s="3">
        <v>0</v>
      </c>
      <c r="W11" s="3">
        <f t="shared" si="0"/>
        <v>0</v>
      </c>
      <c r="X11" s="11">
        <f t="shared" si="1"/>
        <v>-126900000</v>
      </c>
      <c r="Y11" s="11">
        <f>$C$11</f>
        <v>-38070000</v>
      </c>
      <c r="Z11" s="11"/>
      <c r="AA11" s="11"/>
      <c r="AB11" s="11"/>
      <c r="AC11" s="11"/>
      <c r="AD11" s="11">
        <f>X11-Y11</f>
        <v>-88830000</v>
      </c>
      <c r="AG11" s="3">
        <f t="shared" si="2"/>
        <v>0</v>
      </c>
      <c r="AH11" s="11">
        <f>B11</f>
        <v>-126900000</v>
      </c>
      <c r="AI11" s="11">
        <f>Y11</f>
        <v>-38070000</v>
      </c>
      <c r="AJ11" s="11"/>
      <c r="AK11" s="11"/>
      <c r="AL11" s="11"/>
      <c r="AM11" s="11"/>
      <c r="AN11" s="11">
        <f>AH11-AI11</f>
        <v>-88830000</v>
      </c>
    </row>
    <row r="12" spans="1:40">
      <c r="A12" s="3">
        <f>'Step-1-Cost &amp; Revenues'!F38</f>
        <v>1</v>
      </c>
      <c r="B12" s="11">
        <f>'Step-1-Cost &amp; Revenues'!H38</f>
        <v>-34680000</v>
      </c>
      <c r="C12" s="11">
        <f>PPMT($B$4,A12,30,$C$11)</f>
        <v>573008.13350612938</v>
      </c>
      <c r="D12" s="11">
        <f>IPMT($B$4,A12,30,$C$11)</f>
        <v>1903500</v>
      </c>
      <c r="E12" s="11">
        <f>SLN(-$B$11,-30%*$B$11,30)</f>
        <v>2961000</v>
      </c>
      <c r="F12" s="11">
        <f>B12-D12-E12</f>
        <v>-39544500</v>
      </c>
      <c r="G12" s="11">
        <f>$B$5*F12</f>
        <v>-15817800</v>
      </c>
      <c r="H12" s="11">
        <f>B12-C12-D12-G12</f>
        <v>-21338708.133506127</v>
      </c>
      <c r="K12" s="3">
        <f t="shared" si="4"/>
        <v>1</v>
      </c>
      <c r="L12" s="11">
        <f t="shared" ref="L12:L41" si="5">B12</f>
        <v>-34680000</v>
      </c>
      <c r="M12" s="11">
        <f>0</f>
        <v>0</v>
      </c>
      <c r="N12" s="11">
        <v>0</v>
      </c>
      <c r="O12" s="11">
        <f>SLN(-$B$11,-30%*$B$11,30)</f>
        <v>2961000</v>
      </c>
      <c r="P12" s="11">
        <f>L12-N12-O12</f>
        <v>-37641000</v>
      </c>
      <c r="Q12" s="11">
        <f>$B$5*P12</f>
        <v>-15056400</v>
      </c>
      <c r="R12" s="11">
        <f>L12-M12-N12-Q12</f>
        <v>-19623600</v>
      </c>
      <c r="U12" s="3">
        <v>1</v>
      </c>
      <c r="V12" s="12">
        <v>2.461E-2</v>
      </c>
      <c r="W12" s="3">
        <f t="shared" si="0"/>
        <v>1</v>
      </c>
      <c r="X12" s="11">
        <f t="shared" si="1"/>
        <v>-34680000</v>
      </c>
      <c r="Y12" s="11">
        <f>PPMT($B$4,W12,30,$C$11)</f>
        <v>573008.13350612938</v>
      </c>
      <c r="Z12" s="11">
        <f>IPMT($B$4,W12,30,$C$11)</f>
        <v>1903500</v>
      </c>
      <c r="AA12" s="11">
        <f>-$B$11*V12</f>
        <v>3123009</v>
      </c>
      <c r="AB12" s="11">
        <f>X12-Z12-AA12</f>
        <v>-39706509</v>
      </c>
      <c r="AC12" s="11">
        <f>$B$5*AB12</f>
        <v>-15882603.600000001</v>
      </c>
      <c r="AD12" s="11">
        <f>X12-Y12-Z12-AC12</f>
        <v>-21273904.533506125</v>
      </c>
      <c r="AG12" s="3">
        <f t="shared" si="2"/>
        <v>1</v>
      </c>
      <c r="AH12" s="11">
        <f t="shared" si="3"/>
        <v>-34680000</v>
      </c>
      <c r="AI12" s="11">
        <f>0</f>
        <v>0</v>
      </c>
      <c r="AJ12" s="11">
        <v>0</v>
      </c>
      <c r="AK12" s="11">
        <f>-$B$11*V12</f>
        <v>3123009</v>
      </c>
      <c r="AL12" s="11">
        <f>AH12-AJ12-AK12</f>
        <v>-37803009</v>
      </c>
      <c r="AM12" s="11">
        <f>$B$5*AL12</f>
        <v>-15121203.600000001</v>
      </c>
      <c r="AN12" s="11">
        <f>AH12-AI12-AJ12-AM12</f>
        <v>-19558796.399999999</v>
      </c>
    </row>
    <row r="13" spans="1:40">
      <c r="A13" s="3">
        <f>'Step-1-Cost &amp; Revenues'!F39</f>
        <v>2</v>
      </c>
      <c r="B13" s="11">
        <f>'Step-1-Cost &amp; Revenues'!H39</f>
        <v>-13080000</v>
      </c>
      <c r="C13" s="11">
        <f>PPMT($B$4,A13,30,$C$11)</f>
        <v>601658.54018143588</v>
      </c>
      <c r="D13" s="11">
        <f t="shared" ref="D13:D41" si="6">IPMT($B$4,A13,30,$C$11)</f>
        <v>1874849.5933246934</v>
      </c>
      <c r="E13" s="11">
        <f t="shared" ref="E13:E41" si="7">SLN(-$B$11,-30%*$B$11,30)</f>
        <v>2961000</v>
      </c>
      <c r="F13" s="11">
        <f t="shared" ref="F13:F40" si="8">B13-D13-E13</f>
        <v>-17915849.593324691</v>
      </c>
      <c r="G13" s="11">
        <f t="shared" ref="G13:G41" si="9">$B$5*F13</f>
        <v>-7166339.8373298766</v>
      </c>
      <c r="H13" s="11">
        <f t="shared" ref="H13:H41" si="10">B13-C13-D13-G13</f>
        <v>-8390168.296176251</v>
      </c>
      <c r="K13" s="3">
        <f t="shared" si="4"/>
        <v>2</v>
      </c>
      <c r="L13" s="11">
        <f t="shared" si="5"/>
        <v>-13080000</v>
      </c>
      <c r="M13" s="11">
        <f>0</f>
        <v>0</v>
      </c>
      <c r="N13" s="11">
        <v>0</v>
      </c>
      <c r="O13" s="11">
        <f t="shared" ref="O13:O41" si="11">SLN(-$B$11,-30%*$B$11,30)</f>
        <v>2961000</v>
      </c>
      <c r="P13" s="11">
        <f t="shared" ref="P13:P22" si="12">L13-N13-O13</f>
        <v>-16041000</v>
      </c>
      <c r="Q13" s="11">
        <f t="shared" ref="Q13:Q41" si="13">$B$5*P13</f>
        <v>-6416400</v>
      </c>
      <c r="R13" s="11">
        <f t="shared" ref="R13:R41" si="14">L13-M13-N13-Q13</f>
        <v>-6663600</v>
      </c>
      <c r="U13" s="3">
        <v>2</v>
      </c>
      <c r="V13" s="12">
        <v>2.564E-2</v>
      </c>
      <c r="W13" s="3">
        <f t="shared" si="0"/>
        <v>2</v>
      </c>
      <c r="X13" s="11">
        <f t="shared" si="1"/>
        <v>-13080000</v>
      </c>
      <c r="Y13" s="11">
        <f t="shared" ref="Y13:Y41" si="15">PPMT($B$4,W13,30,$C$11)</f>
        <v>601658.54018143588</v>
      </c>
      <c r="Z13" s="11">
        <f t="shared" ref="Z13:Z41" si="16">IPMT($B$4,W13,30,$C$11)</f>
        <v>1874849.5933246934</v>
      </c>
      <c r="AA13" s="11">
        <f t="shared" ref="AA13:AA41" si="17">-$B$11*V13</f>
        <v>3253716</v>
      </c>
      <c r="AB13" s="11">
        <f t="shared" ref="AB13:AB22" si="18">X13-Z13-AA13</f>
        <v>-18208565.593324691</v>
      </c>
      <c r="AC13" s="11">
        <f t="shared" ref="AC13:AC41" si="19">$B$5*AB13</f>
        <v>-7283426.237329877</v>
      </c>
      <c r="AD13" s="11">
        <f t="shared" ref="AD13:AD41" si="20">X13-Y13-Z13-AC13</f>
        <v>-8273081.8961762516</v>
      </c>
      <c r="AG13" s="3">
        <f t="shared" si="2"/>
        <v>2</v>
      </c>
      <c r="AH13" s="11">
        <f t="shared" si="3"/>
        <v>-13080000</v>
      </c>
      <c r="AI13" s="11">
        <f>0</f>
        <v>0</v>
      </c>
      <c r="AJ13" s="11">
        <v>0</v>
      </c>
      <c r="AK13" s="11">
        <f t="shared" ref="AK13:AK41" si="21">-$B$11*V13</f>
        <v>3253716</v>
      </c>
      <c r="AL13" s="11">
        <f t="shared" ref="AL13:AL22" si="22">AH13-AJ13-AK13</f>
        <v>-16333716</v>
      </c>
      <c r="AM13" s="11">
        <f t="shared" ref="AM13:AM41" si="23">$B$5*AL13</f>
        <v>-6533486.4000000004</v>
      </c>
      <c r="AN13" s="11">
        <f t="shared" ref="AN13:AN41" si="24">AH13-AI13-AJ13-AM13</f>
        <v>-6546513.5999999996</v>
      </c>
    </row>
    <row r="14" spans="1:40">
      <c r="A14" s="3">
        <f>'Step-1-Cost &amp; Revenues'!F40</f>
        <v>3</v>
      </c>
      <c r="B14" s="11">
        <f>'Step-1-Cost &amp; Revenues'!H40</f>
        <v>19320000</v>
      </c>
      <c r="C14" s="11">
        <f t="shared" ref="C14:C41" si="25">PPMT($B$4,A14,30,$C$11)</f>
        <v>631741.46719050768</v>
      </c>
      <c r="D14" s="11">
        <f t="shared" si="6"/>
        <v>1844766.6663156219</v>
      </c>
      <c r="E14" s="11">
        <f t="shared" si="7"/>
        <v>2961000</v>
      </c>
      <c r="F14" s="11">
        <f t="shared" si="8"/>
        <v>14514233.333684377</v>
      </c>
      <c r="G14" s="11">
        <f t="shared" si="9"/>
        <v>5805693.3334737513</v>
      </c>
      <c r="H14" s="11">
        <f t="shared" si="10"/>
        <v>11037798.533020118</v>
      </c>
      <c r="K14" s="3">
        <f t="shared" si="4"/>
        <v>3</v>
      </c>
      <c r="L14" s="11">
        <f t="shared" si="5"/>
        <v>19320000</v>
      </c>
      <c r="M14" s="11">
        <f>0</f>
        <v>0</v>
      </c>
      <c r="N14" s="11">
        <v>0</v>
      </c>
      <c r="O14" s="11">
        <f t="shared" si="11"/>
        <v>2961000</v>
      </c>
      <c r="P14" s="11">
        <f t="shared" si="12"/>
        <v>16359000</v>
      </c>
      <c r="Q14" s="11">
        <f t="shared" si="13"/>
        <v>6543600</v>
      </c>
      <c r="R14" s="11">
        <f t="shared" si="14"/>
        <v>12776400</v>
      </c>
      <c r="U14" s="3">
        <v>3</v>
      </c>
      <c r="V14" s="12">
        <v>2.564E-2</v>
      </c>
      <c r="W14" s="3">
        <f t="shared" si="0"/>
        <v>3</v>
      </c>
      <c r="X14" s="11">
        <f t="shared" si="1"/>
        <v>19320000</v>
      </c>
      <c r="Y14" s="11">
        <f t="shared" si="15"/>
        <v>631741.46719050768</v>
      </c>
      <c r="Z14" s="11">
        <f t="shared" si="16"/>
        <v>1844766.6663156219</v>
      </c>
      <c r="AA14" s="11">
        <f t="shared" si="17"/>
        <v>3253716</v>
      </c>
      <c r="AB14" s="11">
        <f t="shared" si="18"/>
        <v>14221517.333684377</v>
      </c>
      <c r="AC14" s="11">
        <f t="shared" si="19"/>
        <v>5688606.9334737509</v>
      </c>
      <c r="AD14" s="11">
        <f t="shared" si="20"/>
        <v>11154884.933020119</v>
      </c>
      <c r="AG14" s="3">
        <f t="shared" si="2"/>
        <v>3</v>
      </c>
      <c r="AH14" s="11">
        <f t="shared" si="3"/>
        <v>19320000</v>
      </c>
      <c r="AI14" s="11">
        <f>0</f>
        <v>0</v>
      </c>
      <c r="AJ14" s="11">
        <v>0</v>
      </c>
      <c r="AK14" s="11">
        <f t="shared" si="21"/>
        <v>3253716</v>
      </c>
      <c r="AL14" s="11">
        <f t="shared" si="22"/>
        <v>16066284</v>
      </c>
      <c r="AM14" s="11">
        <f t="shared" si="23"/>
        <v>6426513.6000000006</v>
      </c>
      <c r="AN14" s="11">
        <f t="shared" si="24"/>
        <v>12893486.399999999</v>
      </c>
    </row>
    <row r="15" spans="1:40">
      <c r="A15" s="3">
        <f>'Step-1-Cost &amp; Revenues'!F41</f>
        <v>4</v>
      </c>
      <c r="B15" s="11">
        <f>'Step-1-Cost &amp; Revenues'!H41</f>
        <v>19320000</v>
      </c>
      <c r="C15" s="11">
        <f t="shared" si="25"/>
        <v>663328.5405500331</v>
      </c>
      <c r="D15" s="11">
        <f t="shared" si="6"/>
        <v>1813179.5929560964</v>
      </c>
      <c r="E15" s="11">
        <f t="shared" si="7"/>
        <v>2961000</v>
      </c>
      <c r="F15" s="11">
        <f t="shared" si="8"/>
        <v>14545820.407043904</v>
      </c>
      <c r="G15" s="11">
        <f t="shared" si="9"/>
        <v>5818328.162817562</v>
      </c>
      <c r="H15" s="11">
        <f t="shared" si="10"/>
        <v>11025163.703676308</v>
      </c>
      <c r="K15" s="3">
        <f t="shared" si="4"/>
        <v>4</v>
      </c>
      <c r="L15" s="11">
        <f t="shared" si="5"/>
        <v>19320000</v>
      </c>
      <c r="M15" s="11">
        <f>0</f>
        <v>0</v>
      </c>
      <c r="N15" s="11">
        <v>0</v>
      </c>
      <c r="O15" s="11">
        <f t="shared" si="11"/>
        <v>2961000</v>
      </c>
      <c r="P15" s="11">
        <f t="shared" si="12"/>
        <v>16359000</v>
      </c>
      <c r="Q15" s="11">
        <f t="shared" si="13"/>
        <v>6543600</v>
      </c>
      <c r="R15" s="11">
        <f t="shared" si="14"/>
        <v>12776400</v>
      </c>
      <c r="U15" s="3">
        <v>4</v>
      </c>
      <c r="V15" s="12">
        <v>2.564E-2</v>
      </c>
      <c r="W15" s="3">
        <f t="shared" si="0"/>
        <v>4</v>
      </c>
      <c r="X15" s="11">
        <f t="shared" si="1"/>
        <v>19320000</v>
      </c>
      <c r="Y15" s="11">
        <f t="shared" si="15"/>
        <v>663328.5405500331</v>
      </c>
      <c r="Z15" s="11">
        <f t="shared" si="16"/>
        <v>1813179.5929560964</v>
      </c>
      <c r="AA15" s="11">
        <f t="shared" si="17"/>
        <v>3253716</v>
      </c>
      <c r="AB15" s="11">
        <f t="shared" si="18"/>
        <v>14253104.407043904</v>
      </c>
      <c r="AC15" s="11">
        <f t="shared" si="19"/>
        <v>5701241.7628175616</v>
      </c>
      <c r="AD15" s="11">
        <f t="shared" si="20"/>
        <v>11142250.103676308</v>
      </c>
      <c r="AG15" s="3">
        <f t="shared" si="2"/>
        <v>4</v>
      </c>
      <c r="AH15" s="11">
        <f t="shared" si="3"/>
        <v>19320000</v>
      </c>
      <c r="AI15" s="11">
        <f>0</f>
        <v>0</v>
      </c>
      <c r="AJ15" s="11">
        <v>0</v>
      </c>
      <c r="AK15" s="11">
        <f t="shared" si="21"/>
        <v>3253716</v>
      </c>
      <c r="AL15" s="11">
        <f t="shared" si="22"/>
        <v>16066284</v>
      </c>
      <c r="AM15" s="11">
        <f t="shared" si="23"/>
        <v>6426513.6000000006</v>
      </c>
      <c r="AN15" s="11">
        <f t="shared" si="24"/>
        <v>12893486.399999999</v>
      </c>
    </row>
    <row r="16" spans="1:40">
      <c r="A16" s="3">
        <f>'Step-1-Cost &amp; Revenues'!F42</f>
        <v>5</v>
      </c>
      <c r="B16" s="11">
        <f>'Step-1-Cost &amp; Revenues'!H42</f>
        <v>19320000</v>
      </c>
      <c r="C16" s="11">
        <f t="shared" si="25"/>
        <v>696494.96757753473</v>
      </c>
      <c r="D16" s="11">
        <f t="shared" si="6"/>
        <v>1780013.1659285948</v>
      </c>
      <c r="E16" s="11">
        <f t="shared" si="7"/>
        <v>2961000</v>
      </c>
      <c r="F16" s="11">
        <f t="shared" si="8"/>
        <v>14578986.834071405</v>
      </c>
      <c r="G16" s="11">
        <f t="shared" si="9"/>
        <v>5831594.7336285627</v>
      </c>
      <c r="H16" s="11">
        <f t="shared" si="10"/>
        <v>11011897.132865306</v>
      </c>
      <c r="K16" s="3">
        <f t="shared" si="4"/>
        <v>5</v>
      </c>
      <c r="L16" s="11">
        <f t="shared" si="5"/>
        <v>19320000</v>
      </c>
      <c r="M16" s="11">
        <f>0</f>
        <v>0</v>
      </c>
      <c r="N16" s="11">
        <v>0</v>
      </c>
      <c r="O16" s="11">
        <f t="shared" si="11"/>
        <v>2961000</v>
      </c>
      <c r="P16" s="11">
        <f t="shared" si="12"/>
        <v>16359000</v>
      </c>
      <c r="Q16" s="11">
        <f t="shared" si="13"/>
        <v>6543600</v>
      </c>
      <c r="R16" s="11">
        <f t="shared" si="14"/>
        <v>12776400</v>
      </c>
      <c r="U16" s="3">
        <v>5</v>
      </c>
      <c r="V16" s="12">
        <v>2.564E-2</v>
      </c>
      <c r="W16" s="3">
        <f t="shared" si="0"/>
        <v>5</v>
      </c>
      <c r="X16" s="11">
        <f t="shared" si="1"/>
        <v>19320000</v>
      </c>
      <c r="Y16" s="11">
        <f t="shared" si="15"/>
        <v>696494.96757753473</v>
      </c>
      <c r="Z16" s="11">
        <f t="shared" si="16"/>
        <v>1780013.1659285948</v>
      </c>
      <c r="AA16" s="11">
        <f t="shared" si="17"/>
        <v>3253716</v>
      </c>
      <c r="AB16" s="11">
        <f t="shared" si="18"/>
        <v>14286270.834071405</v>
      </c>
      <c r="AC16" s="11">
        <f t="shared" si="19"/>
        <v>5714508.3336285623</v>
      </c>
      <c r="AD16" s="11">
        <f t="shared" si="20"/>
        <v>11128983.532865308</v>
      </c>
      <c r="AG16" s="3">
        <f t="shared" si="2"/>
        <v>5</v>
      </c>
      <c r="AH16" s="11">
        <f t="shared" si="3"/>
        <v>19320000</v>
      </c>
      <c r="AI16" s="11">
        <f>0</f>
        <v>0</v>
      </c>
      <c r="AJ16" s="11">
        <v>0</v>
      </c>
      <c r="AK16" s="11">
        <f t="shared" si="21"/>
        <v>3253716</v>
      </c>
      <c r="AL16" s="11">
        <f t="shared" si="22"/>
        <v>16066284</v>
      </c>
      <c r="AM16" s="11">
        <f t="shared" si="23"/>
        <v>6426513.6000000006</v>
      </c>
      <c r="AN16" s="11">
        <f t="shared" si="24"/>
        <v>12893486.399999999</v>
      </c>
    </row>
    <row r="17" spans="1:40">
      <c r="A17" s="3">
        <f>'Step-1-Cost &amp; Revenues'!F43</f>
        <v>6</v>
      </c>
      <c r="B17" s="11">
        <f>'Step-1-Cost &amp; Revenues'!H43</f>
        <v>19320000</v>
      </c>
      <c r="C17" s="11">
        <f t="shared" si="25"/>
        <v>731319.71595641144</v>
      </c>
      <c r="D17" s="11">
        <f t="shared" si="6"/>
        <v>1745188.4175497179</v>
      </c>
      <c r="E17" s="11">
        <f t="shared" si="7"/>
        <v>2961000</v>
      </c>
      <c r="F17" s="11">
        <f t="shared" si="8"/>
        <v>14613811.582450282</v>
      </c>
      <c r="G17" s="11">
        <f t="shared" si="9"/>
        <v>5845524.6329801129</v>
      </c>
      <c r="H17" s="11">
        <f t="shared" si="10"/>
        <v>10997967.233513758</v>
      </c>
      <c r="K17" s="3">
        <f t="shared" si="4"/>
        <v>6</v>
      </c>
      <c r="L17" s="11">
        <f t="shared" si="5"/>
        <v>19320000</v>
      </c>
      <c r="M17" s="11">
        <f>0</f>
        <v>0</v>
      </c>
      <c r="N17" s="11">
        <v>0</v>
      </c>
      <c r="O17" s="11">
        <f t="shared" si="11"/>
        <v>2961000</v>
      </c>
      <c r="P17" s="11">
        <f t="shared" si="12"/>
        <v>16359000</v>
      </c>
      <c r="Q17" s="11">
        <f t="shared" si="13"/>
        <v>6543600</v>
      </c>
      <c r="R17" s="11">
        <f t="shared" si="14"/>
        <v>12776400</v>
      </c>
      <c r="U17" s="3">
        <v>6</v>
      </c>
      <c r="V17" s="12">
        <v>2.564E-2</v>
      </c>
      <c r="W17" s="3">
        <f t="shared" si="0"/>
        <v>6</v>
      </c>
      <c r="X17" s="11">
        <f t="shared" si="1"/>
        <v>19320000</v>
      </c>
      <c r="Y17" s="11">
        <f t="shared" si="15"/>
        <v>731319.71595641144</v>
      </c>
      <c r="Z17" s="11">
        <f t="shared" si="16"/>
        <v>1745188.4175497179</v>
      </c>
      <c r="AA17" s="11">
        <f t="shared" si="17"/>
        <v>3253716</v>
      </c>
      <c r="AB17" s="11">
        <f t="shared" si="18"/>
        <v>14321095.582450282</v>
      </c>
      <c r="AC17" s="11">
        <f t="shared" si="19"/>
        <v>5728438.2329801135</v>
      </c>
      <c r="AD17" s="11">
        <f t="shared" si="20"/>
        <v>11115053.633513756</v>
      </c>
      <c r="AG17" s="3">
        <f t="shared" si="2"/>
        <v>6</v>
      </c>
      <c r="AH17" s="11">
        <f t="shared" si="3"/>
        <v>19320000</v>
      </c>
      <c r="AI17" s="11">
        <f>0</f>
        <v>0</v>
      </c>
      <c r="AJ17" s="11">
        <v>0</v>
      </c>
      <c r="AK17" s="11">
        <f t="shared" si="21"/>
        <v>3253716</v>
      </c>
      <c r="AL17" s="11">
        <f t="shared" si="22"/>
        <v>16066284</v>
      </c>
      <c r="AM17" s="11">
        <f t="shared" si="23"/>
        <v>6426513.6000000006</v>
      </c>
      <c r="AN17" s="11">
        <f t="shared" si="24"/>
        <v>12893486.399999999</v>
      </c>
    </row>
    <row r="18" spans="1:40">
      <c r="A18" s="3">
        <f>'Step-1-Cost &amp; Revenues'!F44</f>
        <v>7</v>
      </c>
      <c r="B18" s="11">
        <f>'Step-1-Cost &amp; Revenues'!H44</f>
        <v>19320000</v>
      </c>
      <c r="C18" s="11">
        <f t="shared" si="25"/>
        <v>767885.70175423217</v>
      </c>
      <c r="D18" s="11">
        <f t="shared" si="6"/>
        <v>1708622.4317518973</v>
      </c>
      <c r="E18" s="11">
        <f t="shared" si="7"/>
        <v>2961000</v>
      </c>
      <c r="F18" s="11">
        <f t="shared" si="8"/>
        <v>14650377.568248104</v>
      </c>
      <c r="G18" s="11">
        <f t="shared" si="9"/>
        <v>5860151.0272992421</v>
      </c>
      <c r="H18" s="11">
        <f t="shared" si="10"/>
        <v>10983340.839194631</v>
      </c>
      <c r="K18" s="3">
        <f t="shared" si="4"/>
        <v>7</v>
      </c>
      <c r="L18" s="11">
        <f t="shared" si="5"/>
        <v>19320000</v>
      </c>
      <c r="M18" s="11">
        <f>0</f>
        <v>0</v>
      </c>
      <c r="N18" s="11">
        <v>0</v>
      </c>
      <c r="O18" s="11">
        <f t="shared" si="11"/>
        <v>2961000</v>
      </c>
      <c r="P18" s="11">
        <f t="shared" si="12"/>
        <v>16359000</v>
      </c>
      <c r="Q18" s="11">
        <f t="shared" si="13"/>
        <v>6543600</v>
      </c>
      <c r="R18" s="11">
        <f t="shared" si="14"/>
        <v>12776400</v>
      </c>
      <c r="U18" s="3">
        <v>7</v>
      </c>
      <c r="V18" s="12">
        <v>2.564E-2</v>
      </c>
      <c r="W18" s="3">
        <f t="shared" si="0"/>
        <v>7</v>
      </c>
      <c r="X18" s="11">
        <f t="shared" si="1"/>
        <v>19320000</v>
      </c>
      <c r="Y18" s="11">
        <f t="shared" si="15"/>
        <v>767885.70175423217</v>
      </c>
      <c r="Z18" s="11">
        <f t="shared" si="16"/>
        <v>1708622.4317518973</v>
      </c>
      <c r="AA18" s="11">
        <f t="shared" si="17"/>
        <v>3253716</v>
      </c>
      <c r="AB18" s="11">
        <f t="shared" si="18"/>
        <v>14357661.568248104</v>
      </c>
      <c r="AC18" s="11">
        <f t="shared" si="19"/>
        <v>5743064.6272992417</v>
      </c>
      <c r="AD18" s="11">
        <f t="shared" si="20"/>
        <v>11100427.239194632</v>
      </c>
      <c r="AG18" s="3">
        <f t="shared" si="2"/>
        <v>7</v>
      </c>
      <c r="AH18" s="11">
        <f t="shared" si="3"/>
        <v>19320000</v>
      </c>
      <c r="AI18" s="11">
        <f>0</f>
        <v>0</v>
      </c>
      <c r="AJ18" s="11">
        <v>0</v>
      </c>
      <c r="AK18" s="11">
        <f t="shared" si="21"/>
        <v>3253716</v>
      </c>
      <c r="AL18" s="11">
        <f t="shared" si="22"/>
        <v>16066284</v>
      </c>
      <c r="AM18" s="11">
        <f t="shared" si="23"/>
        <v>6426513.6000000006</v>
      </c>
      <c r="AN18" s="11">
        <f t="shared" si="24"/>
        <v>12893486.399999999</v>
      </c>
    </row>
    <row r="19" spans="1:40">
      <c r="A19" s="3">
        <f>'Step-1-Cost &amp; Revenues'!F45</f>
        <v>8</v>
      </c>
      <c r="B19" s="11">
        <f>'Step-1-Cost &amp; Revenues'!H45</f>
        <v>19320000</v>
      </c>
      <c r="C19" s="11">
        <f t="shared" si="25"/>
        <v>806279.9868419437</v>
      </c>
      <c r="D19" s="11">
        <f t="shared" si="6"/>
        <v>1670228.1466641857</v>
      </c>
      <c r="E19" s="11">
        <f t="shared" si="7"/>
        <v>2961000</v>
      </c>
      <c r="F19" s="11">
        <f t="shared" si="8"/>
        <v>14688771.853335813</v>
      </c>
      <c r="G19" s="11">
        <f t="shared" si="9"/>
        <v>5875508.7413343256</v>
      </c>
      <c r="H19" s="11">
        <f t="shared" si="10"/>
        <v>10967983.125159543</v>
      </c>
      <c r="K19" s="3">
        <f t="shared" si="4"/>
        <v>8</v>
      </c>
      <c r="L19" s="11">
        <f t="shared" si="5"/>
        <v>19320000</v>
      </c>
      <c r="M19" s="11">
        <f>0</f>
        <v>0</v>
      </c>
      <c r="N19" s="11">
        <v>0</v>
      </c>
      <c r="O19" s="11">
        <f t="shared" si="11"/>
        <v>2961000</v>
      </c>
      <c r="P19" s="11">
        <f t="shared" si="12"/>
        <v>16359000</v>
      </c>
      <c r="Q19" s="11">
        <f t="shared" si="13"/>
        <v>6543600</v>
      </c>
      <c r="R19" s="11">
        <f t="shared" si="14"/>
        <v>12776400</v>
      </c>
      <c r="U19" s="3">
        <v>8</v>
      </c>
      <c r="V19" s="12">
        <v>2.564E-2</v>
      </c>
      <c r="W19" s="3">
        <f t="shared" si="0"/>
        <v>8</v>
      </c>
      <c r="X19" s="11">
        <f t="shared" si="1"/>
        <v>19320000</v>
      </c>
      <c r="Y19" s="11">
        <f t="shared" si="15"/>
        <v>806279.9868419437</v>
      </c>
      <c r="Z19" s="11">
        <f t="shared" si="16"/>
        <v>1670228.1466641857</v>
      </c>
      <c r="AA19" s="11">
        <f t="shared" si="17"/>
        <v>3253716</v>
      </c>
      <c r="AB19" s="11">
        <f t="shared" si="18"/>
        <v>14396055.853335813</v>
      </c>
      <c r="AC19" s="11">
        <f t="shared" si="19"/>
        <v>5758422.3413343253</v>
      </c>
      <c r="AD19" s="11">
        <f t="shared" si="20"/>
        <v>11085069.525159545</v>
      </c>
      <c r="AG19" s="3">
        <f t="shared" si="2"/>
        <v>8</v>
      </c>
      <c r="AH19" s="11">
        <f t="shared" si="3"/>
        <v>19320000</v>
      </c>
      <c r="AI19" s="11">
        <f>0</f>
        <v>0</v>
      </c>
      <c r="AJ19" s="11">
        <v>0</v>
      </c>
      <c r="AK19" s="11">
        <f t="shared" si="21"/>
        <v>3253716</v>
      </c>
      <c r="AL19" s="11">
        <f t="shared" si="22"/>
        <v>16066284</v>
      </c>
      <c r="AM19" s="11">
        <f t="shared" si="23"/>
        <v>6426513.6000000006</v>
      </c>
      <c r="AN19" s="11">
        <f t="shared" si="24"/>
        <v>12893486.399999999</v>
      </c>
    </row>
    <row r="20" spans="1:40">
      <c r="A20" s="3">
        <f>'Step-1-Cost &amp; Revenues'!F46</f>
        <v>9</v>
      </c>
      <c r="B20" s="11">
        <f>'Step-1-Cost &amp; Revenues'!H46</f>
        <v>19320000</v>
      </c>
      <c r="C20" s="11">
        <f t="shared" si="25"/>
        <v>846593.9861840409</v>
      </c>
      <c r="D20" s="11">
        <f t="shared" si="6"/>
        <v>1629914.1473220887</v>
      </c>
      <c r="E20" s="11">
        <f t="shared" si="7"/>
        <v>2961000</v>
      </c>
      <c r="F20" s="11">
        <f t="shared" si="8"/>
        <v>14729085.852677912</v>
      </c>
      <c r="G20" s="11">
        <f t="shared" si="9"/>
        <v>5891634.3410711652</v>
      </c>
      <c r="H20" s="11">
        <f t="shared" si="10"/>
        <v>10951857.525422703</v>
      </c>
      <c r="K20" s="3">
        <f t="shared" si="4"/>
        <v>9</v>
      </c>
      <c r="L20" s="11">
        <f t="shared" si="5"/>
        <v>19320000</v>
      </c>
      <c r="M20" s="11">
        <f>0</f>
        <v>0</v>
      </c>
      <c r="N20" s="11">
        <v>0</v>
      </c>
      <c r="O20" s="11">
        <f t="shared" si="11"/>
        <v>2961000</v>
      </c>
      <c r="P20" s="11">
        <f t="shared" si="12"/>
        <v>16359000</v>
      </c>
      <c r="Q20" s="11">
        <f t="shared" si="13"/>
        <v>6543600</v>
      </c>
      <c r="R20" s="11">
        <f t="shared" si="14"/>
        <v>12776400</v>
      </c>
      <c r="U20" s="3">
        <v>9</v>
      </c>
      <c r="V20" s="12">
        <v>2.564E-2</v>
      </c>
      <c r="W20" s="3">
        <f t="shared" si="0"/>
        <v>9</v>
      </c>
      <c r="X20" s="11">
        <f t="shared" si="1"/>
        <v>19320000</v>
      </c>
      <c r="Y20" s="11">
        <f t="shared" si="15"/>
        <v>846593.9861840409</v>
      </c>
      <c r="Z20" s="11">
        <f t="shared" si="16"/>
        <v>1629914.1473220887</v>
      </c>
      <c r="AA20" s="11">
        <f t="shared" si="17"/>
        <v>3253716</v>
      </c>
      <c r="AB20" s="11">
        <f t="shared" si="18"/>
        <v>14436369.852677912</v>
      </c>
      <c r="AC20" s="11">
        <f t="shared" si="19"/>
        <v>5774547.9410711648</v>
      </c>
      <c r="AD20" s="11">
        <f t="shared" si="20"/>
        <v>11068943.925422706</v>
      </c>
      <c r="AG20" s="3">
        <f t="shared" si="2"/>
        <v>9</v>
      </c>
      <c r="AH20" s="11">
        <f t="shared" si="3"/>
        <v>19320000</v>
      </c>
      <c r="AI20" s="11">
        <f>0</f>
        <v>0</v>
      </c>
      <c r="AJ20" s="11">
        <v>0</v>
      </c>
      <c r="AK20" s="11">
        <f t="shared" si="21"/>
        <v>3253716</v>
      </c>
      <c r="AL20" s="11">
        <f t="shared" si="22"/>
        <v>16066284</v>
      </c>
      <c r="AM20" s="11">
        <f t="shared" si="23"/>
        <v>6426513.6000000006</v>
      </c>
      <c r="AN20" s="11">
        <f t="shared" si="24"/>
        <v>12893486.399999999</v>
      </c>
    </row>
    <row r="21" spans="1:40">
      <c r="A21" s="3">
        <f>'Step-1-Cost &amp; Revenues'!F47</f>
        <v>10</v>
      </c>
      <c r="B21" s="11">
        <f>'Step-1-Cost &amp; Revenues'!H47</f>
        <v>19320000</v>
      </c>
      <c r="C21" s="11">
        <f t="shared" si="25"/>
        <v>888923.68549324293</v>
      </c>
      <c r="D21" s="11">
        <f t="shared" si="6"/>
        <v>1587584.4480128866</v>
      </c>
      <c r="E21" s="11">
        <f t="shared" si="7"/>
        <v>2961000</v>
      </c>
      <c r="F21" s="11">
        <f t="shared" si="8"/>
        <v>14771415.551987112</v>
      </c>
      <c r="G21" s="11">
        <f t="shared" si="9"/>
        <v>5908566.2207948454</v>
      </c>
      <c r="H21" s="11">
        <f t="shared" si="10"/>
        <v>10934925.645699028</v>
      </c>
      <c r="K21" s="3">
        <f t="shared" si="4"/>
        <v>10</v>
      </c>
      <c r="L21" s="11">
        <f t="shared" si="5"/>
        <v>19320000</v>
      </c>
      <c r="M21" s="11">
        <f>0</f>
        <v>0</v>
      </c>
      <c r="N21" s="11">
        <v>0</v>
      </c>
      <c r="O21" s="11">
        <f t="shared" si="11"/>
        <v>2961000</v>
      </c>
      <c r="P21" s="11">
        <f t="shared" si="12"/>
        <v>16359000</v>
      </c>
      <c r="Q21" s="11">
        <f t="shared" si="13"/>
        <v>6543600</v>
      </c>
      <c r="R21" s="11">
        <f t="shared" si="14"/>
        <v>12776400</v>
      </c>
      <c r="U21" s="3">
        <v>10</v>
      </c>
      <c r="V21" s="12">
        <v>2.564E-2</v>
      </c>
      <c r="W21" s="3">
        <f t="shared" si="0"/>
        <v>10</v>
      </c>
      <c r="X21" s="11">
        <f t="shared" si="1"/>
        <v>19320000</v>
      </c>
      <c r="Y21" s="11">
        <f t="shared" si="15"/>
        <v>888923.68549324293</v>
      </c>
      <c r="Z21" s="11">
        <f t="shared" si="16"/>
        <v>1587584.4480128866</v>
      </c>
      <c r="AA21" s="11">
        <f t="shared" si="17"/>
        <v>3253716</v>
      </c>
      <c r="AB21" s="11">
        <f t="shared" si="18"/>
        <v>14478699.551987112</v>
      </c>
      <c r="AC21" s="11">
        <f t="shared" si="19"/>
        <v>5791479.820794845</v>
      </c>
      <c r="AD21" s="11">
        <f t="shared" si="20"/>
        <v>11052012.045699028</v>
      </c>
      <c r="AG21" s="3">
        <f t="shared" si="2"/>
        <v>10</v>
      </c>
      <c r="AH21" s="11">
        <f t="shared" si="3"/>
        <v>19320000</v>
      </c>
      <c r="AI21" s="11">
        <f>0</f>
        <v>0</v>
      </c>
      <c r="AJ21" s="11">
        <v>0</v>
      </c>
      <c r="AK21" s="11">
        <f t="shared" si="21"/>
        <v>3253716</v>
      </c>
      <c r="AL21" s="11">
        <f t="shared" si="22"/>
        <v>16066284</v>
      </c>
      <c r="AM21" s="11">
        <f t="shared" si="23"/>
        <v>6426513.6000000006</v>
      </c>
      <c r="AN21" s="11">
        <f t="shared" si="24"/>
        <v>12893486.399999999</v>
      </c>
    </row>
    <row r="22" spans="1:40">
      <c r="A22" s="3">
        <f>'Step-1-Cost &amp; Revenues'!F48</f>
        <v>11</v>
      </c>
      <c r="B22" s="11">
        <f>'Step-1-Cost &amp; Revenues'!H48</f>
        <v>19320000</v>
      </c>
      <c r="C22" s="11">
        <f t="shared" si="25"/>
        <v>933369.8697679051</v>
      </c>
      <c r="D22" s="11">
        <f t="shared" si="6"/>
        <v>1543138.2637382243</v>
      </c>
      <c r="E22" s="11">
        <f t="shared" si="7"/>
        <v>2961000</v>
      </c>
      <c r="F22" s="11">
        <f t="shared" si="8"/>
        <v>14815861.736261778</v>
      </c>
      <c r="G22" s="11">
        <f t="shared" si="9"/>
        <v>5926344.6945047118</v>
      </c>
      <c r="H22" s="11">
        <f t="shared" si="10"/>
        <v>10917147.171989162</v>
      </c>
      <c r="K22" s="3">
        <f t="shared" si="4"/>
        <v>11</v>
      </c>
      <c r="L22" s="11">
        <f t="shared" si="5"/>
        <v>19320000</v>
      </c>
      <c r="M22" s="11">
        <f>0</f>
        <v>0</v>
      </c>
      <c r="N22" s="11">
        <v>0</v>
      </c>
      <c r="O22" s="11">
        <f t="shared" si="11"/>
        <v>2961000</v>
      </c>
      <c r="P22" s="11">
        <f t="shared" si="12"/>
        <v>16359000</v>
      </c>
      <c r="Q22" s="11">
        <f t="shared" si="13"/>
        <v>6543600</v>
      </c>
      <c r="R22" s="11">
        <f t="shared" si="14"/>
        <v>12776400</v>
      </c>
      <c r="U22" s="3">
        <v>11</v>
      </c>
      <c r="V22" s="12">
        <v>2.564E-2</v>
      </c>
      <c r="W22" s="3">
        <f t="shared" si="0"/>
        <v>11</v>
      </c>
      <c r="X22" s="11">
        <f t="shared" si="1"/>
        <v>19320000</v>
      </c>
      <c r="Y22" s="11">
        <f t="shared" si="15"/>
        <v>933369.8697679051</v>
      </c>
      <c r="Z22" s="11">
        <f t="shared" si="16"/>
        <v>1543138.2637382243</v>
      </c>
      <c r="AA22" s="11">
        <f t="shared" si="17"/>
        <v>3253716</v>
      </c>
      <c r="AB22" s="11">
        <f t="shared" si="18"/>
        <v>14523145.736261778</v>
      </c>
      <c r="AC22" s="11">
        <f t="shared" si="19"/>
        <v>5809258.2945047114</v>
      </c>
      <c r="AD22" s="11">
        <f t="shared" si="20"/>
        <v>11034233.571989162</v>
      </c>
      <c r="AG22" s="3">
        <f t="shared" si="2"/>
        <v>11</v>
      </c>
      <c r="AH22" s="11">
        <f t="shared" si="3"/>
        <v>19320000</v>
      </c>
      <c r="AI22" s="11">
        <f>0</f>
        <v>0</v>
      </c>
      <c r="AJ22" s="11">
        <v>0</v>
      </c>
      <c r="AK22" s="11">
        <f t="shared" si="21"/>
        <v>3253716</v>
      </c>
      <c r="AL22" s="11">
        <f t="shared" si="22"/>
        <v>16066284</v>
      </c>
      <c r="AM22" s="11">
        <f t="shared" si="23"/>
        <v>6426513.6000000006</v>
      </c>
      <c r="AN22" s="11">
        <f t="shared" si="24"/>
        <v>12893486.399999999</v>
      </c>
    </row>
    <row r="23" spans="1:40">
      <c r="A23" s="3">
        <f>'Step-1-Cost &amp; Revenues'!F49</f>
        <v>12</v>
      </c>
      <c r="B23" s="11">
        <f>'Step-1-Cost &amp; Revenues'!H49</f>
        <v>19320000</v>
      </c>
      <c r="C23" s="11">
        <f t="shared" si="25"/>
        <v>980038.36325630033</v>
      </c>
      <c r="D23" s="11">
        <f t="shared" si="6"/>
        <v>1496469.7702498289</v>
      </c>
      <c r="E23" s="11">
        <f t="shared" si="7"/>
        <v>2961000</v>
      </c>
      <c r="F23" s="11">
        <f>B23-D23-E23</f>
        <v>14862530.229750171</v>
      </c>
      <c r="G23" s="11">
        <f t="shared" si="9"/>
        <v>5945012.0919000693</v>
      </c>
      <c r="H23" s="11">
        <f t="shared" si="10"/>
        <v>10898479.7745938</v>
      </c>
      <c r="K23" s="3">
        <f t="shared" si="4"/>
        <v>12</v>
      </c>
      <c r="L23" s="11">
        <f t="shared" si="5"/>
        <v>19320000</v>
      </c>
      <c r="M23" s="11">
        <f>0</f>
        <v>0</v>
      </c>
      <c r="N23" s="11">
        <v>0</v>
      </c>
      <c r="O23" s="11">
        <f t="shared" si="11"/>
        <v>2961000</v>
      </c>
      <c r="P23" s="11">
        <f>L23-N23-O23</f>
        <v>16359000</v>
      </c>
      <c r="Q23" s="11">
        <f t="shared" si="13"/>
        <v>6543600</v>
      </c>
      <c r="R23" s="11">
        <f t="shared" si="14"/>
        <v>12776400</v>
      </c>
      <c r="U23" s="3">
        <v>12</v>
      </c>
      <c r="V23" s="12">
        <v>2.564E-2</v>
      </c>
      <c r="W23" s="3">
        <f t="shared" si="0"/>
        <v>12</v>
      </c>
      <c r="X23" s="11">
        <f t="shared" si="1"/>
        <v>19320000</v>
      </c>
      <c r="Y23" s="11">
        <f t="shared" si="15"/>
        <v>980038.36325630033</v>
      </c>
      <c r="Z23" s="11">
        <f t="shared" si="16"/>
        <v>1496469.7702498289</v>
      </c>
      <c r="AA23" s="11">
        <f t="shared" si="17"/>
        <v>3253716</v>
      </c>
      <c r="AB23" s="11">
        <f>X23-Z23-AA23</f>
        <v>14569814.229750171</v>
      </c>
      <c r="AC23" s="11">
        <f t="shared" si="19"/>
        <v>5827925.6919000689</v>
      </c>
      <c r="AD23" s="11">
        <f t="shared" si="20"/>
        <v>11015566.174593801</v>
      </c>
      <c r="AG23" s="3">
        <f t="shared" si="2"/>
        <v>12</v>
      </c>
      <c r="AH23" s="11">
        <f t="shared" si="3"/>
        <v>19320000</v>
      </c>
      <c r="AI23" s="11">
        <f>0</f>
        <v>0</v>
      </c>
      <c r="AJ23" s="11">
        <v>0</v>
      </c>
      <c r="AK23" s="11">
        <f t="shared" si="21"/>
        <v>3253716</v>
      </c>
      <c r="AL23" s="11">
        <f>AH23-AJ23-AK23</f>
        <v>16066284</v>
      </c>
      <c r="AM23" s="11">
        <f t="shared" si="23"/>
        <v>6426513.6000000006</v>
      </c>
      <c r="AN23" s="11">
        <f t="shared" si="24"/>
        <v>12893486.399999999</v>
      </c>
    </row>
    <row r="24" spans="1:40">
      <c r="A24" s="3">
        <f>'Step-1-Cost &amp; Revenues'!F50</f>
        <v>13</v>
      </c>
      <c r="B24" s="11">
        <f>'Step-1-Cost &amp; Revenues'!H50</f>
        <v>19320000</v>
      </c>
      <c r="C24" s="11">
        <f t="shared" si="25"/>
        <v>1029040.2814191154</v>
      </c>
      <c r="D24" s="11">
        <f t="shared" si="6"/>
        <v>1447467.8520870139</v>
      </c>
      <c r="E24" s="11">
        <f t="shared" si="7"/>
        <v>2961000</v>
      </c>
      <c r="F24" s="11">
        <f t="shared" si="8"/>
        <v>14911532.147912987</v>
      </c>
      <c r="G24" s="11">
        <f t="shared" si="9"/>
        <v>5964612.8591651954</v>
      </c>
      <c r="H24" s="11">
        <f t="shared" si="10"/>
        <v>10878879.007328674</v>
      </c>
      <c r="K24" s="3">
        <f t="shared" si="4"/>
        <v>13</v>
      </c>
      <c r="L24" s="11">
        <f t="shared" si="5"/>
        <v>19320000</v>
      </c>
      <c r="M24" s="11">
        <f>0</f>
        <v>0</v>
      </c>
      <c r="N24" s="11">
        <v>0</v>
      </c>
      <c r="O24" s="11">
        <f t="shared" si="11"/>
        <v>2961000</v>
      </c>
      <c r="P24" s="11">
        <f t="shared" ref="P24:P40" si="26">L24-N24-O24</f>
        <v>16359000</v>
      </c>
      <c r="Q24" s="11">
        <f t="shared" si="13"/>
        <v>6543600</v>
      </c>
      <c r="R24" s="11">
        <f t="shared" si="14"/>
        <v>12776400</v>
      </c>
      <c r="U24" s="3">
        <v>13</v>
      </c>
      <c r="V24" s="12">
        <v>2.564E-2</v>
      </c>
      <c r="W24" s="3">
        <f t="shared" si="0"/>
        <v>13</v>
      </c>
      <c r="X24" s="11">
        <f t="shared" si="1"/>
        <v>19320000</v>
      </c>
      <c r="Y24" s="11">
        <f>PPMT($B$4,W24,30,$C$11)</f>
        <v>1029040.2814191154</v>
      </c>
      <c r="Z24" s="11">
        <f t="shared" si="16"/>
        <v>1447467.8520870139</v>
      </c>
      <c r="AA24" s="11">
        <f t="shared" si="17"/>
        <v>3253716</v>
      </c>
      <c r="AB24" s="11">
        <f t="shared" ref="AB24:AB40" si="27">X24-Z24-AA24</f>
        <v>14618816.147912987</v>
      </c>
      <c r="AC24" s="11">
        <f t="shared" si="19"/>
        <v>5847526.459165195</v>
      </c>
      <c r="AD24" s="11">
        <f t="shared" si="20"/>
        <v>10995965.407328675</v>
      </c>
      <c r="AG24" s="3">
        <f t="shared" si="2"/>
        <v>13</v>
      </c>
      <c r="AH24" s="11">
        <f t="shared" si="3"/>
        <v>19320000</v>
      </c>
      <c r="AI24" s="11">
        <f>0</f>
        <v>0</v>
      </c>
      <c r="AJ24" s="11">
        <v>0</v>
      </c>
      <c r="AK24" s="11">
        <f t="shared" si="21"/>
        <v>3253716</v>
      </c>
      <c r="AL24" s="11">
        <f t="shared" ref="AL24:AL40" si="28">AH24-AJ24-AK24</f>
        <v>16066284</v>
      </c>
      <c r="AM24" s="11">
        <f t="shared" si="23"/>
        <v>6426513.6000000006</v>
      </c>
      <c r="AN24" s="11">
        <f t="shared" si="24"/>
        <v>12893486.399999999</v>
      </c>
    </row>
    <row r="25" spans="1:40">
      <c r="A25" s="3">
        <f>'Step-1-Cost &amp; Revenues'!F51</f>
        <v>14</v>
      </c>
      <c r="B25" s="11">
        <f>'Step-1-Cost &amp; Revenues'!H51</f>
        <v>19320000</v>
      </c>
      <c r="C25" s="11">
        <f t="shared" si="25"/>
        <v>1080492.2954900709</v>
      </c>
      <c r="D25" s="11">
        <f t="shared" si="6"/>
        <v>1396015.8380160583</v>
      </c>
      <c r="E25" s="11">
        <f t="shared" si="7"/>
        <v>2961000</v>
      </c>
      <c r="F25" s="11">
        <f t="shared" si="8"/>
        <v>14962984.161983941</v>
      </c>
      <c r="G25" s="11">
        <f t="shared" si="9"/>
        <v>5985193.664793577</v>
      </c>
      <c r="H25" s="11">
        <f t="shared" si="10"/>
        <v>10858298.201700293</v>
      </c>
      <c r="K25" s="3">
        <f t="shared" si="4"/>
        <v>14</v>
      </c>
      <c r="L25" s="11">
        <f t="shared" si="5"/>
        <v>19320000</v>
      </c>
      <c r="M25" s="11">
        <f>0</f>
        <v>0</v>
      </c>
      <c r="N25" s="11">
        <v>0</v>
      </c>
      <c r="O25" s="11">
        <f t="shared" si="11"/>
        <v>2961000</v>
      </c>
      <c r="P25" s="11">
        <f t="shared" si="26"/>
        <v>16359000</v>
      </c>
      <c r="Q25" s="11">
        <f t="shared" si="13"/>
        <v>6543600</v>
      </c>
      <c r="R25" s="11">
        <f t="shared" si="14"/>
        <v>12776400</v>
      </c>
      <c r="U25" s="3">
        <v>14</v>
      </c>
      <c r="V25" s="12">
        <v>2.564E-2</v>
      </c>
      <c r="W25" s="3">
        <f t="shared" si="0"/>
        <v>14</v>
      </c>
      <c r="X25" s="11">
        <f t="shared" si="1"/>
        <v>19320000</v>
      </c>
      <c r="Y25" s="11">
        <f t="shared" si="15"/>
        <v>1080492.2954900709</v>
      </c>
      <c r="Z25" s="11">
        <f t="shared" si="16"/>
        <v>1396015.8380160583</v>
      </c>
      <c r="AA25" s="11">
        <f t="shared" si="17"/>
        <v>3253716</v>
      </c>
      <c r="AB25" s="11">
        <f t="shared" si="27"/>
        <v>14670268.161983941</v>
      </c>
      <c r="AC25" s="11">
        <f t="shared" si="19"/>
        <v>5868107.2647935767</v>
      </c>
      <c r="AD25" s="11">
        <f t="shared" si="20"/>
        <v>10975384.601700293</v>
      </c>
      <c r="AG25" s="3">
        <f t="shared" si="2"/>
        <v>14</v>
      </c>
      <c r="AH25" s="11">
        <f t="shared" si="3"/>
        <v>19320000</v>
      </c>
      <c r="AI25" s="11">
        <f>0</f>
        <v>0</v>
      </c>
      <c r="AJ25" s="11">
        <v>0</v>
      </c>
      <c r="AK25" s="11">
        <f t="shared" si="21"/>
        <v>3253716</v>
      </c>
      <c r="AL25" s="11">
        <f t="shared" si="28"/>
        <v>16066284</v>
      </c>
      <c r="AM25" s="11">
        <f t="shared" si="23"/>
        <v>6426513.6000000006</v>
      </c>
      <c r="AN25" s="11">
        <f t="shared" si="24"/>
        <v>12893486.399999999</v>
      </c>
    </row>
    <row r="26" spans="1:40">
      <c r="A26" s="3">
        <f>'Step-1-Cost &amp; Revenues'!F52</f>
        <v>15</v>
      </c>
      <c r="B26" s="11">
        <f>'Step-1-Cost &amp; Revenues'!H52</f>
        <v>19320000</v>
      </c>
      <c r="C26" s="11">
        <f t="shared" si="25"/>
        <v>1134516.9102645747</v>
      </c>
      <c r="D26" s="11">
        <f t="shared" si="6"/>
        <v>1341991.2232415546</v>
      </c>
      <c r="E26" s="11">
        <f t="shared" si="7"/>
        <v>2961000</v>
      </c>
      <c r="F26" s="11">
        <f t="shared" si="8"/>
        <v>15017008.776758447</v>
      </c>
      <c r="G26" s="11">
        <f t="shared" si="9"/>
        <v>6006803.5107033793</v>
      </c>
      <c r="H26" s="11">
        <f t="shared" si="10"/>
        <v>10836688.355790494</v>
      </c>
      <c r="K26" s="3">
        <f t="shared" si="4"/>
        <v>15</v>
      </c>
      <c r="L26" s="11">
        <f t="shared" si="5"/>
        <v>19320000</v>
      </c>
      <c r="M26" s="11">
        <f>0</f>
        <v>0</v>
      </c>
      <c r="N26" s="11">
        <v>0</v>
      </c>
      <c r="O26" s="11">
        <f t="shared" si="11"/>
        <v>2961000</v>
      </c>
      <c r="P26" s="11">
        <f t="shared" si="26"/>
        <v>16359000</v>
      </c>
      <c r="Q26" s="11">
        <f t="shared" si="13"/>
        <v>6543600</v>
      </c>
      <c r="R26" s="11">
        <f t="shared" si="14"/>
        <v>12776400</v>
      </c>
      <c r="U26" s="3">
        <v>15</v>
      </c>
      <c r="V26" s="12">
        <v>2.564E-2</v>
      </c>
      <c r="W26" s="3">
        <f t="shared" si="0"/>
        <v>15</v>
      </c>
      <c r="X26" s="11">
        <f t="shared" si="1"/>
        <v>19320000</v>
      </c>
      <c r="Y26" s="11">
        <f t="shared" si="15"/>
        <v>1134516.9102645747</v>
      </c>
      <c r="Z26" s="11">
        <f t="shared" si="16"/>
        <v>1341991.2232415546</v>
      </c>
      <c r="AA26" s="11">
        <f t="shared" si="17"/>
        <v>3253716</v>
      </c>
      <c r="AB26" s="11">
        <f t="shared" si="27"/>
        <v>14724292.776758447</v>
      </c>
      <c r="AC26" s="11">
        <f t="shared" si="19"/>
        <v>5889717.1107033789</v>
      </c>
      <c r="AD26" s="11">
        <f t="shared" si="20"/>
        <v>10953774.755790494</v>
      </c>
      <c r="AG26" s="3">
        <f t="shared" si="2"/>
        <v>15</v>
      </c>
      <c r="AH26" s="11">
        <f t="shared" si="3"/>
        <v>19320000</v>
      </c>
      <c r="AI26" s="11">
        <f>0</f>
        <v>0</v>
      </c>
      <c r="AJ26" s="11">
        <v>0</v>
      </c>
      <c r="AK26" s="11">
        <f t="shared" si="21"/>
        <v>3253716</v>
      </c>
      <c r="AL26" s="11">
        <f t="shared" si="28"/>
        <v>16066284</v>
      </c>
      <c r="AM26" s="11">
        <f t="shared" si="23"/>
        <v>6426513.6000000006</v>
      </c>
      <c r="AN26" s="11">
        <f t="shared" si="24"/>
        <v>12893486.399999999</v>
      </c>
    </row>
    <row r="27" spans="1:40">
      <c r="A27" s="3">
        <f>'Step-1-Cost &amp; Revenues'!F53</f>
        <v>16</v>
      </c>
      <c r="B27" s="11">
        <f>'Step-1-Cost &amp; Revenues'!H53</f>
        <v>19320000</v>
      </c>
      <c r="C27" s="11">
        <f t="shared" si="25"/>
        <v>1191242.7557778035</v>
      </c>
      <c r="D27" s="11">
        <f t="shared" si="6"/>
        <v>1285265.377728326</v>
      </c>
      <c r="E27" s="11">
        <f t="shared" si="7"/>
        <v>2961000</v>
      </c>
      <c r="F27" s="11">
        <f t="shared" si="8"/>
        <v>15073734.622271676</v>
      </c>
      <c r="G27" s="11">
        <f t="shared" si="9"/>
        <v>6029493.8489086702</v>
      </c>
      <c r="H27" s="11">
        <f t="shared" si="10"/>
        <v>10813998.017585203</v>
      </c>
      <c r="K27" s="3">
        <f t="shared" si="4"/>
        <v>16</v>
      </c>
      <c r="L27" s="11">
        <f t="shared" si="5"/>
        <v>19320000</v>
      </c>
      <c r="M27" s="11">
        <f>0</f>
        <v>0</v>
      </c>
      <c r="N27" s="11">
        <v>0</v>
      </c>
      <c r="O27" s="11">
        <f t="shared" si="11"/>
        <v>2961000</v>
      </c>
      <c r="P27" s="11">
        <f t="shared" si="26"/>
        <v>16359000</v>
      </c>
      <c r="Q27" s="11">
        <f t="shared" si="13"/>
        <v>6543600</v>
      </c>
      <c r="R27" s="11">
        <f t="shared" si="14"/>
        <v>12776400</v>
      </c>
      <c r="U27" s="3">
        <v>16</v>
      </c>
      <c r="V27" s="12">
        <v>2.564E-2</v>
      </c>
      <c r="W27" s="3">
        <f t="shared" si="0"/>
        <v>16</v>
      </c>
      <c r="X27" s="11">
        <f t="shared" si="1"/>
        <v>19320000</v>
      </c>
      <c r="Y27" s="11">
        <f t="shared" si="15"/>
        <v>1191242.7557778035</v>
      </c>
      <c r="Z27" s="11">
        <f t="shared" si="16"/>
        <v>1285265.377728326</v>
      </c>
      <c r="AA27" s="11">
        <f t="shared" si="17"/>
        <v>3253716</v>
      </c>
      <c r="AB27" s="11">
        <f t="shared" si="27"/>
        <v>14781018.622271676</v>
      </c>
      <c r="AC27" s="11">
        <f t="shared" si="19"/>
        <v>5912407.4489086708</v>
      </c>
      <c r="AD27" s="11">
        <f t="shared" si="20"/>
        <v>10931084.417585202</v>
      </c>
      <c r="AG27" s="3">
        <f t="shared" si="2"/>
        <v>16</v>
      </c>
      <c r="AH27" s="11">
        <f t="shared" si="3"/>
        <v>19320000</v>
      </c>
      <c r="AI27" s="11">
        <f>0</f>
        <v>0</v>
      </c>
      <c r="AJ27" s="11">
        <v>0</v>
      </c>
      <c r="AK27" s="11">
        <f t="shared" si="21"/>
        <v>3253716</v>
      </c>
      <c r="AL27" s="11">
        <f t="shared" si="28"/>
        <v>16066284</v>
      </c>
      <c r="AM27" s="11">
        <f t="shared" si="23"/>
        <v>6426513.6000000006</v>
      </c>
      <c r="AN27" s="11">
        <f t="shared" si="24"/>
        <v>12893486.399999999</v>
      </c>
    </row>
    <row r="28" spans="1:40">
      <c r="A28" s="3">
        <f>'Step-1-Cost &amp; Revenues'!F54</f>
        <v>17</v>
      </c>
      <c r="B28" s="11">
        <f>'Step-1-Cost &amp; Revenues'!H54</f>
        <v>19320000</v>
      </c>
      <c r="C28" s="11">
        <f t="shared" si="25"/>
        <v>1250804.8935666936</v>
      </c>
      <c r="D28" s="11">
        <f t="shared" si="6"/>
        <v>1225703.2399394359</v>
      </c>
      <c r="E28" s="11">
        <f t="shared" si="7"/>
        <v>2961000</v>
      </c>
      <c r="F28" s="11">
        <f t="shared" si="8"/>
        <v>15133296.760060564</v>
      </c>
      <c r="G28" s="11">
        <f t="shared" si="9"/>
        <v>6053318.7040242255</v>
      </c>
      <c r="H28" s="11">
        <f t="shared" si="10"/>
        <v>10790173.162469644</v>
      </c>
      <c r="K28" s="3">
        <f t="shared" si="4"/>
        <v>17</v>
      </c>
      <c r="L28" s="11">
        <f t="shared" si="5"/>
        <v>19320000</v>
      </c>
      <c r="M28" s="11">
        <f>0</f>
        <v>0</v>
      </c>
      <c r="N28" s="11">
        <v>0</v>
      </c>
      <c r="O28" s="11">
        <f t="shared" si="11"/>
        <v>2961000</v>
      </c>
      <c r="P28" s="11">
        <f t="shared" si="26"/>
        <v>16359000</v>
      </c>
      <c r="Q28" s="11">
        <f t="shared" si="13"/>
        <v>6543600</v>
      </c>
      <c r="R28" s="11">
        <f t="shared" si="14"/>
        <v>12776400</v>
      </c>
      <c r="U28" s="3">
        <v>17</v>
      </c>
      <c r="V28" s="12">
        <v>2.564E-2</v>
      </c>
      <c r="W28" s="3">
        <f t="shared" si="0"/>
        <v>17</v>
      </c>
      <c r="X28" s="11">
        <f t="shared" si="1"/>
        <v>19320000</v>
      </c>
      <c r="Y28" s="11">
        <f t="shared" si="15"/>
        <v>1250804.8935666936</v>
      </c>
      <c r="Z28" s="11">
        <f t="shared" si="16"/>
        <v>1225703.2399394359</v>
      </c>
      <c r="AA28" s="11">
        <f t="shared" si="17"/>
        <v>3253716</v>
      </c>
      <c r="AB28" s="11">
        <f t="shared" si="27"/>
        <v>14840580.760060564</v>
      </c>
      <c r="AC28" s="11">
        <f t="shared" si="19"/>
        <v>5936232.304024226</v>
      </c>
      <c r="AD28" s="11">
        <f t="shared" si="20"/>
        <v>10907259.562469643</v>
      </c>
      <c r="AG28" s="3">
        <f t="shared" si="2"/>
        <v>17</v>
      </c>
      <c r="AH28" s="11">
        <f t="shared" si="3"/>
        <v>19320000</v>
      </c>
      <c r="AI28" s="11">
        <f>0</f>
        <v>0</v>
      </c>
      <c r="AJ28" s="11">
        <v>0</v>
      </c>
      <c r="AK28" s="11">
        <f t="shared" si="21"/>
        <v>3253716</v>
      </c>
      <c r="AL28" s="11">
        <f t="shared" si="28"/>
        <v>16066284</v>
      </c>
      <c r="AM28" s="11">
        <f t="shared" si="23"/>
        <v>6426513.6000000006</v>
      </c>
      <c r="AN28" s="11">
        <f t="shared" si="24"/>
        <v>12893486.399999999</v>
      </c>
    </row>
    <row r="29" spans="1:40">
      <c r="A29" s="3">
        <f>'Step-1-Cost &amp; Revenues'!F55</f>
        <v>18</v>
      </c>
      <c r="B29" s="11">
        <f>'Step-1-Cost &amp; Revenues'!H55</f>
        <v>19320000</v>
      </c>
      <c r="C29" s="11">
        <f t="shared" si="25"/>
        <v>1313345.1382450284</v>
      </c>
      <c r="D29" s="11">
        <f t="shared" si="6"/>
        <v>1163162.9952611008</v>
      </c>
      <c r="E29" s="11">
        <f t="shared" si="7"/>
        <v>2961000</v>
      </c>
      <c r="F29" s="11">
        <f t="shared" si="8"/>
        <v>15195837.004738901</v>
      </c>
      <c r="G29" s="11">
        <f t="shared" si="9"/>
        <v>6078334.8018955607</v>
      </c>
      <c r="H29" s="11">
        <f t="shared" si="10"/>
        <v>10765157.064598313</v>
      </c>
      <c r="K29" s="3">
        <f t="shared" si="4"/>
        <v>18</v>
      </c>
      <c r="L29" s="11">
        <f t="shared" si="5"/>
        <v>19320000</v>
      </c>
      <c r="M29" s="11">
        <f>0</f>
        <v>0</v>
      </c>
      <c r="N29" s="11">
        <v>0</v>
      </c>
      <c r="O29" s="11">
        <f t="shared" si="11"/>
        <v>2961000</v>
      </c>
      <c r="P29" s="11">
        <f t="shared" si="26"/>
        <v>16359000</v>
      </c>
      <c r="Q29" s="11">
        <f t="shared" si="13"/>
        <v>6543600</v>
      </c>
      <c r="R29" s="11">
        <f t="shared" si="14"/>
        <v>12776400</v>
      </c>
      <c r="U29" s="3">
        <v>18</v>
      </c>
      <c r="V29" s="12">
        <v>2.564E-2</v>
      </c>
      <c r="W29" s="3">
        <f t="shared" si="0"/>
        <v>18</v>
      </c>
      <c r="X29" s="11">
        <f t="shared" si="1"/>
        <v>19320000</v>
      </c>
      <c r="Y29" s="11">
        <f t="shared" si="15"/>
        <v>1313345.1382450284</v>
      </c>
      <c r="Z29" s="11">
        <f t="shared" si="16"/>
        <v>1163162.9952611008</v>
      </c>
      <c r="AA29" s="11">
        <f t="shared" si="17"/>
        <v>3253716</v>
      </c>
      <c r="AB29" s="11">
        <f t="shared" si="27"/>
        <v>14903121.004738901</v>
      </c>
      <c r="AC29" s="11">
        <f t="shared" si="19"/>
        <v>5961248.4018955603</v>
      </c>
      <c r="AD29" s="11">
        <f t="shared" si="20"/>
        <v>10882243.464598313</v>
      </c>
      <c r="AG29" s="3">
        <f t="shared" si="2"/>
        <v>18</v>
      </c>
      <c r="AH29" s="11">
        <f t="shared" si="3"/>
        <v>19320000</v>
      </c>
      <c r="AI29" s="11">
        <f>0</f>
        <v>0</v>
      </c>
      <c r="AJ29" s="11">
        <v>0</v>
      </c>
      <c r="AK29" s="11">
        <f t="shared" si="21"/>
        <v>3253716</v>
      </c>
      <c r="AL29" s="11">
        <f t="shared" si="28"/>
        <v>16066284</v>
      </c>
      <c r="AM29" s="11">
        <f t="shared" si="23"/>
        <v>6426513.6000000006</v>
      </c>
      <c r="AN29" s="11">
        <f t="shared" si="24"/>
        <v>12893486.399999999</v>
      </c>
    </row>
    <row r="30" spans="1:40">
      <c r="A30" s="3">
        <f>'Step-1-Cost &amp; Revenues'!F56</f>
        <v>19</v>
      </c>
      <c r="B30" s="11">
        <f>'Step-1-Cost &amp; Revenues'!H56</f>
        <v>19320000</v>
      </c>
      <c r="C30" s="11">
        <f t="shared" si="25"/>
        <v>1379012.3951572799</v>
      </c>
      <c r="D30" s="11">
        <f t="shared" si="6"/>
        <v>1097495.7383488494</v>
      </c>
      <c r="E30" s="11">
        <f t="shared" si="7"/>
        <v>2961000</v>
      </c>
      <c r="F30" s="11">
        <f t="shared" si="8"/>
        <v>15261504.261651151</v>
      </c>
      <c r="G30" s="11">
        <f t="shared" si="9"/>
        <v>6104601.7046604604</v>
      </c>
      <c r="H30" s="11">
        <f t="shared" si="10"/>
        <v>10738890.161833409</v>
      </c>
      <c r="K30" s="3">
        <f t="shared" si="4"/>
        <v>19</v>
      </c>
      <c r="L30" s="11">
        <f t="shared" si="5"/>
        <v>19320000</v>
      </c>
      <c r="M30" s="11">
        <f>0</f>
        <v>0</v>
      </c>
      <c r="N30" s="11">
        <v>0</v>
      </c>
      <c r="O30" s="11">
        <f t="shared" si="11"/>
        <v>2961000</v>
      </c>
      <c r="P30" s="11">
        <f t="shared" si="26"/>
        <v>16359000</v>
      </c>
      <c r="Q30" s="11">
        <f t="shared" si="13"/>
        <v>6543600</v>
      </c>
      <c r="R30" s="11">
        <f t="shared" si="14"/>
        <v>12776400</v>
      </c>
      <c r="U30" s="3">
        <v>19</v>
      </c>
      <c r="V30" s="12">
        <v>2.564E-2</v>
      </c>
      <c r="W30" s="3">
        <f t="shared" si="0"/>
        <v>19</v>
      </c>
      <c r="X30" s="11">
        <f t="shared" si="1"/>
        <v>19320000</v>
      </c>
      <c r="Y30" s="11">
        <f t="shared" si="15"/>
        <v>1379012.3951572799</v>
      </c>
      <c r="Z30" s="11">
        <f t="shared" si="16"/>
        <v>1097495.7383488494</v>
      </c>
      <c r="AA30" s="11">
        <f t="shared" si="17"/>
        <v>3253716</v>
      </c>
      <c r="AB30" s="11">
        <f t="shared" si="27"/>
        <v>14968788.261651151</v>
      </c>
      <c r="AC30" s="11">
        <f t="shared" si="19"/>
        <v>5987515.3046604609</v>
      </c>
      <c r="AD30" s="11">
        <f t="shared" si="20"/>
        <v>10855976.561833408</v>
      </c>
      <c r="AG30" s="3">
        <f t="shared" si="2"/>
        <v>19</v>
      </c>
      <c r="AH30" s="11">
        <f t="shared" si="3"/>
        <v>19320000</v>
      </c>
      <c r="AI30" s="11">
        <f>0</f>
        <v>0</v>
      </c>
      <c r="AJ30" s="11">
        <v>0</v>
      </c>
      <c r="AK30" s="11">
        <f t="shared" si="21"/>
        <v>3253716</v>
      </c>
      <c r="AL30" s="11">
        <f t="shared" si="28"/>
        <v>16066284</v>
      </c>
      <c r="AM30" s="11">
        <f t="shared" si="23"/>
        <v>6426513.6000000006</v>
      </c>
      <c r="AN30" s="11">
        <f t="shared" si="24"/>
        <v>12893486.399999999</v>
      </c>
    </row>
    <row r="31" spans="1:40">
      <c r="A31" s="3">
        <f>'Step-1-Cost &amp; Revenues'!F57</f>
        <v>20</v>
      </c>
      <c r="B31" s="11">
        <f>'Step-1-Cost &amp; Revenues'!H57</f>
        <v>19320000</v>
      </c>
      <c r="C31" s="11">
        <f t="shared" si="25"/>
        <v>1447963.0149151438</v>
      </c>
      <c r="D31" s="11">
        <f t="shared" si="6"/>
        <v>1028545.1185909857</v>
      </c>
      <c r="E31" s="11">
        <f t="shared" si="7"/>
        <v>2961000</v>
      </c>
      <c r="F31" s="11">
        <f t="shared" si="8"/>
        <v>15330454.881409016</v>
      </c>
      <c r="G31" s="11">
        <f t="shared" si="9"/>
        <v>6132181.9525636062</v>
      </c>
      <c r="H31" s="11">
        <f t="shared" si="10"/>
        <v>10711309.913930267</v>
      </c>
      <c r="K31" s="3">
        <f t="shared" si="4"/>
        <v>20</v>
      </c>
      <c r="L31" s="11">
        <f t="shared" si="5"/>
        <v>19320000</v>
      </c>
      <c r="M31" s="11">
        <f>0</f>
        <v>0</v>
      </c>
      <c r="N31" s="11">
        <v>0</v>
      </c>
      <c r="O31" s="11">
        <f t="shared" si="11"/>
        <v>2961000</v>
      </c>
      <c r="P31" s="11">
        <f t="shared" si="26"/>
        <v>16359000</v>
      </c>
      <c r="Q31" s="11">
        <f t="shared" si="13"/>
        <v>6543600</v>
      </c>
      <c r="R31" s="11">
        <f t="shared" si="14"/>
        <v>12776400</v>
      </c>
      <c r="U31" s="3">
        <v>20</v>
      </c>
      <c r="V31" s="12">
        <v>2.564E-2</v>
      </c>
      <c r="W31" s="3">
        <f t="shared" si="0"/>
        <v>20</v>
      </c>
      <c r="X31" s="11">
        <f t="shared" si="1"/>
        <v>19320000</v>
      </c>
      <c r="Y31" s="11">
        <f t="shared" si="15"/>
        <v>1447963.0149151438</v>
      </c>
      <c r="Z31" s="11">
        <f t="shared" si="16"/>
        <v>1028545.1185909857</v>
      </c>
      <c r="AA31" s="11">
        <f t="shared" si="17"/>
        <v>3253716</v>
      </c>
      <c r="AB31" s="11">
        <f t="shared" si="27"/>
        <v>15037738.881409016</v>
      </c>
      <c r="AC31" s="11">
        <f t="shared" si="19"/>
        <v>6015095.5525636068</v>
      </c>
      <c r="AD31" s="11">
        <f t="shared" si="20"/>
        <v>10828396.313930266</v>
      </c>
      <c r="AG31" s="3">
        <f t="shared" si="2"/>
        <v>20</v>
      </c>
      <c r="AH31" s="11">
        <f t="shared" si="3"/>
        <v>19320000</v>
      </c>
      <c r="AI31" s="11">
        <f>0</f>
        <v>0</v>
      </c>
      <c r="AJ31" s="11">
        <v>0</v>
      </c>
      <c r="AK31" s="11">
        <f t="shared" si="21"/>
        <v>3253716</v>
      </c>
      <c r="AL31" s="11">
        <f t="shared" si="28"/>
        <v>16066284</v>
      </c>
      <c r="AM31" s="11">
        <f t="shared" si="23"/>
        <v>6426513.6000000006</v>
      </c>
      <c r="AN31" s="11">
        <f t="shared" si="24"/>
        <v>12893486.399999999</v>
      </c>
    </row>
    <row r="32" spans="1:40">
      <c r="A32" s="3">
        <f>'Step-1-Cost &amp; Revenues'!F58</f>
        <v>21</v>
      </c>
      <c r="B32" s="11">
        <f>'Step-1-Cost &amp; Revenues'!H58</f>
        <v>19320000</v>
      </c>
      <c r="C32" s="11">
        <f t="shared" si="25"/>
        <v>1520361.165660901</v>
      </c>
      <c r="D32" s="11">
        <f t="shared" si="6"/>
        <v>956146.9678452285</v>
      </c>
      <c r="E32" s="11">
        <f t="shared" si="7"/>
        <v>2961000</v>
      </c>
      <c r="F32" s="11">
        <f t="shared" si="8"/>
        <v>15402853.032154772</v>
      </c>
      <c r="G32" s="11">
        <f t="shared" si="9"/>
        <v>6161141.2128619095</v>
      </c>
      <c r="H32" s="11">
        <f t="shared" si="10"/>
        <v>10682350.653631959</v>
      </c>
      <c r="K32" s="3">
        <f t="shared" si="4"/>
        <v>21</v>
      </c>
      <c r="L32" s="11">
        <f t="shared" si="5"/>
        <v>19320000</v>
      </c>
      <c r="M32" s="11">
        <f>0</f>
        <v>0</v>
      </c>
      <c r="N32" s="11">
        <v>0</v>
      </c>
      <c r="O32" s="11">
        <f t="shared" si="11"/>
        <v>2961000</v>
      </c>
      <c r="P32" s="11">
        <f t="shared" si="26"/>
        <v>16359000</v>
      </c>
      <c r="Q32" s="11">
        <f t="shared" si="13"/>
        <v>6543600</v>
      </c>
      <c r="R32" s="11">
        <f t="shared" si="14"/>
        <v>12776400</v>
      </c>
      <c r="U32" s="3">
        <v>21</v>
      </c>
      <c r="V32" s="12">
        <v>2.564E-2</v>
      </c>
      <c r="W32" s="3">
        <f t="shared" si="0"/>
        <v>21</v>
      </c>
      <c r="X32" s="11">
        <f t="shared" si="1"/>
        <v>19320000</v>
      </c>
      <c r="Y32" s="11">
        <f t="shared" si="15"/>
        <v>1520361.165660901</v>
      </c>
      <c r="Z32" s="11">
        <f t="shared" si="16"/>
        <v>956146.9678452285</v>
      </c>
      <c r="AA32" s="11">
        <f t="shared" si="17"/>
        <v>3253716</v>
      </c>
      <c r="AB32" s="11">
        <f t="shared" si="27"/>
        <v>15110137.032154772</v>
      </c>
      <c r="AC32" s="11">
        <f t="shared" si="19"/>
        <v>6044054.8128619092</v>
      </c>
      <c r="AD32" s="11">
        <f t="shared" si="20"/>
        <v>10799437.053631961</v>
      </c>
      <c r="AG32" s="3">
        <f t="shared" si="2"/>
        <v>21</v>
      </c>
      <c r="AH32" s="11">
        <f t="shared" si="3"/>
        <v>19320000</v>
      </c>
      <c r="AI32" s="11">
        <f>0</f>
        <v>0</v>
      </c>
      <c r="AJ32" s="11">
        <v>0</v>
      </c>
      <c r="AK32" s="11">
        <f t="shared" si="21"/>
        <v>3253716</v>
      </c>
      <c r="AL32" s="11">
        <f t="shared" si="28"/>
        <v>16066284</v>
      </c>
      <c r="AM32" s="11">
        <f t="shared" si="23"/>
        <v>6426513.6000000006</v>
      </c>
      <c r="AN32" s="11">
        <f t="shared" si="24"/>
        <v>12893486.399999999</v>
      </c>
    </row>
    <row r="33" spans="1:40">
      <c r="A33" s="3">
        <f>'Step-1-Cost &amp; Revenues'!F59</f>
        <v>22</v>
      </c>
      <c r="B33" s="11">
        <f>'Step-1-Cost &amp; Revenues'!H59</f>
        <v>19320000</v>
      </c>
      <c r="C33" s="11">
        <f t="shared" si="25"/>
        <v>1596379.223943946</v>
      </c>
      <c r="D33" s="11">
        <f t="shared" si="6"/>
        <v>880128.90956218319</v>
      </c>
      <c r="E33" s="11">
        <f t="shared" si="7"/>
        <v>2961000</v>
      </c>
      <c r="F33" s="11">
        <f t="shared" si="8"/>
        <v>15478871.090437818</v>
      </c>
      <c r="G33" s="11">
        <f t="shared" si="9"/>
        <v>6191548.4361751275</v>
      </c>
      <c r="H33" s="11">
        <f t="shared" si="10"/>
        <v>10651943.430318747</v>
      </c>
      <c r="K33" s="3">
        <f t="shared" si="4"/>
        <v>22</v>
      </c>
      <c r="L33" s="11">
        <f t="shared" si="5"/>
        <v>19320000</v>
      </c>
      <c r="M33" s="11">
        <f>0</f>
        <v>0</v>
      </c>
      <c r="N33" s="11">
        <v>0</v>
      </c>
      <c r="O33" s="11">
        <f t="shared" si="11"/>
        <v>2961000</v>
      </c>
      <c r="P33" s="11">
        <f t="shared" si="26"/>
        <v>16359000</v>
      </c>
      <c r="Q33" s="11">
        <f t="shared" si="13"/>
        <v>6543600</v>
      </c>
      <c r="R33" s="11">
        <f t="shared" si="14"/>
        <v>12776400</v>
      </c>
      <c r="U33" s="3">
        <v>22</v>
      </c>
      <c r="V33" s="12">
        <v>2.564E-2</v>
      </c>
      <c r="W33" s="3">
        <f t="shared" si="0"/>
        <v>22</v>
      </c>
      <c r="X33" s="11">
        <f t="shared" si="1"/>
        <v>19320000</v>
      </c>
      <c r="Y33" s="11">
        <f t="shared" si="15"/>
        <v>1596379.223943946</v>
      </c>
      <c r="Z33" s="11">
        <f t="shared" si="16"/>
        <v>880128.90956218319</v>
      </c>
      <c r="AA33" s="11">
        <f t="shared" si="17"/>
        <v>3253716</v>
      </c>
      <c r="AB33" s="11">
        <f t="shared" si="27"/>
        <v>15186155.090437818</v>
      </c>
      <c r="AC33" s="11">
        <f t="shared" si="19"/>
        <v>6074462.0361751281</v>
      </c>
      <c r="AD33" s="11">
        <f t="shared" si="20"/>
        <v>10769029.830318745</v>
      </c>
      <c r="AG33" s="3">
        <f t="shared" si="2"/>
        <v>22</v>
      </c>
      <c r="AH33" s="11">
        <f t="shared" si="3"/>
        <v>19320000</v>
      </c>
      <c r="AI33" s="11">
        <f>0</f>
        <v>0</v>
      </c>
      <c r="AJ33" s="11">
        <v>0</v>
      </c>
      <c r="AK33" s="11">
        <f t="shared" si="21"/>
        <v>3253716</v>
      </c>
      <c r="AL33" s="11">
        <f t="shared" si="28"/>
        <v>16066284</v>
      </c>
      <c r="AM33" s="11">
        <f t="shared" si="23"/>
        <v>6426513.6000000006</v>
      </c>
      <c r="AN33" s="11">
        <f t="shared" si="24"/>
        <v>12893486.399999999</v>
      </c>
    </row>
    <row r="34" spans="1:40">
      <c r="A34" s="3">
        <f>'Step-1-Cost &amp; Revenues'!F60</f>
        <v>23</v>
      </c>
      <c r="B34" s="11">
        <f>'Step-1-Cost &amp; Revenues'!H60</f>
        <v>19320000</v>
      </c>
      <c r="C34" s="11">
        <f t="shared" si="25"/>
        <v>1676198.1851411434</v>
      </c>
      <c r="D34" s="11">
        <f t="shared" si="6"/>
        <v>800309.94836498599</v>
      </c>
      <c r="E34" s="11">
        <f t="shared" si="7"/>
        <v>2961000</v>
      </c>
      <c r="F34" s="11">
        <f t="shared" si="8"/>
        <v>15558690.051635016</v>
      </c>
      <c r="G34" s="11">
        <f t="shared" si="9"/>
        <v>6223476.0206540069</v>
      </c>
      <c r="H34" s="11">
        <f t="shared" si="10"/>
        <v>10620015.845839866</v>
      </c>
      <c r="K34" s="3">
        <f t="shared" si="4"/>
        <v>23</v>
      </c>
      <c r="L34" s="11">
        <f t="shared" si="5"/>
        <v>19320000</v>
      </c>
      <c r="M34" s="11">
        <f>0</f>
        <v>0</v>
      </c>
      <c r="N34" s="11">
        <v>0</v>
      </c>
      <c r="O34" s="11">
        <f t="shared" si="11"/>
        <v>2961000</v>
      </c>
      <c r="P34" s="11">
        <f t="shared" si="26"/>
        <v>16359000</v>
      </c>
      <c r="Q34" s="11">
        <f t="shared" si="13"/>
        <v>6543600</v>
      </c>
      <c r="R34" s="11">
        <f t="shared" si="14"/>
        <v>12776400</v>
      </c>
      <c r="U34" s="3">
        <v>23</v>
      </c>
      <c r="V34" s="12">
        <v>2.564E-2</v>
      </c>
      <c r="W34" s="3">
        <f t="shared" si="0"/>
        <v>23</v>
      </c>
      <c r="X34" s="11">
        <f t="shared" si="1"/>
        <v>19320000</v>
      </c>
      <c r="Y34" s="11">
        <f t="shared" si="15"/>
        <v>1676198.1851411434</v>
      </c>
      <c r="Z34" s="11">
        <f t="shared" si="16"/>
        <v>800309.94836498599</v>
      </c>
      <c r="AA34" s="11">
        <f t="shared" si="17"/>
        <v>3253716</v>
      </c>
      <c r="AB34" s="11">
        <f t="shared" si="27"/>
        <v>15265974.051635016</v>
      </c>
      <c r="AC34" s="11">
        <f t="shared" si="19"/>
        <v>6106389.6206540065</v>
      </c>
      <c r="AD34" s="11">
        <f t="shared" si="20"/>
        <v>10737102.245839868</v>
      </c>
      <c r="AG34" s="3">
        <f t="shared" si="2"/>
        <v>23</v>
      </c>
      <c r="AH34" s="11">
        <f t="shared" si="3"/>
        <v>19320000</v>
      </c>
      <c r="AI34" s="11">
        <f>0</f>
        <v>0</v>
      </c>
      <c r="AJ34" s="11">
        <v>0</v>
      </c>
      <c r="AK34" s="11">
        <f t="shared" si="21"/>
        <v>3253716</v>
      </c>
      <c r="AL34" s="11">
        <f t="shared" si="28"/>
        <v>16066284</v>
      </c>
      <c r="AM34" s="11">
        <f t="shared" si="23"/>
        <v>6426513.6000000006</v>
      </c>
      <c r="AN34" s="11">
        <f t="shared" si="24"/>
        <v>12893486.399999999</v>
      </c>
    </row>
    <row r="35" spans="1:40">
      <c r="A35" s="3">
        <f>'Step-1-Cost &amp; Revenues'!F61</f>
        <v>24</v>
      </c>
      <c r="B35" s="11">
        <f>'Step-1-Cost &amp; Revenues'!H61</f>
        <v>19320000</v>
      </c>
      <c r="C35" s="11">
        <f t="shared" si="25"/>
        <v>1760008.0943982005</v>
      </c>
      <c r="D35" s="11">
        <f t="shared" si="6"/>
        <v>716500.03910792887</v>
      </c>
      <c r="E35" s="11">
        <f t="shared" si="7"/>
        <v>2961000</v>
      </c>
      <c r="F35" s="11">
        <f t="shared" si="8"/>
        <v>15642499.96089207</v>
      </c>
      <c r="G35" s="11">
        <f t="shared" si="9"/>
        <v>6256999.984356828</v>
      </c>
      <c r="H35" s="11">
        <f t="shared" si="10"/>
        <v>10586491.882137042</v>
      </c>
      <c r="K35" s="3">
        <f t="shared" si="4"/>
        <v>24</v>
      </c>
      <c r="L35" s="11">
        <f t="shared" si="5"/>
        <v>19320000</v>
      </c>
      <c r="M35" s="11">
        <f>0</f>
        <v>0</v>
      </c>
      <c r="N35" s="11">
        <v>0</v>
      </c>
      <c r="O35" s="11">
        <f t="shared" si="11"/>
        <v>2961000</v>
      </c>
      <c r="P35" s="11">
        <f t="shared" si="26"/>
        <v>16359000</v>
      </c>
      <c r="Q35" s="11">
        <f t="shared" si="13"/>
        <v>6543600</v>
      </c>
      <c r="R35" s="11">
        <f t="shared" si="14"/>
        <v>12776400</v>
      </c>
      <c r="U35" s="3">
        <v>24</v>
      </c>
      <c r="V35" s="12">
        <v>2.564E-2</v>
      </c>
      <c r="W35" s="3">
        <f t="shared" si="0"/>
        <v>24</v>
      </c>
      <c r="X35" s="11">
        <f t="shared" si="1"/>
        <v>19320000</v>
      </c>
      <c r="Y35" s="11">
        <f t="shared" si="15"/>
        <v>1760008.0943982005</v>
      </c>
      <c r="Z35" s="11">
        <f t="shared" si="16"/>
        <v>716500.03910792887</v>
      </c>
      <c r="AA35" s="11">
        <f t="shared" si="17"/>
        <v>3253716</v>
      </c>
      <c r="AB35" s="11">
        <f t="shared" si="27"/>
        <v>15349783.96089207</v>
      </c>
      <c r="AC35" s="11">
        <f t="shared" si="19"/>
        <v>6139913.5843568286</v>
      </c>
      <c r="AD35" s="11">
        <f t="shared" si="20"/>
        <v>10703578.28213704</v>
      </c>
      <c r="AG35" s="3">
        <f t="shared" si="2"/>
        <v>24</v>
      </c>
      <c r="AH35" s="11">
        <f t="shared" si="3"/>
        <v>19320000</v>
      </c>
      <c r="AI35" s="11">
        <f>0</f>
        <v>0</v>
      </c>
      <c r="AJ35" s="11">
        <v>0</v>
      </c>
      <c r="AK35" s="11">
        <f t="shared" si="21"/>
        <v>3253716</v>
      </c>
      <c r="AL35" s="11">
        <f t="shared" si="28"/>
        <v>16066284</v>
      </c>
      <c r="AM35" s="11">
        <f t="shared" si="23"/>
        <v>6426513.6000000006</v>
      </c>
      <c r="AN35" s="11">
        <f t="shared" si="24"/>
        <v>12893486.399999999</v>
      </c>
    </row>
    <row r="36" spans="1:40">
      <c r="A36" s="3">
        <f>'Step-1-Cost &amp; Revenues'!F62</f>
        <v>25</v>
      </c>
      <c r="B36" s="11">
        <f>'Step-1-Cost &amp; Revenues'!H62</f>
        <v>19320000</v>
      </c>
      <c r="C36" s="11">
        <f t="shared" si="25"/>
        <v>1848008.4991181106</v>
      </c>
      <c r="D36" s="11">
        <f t="shared" si="6"/>
        <v>628499.63438801875</v>
      </c>
      <c r="E36" s="11">
        <f t="shared" si="7"/>
        <v>2961000</v>
      </c>
      <c r="F36" s="11">
        <f t="shared" si="8"/>
        <v>15730500.365611982</v>
      </c>
      <c r="G36" s="11">
        <f t="shared" si="9"/>
        <v>6292200.1462447932</v>
      </c>
      <c r="H36" s="11">
        <f t="shared" si="10"/>
        <v>10551291.720249075</v>
      </c>
      <c r="K36" s="3">
        <f t="shared" si="4"/>
        <v>25</v>
      </c>
      <c r="L36" s="11">
        <f t="shared" si="5"/>
        <v>19320000</v>
      </c>
      <c r="M36" s="11">
        <f>0</f>
        <v>0</v>
      </c>
      <c r="N36" s="11">
        <v>0</v>
      </c>
      <c r="O36" s="11">
        <f t="shared" si="11"/>
        <v>2961000</v>
      </c>
      <c r="P36" s="11">
        <f t="shared" si="26"/>
        <v>16359000</v>
      </c>
      <c r="Q36" s="11">
        <f t="shared" si="13"/>
        <v>6543600</v>
      </c>
      <c r="R36" s="11">
        <f t="shared" si="14"/>
        <v>12776400</v>
      </c>
      <c r="U36" s="3">
        <v>25</v>
      </c>
      <c r="V36" s="12">
        <v>2.564E-2</v>
      </c>
      <c r="W36" s="3">
        <f t="shared" si="0"/>
        <v>25</v>
      </c>
      <c r="X36" s="11">
        <f t="shared" si="1"/>
        <v>19320000</v>
      </c>
      <c r="Y36" s="11">
        <f t="shared" si="15"/>
        <v>1848008.4991181106</v>
      </c>
      <c r="Z36" s="11">
        <f t="shared" si="16"/>
        <v>628499.63438801875</v>
      </c>
      <c r="AA36" s="11">
        <f t="shared" si="17"/>
        <v>3253716</v>
      </c>
      <c r="AB36" s="11">
        <f t="shared" si="27"/>
        <v>15437784.365611982</v>
      </c>
      <c r="AC36" s="11">
        <f t="shared" si="19"/>
        <v>6175113.7462447928</v>
      </c>
      <c r="AD36" s="11">
        <f t="shared" si="20"/>
        <v>10668378.120249078</v>
      </c>
      <c r="AG36" s="3">
        <f t="shared" si="2"/>
        <v>25</v>
      </c>
      <c r="AH36" s="11">
        <f t="shared" si="3"/>
        <v>19320000</v>
      </c>
      <c r="AI36" s="11">
        <f>0</f>
        <v>0</v>
      </c>
      <c r="AJ36" s="11">
        <v>0</v>
      </c>
      <c r="AK36" s="11">
        <f t="shared" si="21"/>
        <v>3253716</v>
      </c>
      <c r="AL36" s="11">
        <f t="shared" si="28"/>
        <v>16066284</v>
      </c>
      <c r="AM36" s="11">
        <f t="shared" si="23"/>
        <v>6426513.6000000006</v>
      </c>
      <c r="AN36" s="11">
        <f t="shared" si="24"/>
        <v>12893486.399999999</v>
      </c>
    </row>
    <row r="37" spans="1:40">
      <c r="A37" s="3">
        <f>'Step-1-Cost &amp; Revenues'!F63</f>
        <v>26</v>
      </c>
      <c r="B37" s="11">
        <f>'Step-1-Cost &amp; Revenues'!H63</f>
        <v>19320000</v>
      </c>
      <c r="C37" s="11">
        <f t="shared" si="25"/>
        <v>1940408.9240740163</v>
      </c>
      <c r="D37" s="11">
        <f t="shared" si="6"/>
        <v>536099.20943211322</v>
      </c>
      <c r="E37" s="11">
        <f t="shared" si="7"/>
        <v>2961000</v>
      </c>
      <c r="F37" s="11">
        <f t="shared" si="8"/>
        <v>15822900.790567886</v>
      </c>
      <c r="G37" s="11">
        <f t="shared" si="9"/>
        <v>6329160.3162271548</v>
      </c>
      <c r="H37" s="11">
        <f t="shared" si="10"/>
        <v>10514331.550266715</v>
      </c>
      <c r="K37" s="3">
        <f t="shared" si="4"/>
        <v>26</v>
      </c>
      <c r="L37" s="11">
        <f t="shared" si="5"/>
        <v>19320000</v>
      </c>
      <c r="M37" s="11">
        <f>0</f>
        <v>0</v>
      </c>
      <c r="N37" s="11">
        <v>0</v>
      </c>
      <c r="O37" s="11">
        <f t="shared" si="11"/>
        <v>2961000</v>
      </c>
      <c r="P37" s="11">
        <f t="shared" si="26"/>
        <v>16359000</v>
      </c>
      <c r="Q37" s="11">
        <f t="shared" si="13"/>
        <v>6543600</v>
      </c>
      <c r="R37" s="11">
        <f t="shared" si="14"/>
        <v>12776400</v>
      </c>
      <c r="U37" s="3">
        <v>26</v>
      </c>
      <c r="V37" s="12">
        <v>2.564E-2</v>
      </c>
      <c r="W37" s="3">
        <f t="shared" si="0"/>
        <v>26</v>
      </c>
      <c r="X37" s="11">
        <f t="shared" si="1"/>
        <v>19320000</v>
      </c>
      <c r="Y37" s="11">
        <f t="shared" si="15"/>
        <v>1940408.9240740163</v>
      </c>
      <c r="Z37" s="11">
        <f t="shared" si="16"/>
        <v>536099.20943211322</v>
      </c>
      <c r="AA37" s="11">
        <f t="shared" si="17"/>
        <v>3253716</v>
      </c>
      <c r="AB37" s="11">
        <f t="shared" si="27"/>
        <v>15530184.790567886</v>
      </c>
      <c r="AC37" s="11">
        <f t="shared" si="19"/>
        <v>6212073.9162271544</v>
      </c>
      <c r="AD37" s="11">
        <f t="shared" si="20"/>
        <v>10631417.950266715</v>
      </c>
      <c r="AG37" s="3">
        <f t="shared" si="2"/>
        <v>26</v>
      </c>
      <c r="AH37" s="11">
        <f t="shared" si="3"/>
        <v>19320000</v>
      </c>
      <c r="AI37" s="11">
        <f>0</f>
        <v>0</v>
      </c>
      <c r="AJ37" s="11">
        <v>0</v>
      </c>
      <c r="AK37" s="11">
        <f t="shared" si="21"/>
        <v>3253716</v>
      </c>
      <c r="AL37" s="11">
        <f t="shared" si="28"/>
        <v>16066284</v>
      </c>
      <c r="AM37" s="11">
        <f t="shared" si="23"/>
        <v>6426513.6000000006</v>
      </c>
      <c r="AN37" s="11">
        <f t="shared" si="24"/>
        <v>12893486.399999999</v>
      </c>
    </row>
    <row r="38" spans="1:40">
      <c r="A38" s="3">
        <f>'Step-1-Cost &amp; Revenues'!F64</f>
        <v>27</v>
      </c>
      <c r="B38" s="11">
        <f>'Step-1-Cost &amp; Revenues'!H64</f>
        <v>19320000</v>
      </c>
      <c r="C38" s="11">
        <f t="shared" si="25"/>
        <v>2037429.370277717</v>
      </c>
      <c r="D38" s="11">
        <f t="shared" si="6"/>
        <v>439078.76322841237</v>
      </c>
      <c r="E38" s="11">
        <f t="shared" si="7"/>
        <v>2961000</v>
      </c>
      <c r="F38" s="11">
        <f t="shared" si="8"/>
        <v>15919921.236771587</v>
      </c>
      <c r="G38" s="11">
        <f t="shared" si="9"/>
        <v>6367968.4947086349</v>
      </c>
      <c r="H38" s="11">
        <f t="shared" si="10"/>
        <v>10475523.371785235</v>
      </c>
      <c r="K38" s="3">
        <f t="shared" si="4"/>
        <v>27</v>
      </c>
      <c r="L38" s="11">
        <f t="shared" si="5"/>
        <v>19320000</v>
      </c>
      <c r="M38" s="11">
        <f>0</f>
        <v>0</v>
      </c>
      <c r="N38" s="11">
        <v>0</v>
      </c>
      <c r="O38" s="11">
        <f t="shared" si="11"/>
        <v>2961000</v>
      </c>
      <c r="P38" s="11">
        <f t="shared" si="26"/>
        <v>16359000</v>
      </c>
      <c r="Q38" s="11">
        <f t="shared" si="13"/>
        <v>6543600</v>
      </c>
      <c r="R38" s="11">
        <f t="shared" si="14"/>
        <v>12776400</v>
      </c>
      <c r="U38" s="3">
        <v>27</v>
      </c>
      <c r="V38" s="12">
        <v>2.564E-2</v>
      </c>
      <c r="W38" s="3">
        <f t="shared" si="0"/>
        <v>27</v>
      </c>
      <c r="X38" s="11">
        <f t="shared" si="1"/>
        <v>19320000</v>
      </c>
      <c r="Y38" s="11">
        <f t="shared" si="15"/>
        <v>2037429.370277717</v>
      </c>
      <c r="Z38" s="11">
        <f t="shared" si="16"/>
        <v>439078.76322841237</v>
      </c>
      <c r="AA38" s="11">
        <f t="shared" si="17"/>
        <v>3253716</v>
      </c>
      <c r="AB38" s="11">
        <f t="shared" si="27"/>
        <v>15627205.236771587</v>
      </c>
      <c r="AC38" s="11">
        <f t="shared" si="19"/>
        <v>6250882.0947086355</v>
      </c>
      <c r="AD38" s="11">
        <f t="shared" si="20"/>
        <v>10592609.771785233</v>
      </c>
      <c r="AG38" s="3">
        <f t="shared" si="2"/>
        <v>27</v>
      </c>
      <c r="AH38" s="11">
        <f t="shared" si="3"/>
        <v>19320000</v>
      </c>
      <c r="AI38" s="11">
        <f>0</f>
        <v>0</v>
      </c>
      <c r="AJ38" s="11">
        <v>0</v>
      </c>
      <c r="AK38" s="11">
        <f t="shared" si="21"/>
        <v>3253716</v>
      </c>
      <c r="AL38" s="11">
        <f t="shared" si="28"/>
        <v>16066284</v>
      </c>
      <c r="AM38" s="11">
        <f t="shared" si="23"/>
        <v>6426513.6000000006</v>
      </c>
      <c r="AN38" s="11">
        <f t="shared" si="24"/>
        <v>12893486.399999999</v>
      </c>
    </row>
    <row r="39" spans="1:40">
      <c r="A39" s="3">
        <f>'Step-1-Cost &amp; Revenues'!F65</f>
        <v>28</v>
      </c>
      <c r="B39" s="11">
        <f>'Step-1-Cost &amp; Revenues'!H65</f>
        <v>19320000</v>
      </c>
      <c r="C39" s="11">
        <f t="shared" si="25"/>
        <v>2139300.8387916028</v>
      </c>
      <c r="D39" s="11">
        <f t="shared" si="6"/>
        <v>337207.29471452651</v>
      </c>
      <c r="E39" s="11">
        <f t="shared" si="7"/>
        <v>2961000</v>
      </c>
      <c r="F39" s="11">
        <f t="shared" si="8"/>
        <v>16021792.705285475</v>
      </c>
      <c r="G39" s="11">
        <f t="shared" si="9"/>
        <v>6408717.0821141899</v>
      </c>
      <c r="H39" s="11">
        <f t="shared" si="10"/>
        <v>10434774.784379683</v>
      </c>
      <c r="K39" s="3">
        <f t="shared" si="4"/>
        <v>28</v>
      </c>
      <c r="L39" s="11">
        <f t="shared" si="5"/>
        <v>19320000</v>
      </c>
      <c r="M39" s="11">
        <f>0</f>
        <v>0</v>
      </c>
      <c r="N39" s="11">
        <v>0</v>
      </c>
      <c r="O39" s="11">
        <f t="shared" si="11"/>
        <v>2961000</v>
      </c>
      <c r="P39" s="11">
        <f t="shared" si="26"/>
        <v>16359000</v>
      </c>
      <c r="Q39" s="11">
        <f t="shared" si="13"/>
        <v>6543600</v>
      </c>
      <c r="R39" s="11">
        <f t="shared" si="14"/>
        <v>12776400</v>
      </c>
      <c r="U39" s="3">
        <v>28</v>
      </c>
      <c r="V39" s="12">
        <v>2.564E-2</v>
      </c>
      <c r="W39" s="3">
        <f t="shared" si="0"/>
        <v>28</v>
      </c>
      <c r="X39" s="11">
        <f t="shared" si="1"/>
        <v>19320000</v>
      </c>
      <c r="Y39" s="11">
        <f t="shared" si="15"/>
        <v>2139300.8387916028</v>
      </c>
      <c r="Z39" s="11">
        <f t="shared" si="16"/>
        <v>337207.29471452651</v>
      </c>
      <c r="AA39" s="11">
        <f t="shared" si="17"/>
        <v>3253716</v>
      </c>
      <c r="AB39" s="11">
        <f t="shared" si="27"/>
        <v>15729076.705285475</v>
      </c>
      <c r="AC39" s="11">
        <f t="shared" si="19"/>
        <v>6291630.6821141904</v>
      </c>
      <c r="AD39" s="11">
        <f t="shared" si="20"/>
        <v>10551861.184379682</v>
      </c>
      <c r="AG39" s="3">
        <f t="shared" si="2"/>
        <v>28</v>
      </c>
      <c r="AH39" s="11">
        <f t="shared" si="3"/>
        <v>19320000</v>
      </c>
      <c r="AI39" s="11">
        <f>0</f>
        <v>0</v>
      </c>
      <c r="AJ39" s="11">
        <v>0</v>
      </c>
      <c r="AK39" s="11">
        <f t="shared" si="21"/>
        <v>3253716</v>
      </c>
      <c r="AL39" s="11">
        <f t="shared" si="28"/>
        <v>16066284</v>
      </c>
      <c r="AM39" s="11">
        <f t="shared" si="23"/>
        <v>6426513.6000000006</v>
      </c>
      <c r="AN39" s="11">
        <f t="shared" si="24"/>
        <v>12893486.399999999</v>
      </c>
    </row>
    <row r="40" spans="1:40">
      <c r="A40" s="3">
        <f>'Step-1-Cost &amp; Revenues'!F66</f>
        <v>29</v>
      </c>
      <c r="B40" s="11">
        <f>'Step-1-Cost &amp; Revenues'!H66</f>
        <v>19320000</v>
      </c>
      <c r="C40" s="11">
        <f t="shared" si="25"/>
        <v>2246265.8807311831</v>
      </c>
      <c r="D40" s="11">
        <f t="shared" si="6"/>
        <v>230242.2527749463</v>
      </c>
      <c r="E40" s="11">
        <f t="shared" si="7"/>
        <v>2961000</v>
      </c>
      <c r="F40" s="11">
        <f t="shared" si="8"/>
        <v>16128757.747225054</v>
      </c>
      <c r="G40" s="11">
        <f t="shared" si="9"/>
        <v>6451503.0988900214</v>
      </c>
      <c r="H40" s="11">
        <f t="shared" si="10"/>
        <v>10391988.767603848</v>
      </c>
      <c r="K40" s="3">
        <f t="shared" si="4"/>
        <v>29</v>
      </c>
      <c r="L40" s="11">
        <f t="shared" si="5"/>
        <v>19320000</v>
      </c>
      <c r="M40" s="11">
        <f>0</f>
        <v>0</v>
      </c>
      <c r="N40" s="11">
        <v>0</v>
      </c>
      <c r="O40" s="11">
        <f t="shared" si="11"/>
        <v>2961000</v>
      </c>
      <c r="P40" s="11">
        <f t="shared" si="26"/>
        <v>16359000</v>
      </c>
      <c r="Q40" s="11">
        <f t="shared" si="13"/>
        <v>6543600</v>
      </c>
      <c r="R40" s="11">
        <f t="shared" si="14"/>
        <v>12776400</v>
      </c>
      <c r="U40" s="3">
        <v>29</v>
      </c>
      <c r="V40" s="12">
        <v>2.564E-2</v>
      </c>
      <c r="W40" s="3">
        <f t="shared" si="0"/>
        <v>29</v>
      </c>
      <c r="X40" s="11">
        <f t="shared" si="1"/>
        <v>19320000</v>
      </c>
      <c r="Y40" s="11">
        <f t="shared" si="15"/>
        <v>2246265.8807311831</v>
      </c>
      <c r="Z40" s="11">
        <f t="shared" si="16"/>
        <v>230242.2527749463</v>
      </c>
      <c r="AA40" s="11">
        <f t="shared" si="17"/>
        <v>3253716</v>
      </c>
      <c r="AB40" s="11">
        <f t="shared" si="27"/>
        <v>15836041.747225054</v>
      </c>
      <c r="AC40" s="11">
        <f t="shared" si="19"/>
        <v>6334416.698890022</v>
      </c>
      <c r="AD40" s="11">
        <f t="shared" si="20"/>
        <v>10509075.167603847</v>
      </c>
      <c r="AG40" s="3">
        <f t="shared" si="2"/>
        <v>29</v>
      </c>
      <c r="AH40" s="11">
        <f t="shared" si="3"/>
        <v>19320000</v>
      </c>
      <c r="AI40" s="11">
        <f>0</f>
        <v>0</v>
      </c>
      <c r="AJ40" s="11">
        <v>0</v>
      </c>
      <c r="AK40" s="11">
        <f t="shared" si="21"/>
        <v>3253716</v>
      </c>
      <c r="AL40" s="11">
        <f t="shared" si="28"/>
        <v>16066284</v>
      </c>
      <c r="AM40" s="11">
        <f t="shared" si="23"/>
        <v>6426513.6000000006</v>
      </c>
      <c r="AN40" s="11">
        <f t="shared" si="24"/>
        <v>12893486.399999999</v>
      </c>
    </row>
    <row r="41" spans="1:40">
      <c r="A41" s="3">
        <f>'Step-1-Cost &amp; Revenues'!F67</f>
        <v>30</v>
      </c>
      <c r="B41" s="11">
        <f>'Step-1-Cost &amp; Revenues'!H67</f>
        <v>57390000</v>
      </c>
      <c r="C41" s="11">
        <f t="shared" si="25"/>
        <v>2358579.1747677419</v>
      </c>
      <c r="D41" s="11">
        <f t="shared" si="6"/>
        <v>117928.95873838715</v>
      </c>
      <c r="E41" s="11">
        <f t="shared" si="7"/>
        <v>2961000</v>
      </c>
      <c r="F41" s="11">
        <f>B41-D41-E41-E42</f>
        <v>16241071.041261613</v>
      </c>
      <c r="G41" s="11">
        <f t="shared" si="9"/>
        <v>6496428.4165046457</v>
      </c>
      <c r="H41" s="11">
        <f t="shared" si="10"/>
        <v>48417063.449989229</v>
      </c>
      <c r="K41" s="3">
        <f t="shared" si="4"/>
        <v>30</v>
      </c>
      <c r="L41" s="11">
        <f t="shared" si="5"/>
        <v>57390000</v>
      </c>
      <c r="M41" s="11">
        <f>-M11</f>
        <v>38070000</v>
      </c>
      <c r="N41" s="11">
        <f>FV(B4,30,0,M11)+M11</f>
        <v>126466346.22198573</v>
      </c>
      <c r="O41" s="11">
        <f t="shared" si="11"/>
        <v>2961000</v>
      </c>
      <c r="P41" s="11">
        <f>L41-N41-O41-O42</f>
        <v>-110107346.22198573</v>
      </c>
      <c r="Q41" s="11">
        <f t="shared" si="13"/>
        <v>-44042938.488794297</v>
      </c>
      <c r="R41" s="11">
        <f t="shared" si="14"/>
        <v>-63103407.733191431</v>
      </c>
      <c r="U41" s="3">
        <v>30</v>
      </c>
      <c r="V41" s="12">
        <f>2.564%/2</f>
        <v>1.282E-2</v>
      </c>
      <c r="W41" s="3">
        <f t="shared" si="0"/>
        <v>30</v>
      </c>
      <c r="X41" s="11">
        <f t="shared" si="1"/>
        <v>57390000</v>
      </c>
      <c r="Y41" s="11">
        <f t="shared" si="15"/>
        <v>2358579.1747677419</v>
      </c>
      <c r="Z41" s="11">
        <f t="shared" si="16"/>
        <v>117928.95873838715</v>
      </c>
      <c r="AA41" s="11">
        <f t="shared" si="17"/>
        <v>1626858</v>
      </c>
      <c r="AB41" s="11">
        <f>X41-Z41-AA41-AA42</f>
        <v>24599128.041261613</v>
      </c>
      <c r="AC41" s="11">
        <f t="shared" si="19"/>
        <v>9839651.2165046465</v>
      </c>
      <c r="AD41" s="11">
        <f t="shared" si="20"/>
        <v>45073840.649989225</v>
      </c>
      <c r="AG41" s="3">
        <f t="shared" si="2"/>
        <v>30</v>
      </c>
      <c r="AH41" s="11">
        <f t="shared" si="3"/>
        <v>57390000</v>
      </c>
      <c r="AI41" s="11">
        <f>-AI11</f>
        <v>38070000</v>
      </c>
      <c r="AJ41" s="11">
        <f>FV(X4,30,0,AI11)+AI11</f>
        <v>0</v>
      </c>
      <c r="AK41" s="11">
        <f t="shared" si="21"/>
        <v>1626858</v>
      </c>
      <c r="AL41" s="11">
        <f>AH41-AJ41-AK41-AK42</f>
        <v>24717057</v>
      </c>
      <c r="AM41" s="11">
        <f t="shared" si="23"/>
        <v>9886822.8000000007</v>
      </c>
      <c r="AN41" s="11">
        <f t="shared" si="24"/>
        <v>9433177.1999999993</v>
      </c>
    </row>
    <row r="42" spans="1:40">
      <c r="B42" s="11"/>
      <c r="C42" s="11"/>
      <c r="D42" s="13" t="s">
        <v>79</v>
      </c>
      <c r="E42" s="11">
        <f>-B11-SUM(E12:E41)</f>
        <v>38070000</v>
      </c>
      <c r="F42" s="11"/>
      <c r="G42" s="13" t="s">
        <v>78</v>
      </c>
      <c r="H42" s="11">
        <f>NPV($B$3,H12:H41)+H11</f>
        <v>32693923.376058832</v>
      </c>
      <c r="L42" s="11"/>
      <c r="M42" s="11"/>
      <c r="N42" s="13" t="s">
        <v>79</v>
      </c>
      <c r="O42" s="11">
        <f>-L11-SUM(O12:O41)</f>
        <v>38070000</v>
      </c>
      <c r="P42" s="11"/>
      <c r="Q42" s="13" t="s">
        <v>78</v>
      </c>
      <c r="R42" s="11">
        <f>NPV($B$3,R12:R41)+R11</f>
        <v>36799191.344881222</v>
      </c>
      <c r="X42" s="11"/>
      <c r="Y42" s="11"/>
      <c r="Z42" s="13" t="s">
        <v>79</v>
      </c>
      <c r="AA42" s="11">
        <f>-X11-SUM(AA12:AA41)</f>
        <v>31046085</v>
      </c>
      <c r="AB42" s="11"/>
      <c r="AC42" s="13" t="s">
        <v>78</v>
      </c>
      <c r="AD42" s="11">
        <f>NPV($B$3,AD12:AD41)+AD11</f>
        <v>33649088.726002663</v>
      </c>
      <c r="AH42" s="11"/>
      <c r="AI42" s="11"/>
      <c r="AJ42" s="13" t="s">
        <v>79</v>
      </c>
      <c r="AK42" s="11">
        <f>-AH11-SUM(AK12:AK41)</f>
        <v>31046085</v>
      </c>
      <c r="AL42" s="11"/>
      <c r="AM42" s="13" t="s">
        <v>78</v>
      </c>
      <c r="AN42" s="11">
        <f>NPV($B$3,AN12:AN41)+AN11</f>
        <v>53923981.432813972</v>
      </c>
    </row>
    <row r="43" spans="1:40">
      <c r="G43" s="1" t="s">
        <v>80</v>
      </c>
      <c r="H43" s="8">
        <f>IRR(H11:H41)</f>
        <v>7.2931659331520793E-2</v>
      </c>
      <c r="Q43" s="1" t="s">
        <v>80</v>
      </c>
      <c r="R43" s="8">
        <f>IRR(R11:R41)</f>
        <v>8.0735213789904225E-2</v>
      </c>
      <c r="AC43" s="1" t="s">
        <v>80</v>
      </c>
      <c r="AD43" s="8">
        <f>IRR(AD11:AD41)</f>
        <v>7.3634205620088933E-2</v>
      </c>
      <c r="AM43" s="1" t="s">
        <v>80</v>
      </c>
      <c r="AN43" s="8">
        <f>IRR(AN11:AN41)</f>
        <v>8.7558656390880341E-2</v>
      </c>
    </row>
    <row r="47" spans="1:40" ht="20">
      <c r="A47" s="29" t="s">
        <v>84</v>
      </c>
      <c r="K47" s="29" t="s">
        <v>84</v>
      </c>
      <c r="W47" s="29" t="s">
        <v>84</v>
      </c>
      <c r="AG47" s="29" t="s">
        <v>84</v>
      </c>
    </row>
    <row r="48" spans="1:40" ht="20">
      <c r="A48" s="29" t="s">
        <v>72</v>
      </c>
      <c r="K48" s="29" t="s">
        <v>72</v>
      </c>
      <c r="W48" s="29" t="s">
        <v>90</v>
      </c>
      <c r="AG48" s="29" t="s">
        <v>90</v>
      </c>
    </row>
    <row r="49" spans="1:40" ht="20">
      <c r="A49" s="29" t="s">
        <v>1</v>
      </c>
      <c r="K49" s="29" t="s">
        <v>6</v>
      </c>
      <c r="U49" s="1" t="s">
        <v>102</v>
      </c>
      <c r="V49" s="1"/>
      <c r="W49" s="29" t="s">
        <v>1</v>
      </c>
      <c r="AG49" s="29" t="s">
        <v>92</v>
      </c>
    </row>
    <row r="50" spans="1:40">
      <c r="A50" s="1" t="s">
        <v>4</v>
      </c>
      <c r="B50" s="1" t="s">
        <v>85</v>
      </c>
      <c r="C50" s="1" t="s">
        <v>73</v>
      </c>
      <c r="D50" s="1" t="s">
        <v>74</v>
      </c>
      <c r="E50" s="1" t="s">
        <v>75</v>
      </c>
      <c r="F50" s="1" t="s">
        <v>76</v>
      </c>
      <c r="G50" s="1" t="s">
        <v>77</v>
      </c>
      <c r="H50" s="1" t="s">
        <v>66</v>
      </c>
      <c r="K50" s="1" t="s">
        <v>2</v>
      </c>
      <c r="L50" s="1" t="s">
        <v>34</v>
      </c>
      <c r="M50" s="1" t="s">
        <v>73</v>
      </c>
      <c r="N50" s="1" t="s">
        <v>74</v>
      </c>
      <c r="O50" s="1" t="s">
        <v>75</v>
      </c>
      <c r="P50" s="1" t="s">
        <v>76</v>
      </c>
      <c r="Q50" s="1" t="s">
        <v>77</v>
      </c>
      <c r="R50" s="1" t="s">
        <v>66</v>
      </c>
      <c r="U50" s="1" t="s">
        <v>4</v>
      </c>
      <c r="V50" s="1" t="s">
        <v>91</v>
      </c>
      <c r="W50" s="1" t="str">
        <f t="shared" ref="W50:W81" si="29">A50</f>
        <v>EOY</v>
      </c>
      <c r="X50" s="1" t="str">
        <f t="shared" ref="X50:X81" si="30">B50</f>
        <v>BTCF</v>
      </c>
      <c r="Y50" s="1" t="s">
        <v>73</v>
      </c>
      <c r="Z50" s="1" t="s">
        <v>74</v>
      </c>
      <c r="AA50" s="1" t="s">
        <v>75</v>
      </c>
      <c r="AB50" s="1" t="s">
        <v>76</v>
      </c>
      <c r="AC50" s="1" t="s">
        <v>77</v>
      </c>
      <c r="AD50" s="1" t="s">
        <v>66</v>
      </c>
      <c r="AG50" s="1" t="str">
        <f t="shared" ref="AG50:AG81" si="31">A50</f>
        <v>EOY</v>
      </c>
      <c r="AH50" s="1" t="str">
        <f t="shared" ref="AH50:AH80" si="32">B50</f>
        <v>BTCF</v>
      </c>
      <c r="AI50" s="1" t="s">
        <v>73</v>
      </c>
      <c r="AJ50" s="1" t="s">
        <v>74</v>
      </c>
      <c r="AK50" s="1" t="s">
        <v>75</v>
      </c>
      <c r="AL50" s="1" t="s">
        <v>76</v>
      </c>
      <c r="AM50" s="1" t="s">
        <v>77</v>
      </c>
      <c r="AN50" s="1" t="s">
        <v>66</v>
      </c>
    </row>
    <row r="51" spans="1:40">
      <c r="A51" s="3">
        <v>0</v>
      </c>
      <c r="B51" s="11">
        <f>'Step-1-Cost &amp; Revenues'!G37</f>
        <v>-126900000</v>
      </c>
      <c r="C51" s="11">
        <f>-'Step-2-WACC'!B46</f>
        <v>0</v>
      </c>
      <c r="D51" s="11"/>
      <c r="E51" s="11"/>
      <c r="F51" s="11"/>
      <c r="G51" s="11"/>
      <c r="H51" s="11">
        <f>B51-C51</f>
        <v>-126900000</v>
      </c>
      <c r="K51" s="3">
        <v>0</v>
      </c>
      <c r="L51" s="11">
        <v>-126900000</v>
      </c>
      <c r="M51" s="11">
        <f>C11</f>
        <v>-38070000</v>
      </c>
      <c r="N51" s="11"/>
      <c r="O51" s="11"/>
      <c r="P51" s="11"/>
      <c r="Q51" s="11"/>
      <c r="R51" s="11">
        <f>L51-M51</f>
        <v>-88830000</v>
      </c>
      <c r="U51" s="3">
        <v>0</v>
      </c>
      <c r="W51" s="3">
        <f t="shared" si="29"/>
        <v>0</v>
      </c>
      <c r="X51" s="11">
        <f t="shared" si="30"/>
        <v>-126900000</v>
      </c>
      <c r="Y51" s="11">
        <f>$C$11</f>
        <v>-38070000</v>
      </c>
      <c r="Z51" s="11"/>
      <c r="AA51" s="11"/>
      <c r="AB51" s="11"/>
      <c r="AC51" s="11"/>
      <c r="AD51" s="11">
        <f>X51-Y51</f>
        <v>-88830000</v>
      </c>
      <c r="AG51" s="3">
        <f t="shared" si="31"/>
        <v>0</v>
      </c>
      <c r="AH51" s="9">
        <f t="shared" si="32"/>
        <v>-126900000</v>
      </c>
      <c r="AI51" s="11">
        <f>Y51</f>
        <v>-38070000</v>
      </c>
      <c r="AJ51" s="11"/>
      <c r="AK51" s="11"/>
      <c r="AL51" s="11"/>
      <c r="AM51" s="11"/>
      <c r="AN51" s="11">
        <f>AH51-AI51</f>
        <v>-88830000</v>
      </c>
    </row>
    <row r="52" spans="1:40">
      <c r="A52" s="3">
        <v>1</v>
      </c>
      <c r="B52" s="11">
        <f>'Step-1-Cost &amp; Revenues'!G38</f>
        <v>-34680000</v>
      </c>
      <c r="C52" s="11">
        <f>PPMT($B$4,A52,30,$C$11)</f>
        <v>573008.13350612938</v>
      </c>
      <c r="D52" s="11">
        <f>IPMT($B$4,A52,30,$C$11)</f>
        <v>1903500</v>
      </c>
      <c r="E52" s="11">
        <f>SLN(-$B$11,-30%*$B$11,30)</f>
        <v>2961000</v>
      </c>
      <c r="F52" s="11">
        <f>B52-D52-E52</f>
        <v>-39544500</v>
      </c>
      <c r="G52" s="11">
        <f>$B$5*F52</f>
        <v>-15817800</v>
      </c>
      <c r="H52" s="11">
        <f>B52-C52-D52-G52</f>
        <v>-21338708.133506127</v>
      </c>
      <c r="K52" s="3">
        <v>1</v>
      </c>
      <c r="L52" s="11">
        <v>-34680000</v>
      </c>
      <c r="M52" s="11">
        <f>0</f>
        <v>0</v>
      </c>
      <c r="N52" s="11">
        <v>0</v>
      </c>
      <c r="O52" s="11">
        <f>SLN(-$B$11,-30%*$B$11,30)</f>
        <v>2961000</v>
      </c>
      <c r="P52" s="11">
        <f>L52-N52-O52</f>
        <v>-37641000</v>
      </c>
      <c r="Q52" s="11">
        <f>$B$5*P52</f>
        <v>-15056400</v>
      </c>
      <c r="R52" s="11">
        <f>L52-M52-N52-Q52</f>
        <v>-19623600</v>
      </c>
      <c r="U52" s="3">
        <v>1</v>
      </c>
      <c r="V52" s="12">
        <v>2.461E-2</v>
      </c>
      <c r="W52" s="3">
        <f t="shared" si="29"/>
        <v>1</v>
      </c>
      <c r="X52" s="11">
        <f t="shared" si="30"/>
        <v>-34680000</v>
      </c>
      <c r="Y52" s="11">
        <f>PPMT($B$4,W52,30,$C$11)</f>
        <v>573008.13350612938</v>
      </c>
      <c r="Z52" s="11">
        <f>IPMT($B$4,W52,30,$C$11)</f>
        <v>1903500</v>
      </c>
      <c r="AA52" s="11">
        <f>-$B$11*V52</f>
        <v>3123009</v>
      </c>
      <c r="AB52" s="11">
        <f>X52-Z52-AA52</f>
        <v>-39706509</v>
      </c>
      <c r="AC52" s="11">
        <f>$B$5*AB52</f>
        <v>-15882603.600000001</v>
      </c>
      <c r="AD52" s="11">
        <f>X52-Y52-Z52-AC52</f>
        <v>-21273904.533506125</v>
      </c>
      <c r="AG52" s="3">
        <f t="shared" si="31"/>
        <v>1</v>
      </c>
      <c r="AH52" s="9">
        <f t="shared" si="32"/>
        <v>-34680000</v>
      </c>
      <c r="AI52" s="11">
        <f>0</f>
        <v>0</v>
      </c>
      <c r="AJ52" s="11">
        <v>0</v>
      </c>
      <c r="AK52" s="11">
        <f>-$B$11*V52</f>
        <v>3123009</v>
      </c>
      <c r="AL52" s="11">
        <f>AH52-AJ52-AK52</f>
        <v>-37803009</v>
      </c>
      <c r="AM52" s="11">
        <f>$B$5*AL52</f>
        <v>-15121203.600000001</v>
      </c>
      <c r="AN52" s="11">
        <f>AH52-AI52-AJ52-AM52</f>
        <v>-19558796.399999999</v>
      </c>
    </row>
    <row r="53" spans="1:40">
      <c r="A53" s="3">
        <v>2</v>
      </c>
      <c r="B53" s="11">
        <f>'Step-1-Cost &amp; Revenues'!G39</f>
        <v>-11544000</v>
      </c>
      <c r="C53" s="11">
        <f t="shared" ref="C53:C81" si="33">PPMT($B$4,A53,30,$C$11)</f>
        <v>601658.54018143588</v>
      </c>
      <c r="D53" s="11">
        <f t="shared" ref="D53:D81" si="34">IPMT($B$4,A53,30,$C$11)</f>
        <v>1874849.5933246934</v>
      </c>
      <c r="E53" s="11">
        <f t="shared" ref="E53:E81" si="35">SLN(-$B$11,-30%*$B$11,30)</f>
        <v>2961000</v>
      </c>
      <c r="F53" s="11">
        <f t="shared" ref="F53:F61" si="36">B53-D53-E53</f>
        <v>-16379849.593324693</v>
      </c>
      <c r="G53" s="11">
        <f t="shared" ref="G53:G81" si="37">$B$5*F53</f>
        <v>-6551939.8373298775</v>
      </c>
      <c r="H53" s="11">
        <f t="shared" ref="H53:H81" si="38">B53-C53-D53-G53</f>
        <v>-7468568.296176251</v>
      </c>
      <c r="K53" s="3">
        <v>2</v>
      </c>
      <c r="L53" s="11">
        <v>-11544000</v>
      </c>
      <c r="M53" s="11">
        <f>0</f>
        <v>0</v>
      </c>
      <c r="N53" s="11">
        <v>0</v>
      </c>
      <c r="O53" s="11">
        <f t="shared" ref="O53:O81" si="39">SLN(-$B$11,-30%*$B$11,30)</f>
        <v>2961000</v>
      </c>
      <c r="P53" s="11">
        <f t="shared" ref="P53:P62" si="40">L53-N53-O53</f>
        <v>-14505000</v>
      </c>
      <c r="Q53" s="11">
        <f t="shared" ref="Q53:Q80" si="41">$B$5*P53</f>
        <v>-5802000</v>
      </c>
      <c r="R53" s="11">
        <f t="shared" ref="R53:R81" si="42">L53-M53-N53-Q53</f>
        <v>-5742000</v>
      </c>
      <c r="U53" s="3">
        <v>2</v>
      </c>
      <c r="V53" s="12">
        <v>2.564E-2</v>
      </c>
      <c r="W53" s="3">
        <f t="shared" si="29"/>
        <v>2</v>
      </c>
      <c r="X53" s="11">
        <f t="shared" si="30"/>
        <v>-11544000</v>
      </c>
      <c r="Y53" s="11">
        <f t="shared" ref="Y53:Y63" si="43">PPMT($B$4,W53,30,$C$11)</f>
        <v>601658.54018143588</v>
      </c>
      <c r="Z53" s="11">
        <f t="shared" ref="Z53:Z81" si="44">IPMT($B$4,W53,30,$C$11)</f>
        <v>1874849.5933246934</v>
      </c>
      <c r="AA53" s="11">
        <f t="shared" ref="AA53:AA81" si="45">-$B$11*V53</f>
        <v>3253716</v>
      </c>
      <c r="AB53" s="11">
        <f t="shared" ref="AB53:AB62" si="46">X53-Z53-AA53</f>
        <v>-16672565.593324693</v>
      </c>
      <c r="AC53" s="11">
        <f t="shared" ref="AC53:AC81" si="47">$B$5*AB53</f>
        <v>-6669026.2373298779</v>
      </c>
      <c r="AD53" s="11">
        <f t="shared" ref="AD53:AD81" si="48">X53-Y53-Z53-AC53</f>
        <v>-7351481.8961762507</v>
      </c>
      <c r="AG53" s="3">
        <f t="shared" si="31"/>
        <v>2</v>
      </c>
      <c r="AH53" s="9">
        <f t="shared" si="32"/>
        <v>-11544000</v>
      </c>
      <c r="AI53" s="11">
        <f>0</f>
        <v>0</v>
      </c>
      <c r="AJ53" s="11">
        <v>0</v>
      </c>
      <c r="AK53" s="11">
        <f t="shared" ref="AK53:AK81" si="49">-$B$11*V53</f>
        <v>3253716</v>
      </c>
      <c r="AL53" s="11">
        <f t="shared" ref="AL53:AL62" si="50">AH53-AJ53-AK53</f>
        <v>-14797716</v>
      </c>
      <c r="AM53" s="11">
        <f t="shared" ref="AM53:AM81" si="51">$B$5*AL53</f>
        <v>-5919086.4000000004</v>
      </c>
      <c r="AN53" s="11">
        <f t="shared" ref="AN53:AN81" si="52">AH53-AI53-AJ53-AM53</f>
        <v>-5624913.5999999996</v>
      </c>
    </row>
    <row r="54" spans="1:40">
      <c r="A54" s="3">
        <v>3</v>
      </c>
      <c r="B54" s="11">
        <f>'Step-1-Cost &amp; Revenues'!G40</f>
        <v>23731680</v>
      </c>
      <c r="C54" s="11">
        <f>PPMT($B$4,A54,30,$C$11)</f>
        <v>631741.46719050768</v>
      </c>
      <c r="D54" s="11">
        <f>IPMT($B$4,A54,30,$C$11)</f>
        <v>1844766.6663156219</v>
      </c>
      <c r="E54" s="11">
        <f>SLN(-$B$11,-30%*$B$11,30)</f>
        <v>2961000</v>
      </c>
      <c r="F54" s="11">
        <f t="shared" si="36"/>
        <v>18925913.333684377</v>
      </c>
      <c r="G54" s="11">
        <f t="shared" si="37"/>
        <v>7570365.3334737513</v>
      </c>
      <c r="H54" s="11">
        <f t="shared" si="38"/>
        <v>13684806.533020118</v>
      </c>
      <c r="K54" s="3">
        <v>3</v>
      </c>
      <c r="L54" s="11">
        <v>23731680</v>
      </c>
      <c r="M54" s="11">
        <f>0</f>
        <v>0</v>
      </c>
      <c r="N54" s="11">
        <v>0</v>
      </c>
      <c r="O54" s="11">
        <f t="shared" si="39"/>
        <v>2961000</v>
      </c>
      <c r="P54" s="11">
        <f t="shared" si="40"/>
        <v>20770680</v>
      </c>
      <c r="Q54" s="11">
        <f t="shared" si="41"/>
        <v>8308272</v>
      </c>
      <c r="R54" s="11">
        <f t="shared" si="42"/>
        <v>15423408</v>
      </c>
      <c r="U54" s="3">
        <v>3</v>
      </c>
      <c r="V54" s="12">
        <v>2.564E-2</v>
      </c>
      <c r="W54" s="3">
        <f t="shared" si="29"/>
        <v>3</v>
      </c>
      <c r="X54" s="11">
        <f t="shared" si="30"/>
        <v>23731680</v>
      </c>
      <c r="Y54" s="11">
        <f t="shared" si="43"/>
        <v>631741.46719050768</v>
      </c>
      <c r="Z54" s="11">
        <f t="shared" si="44"/>
        <v>1844766.6663156219</v>
      </c>
      <c r="AA54" s="11">
        <f t="shared" si="45"/>
        <v>3253716</v>
      </c>
      <c r="AB54" s="11">
        <f t="shared" si="46"/>
        <v>18633197.333684377</v>
      </c>
      <c r="AC54" s="11">
        <f t="shared" si="47"/>
        <v>7453278.9334737509</v>
      </c>
      <c r="AD54" s="11">
        <f t="shared" si="48"/>
        <v>13801892.933020119</v>
      </c>
      <c r="AG54" s="3">
        <f t="shared" si="31"/>
        <v>3</v>
      </c>
      <c r="AH54" s="9">
        <f t="shared" si="32"/>
        <v>23731680</v>
      </c>
      <c r="AI54" s="11">
        <f>0</f>
        <v>0</v>
      </c>
      <c r="AJ54" s="11">
        <v>0</v>
      </c>
      <c r="AK54" s="11">
        <f t="shared" si="49"/>
        <v>3253716</v>
      </c>
      <c r="AL54" s="11">
        <f t="shared" si="50"/>
        <v>20477964</v>
      </c>
      <c r="AM54" s="11">
        <f t="shared" si="51"/>
        <v>8191185.6000000006</v>
      </c>
      <c r="AN54" s="11">
        <f t="shared" si="52"/>
        <v>15540494.399999999</v>
      </c>
    </row>
    <row r="55" spans="1:40">
      <c r="A55" s="3">
        <v>4</v>
      </c>
      <c r="B55" s="11">
        <f>'Step-1-Cost &amp; Revenues'!G41</f>
        <v>26003913.599999994</v>
      </c>
      <c r="C55" s="11">
        <f t="shared" si="33"/>
        <v>663328.5405500331</v>
      </c>
      <c r="D55" s="11">
        <f t="shared" si="34"/>
        <v>1813179.5929560964</v>
      </c>
      <c r="E55" s="11">
        <f t="shared" si="35"/>
        <v>2961000</v>
      </c>
      <c r="F55" s="11">
        <f t="shared" si="36"/>
        <v>21229734.007043898</v>
      </c>
      <c r="G55" s="11">
        <f t="shared" si="37"/>
        <v>8491893.6028175596</v>
      </c>
      <c r="H55" s="11">
        <f t="shared" si="38"/>
        <v>15035511.863676304</v>
      </c>
      <c r="K55" s="3">
        <v>4</v>
      </c>
      <c r="L55" s="11">
        <v>26003913.599999994</v>
      </c>
      <c r="M55" s="11">
        <f>0</f>
        <v>0</v>
      </c>
      <c r="N55" s="11">
        <v>0</v>
      </c>
      <c r="O55" s="11">
        <f t="shared" si="39"/>
        <v>2961000</v>
      </c>
      <c r="P55" s="11">
        <f t="shared" si="40"/>
        <v>23042913.599999994</v>
      </c>
      <c r="Q55" s="11">
        <f t="shared" si="41"/>
        <v>9217165.4399999976</v>
      </c>
      <c r="R55" s="11">
        <f t="shared" si="42"/>
        <v>16786748.159999996</v>
      </c>
      <c r="U55" s="3">
        <v>4</v>
      </c>
      <c r="V55" s="12">
        <v>2.564E-2</v>
      </c>
      <c r="W55" s="3">
        <f t="shared" si="29"/>
        <v>4</v>
      </c>
      <c r="X55" s="11">
        <f t="shared" si="30"/>
        <v>26003913.599999994</v>
      </c>
      <c r="Y55" s="11">
        <f t="shared" si="43"/>
        <v>663328.5405500331</v>
      </c>
      <c r="Z55" s="11">
        <f t="shared" si="44"/>
        <v>1813179.5929560964</v>
      </c>
      <c r="AA55" s="11">
        <f t="shared" si="45"/>
        <v>3253716</v>
      </c>
      <c r="AB55" s="11">
        <f t="shared" si="46"/>
        <v>20937018.007043898</v>
      </c>
      <c r="AC55" s="11">
        <f t="shared" si="47"/>
        <v>8374807.2028175592</v>
      </c>
      <c r="AD55" s="11">
        <f t="shared" si="48"/>
        <v>15152598.263676304</v>
      </c>
      <c r="AG55" s="3">
        <f t="shared" si="31"/>
        <v>4</v>
      </c>
      <c r="AH55" s="9">
        <f t="shared" si="32"/>
        <v>26003913.599999994</v>
      </c>
      <c r="AI55" s="11">
        <f>0</f>
        <v>0</v>
      </c>
      <c r="AJ55" s="11">
        <v>0</v>
      </c>
      <c r="AK55" s="11">
        <f t="shared" si="49"/>
        <v>3253716</v>
      </c>
      <c r="AL55" s="11">
        <f t="shared" si="50"/>
        <v>22750197.599999994</v>
      </c>
      <c r="AM55" s="11">
        <f t="shared" si="51"/>
        <v>9100079.0399999972</v>
      </c>
      <c r="AN55" s="11">
        <f t="shared" si="52"/>
        <v>16903834.559999995</v>
      </c>
    </row>
    <row r="56" spans="1:40">
      <c r="A56" s="3">
        <v>5</v>
      </c>
      <c r="B56" s="11">
        <f>'Step-1-Cost &amp; Revenues'!G42</f>
        <v>28321591.871999994</v>
      </c>
      <c r="C56" s="11">
        <f t="shared" si="33"/>
        <v>696494.96757753473</v>
      </c>
      <c r="D56" s="11">
        <f t="shared" si="34"/>
        <v>1780013.1659285948</v>
      </c>
      <c r="E56" s="11">
        <f t="shared" si="35"/>
        <v>2961000</v>
      </c>
      <c r="F56" s="11">
        <f t="shared" si="36"/>
        <v>23580578.706071399</v>
      </c>
      <c r="G56" s="11">
        <f t="shared" si="37"/>
        <v>9432231.48242856</v>
      </c>
      <c r="H56" s="11">
        <f>B56-C56-D56-G56</f>
        <v>16412852.256065303</v>
      </c>
      <c r="K56" s="3">
        <v>5</v>
      </c>
      <c r="L56" s="11">
        <v>28321591.871999994</v>
      </c>
      <c r="M56" s="11">
        <f>0</f>
        <v>0</v>
      </c>
      <c r="N56" s="11">
        <v>0</v>
      </c>
      <c r="O56" s="11">
        <f t="shared" si="39"/>
        <v>2961000</v>
      </c>
      <c r="P56" s="11">
        <f t="shared" si="40"/>
        <v>25360591.871999994</v>
      </c>
      <c r="Q56" s="11">
        <f t="shared" si="41"/>
        <v>10144236.748799998</v>
      </c>
      <c r="R56" s="11">
        <f t="shared" si="42"/>
        <v>18177355.123199996</v>
      </c>
      <c r="U56" s="3">
        <v>5</v>
      </c>
      <c r="V56" s="12">
        <v>2.564E-2</v>
      </c>
      <c r="W56" s="3">
        <f t="shared" si="29"/>
        <v>5</v>
      </c>
      <c r="X56" s="11">
        <f t="shared" si="30"/>
        <v>28321591.871999994</v>
      </c>
      <c r="Y56" s="11">
        <f t="shared" si="43"/>
        <v>696494.96757753473</v>
      </c>
      <c r="Z56" s="11">
        <f t="shared" si="44"/>
        <v>1780013.1659285948</v>
      </c>
      <c r="AA56" s="11">
        <f t="shared" si="45"/>
        <v>3253716</v>
      </c>
      <c r="AB56" s="11">
        <f t="shared" si="46"/>
        <v>23287862.706071399</v>
      </c>
      <c r="AC56" s="11">
        <f t="shared" si="47"/>
        <v>9315145.0824285597</v>
      </c>
      <c r="AD56" s="11">
        <f t="shared" si="48"/>
        <v>16529938.656065304</v>
      </c>
      <c r="AG56" s="3">
        <f t="shared" si="31"/>
        <v>5</v>
      </c>
      <c r="AH56" s="9">
        <f t="shared" si="32"/>
        <v>28321591.871999994</v>
      </c>
      <c r="AI56" s="11">
        <f>0</f>
        <v>0</v>
      </c>
      <c r="AJ56" s="11">
        <v>0</v>
      </c>
      <c r="AK56" s="11">
        <f t="shared" si="49"/>
        <v>3253716</v>
      </c>
      <c r="AL56" s="11">
        <f t="shared" si="50"/>
        <v>25067875.871999994</v>
      </c>
      <c r="AM56" s="11">
        <f t="shared" si="51"/>
        <v>10027150.348799998</v>
      </c>
      <c r="AN56" s="11">
        <f t="shared" si="52"/>
        <v>18294441.523199998</v>
      </c>
    </row>
    <row r="57" spans="1:40">
      <c r="A57" s="3">
        <v>6</v>
      </c>
      <c r="B57" s="11">
        <f>'Step-1-Cost &amp; Revenues'!G43</f>
        <v>30685623.709440008</v>
      </c>
      <c r="C57" s="11">
        <f t="shared" si="33"/>
        <v>731319.71595641144</v>
      </c>
      <c r="D57" s="11">
        <f t="shared" si="34"/>
        <v>1745188.4175497179</v>
      </c>
      <c r="E57" s="11">
        <f t="shared" si="35"/>
        <v>2961000</v>
      </c>
      <c r="F57" s="11">
        <f t="shared" si="36"/>
        <v>25979435.29189029</v>
      </c>
      <c r="G57" s="11">
        <f t="shared" si="37"/>
        <v>10391774.116756117</v>
      </c>
      <c r="H57" s="11">
        <f>B57-C57-D57-G57</f>
        <v>17817341.459177762</v>
      </c>
      <c r="K57" s="3">
        <v>6</v>
      </c>
      <c r="L57" s="11">
        <v>30685623.709440008</v>
      </c>
      <c r="M57" s="11">
        <f>0</f>
        <v>0</v>
      </c>
      <c r="N57" s="11">
        <v>0</v>
      </c>
      <c r="O57" s="11">
        <f t="shared" si="39"/>
        <v>2961000</v>
      </c>
      <c r="P57" s="11">
        <f t="shared" si="40"/>
        <v>27724623.709440008</v>
      </c>
      <c r="Q57" s="11">
        <f t="shared" si="41"/>
        <v>11089849.483776003</v>
      </c>
      <c r="R57" s="11">
        <f t="shared" si="42"/>
        <v>19595774.225664005</v>
      </c>
      <c r="U57" s="3">
        <v>6</v>
      </c>
      <c r="V57" s="12">
        <v>2.564E-2</v>
      </c>
      <c r="W57" s="3">
        <f t="shared" si="29"/>
        <v>6</v>
      </c>
      <c r="X57" s="11">
        <f t="shared" si="30"/>
        <v>30685623.709440008</v>
      </c>
      <c r="Y57" s="11">
        <f t="shared" si="43"/>
        <v>731319.71595641144</v>
      </c>
      <c r="Z57" s="11">
        <f t="shared" si="44"/>
        <v>1745188.4175497179</v>
      </c>
      <c r="AA57" s="11">
        <f t="shared" si="45"/>
        <v>3253716</v>
      </c>
      <c r="AB57" s="11">
        <f t="shared" si="46"/>
        <v>25686719.29189029</v>
      </c>
      <c r="AC57" s="11">
        <f t="shared" si="47"/>
        <v>10274687.716756117</v>
      </c>
      <c r="AD57" s="11">
        <f t="shared" si="48"/>
        <v>17934427.859177761</v>
      </c>
      <c r="AG57" s="3">
        <f t="shared" si="31"/>
        <v>6</v>
      </c>
      <c r="AH57" s="9">
        <f t="shared" si="32"/>
        <v>30685623.709440008</v>
      </c>
      <c r="AI57" s="11">
        <f>0</f>
        <v>0</v>
      </c>
      <c r="AJ57" s="11">
        <v>0</v>
      </c>
      <c r="AK57" s="11">
        <f t="shared" si="49"/>
        <v>3253716</v>
      </c>
      <c r="AL57" s="11">
        <f t="shared" si="50"/>
        <v>27431907.709440008</v>
      </c>
      <c r="AM57" s="11">
        <f t="shared" si="51"/>
        <v>10972763.083776005</v>
      </c>
      <c r="AN57" s="11">
        <f t="shared" si="52"/>
        <v>19712860.625664003</v>
      </c>
    </row>
    <row r="58" spans="1:40">
      <c r="A58" s="3">
        <v>7</v>
      </c>
      <c r="B58" s="11">
        <f>'Step-1-Cost &amp; Revenues'!G44</f>
        <v>33096936.183628812</v>
      </c>
      <c r="C58" s="11">
        <f t="shared" si="33"/>
        <v>767885.70175423217</v>
      </c>
      <c r="D58" s="11">
        <f t="shared" si="34"/>
        <v>1708622.4317518973</v>
      </c>
      <c r="E58" s="11">
        <f t="shared" si="35"/>
        <v>2961000</v>
      </c>
      <c r="F58" s="11">
        <f t="shared" si="36"/>
        <v>28427313.751876917</v>
      </c>
      <c r="G58" s="11">
        <f t="shared" si="37"/>
        <v>11370925.500750767</v>
      </c>
      <c r="H58" s="11">
        <f t="shared" si="38"/>
        <v>19249502.549371921</v>
      </c>
      <c r="K58" s="3">
        <v>7</v>
      </c>
      <c r="L58" s="11">
        <v>33096936.183628812</v>
      </c>
      <c r="M58" s="11">
        <f>0</f>
        <v>0</v>
      </c>
      <c r="N58" s="11">
        <v>0</v>
      </c>
      <c r="O58" s="11">
        <f t="shared" si="39"/>
        <v>2961000</v>
      </c>
      <c r="P58" s="11">
        <f t="shared" si="40"/>
        <v>30135936.183628812</v>
      </c>
      <c r="Q58" s="11">
        <f t="shared" si="41"/>
        <v>12054374.473451525</v>
      </c>
      <c r="R58" s="11">
        <f t="shared" si="42"/>
        <v>21042561.710177287</v>
      </c>
      <c r="U58" s="3">
        <v>7</v>
      </c>
      <c r="V58" s="12">
        <v>2.564E-2</v>
      </c>
      <c r="W58" s="3">
        <f t="shared" si="29"/>
        <v>7</v>
      </c>
      <c r="X58" s="11">
        <f t="shared" si="30"/>
        <v>33096936.183628812</v>
      </c>
      <c r="Y58" s="11">
        <f t="shared" si="43"/>
        <v>767885.70175423217</v>
      </c>
      <c r="Z58" s="11">
        <f t="shared" si="44"/>
        <v>1708622.4317518973</v>
      </c>
      <c r="AA58" s="11">
        <f t="shared" si="45"/>
        <v>3253716</v>
      </c>
      <c r="AB58" s="11">
        <f t="shared" si="46"/>
        <v>28134597.751876917</v>
      </c>
      <c r="AC58" s="11">
        <f t="shared" si="47"/>
        <v>11253839.100750767</v>
      </c>
      <c r="AD58" s="11">
        <f t="shared" si="48"/>
        <v>19366588.949371919</v>
      </c>
      <c r="AG58" s="3">
        <f t="shared" si="31"/>
        <v>7</v>
      </c>
      <c r="AH58" s="9">
        <f t="shared" si="32"/>
        <v>33096936.183628812</v>
      </c>
      <c r="AI58" s="11">
        <f>0</f>
        <v>0</v>
      </c>
      <c r="AJ58" s="11">
        <v>0</v>
      </c>
      <c r="AK58" s="11">
        <f t="shared" si="49"/>
        <v>3253716</v>
      </c>
      <c r="AL58" s="11">
        <f t="shared" si="50"/>
        <v>29843220.183628812</v>
      </c>
      <c r="AM58" s="11">
        <f t="shared" si="51"/>
        <v>11937288.073451526</v>
      </c>
      <c r="AN58" s="11">
        <f t="shared" si="52"/>
        <v>21159648.110177286</v>
      </c>
    </row>
    <row r="59" spans="1:40">
      <c r="A59" s="3">
        <v>8</v>
      </c>
      <c r="B59" s="11">
        <f>'Step-1-Cost &amp; Revenues'!G45</f>
        <v>35556474.907301351</v>
      </c>
      <c r="C59" s="11">
        <f t="shared" si="33"/>
        <v>806279.9868419437</v>
      </c>
      <c r="D59" s="11">
        <f t="shared" si="34"/>
        <v>1670228.1466641857</v>
      </c>
      <c r="E59" s="11">
        <f t="shared" si="35"/>
        <v>2961000</v>
      </c>
      <c r="F59" s="11">
        <f t="shared" si="36"/>
        <v>30925246.760637164</v>
      </c>
      <c r="G59" s="11">
        <f t="shared" si="37"/>
        <v>12370098.704254866</v>
      </c>
      <c r="H59" s="11">
        <f t="shared" si="38"/>
        <v>20709868.069540352</v>
      </c>
      <c r="K59" s="3">
        <v>8</v>
      </c>
      <c r="L59" s="11">
        <v>35556474.907301351</v>
      </c>
      <c r="M59" s="11">
        <f>0</f>
        <v>0</v>
      </c>
      <c r="N59" s="11">
        <v>0</v>
      </c>
      <c r="O59" s="11">
        <f t="shared" si="39"/>
        <v>2961000</v>
      </c>
      <c r="P59" s="11">
        <f t="shared" si="40"/>
        <v>32595474.907301351</v>
      </c>
      <c r="Q59" s="11">
        <f t="shared" si="41"/>
        <v>13038189.962920541</v>
      </c>
      <c r="R59" s="11">
        <f>L59-M59-N59-Q59</f>
        <v>22518284.944380812</v>
      </c>
      <c r="U59" s="3">
        <v>8</v>
      </c>
      <c r="V59" s="12">
        <v>2.564E-2</v>
      </c>
      <c r="W59" s="3">
        <f t="shared" si="29"/>
        <v>8</v>
      </c>
      <c r="X59" s="11">
        <f t="shared" si="30"/>
        <v>35556474.907301351</v>
      </c>
      <c r="Y59" s="11">
        <f t="shared" si="43"/>
        <v>806279.9868419437</v>
      </c>
      <c r="Z59" s="11">
        <f t="shared" si="44"/>
        <v>1670228.1466641857</v>
      </c>
      <c r="AA59" s="11">
        <f t="shared" si="45"/>
        <v>3253716</v>
      </c>
      <c r="AB59" s="11">
        <f t="shared" si="46"/>
        <v>30632530.760637164</v>
      </c>
      <c r="AC59" s="11">
        <f t="shared" si="47"/>
        <v>12253012.304254867</v>
      </c>
      <c r="AD59" s="11">
        <f t="shared" si="48"/>
        <v>20826954.46954035</v>
      </c>
      <c r="AG59" s="3">
        <f t="shared" si="31"/>
        <v>8</v>
      </c>
      <c r="AH59" s="9">
        <f t="shared" si="32"/>
        <v>35556474.907301351</v>
      </c>
      <c r="AI59" s="11">
        <f>0</f>
        <v>0</v>
      </c>
      <c r="AJ59" s="11">
        <v>0</v>
      </c>
      <c r="AK59" s="11">
        <f t="shared" si="49"/>
        <v>3253716</v>
      </c>
      <c r="AL59" s="11">
        <f t="shared" si="50"/>
        <v>32302758.907301351</v>
      </c>
      <c r="AM59" s="11">
        <f t="shared" si="51"/>
        <v>12921103.562920541</v>
      </c>
      <c r="AN59" s="11">
        <f t="shared" si="52"/>
        <v>22635371.344380811</v>
      </c>
    </row>
    <row r="60" spans="1:40">
      <c r="A60" s="3">
        <v>9</v>
      </c>
      <c r="B60" s="11">
        <f>'Step-1-Cost &amp; Revenues'!G46</f>
        <v>38065204.405447394</v>
      </c>
      <c r="C60" s="11">
        <f t="shared" si="33"/>
        <v>846593.9861840409</v>
      </c>
      <c r="D60" s="11">
        <f t="shared" si="34"/>
        <v>1629914.1473220887</v>
      </c>
      <c r="E60" s="11">
        <f t="shared" si="35"/>
        <v>2961000</v>
      </c>
      <c r="F60" s="11">
        <f t="shared" si="36"/>
        <v>33474290.258125305</v>
      </c>
      <c r="G60" s="11">
        <f t="shared" si="37"/>
        <v>13389716.103250124</v>
      </c>
      <c r="H60" s="11">
        <f t="shared" si="38"/>
        <v>22198980.168691143</v>
      </c>
      <c r="K60" s="3">
        <v>9</v>
      </c>
      <c r="L60" s="11">
        <v>38065204.405447394</v>
      </c>
      <c r="M60" s="11">
        <f>0</f>
        <v>0</v>
      </c>
      <c r="N60" s="11">
        <v>0</v>
      </c>
      <c r="O60" s="11">
        <f t="shared" si="39"/>
        <v>2961000</v>
      </c>
      <c r="P60" s="11">
        <f t="shared" si="40"/>
        <v>35104204.405447394</v>
      </c>
      <c r="Q60" s="11">
        <f t="shared" si="41"/>
        <v>14041681.762178957</v>
      </c>
      <c r="R60" s="11">
        <f t="shared" si="42"/>
        <v>24023522.643268436</v>
      </c>
      <c r="U60" s="3">
        <v>9</v>
      </c>
      <c r="V60" s="12">
        <v>2.564E-2</v>
      </c>
      <c r="W60" s="3">
        <f t="shared" si="29"/>
        <v>9</v>
      </c>
      <c r="X60" s="11">
        <f t="shared" si="30"/>
        <v>38065204.405447394</v>
      </c>
      <c r="Y60" s="11">
        <f t="shared" si="43"/>
        <v>846593.9861840409</v>
      </c>
      <c r="Z60" s="11">
        <f t="shared" si="44"/>
        <v>1629914.1473220887</v>
      </c>
      <c r="AA60" s="11">
        <f t="shared" si="45"/>
        <v>3253716</v>
      </c>
      <c r="AB60" s="11">
        <f t="shared" si="46"/>
        <v>33181574.258125305</v>
      </c>
      <c r="AC60" s="11">
        <f t="shared" si="47"/>
        <v>13272629.703250123</v>
      </c>
      <c r="AD60" s="11">
        <f t="shared" si="48"/>
        <v>22316066.568691142</v>
      </c>
      <c r="AG60" s="3">
        <f t="shared" si="31"/>
        <v>9</v>
      </c>
      <c r="AH60" s="9">
        <f t="shared" si="32"/>
        <v>38065204.405447394</v>
      </c>
      <c r="AI60" s="11">
        <f>0</f>
        <v>0</v>
      </c>
      <c r="AJ60" s="11">
        <v>0</v>
      </c>
      <c r="AK60" s="11">
        <f t="shared" si="49"/>
        <v>3253716</v>
      </c>
      <c r="AL60" s="11">
        <f t="shared" si="50"/>
        <v>34811488.405447394</v>
      </c>
      <c r="AM60" s="11">
        <f t="shared" si="51"/>
        <v>13924595.362178959</v>
      </c>
      <c r="AN60" s="11">
        <f t="shared" si="52"/>
        <v>24140609.043268435</v>
      </c>
    </row>
    <row r="61" spans="1:40">
      <c r="A61" s="3">
        <v>10</v>
      </c>
      <c r="B61" s="11">
        <f>'Step-1-Cost &amp; Revenues'!G47</f>
        <v>40624108.49355635</v>
      </c>
      <c r="C61" s="11">
        <f t="shared" si="33"/>
        <v>888923.68549324293</v>
      </c>
      <c r="D61" s="11">
        <f t="shared" si="34"/>
        <v>1587584.4480128866</v>
      </c>
      <c r="E61" s="11">
        <f t="shared" si="35"/>
        <v>2961000</v>
      </c>
      <c r="F61" s="11">
        <f t="shared" si="36"/>
        <v>36075524.045543462</v>
      </c>
      <c r="G61" s="11">
        <f t="shared" si="37"/>
        <v>14430209.618217386</v>
      </c>
      <c r="H61" s="11">
        <f t="shared" si="38"/>
        <v>23717390.74183283</v>
      </c>
      <c r="K61" s="3">
        <v>10</v>
      </c>
      <c r="L61" s="11">
        <v>40624108.49355635</v>
      </c>
      <c r="M61" s="11">
        <f>0</f>
        <v>0</v>
      </c>
      <c r="N61" s="11">
        <v>0</v>
      </c>
      <c r="O61" s="11">
        <f t="shared" si="39"/>
        <v>2961000</v>
      </c>
      <c r="P61" s="11">
        <f t="shared" si="40"/>
        <v>37663108.49355635</v>
      </c>
      <c r="Q61" s="11">
        <f t="shared" si="41"/>
        <v>15065243.397422541</v>
      </c>
      <c r="R61" s="11">
        <f t="shared" si="42"/>
        <v>25558865.09613381</v>
      </c>
      <c r="U61" s="3">
        <v>10</v>
      </c>
      <c r="V61" s="12">
        <v>2.564E-2</v>
      </c>
      <c r="W61" s="3">
        <f t="shared" si="29"/>
        <v>10</v>
      </c>
      <c r="X61" s="11">
        <f t="shared" si="30"/>
        <v>40624108.49355635</v>
      </c>
      <c r="Y61" s="11">
        <f t="shared" si="43"/>
        <v>888923.68549324293</v>
      </c>
      <c r="Z61" s="11">
        <f t="shared" si="44"/>
        <v>1587584.4480128866</v>
      </c>
      <c r="AA61" s="11">
        <f t="shared" si="45"/>
        <v>3253716</v>
      </c>
      <c r="AB61" s="11">
        <f t="shared" si="46"/>
        <v>35782808.045543462</v>
      </c>
      <c r="AC61" s="11">
        <f t="shared" si="47"/>
        <v>14313123.218217386</v>
      </c>
      <c r="AD61" s="11">
        <f t="shared" si="48"/>
        <v>23834477.141832829</v>
      </c>
      <c r="AG61" s="3">
        <f t="shared" si="31"/>
        <v>10</v>
      </c>
      <c r="AH61" s="9">
        <f t="shared" si="32"/>
        <v>40624108.49355635</v>
      </c>
      <c r="AI61" s="11">
        <f>0</f>
        <v>0</v>
      </c>
      <c r="AJ61" s="11">
        <v>0</v>
      </c>
      <c r="AK61" s="11">
        <f t="shared" si="49"/>
        <v>3253716</v>
      </c>
      <c r="AL61" s="11">
        <f t="shared" si="50"/>
        <v>37370392.49355635</v>
      </c>
      <c r="AM61" s="11">
        <f t="shared" si="51"/>
        <v>14948156.997422541</v>
      </c>
      <c r="AN61" s="11">
        <f t="shared" si="52"/>
        <v>25675951.496133812</v>
      </c>
    </row>
    <row r="62" spans="1:40">
      <c r="A62" s="3">
        <v>11</v>
      </c>
      <c r="B62" s="11">
        <f>'Step-1-Cost &amp; Revenues'!G48</f>
        <v>43234190.663427472</v>
      </c>
      <c r="C62" s="11">
        <f t="shared" si="33"/>
        <v>933369.8697679051</v>
      </c>
      <c r="D62" s="11">
        <f t="shared" si="34"/>
        <v>1543138.2637382243</v>
      </c>
      <c r="E62" s="11">
        <f t="shared" si="35"/>
        <v>2961000</v>
      </c>
      <c r="F62" s="11">
        <f>B62-D62-E62</f>
        <v>38730052.39968925</v>
      </c>
      <c r="G62" s="11">
        <f t="shared" si="37"/>
        <v>15492020.959875701</v>
      </c>
      <c r="H62" s="11">
        <f t="shared" si="38"/>
        <v>25265661.570045643</v>
      </c>
      <c r="K62" s="3">
        <v>11</v>
      </c>
      <c r="L62" s="11">
        <v>43234190.663427472</v>
      </c>
      <c r="M62" s="11">
        <f>0</f>
        <v>0</v>
      </c>
      <c r="N62" s="11">
        <v>0</v>
      </c>
      <c r="O62" s="11">
        <f t="shared" si="39"/>
        <v>2961000</v>
      </c>
      <c r="P62" s="11">
        <f t="shared" si="40"/>
        <v>40273190.663427472</v>
      </c>
      <c r="Q62" s="11">
        <f t="shared" si="41"/>
        <v>16109276.265370989</v>
      </c>
      <c r="R62" s="11">
        <f t="shared" si="42"/>
        <v>27124914.398056485</v>
      </c>
      <c r="U62" s="3">
        <v>11</v>
      </c>
      <c r="V62" s="12">
        <v>2.564E-2</v>
      </c>
      <c r="W62" s="3">
        <f t="shared" si="29"/>
        <v>11</v>
      </c>
      <c r="X62" s="11">
        <f t="shared" si="30"/>
        <v>43234190.663427472</v>
      </c>
      <c r="Y62" s="11">
        <f t="shared" si="43"/>
        <v>933369.8697679051</v>
      </c>
      <c r="Z62" s="11">
        <f t="shared" si="44"/>
        <v>1543138.2637382243</v>
      </c>
      <c r="AA62" s="11">
        <f t="shared" si="45"/>
        <v>3253716</v>
      </c>
      <c r="AB62" s="11">
        <f t="shared" si="46"/>
        <v>38437336.39968925</v>
      </c>
      <c r="AC62" s="11">
        <f t="shared" si="47"/>
        <v>15374934.559875701</v>
      </c>
      <c r="AD62" s="11">
        <f t="shared" si="48"/>
        <v>25382747.970045645</v>
      </c>
      <c r="AG62" s="3">
        <f t="shared" si="31"/>
        <v>11</v>
      </c>
      <c r="AH62" s="9">
        <f t="shared" si="32"/>
        <v>43234190.663427472</v>
      </c>
      <c r="AI62" s="11">
        <f>0</f>
        <v>0</v>
      </c>
      <c r="AJ62" s="11">
        <v>0</v>
      </c>
      <c r="AK62" s="11">
        <f t="shared" si="49"/>
        <v>3253716</v>
      </c>
      <c r="AL62" s="11">
        <f t="shared" si="50"/>
        <v>39980474.663427472</v>
      </c>
      <c r="AM62" s="11">
        <f t="shared" si="51"/>
        <v>15992189.865370989</v>
      </c>
      <c r="AN62" s="11">
        <f t="shared" si="52"/>
        <v>27242000.798056483</v>
      </c>
    </row>
    <row r="63" spans="1:40">
      <c r="A63" s="3">
        <v>12</v>
      </c>
      <c r="B63" s="11">
        <f>'Step-1-Cost &amp; Revenues'!G49</f>
        <v>45896474.476696014</v>
      </c>
      <c r="C63" s="11">
        <f t="shared" si="33"/>
        <v>980038.36325630033</v>
      </c>
      <c r="D63" s="11">
        <f t="shared" si="34"/>
        <v>1496469.7702498289</v>
      </c>
      <c r="E63" s="11">
        <f t="shared" si="35"/>
        <v>2961000</v>
      </c>
      <c r="F63" s="11">
        <f>B63-D63-E63</f>
        <v>41439004.706446186</v>
      </c>
      <c r="G63" s="11">
        <f t="shared" si="37"/>
        <v>16575601.882578475</v>
      </c>
      <c r="H63" s="11">
        <f t="shared" si="38"/>
        <v>26844364.46061141</v>
      </c>
      <c r="K63" s="3">
        <v>12</v>
      </c>
      <c r="L63" s="11">
        <v>45896474.476696014</v>
      </c>
      <c r="M63" s="11">
        <f>0</f>
        <v>0</v>
      </c>
      <c r="N63" s="11">
        <v>0</v>
      </c>
      <c r="O63" s="11">
        <f t="shared" si="39"/>
        <v>2961000</v>
      </c>
      <c r="P63" s="11">
        <f>L63-N63-O63</f>
        <v>42935474.476696014</v>
      </c>
      <c r="Q63" s="11">
        <f t="shared" si="41"/>
        <v>17174189.790678408</v>
      </c>
      <c r="R63" s="11">
        <f t="shared" si="42"/>
        <v>28722284.686017606</v>
      </c>
      <c r="U63" s="3">
        <v>12</v>
      </c>
      <c r="V63" s="12">
        <v>2.564E-2</v>
      </c>
      <c r="W63" s="3">
        <f t="shared" si="29"/>
        <v>12</v>
      </c>
      <c r="X63" s="11">
        <f t="shared" si="30"/>
        <v>45896474.476696014</v>
      </c>
      <c r="Y63" s="11">
        <f t="shared" si="43"/>
        <v>980038.36325630033</v>
      </c>
      <c r="Z63" s="11">
        <f t="shared" si="44"/>
        <v>1496469.7702498289</v>
      </c>
      <c r="AA63" s="11">
        <f t="shared" si="45"/>
        <v>3253716</v>
      </c>
      <c r="AB63" s="11">
        <f>X63-Z63-AA63</f>
        <v>41146288.706446186</v>
      </c>
      <c r="AC63" s="11">
        <f t="shared" si="47"/>
        <v>16458515.482578475</v>
      </c>
      <c r="AD63" s="11">
        <f t="shared" si="48"/>
        <v>26961450.860611413</v>
      </c>
      <c r="AG63" s="3">
        <f t="shared" si="31"/>
        <v>12</v>
      </c>
      <c r="AH63" s="9">
        <f t="shared" si="32"/>
        <v>45896474.476696014</v>
      </c>
      <c r="AI63" s="11">
        <f>0</f>
        <v>0</v>
      </c>
      <c r="AJ63" s="11">
        <v>0</v>
      </c>
      <c r="AK63" s="11">
        <f t="shared" si="49"/>
        <v>3253716</v>
      </c>
      <c r="AL63" s="11">
        <f>AH63-AJ63-AK63</f>
        <v>42642758.476696014</v>
      </c>
      <c r="AM63" s="11">
        <f t="shared" si="51"/>
        <v>17057103.390678406</v>
      </c>
      <c r="AN63" s="11">
        <f t="shared" si="52"/>
        <v>28839371.086017609</v>
      </c>
    </row>
    <row r="64" spans="1:40">
      <c r="A64" s="3">
        <v>13</v>
      </c>
      <c r="B64" s="11">
        <f>'Step-1-Cost &amp; Revenues'!G50</f>
        <v>48612003.966229945</v>
      </c>
      <c r="C64" s="11">
        <f t="shared" si="33"/>
        <v>1029040.2814191154</v>
      </c>
      <c r="D64" s="11">
        <f t="shared" si="34"/>
        <v>1447467.8520870139</v>
      </c>
      <c r="E64" s="11">
        <f t="shared" si="35"/>
        <v>2961000</v>
      </c>
      <c r="F64" s="11">
        <f t="shared" ref="F64:F80" si="53">B64-D64-E64</f>
        <v>44203536.114142932</v>
      </c>
      <c r="G64" s="11">
        <f t="shared" si="37"/>
        <v>17681414.445657175</v>
      </c>
      <c r="H64" s="11">
        <f t="shared" si="38"/>
        <v>28454081.387066644</v>
      </c>
      <c r="K64" s="3">
        <v>13</v>
      </c>
      <c r="L64" s="11">
        <v>48612003.966229945</v>
      </c>
      <c r="M64" s="11">
        <f>0</f>
        <v>0</v>
      </c>
      <c r="N64" s="11">
        <v>0</v>
      </c>
      <c r="O64" s="11">
        <f t="shared" si="39"/>
        <v>2961000</v>
      </c>
      <c r="P64" s="11">
        <f t="shared" ref="P64:P80" si="54">L64-N64-O64</f>
        <v>45651003.966229945</v>
      </c>
      <c r="Q64" s="11">
        <f t="shared" si="41"/>
        <v>18260401.58649198</v>
      </c>
      <c r="R64" s="11">
        <f t="shared" si="42"/>
        <v>30351602.379737966</v>
      </c>
      <c r="U64" s="3">
        <v>13</v>
      </c>
      <c r="V64" s="12">
        <v>2.564E-2</v>
      </c>
      <c r="W64" s="3">
        <f t="shared" si="29"/>
        <v>13</v>
      </c>
      <c r="X64" s="11">
        <f t="shared" si="30"/>
        <v>48612003.966229945</v>
      </c>
      <c r="Y64" s="11">
        <f>PPMT($B$4,W64,30,$C$11)</f>
        <v>1029040.2814191154</v>
      </c>
      <c r="Z64" s="11">
        <f t="shared" si="44"/>
        <v>1447467.8520870139</v>
      </c>
      <c r="AA64" s="11">
        <f t="shared" si="45"/>
        <v>3253716</v>
      </c>
      <c r="AB64" s="11">
        <f t="shared" ref="AB64:AB80" si="55">X64-Z64-AA64</f>
        <v>43910820.114142932</v>
      </c>
      <c r="AC64" s="11">
        <f t="shared" si="47"/>
        <v>17564328.045657173</v>
      </c>
      <c r="AD64" s="11">
        <f t="shared" si="48"/>
        <v>28571167.787066646</v>
      </c>
      <c r="AG64" s="3">
        <f t="shared" si="31"/>
        <v>13</v>
      </c>
      <c r="AH64" s="9">
        <f t="shared" si="32"/>
        <v>48612003.966229945</v>
      </c>
      <c r="AI64" s="11">
        <f>0</f>
        <v>0</v>
      </c>
      <c r="AJ64" s="11">
        <v>0</v>
      </c>
      <c r="AK64" s="11">
        <f t="shared" si="49"/>
        <v>3253716</v>
      </c>
      <c r="AL64" s="11">
        <f t="shared" ref="AL64:AL80" si="56">AH64-AJ64-AK64</f>
        <v>45358287.966229945</v>
      </c>
      <c r="AM64" s="11">
        <f t="shared" si="51"/>
        <v>18143315.186491977</v>
      </c>
      <c r="AN64" s="11">
        <f t="shared" si="52"/>
        <v>30468688.779737968</v>
      </c>
    </row>
    <row r="65" spans="1:40">
      <c r="A65" s="3">
        <v>14</v>
      </c>
      <c r="B65" s="11">
        <f>'Step-1-Cost &amp; Revenues'!G51</f>
        <v>51381844.045554519</v>
      </c>
      <c r="C65" s="11">
        <f t="shared" si="33"/>
        <v>1080492.2954900709</v>
      </c>
      <c r="D65" s="11">
        <f t="shared" si="34"/>
        <v>1396015.8380160583</v>
      </c>
      <c r="E65" s="11">
        <f t="shared" si="35"/>
        <v>2961000</v>
      </c>
      <c r="F65" s="11">
        <f t="shared" si="53"/>
        <v>47024828.207538463</v>
      </c>
      <c r="G65" s="11">
        <f t="shared" si="37"/>
        <v>18809931.283015385</v>
      </c>
      <c r="H65" s="11">
        <f t="shared" si="38"/>
        <v>30095404.629033007</v>
      </c>
      <c r="K65" s="3">
        <v>14</v>
      </c>
      <c r="L65" s="11">
        <v>51381844.045554519</v>
      </c>
      <c r="M65" s="11">
        <f>0</f>
        <v>0</v>
      </c>
      <c r="N65" s="11">
        <v>0</v>
      </c>
      <c r="O65" s="11">
        <f t="shared" si="39"/>
        <v>2961000</v>
      </c>
      <c r="P65" s="11">
        <f t="shared" si="54"/>
        <v>48420844.045554519</v>
      </c>
      <c r="Q65" s="11">
        <f t="shared" si="41"/>
        <v>19368337.618221808</v>
      </c>
      <c r="R65" s="11">
        <f t="shared" si="42"/>
        <v>32013506.42733271</v>
      </c>
      <c r="U65" s="3">
        <v>14</v>
      </c>
      <c r="V65" s="12">
        <v>2.564E-2</v>
      </c>
      <c r="W65" s="3">
        <f t="shared" si="29"/>
        <v>14</v>
      </c>
      <c r="X65" s="11">
        <f t="shared" si="30"/>
        <v>51381844.045554519</v>
      </c>
      <c r="Y65" s="11">
        <f t="shared" ref="Y65:Y81" si="57">PPMT($B$4,W65,30,$C$11)</f>
        <v>1080492.2954900709</v>
      </c>
      <c r="Z65" s="11">
        <f t="shared" si="44"/>
        <v>1396015.8380160583</v>
      </c>
      <c r="AA65" s="11">
        <f t="shared" si="45"/>
        <v>3253716</v>
      </c>
      <c r="AB65" s="11">
        <f t="shared" si="55"/>
        <v>46732112.207538463</v>
      </c>
      <c r="AC65" s="11">
        <f t="shared" si="47"/>
        <v>18692844.883015387</v>
      </c>
      <c r="AD65" s="11">
        <f t="shared" si="48"/>
        <v>30212491.029033005</v>
      </c>
      <c r="AG65" s="3">
        <f t="shared" si="31"/>
        <v>14</v>
      </c>
      <c r="AH65" s="9">
        <f t="shared" si="32"/>
        <v>51381844.045554519</v>
      </c>
      <c r="AI65" s="11">
        <f>0</f>
        <v>0</v>
      </c>
      <c r="AJ65" s="11">
        <v>0</v>
      </c>
      <c r="AK65" s="11">
        <f t="shared" si="49"/>
        <v>3253716</v>
      </c>
      <c r="AL65" s="11">
        <f t="shared" si="56"/>
        <v>48128128.045554519</v>
      </c>
      <c r="AM65" s="11">
        <f t="shared" si="51"/>
        <v>19251251.21822181</v>
      </c>
      <c r="AN65" s="11">
        <f t="shared" si="52"/>
        <v>32130592.827332709</v>
      </c>
    </row>
    <row r="66" spans="1:40">
      <c r="A66" s="3">
        <v>15</v>
      </c>
      <c r="B66" s="11">
        <f>'Step-1-Cost &amp; Revenues'!G52</f>
        <v>54207080.926465631</v>
      </c>
      <c r="C66" s="11">
        <f t="shared" si="33"/>
        <v>1134516.9102645747</v>
      </c>
      <c r="D66" s="11">
        <f t="shared" si="34"/>
        <v>1341991.2232415546</v>
      </c>
      <c r="E66" s="11">
        <f t="shared" si="35"/>
        <v>2961000</v>
      </c>
      <c r="F66" s="11">
        <f t="shared" si="53"/>
        <v>49904089.703224078</v>
      </c>
      <c r="G66" s="11">
        <f t="shared" si="37"/>
        <v>19961635.881289631</v>
      </c>
      <c r="H66" s="11">
        <f t="shared" si="38"/>
        <v>31768936.911669873</v>
      </c>
      <c r="K66" s="3">
        <v>15</v>
      </c>
      <c r="L66" s="11">
        <v>54207080.926465631</v>
      </c>
      <c r="M66" s="11">
        <f>0</f>
        <v>0</v>
      </c>
      <c r="N66" s="11">
        <v>0</v>
      </c>
      <c r="O66" s="11">
        <f t="shared" si="39"/>
        <v>2961000</v>
      </c>
      <c r="P66" s="11">
        <f t="shared" si="54"/>
        <v>51246080.926465631</v>
      </c>
      <c r="Q66" s="11">
        <f t="shared" si="41"/>
        <v>20498432.370586254</v>
      </c>
      <c r="R66" s="11">
        <f t="shared" si="42"/>
        <v>33708648.555879377</v>
      </c>
      <c r="U66" s="3">
        <v>15</v>
      </c>
      <c r="V66" s="12">
        <v>2.564E-2</v>
      </c>
      <c r="W66" s="3">
        <f t="shared" si="29"/>
        <v>15</v>
      </c>
      <c r="X66" s="11">
        <f t="shared" si="30"/>
        <v>54207080.926465631</v>
      </c>
      <c r="Y66" s="11">
        <f t="shared" si="57"/>
        <v>1134516.9102645747</v>
      </c>
      <c r="Z66" s="11">
        <f t="shared" si="44"/>
        <v>1341991.2232415546</v>
      </c>
      <c r="AA66" s="11">
        <f t="shared" si="45"/>
        <v>3253716</v>
      </c>
      <c r="AB66" s="11">
        <f t="shared" si="55"/>
        <v>49611373.703224078</v>
      </c>
      <c r="AC66" s="11">
        <f t="shared" si="47"/>
        <v>19844549.481289633</v>
      </c>
      <c r="AD66" s="11">
        <f t="shared" si="48"/>
        <v>31886023.311669871</v>
      </c>
      <c r="AG66" s="3">
        <f t="shared" si="31"/>
        <v>15</v>
      </c>
      <c r="AH66" s="9">
        <f t="shared" si="32"/>
        <v>54207080.926465631</v>
      </c>
      <c r="AI66" s="11">
        <f>0</f>
        <v>0</v>
      </c>
      <c r="AJ66" s="11">
        <v>0</v>
      </c>
      <c r="AK66" s="11">
        <f t="shared" si="49"/>
        <v>3253716</v>
      </c>
      <c r="AL66" s="11">
        <f t="shared" si="56"/>
        <v>50953364.926465631</v>
      </c>
      <c r="AM66" s="11">
        <f t="shared" si="51"/>
        <v>20381345.970586255</v>
      </c>
      <c r="AN66" s="11">
        <f t="shared" si="52"/>
        <v>33825734.955879375</v>
      </c>
    </row>
    <row r="67" spans="1:40">
      <c r="A67" s="3">
        <v>16</v>
      </c>
      <c r="B67" s="11">
        <f>'Step-1-Cost &amp; Revenues'!G53</f>
        <v>57088822.54499492</v>
      </c>
      <c r="C67" s="11">
        <f t="shared" si="33"/>
        <v>1191242.7557778035</v>
      </c>
      <c r="D67" s="11">
        <f t="shared" si="34"/>
        <v>1285265.377728326</v>
      </c>
      <c r="E67" s="11">
        <f t="shared" si="35"/>
        <v>2961000</v>
      </c>
      <c r="F67" s="11">
        <f t="shared" si="53"/>
        <v>52842557.167266592</v>
      </c>
      <c r="G67" s="11">
        <f t="shared" si="37"/>
        <v>21137022.866906639</v>
      </c>
      <c r="H67" s="11">
        <f t="shared" si="38"/>
        <v>33475291.544582147</v>
      </c>
      <c r="K67" s="3">
        <v>16</v>
      </c>
      <c r="L67" s="11">
        <v>57088822.54499492</v>
      </c>
      <c r="M67" s="11">
        <f>0</f>
        <v>0</v>
      </c>
      <c r="N67" s="11">
        <v>0</v>
      </c>
      <c r="O67" s="11">
        <f t="shared" si="39"/>
        <v>2961000</v>
      </c>
      <c r="P67" s="11">
        <f t="shared" si="54"/>
        <v>54127822.54499492</v>
      </c>
      <c r="Q67" s="11">
        <f t="shared" si="41"/>
        <v>21651129.017997969</v>
      </c>
      <c r="R67" s="11">
        <f t="shared" si="42"/>
        <v>35437693.526996955</v>
      </c>
      <c r="U67" s="3">
        <v>16</v>
      </c>
      <c r="V67" s="12">
        <v>2.564E-2</v>
      </c>
      <c r="W67" s="3">
        <f t="shared" si="29"/>
        <v>16</v>
      </c>
      <c r="X67" s="11">
        <f t="shared" si="30"/>
        <v>57088822.54499492</v>
      </c>
      <c r="Y67" s="11">
        <f t="shared" si="57"/>
        <v>1191242.7557778035</v>
      </c>
      <c r="Z67" s="11">
        <f t="shared" si="44"/>
        <v>1285265.377728326</v>
      </c>
      <c r="AA67" s="11">
        <f t="shared" si="45"/>
        <v>3253716</v>
      </c>
      <c r="AB67" s="11">
        <f t="shared" si="55"/>
        <v>52549841.167266592</v>
      </c>
      <c r="AC67" s="11">
        <f t="shared" si="47"/>
        <v>21019936.466906637</v>
      </c>
      <c r="AD67" s="11">
        <f t="shared" si="48"/>
        <v>33592377.944582149</v>
      </c>
      <c r="AG67" s="3">
        <f t="shared" si="31"/>
        <v>16</v>
      </c>
      <c r="AH67" s="9">
        <f t="shared" si="32"/>
        <v>57088822.54499492</v>
      </c>
      <c r="AI67" s="11">
        <f>0</f>
        <v>0</v>
      </c>
      <c r="AJ67" s="11">
        <v>0</v>
      </c>
      <c r="AK67" s="11">
        <f t="shared" si="49"/>
        <v>3253716</v>
      </c>
      <c r="AL67" s="11">
        <f t="shared" si="56"/>
        <v>53835106.54499492</v>
      </c>
      <c r="AM67" s="11">
        <f t="shared" si="51"/>
        <v>21534042.61799797</v>
      </c>
      <c r="AN67" s="11">
        <f t="shared" si="52"/>
        <v>35554779.926996946</v>
      </c>
    </row>
    <row r="68" spans="1:40">
      <c r="A68" s="3">
        <v>17</v>
      </c>
      <c r="B68" s="11">
        <f>'Step-1-Cost &amp; Revenues'!G54</f>
        <v>60028198.995894849</v>
      </c>
      <c r="C68" s="11">
        <f t="shared" si="33"/>
        <v>1250804.8935666936</v>
      </c>
      <c r="D68" s="11">
        <f t="shared" si="34"/>
        <v>1225703.2399394359</v>
      </c>
      <c r="E68" s="11">
        <f t="shared" si="35"/>
        <v>2961000</v>
      </c>
      <c r="F68" s="11">
        <f t="shared" si="53"/>
        <v>55841495.755955413</v>
      </c>
      <c r="G68" s="11">
        <f t="shared" si="37"/>
        <v>22336598.302382167</v>
      </c>
      <c r="H68" s="11">
        <f t="shared" si="38"/>
        <v>35215092.560006559</v>
      </c>
      <c r="K68" s="3">
        <v>17</v>
      </c>
      <c r="L68" s="11">
        <v>60028198.995894849</v>
      </c>
      <c r="M68" s="11">
        <f>0</f>
        <v>0</v>
      </c>
      <c r="N68" s="11">
        <v>0</v>
      </c>
      <c r="O68" s="11">
        <f t="shared" si="39"/>
        <v>2961000</v>
      </c>
      <c r="P68" s="11">
        <f t="shared" si="54"/>
        <v>57067198.995894849</v>
      </c>
      <c r="Q68" s="11">
        <f t="shared" si="41"/>
        <v>22826879.598357942</v>
      </c>
      <c r="R68" s="11">
        <f t="shared" si="42"/>
        <v>37201319.397536904</v>
      </c>
      <c r="U68" s="3">
        <v>17</v>
      </c>
      <c r="V68" s="12">
        <v>2.564E-2</v>
      </c>
      <c r="W68" s="3">
        <f t="shared" si="29"/>
        <v>17</v>
      </c>
      <c r="X68" s="11">
        <f t="shared" si="30"/>
        <v>60028198.995894849</v>
      </c>
      <c r="Y68" s="11">
        <f t="shared" si="57"/>
        <v>1250804.8935666936</v>
      </c>
      <c r="Z68" s="11">
        <f t="shared" si="44"/>
        <v>1225703.2399394359</v>
      </c>
      <c r="AA68" s="11">
        <f t="shared" si="45"/>
        <v>3253716</v>
      </c>
      <c r="AB68" s="11">
        <f t="shared" si="55"/>
        <v>55548779.755955413</v>
      </c>
      <c r="AC68" s="11">
        <f t="shared" si="47"/>
        <v>22219511.902382165</v>
      </c>
      <c r="AD68" s="11">
        <f t="shared" si="48"/>
        <v>35332178.960006557</v>
      </c>
      <c r="AG68" s="3">
        <f t="shared" si="31"/>
        <v>17</v>
      </c>
      <c r="AH68" s="9">
        <f t="shared" si="32"/>
        <v>60028198.995894849</v>
      </c>
      <c r="AI68" s="11">
        <f>0</f>
        <v>0</v>
      </c>
      <c r="AJ68" s="11">
        <v>0</v>
      </c>
      <c r="AK68" s="11">
        <f t="shared" si="49"/>
        <v>3253716</v>
      </c>
      <c r="AL68" s="11">
        <f t="shared" si="56"/>
        <v>56774482.995894849</v>
      </c>
      <c r="AM68" s="11">
        <f t="shared" si="51"/>
        <v>22709793.19835794</v>
      </c>
      <c r="AN68" s="11">
        <f t="shared" si="52"/>
        <v>37318405.79753691</v>
      </c>
    </row>
    <row r="69" spans="1:40">
      <c r="A69" s="3">
        <v>18</v>
      </c>
      <c r="B69" s="11">
        <f>'Step-1-Cost &amp; Revenues'!G55</f>
        <v>63026362.975812733</v>
      </c>
      <c r="C69" s="11">
        <f t="shared" si="33"/>
        <v>1313345.1382450284</v>
      </c>
      <c r="D69" s="11">
        <f t="shared" si="34"/>
        <v>1163162.9952611008</v>
      </c>
      <c r="E69" s="11">
        <f t="shared" si="35"/>
        <v>2961000</v>
      </c>
      <c r="F69" s="11">
        <f t="shared" si="53"/>
        <v>58902199.98055163</v>
      </c>
      <c r="G69" s="11">
        <f t="shared" si="37"/>
        <v>23560879.992220655</v>
      </c>
      <c r="H69" s="11">
        <f t="shared" si="38"/>
        <v>36988974.850085944</v>
      </c>
      <c r="K69" s="3">
        <v>18</v>
      </c>
      <c r="L69" s="11">
        <v>63026362.975812733</v>
      </c>
      <c r="M69" s="11">
        <f>0</f>
        <v>0</v>
      </c>
      <c r="N69" s="11">
        <v>0</v>
      </c>
      <c r="O69" s="11">
        <f t="shared" si="39"/>
        <v>2961000</v>
      </c>
      <c r="P69" s="11">
        <f t="shared" si="54"/>
        <v>60065362.975812733</v>
      </c>
      <c r="Q69" s="11">
        <f t="shared" si="41"/>
        <v>24026145.190325096</v>
      </c>
      <c r="R69" s="11">
        <f t="shared" si="42"/>
        <v>39000217.785487637</v>
      </c>
      <c r="U69" s="3">
        <v>18</v>
      </c>
      <c r="V69" s="12">
        <v>2.564E-2</v>
      </c>
      <c r="W69" s="3">
        <f t="shared" si="29"/>
        <v>18</v>
      </c>
      <c r="X69" s="11">
        <f t="shared" si="30"/>
        <v>63026362.975812733</v>
      </c>
      <c r="Y69" s="11">
        <f t="shared" si="57"/>
        <v>1313345.1382450284</v>
      </c>
      <c r="Z69" s="11">
        <f t="shared" si="44"/>
        <v>1163162.9952611008</v>
      </c>
      <c r="AA69" s="11">
        <f t="shared" si="45"/>
        <v>3253716</v>
      </c>
      <c r="AB69" s="11">
        <f t="shared" si="55"/>
        <v>58609483.98055163</v>
      </c>
      <c r="AC69" s="11">
        <f t="shared" si="47"/>
        <v>23443793.592220653</v>
      </c>
      <c r="AD69" s="11">
        <f t="shared" si="48"/>
        <v>37106061.25008595</v>
      </c>
      <c r="AG69" s="3">
        <f t="shared" si="31"/>
        <v>18</v>
      </c>
      <c r="AH69" s="9">
        <f t="shared" si="32"/>
        <v>63026362.975812733</v>
      </c>
      <c r="AI69" s="11">
        <f>0</f>
        <v>0</v>
      </c>
      <c r="AJ69" s="11">
        <v>0</v>
      </c>
      <c r="AK69" s="11">
        <f t="shared" si="49"/>
        <v>3253716</v>
      </c>
      <c r="AL69" s="11">
        <f t="shared" si="56"/>
        <v>59772646.975812733</v>
      </c>
      <c r="AM69" s="11">
        <f t="shared" si="51"/>
        <v>23909058.790325094</v>
      </c>
      <c r="AN69" s="11">
        <f t="shared" si="52"/>
        <v>39117304.185487643</v>
      </c>
    </row>
    <row r="70" spans="1:40">
      <c r="A70" s="3">
        <v>19</v>
      </c>
      <c r="B70" s="11">
        <f>'Step-1-Cost &amp; Revenues'!G56</f>
        <v>66084490.235328972</v>
      </c>
      <c r="C70" s="11">
        <f t="shared" si="33"/>
        <v>1379012.3951572799</v>
      </c>
      <c r="D70" s="11">
        <f t="shared" si="34"/>
        <v>1097495.7383488494</v>
      </c>
      <c r="E70" s="11">
        <f t="shared" si="35"/>
        <v>2961000</v>
      </c>
      <c r="F70" s="11">
        <f t="shared" si="53"/>
        <v>62025994.496980123</v>
      </c>
      <c r="G70" s="11">
        <f t="shared" si="37"/>
        <v>24810397.798792049</v>
      </c>
      <c r="H70" s="11">
        <f t="shared" si="38"/>
        <v>38797584.303030796</v>
      </c>
      <c r="K70" s="3">
        <v>19</v>
      </c>
      <c r="L70" s="11">
        <v>66084490.235328972</v>
      </c>
      <c r="M70" s="11">
        <f>0</f>
        <v>0</v>
      </c>
      <c r="N70" s="11">
        <v>0</v>
      </c>
      <c r="O70" s="11">
        <f t="shared" si="39"/>
        <v>2961000</v>
      </c>
      <c r="P70" s="11">
        <f t="shared" si="54"/>
        <v>63123490.235328972</v>
      </c>
      <c r="Q70" s="11">
        <f t="shared" si="41"/>
        <v>25249396.094131589</v>
      </c>
      <c r="R70" s="11">
        <f t="shared" si="42"/>
        <v>40835094.141197383</v>
      </c>
      <c r="U70" s="3">
        <v>19</v>
      </c>
      <c r="V70" s="12">
        <v>2.564E-2</v>
      </c>
      <c r="W70" s="3">
        <f t="shared" si="29"/>
        <v>19</v>
      </c>
      <c r="X70" s="11">
        <f t="shared" si="30"/>
        <v>66084490.235328972</v>
      </c>
      <c r="Y70" s="11">
        <f t="shared" si="57"/>
        <v>1379012.3951572799</v>
      </c>
      <c r="Z70" s="11">
        <f t="shared" si="44"/>
        <v>1097495.7383488494</v>
      </c>
      <c r="AA70" s="11">
        <f t="shared" si="45"/>
        <v>3253716</v>
      </c>
      <c r="AB70" s="11">
        <f t="shared" si="55"/>
        <v>61733278.496980123</v>
      </c>
      <c r="AC70" s="11">
        <f t="shared" si="47"/>
        <v>24693311.398792051</v>
      </c>
      <c r="AD70" s="11">
        <f t="shared" si="48"/>
        <v>38914670.703030795</v>
      </c>
      <c r="AG70" s="3">
        <f t="shared" si="31"/>
        <v>19</v>
      </c>
      <c r="AH70" s="9">
        <f t="shared" si="32"/>
        <v>66084490.235328972</v>
      </c>
      <c r="AI70" s="11">
        <f>0</f>
        <v>0</v>
      </c>
      <c r="AJ70" s="11">
        <v>0</v>
      </c>
      <c r="AK70" s="11">
        <f t="shared" si="49"/>
        <v>3253716</v>
      </c>
      <c r="AL70" s="11">
        <f t="shared" si="56"/>
        <v>62830774.235328972</v>
      </c>
      <c r="AM70" s="11">
        <f t="shared" si="51"/>
        <v>25132309.69413159</v>
      </c>
      <c r="AN70" s="11">
        <f t="shared" si="52"/>
        <v>40952180.541197382</v>
      </c>
    </row>
    <row r="71" spans="1:40">
      <c r="A71" s="3">
        <v>20</v>
      </c>
      <c r="B71" s="11">
        <f>'Step-1-Cost &amp; Revenues'!G57</f>
        <v>69203780.040035546</v>
      </c>
      <c r="C71" s="11">
        <f t="shared" si="33"/>
        <v>1447963.0149151438</v>
      </c>
      <c r="D71" s="11">
        <f t="shared" si="34"/>
        <v>1028545.1185909857</v>
      </c>
      <c r="E71" s="11">
        <f t="shared" si="35"/>
        <v>2961000</v>
      </c>
      <c r="F71" s="11">
        <f t="shared" si="53"/>
        <v>65214234.921444565</v>
      </c>
      <c r="G71" s="11">
        <f t="shared" si="37"/>
        <v>26085693.968577828</v>
      </c>
      <c r="H71" s="11">
        <f t="shared" si="38"/>
        <v>40641577.937951595</v>
      </c>
      <c r="K71" s="3">
        <v>20</v>
      </c>
      <c r="L71" s="11">
        <v>69203780.040035546</v>
      </c>
      <c r="M71" s="11">
        <f>0</f>
        <v>0</v>
      </c>
      <c r="N71" s="11">
        <v>0</v>
      </c>
      <c r="O71" s="11">
        <f t="shared" si="39"/>
        <v>2961000</v>
      </c>
      <c r="P71" s="11">
        <f>L71-N71-O71</f>
        <v>66242780.040035546</v>
      </c>
      <c r="Q71" s="11">
        <f t="shared" si="41"/>
        <v>26497112.016014218</v>
      </c>
      <c r="R71" s="11">
        <f t="shared" si="42"/>
        <v>42706668.024021327</v>
      </c>
      <c r="U71" s="3">
        <v>20</v>
      </c>
      <c r="V71" s="12">
        <v>2.564E-2</v>
      </c>
      <c r="W71" s="3">
        <f t="shared" si="29"/>
        <v>20</v>
      </c>
      <c r="X71" s="11">
        <f t="shared" si="30"/>
        <v>69203780.040035546</v>
      </c>
      <c r="Y71" s="11">
        <f t="shared" si="57"/>
        <v>1447963.0149151438</v>
      </c>
      <c r="Z71" s="11">
        <f t="shared" si="44"/>
        <v>1028545.1185909857</v>
      </c>
      <c r="AA71" s="11">
        <f t="shared" si="45"/>
        <v>3253716</v>
      </c>
      <c r="AB71" s="11">
        <f t="shared" si="55"/>
        <v>64921518.921444565</v>
      </c>
      <c r="AC71" s="11">
        <f t="shared" si="47"/>
        <v>25968607.568577826</v>
      </c>
      <c r="AD71" s="11">
        <f t="shared" si="48"/>
        <v>40758664.337951593</v>
      </c>
      <c r="AG71" s="3">
        <f t="shared" si="31"/>
        <v>20</v>
      </c>
      <c r="AH71" s="9">
        <f t="shared" si="32"/>
        <v>69203780.040035546</v>
      </c>
      <c r="AI71" s="11">
        <f>0</f>
        <v>0</v>
      </c>
      <c r="AJ71" s="11">
        <v>0</v>
      </c>
      <c r="AK71" s="11">
        <f t="shared" si="49"/>
        <v>3253716</v>
      </c>
      <c r="AL71" s="11">
        <f t="shared" si="56"/>
        <v>65950064.040035546</v>
      </c>
      <c r="AM71" s="11">
        <f t="shared" si="51"/>
        <v>26380025.61601422</v>
      </c>
      <c r="AN71" s="11">
        <f t="shared" si="52"/>
        <v>42823754.424021326</v>
      </c>
    </row>
    <row r="72" spans="1:40">
      <c r="A72" s="3">
        <v>21</v>
      </c>
      <c r="B72" s="11">
        <f>'Step-1-Cost &amp; Revenues'!G58</f>
        <v>72385455.640836269</v>
      </c>
      <c r="C72" s="11">
        <f t="shared" si="33"/>
        <v>1520361.165660901</v>
      </c>
      <c r="D72" s="11">
        <f t="shared" si="34"/>
        <v>956146.9678452285</v>
      </c>
      <c r="E72" s="11">
        <f t="shared" si="35"/>
        <v>2961000</v>
      </c>
      <c r="F72" s="11">
        <f t="shared" si="53"/>
        <v>68468308.672991037</v>
      </c>
      <c r="G72" s="11">
        <f t="shared" si="37"/>
        <v>27387323.469196416</v>
      </c>
      <c r="H72" s="11">
        <f t="shared" si="38"/>
        <v>42521624.038133718</v>
      </c>
      <c r="K72" s="3">
        <v>21</v>
      </c>
      <c r="L72" s="11">
        <v>72385455.640836269</v>
      </c>
      <c r="M72" s="11">
        <f>0</f>
        <v>0</v>
      </c>
      <c r="N72" s="11">
        <v>0</v>
      </c>
      <c r="O72" s="11">
        <f t="shared" si="39"/>
        <v>2961000</v>
      </c>
      <c r="P72" s="11">
        <f t="shared" si="54"/>
        <v>69424455.640836269</v>
      </c>
      <c r="Q72" s="11">
        <f t="shared" si="41"/>
        <v>27769782.25633451</v>
      </c>
      <c r="R72" s="11">
        <f t="shared" si="42"/>
        <v>44615673.384501755</v>
      </c>
      <c r="U72" s="3">
        <v>21</v>
      </c>
      <c r="V72" s="12">
        <v>2.564E-2</v>
      </c>
      <c r="W72" s="3">
        <f t="shared" si="29"/>
        <v>21</v>
      </c>
      <c r="X72" s="11">
        <f t="shared" si="30"/>
        <v>72385455.640836269</v>
      </c>
      <c r="Y72" s="11">
        <f t="shared" si="57"/>
        <v>1520361.165660901</v>
      </c>
      <c r="Z72" s="11">
        <f t="shared" si="44"/>
        <v>956146.9678452285</v>
      </c>
      <c r="AA72" s="11">
        <f t="shared" si="45"/>
        <v>3253716</v>
      </c>
      <c r="AB72" s="11">
        <f t="shared" si="55"/>
        <v>68175592.672991037</v>
      </c>
      <c r="AC72" s="11">
        <f t="shared" si="47"/>
        <v>27270237.069196418</v>
      </c>
      <c r="AD72" s="11">
        <f t="shared" si="48"/>
        <v>42638710.438133717</v>
      </c>
      <c r="AG72" s="3">
        <f t="shared" si="31"/>
        <v>21</v>
      </c>
      <c r="AH72" s="9">
        <f t="shared" si="32"/>
        <v>72385455.640836269</v>
      </c>
      <c r="AI72" s="11">
        <f>0</f>
        <v>0</v>
      </c>
      <c r="AJ72" s="11">
        <v>0</v>
      </c>
      <c r="AK72" s="11">
        <f t="shared" si="49"/>
        <v>3253716</v>
      </c>
      <c r="AL72" s="11">
        <f t="shared" si="56"/>
        <v>69131739.640836269</v>
      </c>
      <c r="AM72" s="11">
        <f t="shared" si="51"/>
        <v>27652695.856334507</v>
      </c>
      <c r="AN72" s="11">
        <f t="shared" si="52"/>
        <v>44732759.784501761</v>
      </c>
    </row>
    <row r="73" spans="1:40">
      <c r="A73" s="3">
        <v>22</v>
      </c>
      <c r="B73" s="11">
        <f>'Step-1-Cost &amp; Revenues'!G59</f>
        <v>75630764.75365299</v>
      </c>
      <c r="C73" s="11">
        <f t="shared" si="33"/>
        <v>1596379.223943946</v>
      </c>
      <c r="D73" s="11">
        <f t="shared" si="34"/>
        <v>880128.90956218319</v>
      </c>
      <c r="E73" s="11">
        <f t="shared" si="35"/>
        <v>2961000</v>
      </c>
      <c r="F73" s="11">
        <f t="shared" si="53"/>
        <v>71789635.844090804</v>
      </c>
      <c r="G73" s="11">
        <f t="shared" si="37"/>
        <v>28715854.337636322</v>
      </c>
      <c r="H73" s="11">
        <f t="shared" si="38"/>
        <v>44438402.282510534</v>
      </c>
      <c r="K73" s="3">
        <v>22</v>
      </c>
      <c r="L73" s="11">
        <v>75630764.75365299</v>
      </c>
      <c r="M73" s="11">
        <f>0</f>
        <v>0</v>
      </c>
      <c r="N73" s="11">
        <v>0</v>
      </c>
      <c r="O73" s="11">
        <f t="shared" si="39"/>
        <v>2961000</v>
      </c>
      <c r="P73" s="11">
        <f t="shared" si="54"/>
        <v>72669764.75365299</v>
      </c>
      <c r="Q73" s="11">
        <f t="shared" si="41"/>
        <v>29067905.901461199</v>
      </c>
      <c r="R73" s="11">
        <f t="shared" si="42"/>
        <v>46562858.852191791</v>
      </c>
      <c r="U73" s="3">
        <v>22</v>
      </c>
      <c r="V73" s="12">
        <v>2.564E-2</v>
      </c>
      <c r="W73" s="3">
        <f t="shared" si="29"/>
        <v>22</v>
      </c>
      <c r="X73" s="11">
        <f t="shared" si="30"/>
        <v>75630764.75365299</v>
      </c>
      <c r="Y73" s="11">
        <f t="shared" si="57"/>
        <v>1596379.223943946</v>
      </c>
      <c r="Z73" s="11">
        <f t="shared" si="44"/>
        <v>880128.90956218319</v>
      </c>
      <c r="AA73" s="11">
        <f t="shared" si="45"/>
        <v>3253716</v>
      </c>
      <c r="AB73" s="11">
        <f t="shared" si="55"/>
        <v>71496919.844090804</v>
      </c>
      <c r="AC73" s="11">
        <f t="shared" si="47"/>
        <v>28598767.937636323</v>
      </c>
      <c r="AD73" s="11">
        <f t="shared" si="48"/>
        <v>44555488.682510532</v>
      </c>
      <c r="AG73" s="3">
        <f t="shared" si="31"/>
        <v>22</v>
      </c>
      <c r="AH73" s="9">
        <f t="shared" si="32"/>
        <v>75630764.75365299</v>
      </c>
      <c r="AI73" s="11">
        <f>0</f>
        <v>0</v>
      </c>
      <c r="AJ73" s="11">
        <v>0</v>
      </c>
      <c r="AK73" s="11">
        <f t="shared" si="49"/>
        <v>3253716</v>
      </c>
      <c r="AL73" s="11">
        <f t="shared" si="56"/>
        <v>72377048.75365299</v>
      </c>
      <c r="AM73" s="11">
        <f t="shared" si="51"/>
        <v>28950819.501461197</v>
      </c>
      <c r="AN73" s="11">
        <f t="shared" si="52"/>
        <v>46679945.252191797</v>
      </c>
    </row>
    <row r="74" spans="1:40">
      <c r="A74" s="3">
        <v>23</v>
      </c>
      <c r="B74" s="11">
        <f>'Step-1-Cost &amp; Revenues'!G60</f>
        <v>78940980.048726052</v>
      </c>
      <c r="C74" s="11">
        <f t="shared" si="33"/>
        <v>1676198.1851411434</v>
      </c>
      <c r="D74" s="11">
        <f t="shared" si="34"/>
        <v>800309.94836498599</v>
      </c>
      <c r="E74" s="11">
        <f t="shared" si="35"/>
        <v>2961000</v>
      </c>
      <c r="F74" s="11">
        <f t="shared" si="53"/>
        <v>75179670.100361064</v>
      </c>
      <c r="G74" s="11">
        <f t="shared" si="37"/>
        <v>30071868.040144429</v>
      </c>
      <c r="H74" s="11">
        <f t="shared" si="38"/>
        <v>46392603.875075489</v>
      </c>
      <c r="K74" s="3">
        <v>23</v>
      </c>
      <c r="L74" s="11">
        <v>78940980.048726052</v>
      </c>
      <c r="M74" s="11">
        <f>0</f>
        <v>0</v>
      </c>
      <c r="N74" s="11">
        <v>0</v>
      </c>
      <c r="O74" s="11">
        <f t="shared" si="39"/>
        <v>2961000</v>
      </c>
      <c r="P74" s="11">
        <f t="shared" si="54"/>
        <v>75979980.048726052</v>
      </c>
      <c r="Q74" s="11">
        <f t="shared" si="41"/>
        <v>30391992.019490421</v>
      </c>
      <c r="R74" s="11">
        <f t="shared" si="42"/>
        <v>48548988.029235631</v>
      </c>
      <c r="U74" s="3">
        <v>23</v>
      </c>
      <c r="V74" s="12">
        <v>2.564E-2</v>
      </c>
      <c r="W74" s="3">
        <f t="shared" si="29"/>
        <v>23</v>
      </c>
      <c r="X74" s="11">
        <f t="shared" si="30"/>
        <v>78940980.048726052</v>
      </c>
      <c r="Y74" s="11">
        <f t="shared" si="57"/>
        <v>1676198.1851411434</v>
      </c>
      <c r="Z74" s="11">
        <f t="shared" si="44"/>
        <v>800309.94836498599</v>
      </c>
      <c r="AA74" s="11">
        <f t="shared" si="45"/>
        <v>3253716</v>
      </c>
      <c r="AB74" s="11">
        <f t="shared" si="55"/>
        <v>74886954.100361064</v>
      </c>
      <c r="AC74" s="11">
        <f t="shared" si="47"/>
        <v>29954781.640144426</v>
      </c>
      <c r="AD74" s="11">
        <f t="shared" si="48"/>
        <v>46509690.275075495</v>
      </c>
      <c r="AG74" s="3">
        <f t="shared" si="31"/>
        <v>23</v>
      </c>
      <c r="AH74" s="9">
        <f t="shared" si="32"/>
        <v>78940980.048726052</v>
      </c>
      <c r="AI74" s="11">
        <f>0</f>
        <v>0</v>
      </c>
      <c r="AJ74" s="11">
        <v>0</v>
      </c>
      <c r="AK74" s="11">
        <f t="shared" si="49"/>
        <v>3253716</v>
      </c>
      <c r="AL74" s="11">
        <f t="shared" si="56"/>
        <v>75687264.048726052</v>
      </c>
      <c r="AM74" s="11">
        <f t="shared" si="51"/>
        <v>30274905.619490422</v>
      </c>
      <c r="AN74" s="11">
        <f t="shared" si="52"/>
        <v>48666074.42923563</v>
      </c>
    </row>
    <row r="75" spans="1:40">
      <c r="A75" s="3">
        <v>24</v>
      </c>
      <c r="B75" s="11">
        <f>'Step-1-Cost &amp; Revenues'!G61</f>
        <v>82317399.649700552</v>
      </c>
      <c r="C75" s="11">
        <f t="shared" si="33"/>
        <v>1760008.0943982005</v>
      </c>
      <c r="D75" s="11">
        <f t="shared" si="34"/>
        <v>716500.03910792887</v>
      </c>
      <c r="E75" s="11">
        <f t="shared" si="35"/>
        <v>2961000</v>
      </c>
      <c r="F75" s="11">
        <f t="shared" si="53"/>
        <v>78639899.610592619</v>
      </c>
      <c r="G75" s="11">
        <f t="shared" si="37"/>
        <v>31455959.844237048</v>
      </c>
      <c r="H75" s="11">
        <f t="shared" si="38"/>
        <v>48384931.671957374</v>
      </c>
      <c r="K75" s="3">
        <v>24</v>
      </c>
      <c r="L75" s="11">
        <v>82317399.649700552</v>
      </c>
      <c r="M75" s="11">
        <f>0</f>
        <v>0</v>
      </c>
      <c r="N75" s="11">
        <v>0</v>
      </c>
      <c r="O75" s="11">
        <f t="shared" si="39"/>
        <v>2961000</v>
      </c>
      <c r="P75" s="11">
        <f t="shared" si="54"/>
        <v>79356399.649700552</v>
      </c>
      <c r="Q75" s="11">
        <f t="shared" si="41"/>
        <v>31742559.859880224</v>
      </c>
      <c r="R75" s="11">
        <f t="shared" si="42"/>
        <v>50574839.789820328</v>
      </c>
      <c r="U75" s="3">
        <v>24</v>
      </c>
      <c r="V75" s="12">
        <v>2.564E-2</v>
      </c>
      <c r="W75" s="3">
        <f t="shared" si="29"/>
        <v>24</v>
      </c>
      <c r="X75" s="11">
        <f t="shared" si="30"/>
        <v>82317399.649700552</v>
      </c>
      <c r="Y75" s="11">
        <f t="shared" si="57"/>
        <v>1760008.0943982005</v>
      </c>
      <c r="Z75" s="11">
        <f t="shared" si="44"/>
        <v>716500.03910792887</v>
      </c>
      <c r="AA75" s="11">
        <f t="shared" si="45"/>
        <v>3253716</v>
      </c>
      <c r="AB75" s="11">
        <f t="shared" si="55"/>
        <v>78347183.610592619</v>
      </c>
      <c r="AC75" s="11">
        <f t="shared" si="47"/>
        <v>31338873.44423705</v>
      </c>
      <c r="AD75" s="11">
        <f t="shared" si="48"/>
        <v>48502018.071957365</v>
      </c>
      <c r="AG75" s="3">
        <f t="shared" si="31"/>
        <v>24</v>
      </c>
      <c r="AH75" s="9">
        <f t="shared" si="32"/>
        <v>82317399.649700552</v>
      </c>
      <c r="AI75" s="11">
        <f>0</f>
        <v>0</v>
      </c>
      <c r="AJ75" s="11">
        <v>0</v>
      </c>
      <c r="AK75" s="11">
        <f t="shared" si="49"/>
        <v>3253716</v>
      </c>
      <c r="AL75" s="11">
        <f t="shared" si="56"/>
        <v>79063683.649700552</v>
      </c>
      <c r="AM75" s="11">
        <f t="shared" si="51"/>
        <v>31625473.459880222</v>
      </c>
      <c r="AN75" s="11">
        <f t="shared" si="52"/>
        <v>50691926.189820334</v>
      </c>
    </row>
    <row r="76" spans="1:40">
      <c r="A76" s="3">
        <v>25</v>
      </c>
      <c r="B76" s="11">
        <f>'Step-1-Cost &amp; Revenues'!G62</f>
        <v>85761347.642694563</v>
      </c>
      <c r="C76" s="11">
        <f t="shared" si="33"/>
        <v>1848008.4991181106</v>
      </c>
      <c r="D76" s="11">
        <f t="shared" si="34"/>
        <v>628499.63438801875</v>
      </c>
      <c r="E76" s="11">
        <f t="shared" si="35"/>
        <v>2961000</v>
      </c>
      <c r="F76" s="11">
        <f t="shared" si="53"/>
        <v>82171848.008306548</v>
      </c>
      <c r="G76" s="11">
        <f t="shared" si="37"/>
        <v>32868739.203322619</v>
      </c>
      <c r="H76" s="11">
        <f t="shared" si="38"/>
        <v>50416100.305865824</v>
      </c>
      <c r="K76" s="3">
        <v>25</v>
      </c>
      <c r="L76" s="11">
        <v>85761347.642694563</v>
      </c>
      <c r="M76" s="11">
        <f>0</f>
        <v>0</v>
      </c>
      <c r="N76" s="11">
        <v>0</v>
      </c>
      <c r="O76" s="11">
        <f t="shared" si="39"/>
        <v>2961000</v>
      </c>
      <c r="P76" s="11">
        <f t="shared" si="54"/>
        <v>82800347.642694563</v>
      </c>
      <c r="Q76" s="11">
        <f t="shared" si="41"/>
        <v>33120139.057077825</v>
      </c>
      <c r="R76" s="11">
        <f t="shared" si="42"/>
        <v>52641208.585616738</v>
      </c>
      <c r="U76" s="3">
        <v>25</v>
      </c>
      <c r="V76" s="12">
        <v>2.564E-2</v>
      </c>
      <c r="W76" s="3">
        <f t="shared" si="29"/>
        <v>25</v>
      </c>
      <c r="X76" s="11">
        <f t="shared" si="30"/>
        <v>85761347.642694563</v>
      </c>
      <c r="Y76" s="11">
        <f t="shared" si="57"/>
        <v>1848008.4991181106</v>
      </c>
      <c r="Z76" s="11">
        <f t="shared" si="44"/>
        <v>628499.63438801875</v>
      </c>
      <c r="AA76" s="11">
        <f t="shared" si="45"/>
        <v>3253716</v>
      </c>
      <c r="AB76" s="11">
        <f t="shared" si="55"/>
        <v>81879132.008306548</v>
      </c>
      <c r="AC76" s="11">
        <f t="shared" si="47"/>
        <v>32751652.803322621</v>
      </c>
      <c r="AD76" s="11">
        <f t="shared" si="48"/>
        <v>50533186.705865823</v>
      </c>
      <c r="AG76" s="3">
        <f t="shared" si="31"/>
        <v>25</v>
      </c>
      <c r="AH76" s="9">
        <f t="shared" si="32"/>
        <v>85761347.642694563</v>
      </c>
      <c r="AI76" s="11">
        <f>0</f>
        <v>0</v>
      </c>
      <c r="AJ76" s="11">
        <v>0</v>
      </c>
      <c r="AK76" s="11">
        <f t="shared" si="49"/>
        <v>3253716</v>
      </c>
      <c r="AL76" s="11">
        <f t="shared" si="56"/>
        <v>82507631.642694563</v>
      </c>
      <c r="AM76" s="11">
        <f t="shared" si="51"/>
        <v>33003052.657077827</v>
      </c>
      <c r="AN76" s="11">
        <f t="shared" si="52"/>
        <v>52758294.985616736</v>
      </c>
    </row>
    <row r="77" spans="1:40">
      <c r="A77" s="3">
        <v>26</v>
      </c>
      <c r="B77" s="11">
        <f>'Step-1-Cost &amp; Revenues'!G63</f>
        <v>89274174.595548481</v>
      </c>
      <c r="C77" s="11">
        <f t="shared" si="33"/>
        <v>1940408.9240740163</v>
      </c>
      <c r="D77" s="11">
        <f t="shared" si="34"/>
        <v>536099.20943211322</v>
      </c>
      <c r="E77" s="11">
        <f t="shared" si="35"/>
        <v>2961000</v>
      </c>
      <c r="F77" s="11">
        <f t="shared" si="53"/>
        <v>85777075.386116371</v>
      </c>
      <c r="G77" s="11">
        <f t="shared" si="37"/>
        <v>34310830.15444655</v>
      </c>
      <c r="H77" s="11">
        <f t="shared" si="38"/>
        <v>52486836.307595812</v>
      </c>
      <c r="K77" s="3">
        <v>26</v>
      </c>
      <c r="L77" s="11">
        <v>89274174.595548481</v>
      </c>
      <c r="M77" s="11">
        <f>0</f>
        <v>0</v>
      </c>
      <c r="N77" s="11">
        <v>0</v>
      </c>
      <c r="O77" s="11">
        <f t="shared" si="39"/>
        <v>2961000</v>
      </c>
      <c r="P77" s="11">
        <f t="shared" si="54"/>
        <v>86313174.595548481</v>
      </c>
      <c r="Q77" s="11">
        <f t="shared" si="41"/>
        <v>34525269.838219397</v>
      </c>
      <c r="R77" s="11">
        <f t="shared" si="42"/>
        <v>54748904.757329084</v>
      </c>
      <c r="U77" s="3">
        <v>26</v>
      </c>
      <c r="V77" s="12">
        <v>2.564E-2</v>
      </c>
      <c r="W77" s="3">
        <f t="shared" si="29"/>
        <v>26</v>
      </c>
      <c r="X77" s="11">
        <f t="shared" si="30"/>
        <v>89274174.595548481</v>
      </c>
      <c r="Y77" s="11">
        <f t="shared" si="57"/>
        <v>1940408.9240740163</v>
      </c>
      <c r="Z77" s="11">
        <f t="shared" si="44"/>
        <v>536099.20943211322</v>
      </c>
      <c r="AA77" s="11">
        <f t="shared" si="45"/>
        <v>3253716</v>
      </c>
      <c r="AB77" s="11">
        <f t="shared" si="55"/>
        <v>85484359.386116371</v>
      </c>
      <c r="AC77" s="11">
        <f t="shared" si="47"/>
        <v>34193743.754446551</v>
      </c>
      <c r="AD77" s="11">
        <f t="shared" si="48"/>
        <v>52603922.70759581</v>
      </c>
      <c r="AG77" s="3">
        <f t="shared" si="31"/>
        <v>26</v>
      </c>
      <c r="AH77" s="9">
        <f t="shared" si="32"/>
        <v>89274174.595548481</v>
      </c>
      <c r="AI77" s="11">
        <f>0</f>
        <v>0</v>
      </c>
      <c r="AJ77" s="11">
        <v>0</v>
      </c>
      <c r="AK77" s="11">
        <f t="shared" si="49"/>
        <v>3253716</v>
      </c>
      <c r="AL77" s="11">
        <f t="shared" si="56"/>
        <v>86020458.595548481</v>
      </c>
      <c r="AM77" s="11">
        <f t="shared" si="51"/>
        <v>34408183.438219391</v>
      </c>
      <c r="AN77" s="11">
        <f t="shared" si="52"/>
        <v>54865991.15732909</v>
      </c>
    </row>
    <row r="78" spans="1:40">
      <c r="A78" s="3">
        <v>27</v>
      </c>
      <c r="B78" s="11">
        <f>'Step-1-Cost &amp; Revenues'!G64</f>
        <v>92857258.087459445</v>
      </c>
      <c r="C78" s="11">
        <f t="shared" si="33"/>
        <v>2037429.370277717</v>
      </c>
      <c r="D78" s="11">
        <f t="shared" si="34"/>
        <v>439078.76322841237</v>
      </c>
      <c r="E78" s="11">
        <f t="shared" si="35"/>
        <v>2961000</v>
      </c>
      <c r="F78" s="11">
        <f t="shared" si="53"/>
        <v>89457179.324231029</v>
      </c>
      <c r="G78" s="11">
        <f t="shared" si="37"/>
        <v>35782871.729692414</v>
      </c>
      <c r="H78" s="11">
        <f t="shared" si="38"/>
        <v>54597878.224260896</v>
      </c>
      <c r="K78" s="3">
        <v>27</v>
      </c>
      <c r="L78" s="11">
        <v>92857258.087459445</v>
      </c>
      <c r="M78" s="11">
        <f>0</f>
        <v>0</v>
      </c>
      <c r="N78" s="11">
        <v>0</v>
      </c>
      <c r="O78" s="11">
        <f t="shared" si="39"/>
        <v>2961000</v>
      </c>
      <c r="P78" s="11">
        <f t="shared" si="54"/>
        <v>89896258.087459445</v>
      </c>
      <c r="Q78" s="11">
        <f t="shared" si="41"/>
        <v>35958503.234983779</v>
      </c>
      <c r="R78" s="11">
        <f t="shared" si="42"/>
        <v>56898754.852475666</v>
      </c>
      <c r="U78" s="3">
        <v>27</v>
      </c>
      <c r="V78" s="12">
        <v>2.564E-2</v>
      </c>
      <c r="W78" s="3">
        <f t="shared" si="29"/>
        <v>27</v>
      </c>
      <c r="X78" s="11">
        <f t="shared" si="30"/>
        <v>92857258.087459445</v>
      </c>
      <c r="Y78" s="11">
        <f t="shared" si="57"/>
        <v>2037429.370277717</v>
      </c>
      <c r="Z78" s="11">
        <f t="shared" si="44"/>
        <v>439078.76322841237</v>
      </c>
      <c r="AA78" s="11">
        <f t="shared" si="45"/>
        <v>3253716</v>
      </c>
      <c r="AB78" s="11">
        <f t="shared" si="55"/>
        <v>89164463.324231029</v>
      </c>
      <c r="AC78" s="11">
        <f t="shared" si="47"/>
        <v>35665785.329692416</v>
      </c>
      <c r="AD78" s="11">
        <f t="shared" si="48"/>
        <v>54714964.624260895</v>
      </c>
      <c r="AG78" s="3">
        <f t="shared" si="31"/>
        <v>27</v>
      </c>
      <c r="AH78" s="9">
        <f t="shared" si="32"/>
        <v>92857258.087459445</v>
      </c>
      <c r="AI78" s="11">
        <f>0</f>
        <v>0</v>
      </c>
      <c r="AJ78" s="11">
        <v>0</v>
      </c>
      <c r="AK78" s="11">
        <f t="shared" si="49"/>
        <v>3253716</v>
      </c>
      <c r="AL78" s="11">
        <f t="shared" si="56"/>
        <v>89603542.087459445</v>
      </c>
      <c r="AM78" s="11">
        <f t="shared" si="51"/>
        <v>35841416.834983781</v>
      </c>
      <c r="AN78" s="11">
        <f t="shared" si="52"/>
        <v>57015841.252475664</v>
      </c>
    </row>
    <row r="79" spans="1:40">
      <c r="A79" s="3">
        <v>28</v>
      </c>
      <c r="B79" s="11">
        <f>'Step-1-Cost &amp; Revenues'!G65</f>
        <v>96512003.249208599</v>
      </c>
      <c r="C79" s="11">
        <f t="shared" si="33"/>
        <v>2139300.8387916028</v>
      </c>
      <c r="D79" s="11">
        <f t="shared" si="34"/>
        <v>337207.29471452651</v>
      </c>
      <c r="E79" s="11">
        <f t="shared" si="35"/>
        <v>2961000</v>
      </c>
      <c r="F79" s="11">
        <f t="shared" si="53"/>
        <v>93213795.954494074</v>
      </c>
      <c r="G79" s="11">
        <f t="shared" si="37"/>
        <v>37285518.381797634</v>
      </c>
      <c r="H79" s="11">
        <f t="shared" si="38"/>
        <v>56749976.733904831</v>
      </c>
      <c r="K79" s="3">
        <v>28</v>
      </c>
      <c r="L79" s="11">
        <v>96512003.249208599</v>
      </c>
      <c r="M79" s="11">
        <f>0</f>
        <v>0</v>
      </c>
      <c r="N79" s="11">
        <v>0</v>
      </c>
      <c r="O79" s="11">
        <f t="shared" si="39"/>
        <v>2961000</v>
      </c>
      <c r="P79" s="11">
        <f t="shared" si="54"/>
        <v>93551003.249208599</v>
      </c>
      <c r="Q79" s="11">
        <f t="shared" si="41"/>
        <v>37420401.299683444</v>
      </c>
      <c r="R79" s="11">
        <f t="shared" si="42"/>
        <v>59091601.949525155</v>
      </c>
      <c r="U79" s="3">
        <v>28</v>
      </c>
      <c r="V79" s="12">
        <v>2.564E-2</v>
      </c>
      <c r="W79" s="3">
        <f t="shared" si="29"/>
        <v>28</v>
      </c>
      <c r="X79" s="11">
        <f t="shared" si="30"/>
        <v>96512003.249208599</v>
      </c>
      <c r="Y79" s="11">
        <f t="shared" si="57"/>
        <v>2139300.8387916028</v>
      </c>
      <c r="Z79" s="11">
        <f t="shared" si="44"/>
        <v>337207.29471452651</v>
      </c>
      <c r="AA79" s="11">
        <f t="shared" si="45"/>
        <v>3253716</v>
      </c>
      <c r="AB79" s="11">
        <f t="shared" si="55"/>
        <v>92921079.954494074</v>
      </c>
      <c r="AC79" s="11">
        <f t="shared" si="47"/>
        <v>37168431.981797628</v>
      </c>
      <c r="AD79" s="11">
        <f t="shared" si="48"/>
        <v>56867063.133904837</v>
      </c>
      <c r="AG79" s="3">
        <f t="shared" si="31"/>
        <v>28</v>
      </c>
      <c r="AH79" s="9">
        <f t="shared" si="32"/>
        <v>96512003.249208599</v>
      </c>
      <c r="AI79" s="11">
        <f>0</f>
        <v>0</v>
      </c>
      <c r="AJ79" s="11">
        <v>0</v>
      </c>
      <c r="AK79" s="11">
        <f t="shared" si="49"/>
        <v>3253716</v>
      </c>
      <c r="AL79" s="11">
        <f t="shared" si="56"/>
        <v>93258287.249208599</v>
      </c>
      <c r="AM79" s="11">
        <f t="shared" si="51"/>
        <v>37303314.899683438</v>
      </c>
      <c r="AN79" s="11">
        <f t="shared" si="52"/>
        <v>59208688.349525161</v>
      </c>
    </row>
    <row r="80" spans="1:40">
      <c r="A80" s="3">
        <v>29</v>
      </c>
      <c r="B80" s="11">
        <f>'Step-1-Cost &amp; Revenues'!G66</f>
        <v>100239843.31419283</v>
      </c>
      <c r="C80" s="11">
        <f t="shared" si="33"/>
        <v>2246265.8807311831</v>
      </c>
      <c r="D80" s="11">
        <f t="shared" si="34"/>
        <v>230242.2527749463</v>
      </c>
      <c r="E80" s="11">
        <f t="shared" si="35"/>
        <v>2961000</v>
      </c>
      <c r="F80" s="11">
        <f t="shared" si="53"/>
        <v>97048601.061417893</v>
      </c>
      <c r="G80" s="11">
        <f t="shared" si="37"/>
        <v>38819440.424567156</v>
      </c>
      <c r="H80" s="11">
        <f t="shared" si="38"/>
        <v>58943894.756119557</v>
      </c>
      <c r="K80" s="3">
        <v>29</v>
      </c>
      <c r="L80" s="11">
        <v>100239843.31419283</v>
      </c>
      <c r="M80" s="11">
        <f>0</f>
        <v>0</v>
      </c>
      <c r="N80" s="11">
        <v>0</v>
      </c>
      <c r="O80" s="11">
        <f t="shared" si="39"/>
        <v>2961000</v>
      </c>
      <c r="P80" s="11">
        <f t="shared" si="54"/>
        <v>97278843.314192832</v>
      </c>
      <c r="Q80" s="11">
        <f t="shared" si="41"/>
        <v>38911537.325677134</v>
      </c>
      <c r="R80" s="11">
        <f t="shared" si="42"/>
        <v>61328305.988515697</v>
      </c>
      <c r="U80" s="3">
        <v>29</v>
      </c>
      <c r="V80" s="12">
        <v>2.564E-2</v>
      </c>
      <c r="W80" s="3">
        <f t="shared" si="29"/>
        <v>29</v>
      </c>
      <c r="X80" s="11">
        <f t="shared" si="30"/>
        <v>100239843.31419283</v>
      </c>
      <c r="Y80" s="11">
        <f t="shared" si="57"/>
        <v>2246265.8807311831</v>
      </c>
      <c r="Z80" s="11">
        <f t="shared" si="44"/>
        <v>230242.2527749463</v>
      </c>
      <c r="AA80" s="11">
        <f t="shared" si="45"/>
        <v>3253716</v>
      </c>
      <c r="AB80" s="11">
        <f t="shared" si="55"/>
        <v>96755885.061417893</v>
      </c>
      <c r="AC80" s="11">
        <f t="shared" si="47"/>
        <v>38702354.024567157</v>
      </c>
      <c r="AD80" s="11">
        <f t="shared" si="48"/>
        <v>59060981.156119555</v>
      </c>
      <c r="AG80" s="3">
        <f t="shared" si="31"/>
        <v>29</v>
      </c>
      <c r="AH80" s="9">
        <f t="shared" si="32"/>
        <v>100239843.31419283</v>
      </c>
      <c r="AI80" s="11">
        <f>0</f>
        <v>0</v>
      </c>
      <c r="AJ80" s="11">
        <v>0</v>
      </c>
      <c r="AK80" s="11">
        <f t="shared" si="49"/>
        <v>3253716</v>
      </c>
      <c r="AL80" s="11">
        <f t="shared" si="56"/>
        <v>96986127.314192832</v>
      </c>
      <c r="AM80" s="11">
        <f t="shared" si="51"/>
        <v>38794450.925677136</v>
      </c>
      <c r="AN80" s="11">
        <f t="shared" si="52"/>
        <v>61445392.388515696</v>
      </c>
    </row>
    <row r="81" spans="1:40">
      <c r="A81" s="3">
        <v>30</v>
      </c>
      <c r="B81" s="11">
        <f>'Step-1-Cost &amp; Revenues'!G67</f>
        <v>142112240.18047664</v>
      </c>
      <c r="C81" s="11">
        <f t="shared" si="33"/>
        <v>2358579.1747677419</v>
      </c>
      <c r="D81" s="11">
        <f t="shared" si="34"/>
        <v>117928.95873838715</v>
      </c>
      <c r="E81" s="11">
        <f t="shared" si="35"/>
        <v>2961000</v>
      </c>
      <c r="F81" s="11">
        <f>B81-D81-E81-E82</f>
        <v>100963311.22173825</v>
      </c>
      <c r="G81" s="11">
        <f t="shared" si="37"/>
        <v>40385324.488695301</v>
      </c>
      <c r="H81" s="11">
        <f t="shared" si="38"/>
        <v>99250407.558275223</v>
      </c>
      <c r="K81" s="3">
        <v>30</v>
      </c>
      <c r="L81" s="11">
        <v>142112240.18047664</v>
      </c>
      <c r="M81" s="11">
        <f>-M51</f>
        <v>38070000</v>
      </c>
      <c r="N81" s="11">
        <f>FV(B4,30,0,M51)+M51</f>
        <v>126466346.22198573</v>
      </c>
      <c r="O81" s="11">
        <f t="shared" si="39"/>
        <v>2961000</v>
      </c>
      <c r="P81" s="11">
        <f>L81-N81-O81-O82</f>
        <v>-25385106.041509092</v>
      </c>
      <c r="Q81" s="11">
        <f>$B$5*P81</f>
        <v>-10154042.416603638</v>
      </c>
      <c r="R81" s="11">
        <f t="shared" si="42"/>
        <v>-12270063.624905454</v>
      </c>
      <c r="U81" s="3">
        <v>30</v>
      </c>
      <c r="V81" s="12">
        <f>2.564%/2</f>
        <v>1.282E-2</v>
      </c>
      <c r="W81" s="3">
        <f t="shared" si="29"/>
        <v>30</v>
      </c>
      <c r="X81" s="11">
        <f t="shared" si="30"/>
        <v>142112240.18047664</v>
      </c>
      <c r="Y81" s="11">
        <f t="shared" si="57"/>
        <v>2358579.1747677419</v>
      </c>
      <c r="Z81" s="11">
        <f t="shared" si="44"/>
        <v>117928.95873838715</v>
      </c>
      <c r="AA81" s="11">
        <f t="shared" si="45"/>
        <v>1626858</v>
      </c>
      <c r="AB81" s="11">
        <f>X81-Z81-AA81-AA82</f>
        <v>109321368.22173825</v>
      </c>
      <c r="AC81" s="11">
        <f t="shared" si="47"/>
        <v>43728547.288695306</v>
      </c>
      <c r="AD81" s="11">
        <f t="shared" si="48"/>
        <v>95907184.758275211</v>
      </c>
      <c r="AG81" s="3">
        <f t="shared" si="31"/>
        <v>30</v>
      </c>
      <c r="AH81" s="9">
        <f>B81</f>
        <v>142112240.18047664</v>
      </c>
      <c r="AI81" s="11">
        <f>-AI51</f>
        <v>38070000</v>
      </c>
      <c r="AJ81" s="11">
        <f>FV(X44,30,0,AI51)+AI51</f>
        <v>0</v>
      </c>
      <c r="AK81" s="11">
        <f t="shared" si="49"/>
        <v>1626858</v>
      </c>
      <c r="AL81" s="11">
        <f>AH81-AJ81-AK81-AK82</f>
        <v>109439297.18047664</v>
      </c>
      <c r="AM81" s="11">
        <f t="shared" si="51"/>
        <v>43775718.872190654</v>
      </c>
      <c r="AN81" s="11">
        <f t="shared" si="52"/>
        <v>60266521.308285981</v>
      </c>
    </row>
    <row r="82" spans="1:40">
      <c r="B82" s="11"/>
      <c r="C82" s="11"/>
      <c r="D82" s="13" t="s">
        <v>79</v>
      </c>
      <c r="E82" s="11">
        <f>-B51-SUM(E52:E81)</f>
        <v>38070000</v>
      </c>
      <c r="F82" s="11"/>
      <c r="G82" s="13" t="s">
        <v>78</v>
      </c>
      <c r="H82" s="11">
        <f>NPV($B$3,H52:H81)+H51</f>
        <v>242715360.06839317</v>
      </c>
      <c r="L82" s="11"/>
      <c r="M82" s="11"/>
      <c r="N82" s="13" t="s">
        <v>79</v>
      </c>
      <c r="O82" s="11">
        <f>-L51-SUM(O52:O81)</f>
        <v>38070000</v>
      </c>
      <c r="P82" s="11"/>
      <c r="Q82" s="13" t="s">
        <v>88</v>
      </c>
      <c r="R82" s="11">
        <f>NPV($B$3,R52:R81)+R51</f>
        <v>284890628.03721565</v>
      </c>
      <c r="X82" s="11"/>
      <c r="Y82" s="11"/>
      <c r="Z82" s="13" t="s">
        <v>79</v>
      </c>
      <c r="AA82" s="11">
        <f>-X51-SUM(AA52:AA81)</f>
        <v>31046085</v>
      </c>
      <c r="AB82" s="11"/>
      <c r="AC82" s="13" t="s">
        <v>78</v>
      </c>
      <c r="AD82" s="11">
        <f>NPV($B$3,AD52:AD81)+AD51</f>
        <v>281740525.41833711</v>
      </c>
      <c r="AI82" s="11"/>
      <c r="AJ82" s="13" t="s">
        <v>79</v>
      </c>
      <c r="AK82" s="11">
        <f>-AH51-SUM(AK52:AK81)</f>
        <v>31046085</v>
      </c>
      <c r="AL82" s="11"/>
      <c r="AM82" s="13" t="s">
        <v>78</v>
      </c>
      <c r="AN82" s="11">
        <f>NPV($B$3,AN52:AN81)+AN51</f>
        <v>302015418.12514842</v>
      </c>
    </row>
    <row r="83" spans="1:40">
      <c r="G83" s="1" t="s">
        <v>80</v>
      </c>
      <c r="H83" s="8">
        <f>IRR(H51:H81)</f>
        <v>0.1231687911360857</v>
      </c>
      <c r="Q83" s="1" t="s">
        <v>80</v>
      </c>
      <c r="R83" s="8">
        <f>IRR(R51:R81)</f>
        <v>0.1599374737015693</v>
      </c>
      <c r="AC83" s="1" t="s">
        <v>80</v>
      </c>
      <c r="AD83" s="8">
        <f>IRR(AD51:AD81)</f>
        <v>0.15111395442313302</v>
      </c>
      <c r="AM83" s="1" t="s">
        <v>80</v>
      </c>
      <c r="AN83" s="8">
        <f>IRR(AN51:AN81)</f>
        <v>0.16142543483404648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60" zoomScaleNormal="160" zoomScalePageLayoutView="160" workbookViewId="0">
      <selection activeCell="G24" sqref="G24"/>
    </sheetView>
  </sheetViews>
  <sheetFormatPr baseColWidth="10" defaultRowHeight="15" x14ac:dyDescent="0"/>
  <cols>
    <col min="1" max="1" width="14.5" style="3" bestFit="1" customWidth="1"/>
    <col min="2" max="2" width="17.5" style="3" bestFit="1" customWidth="1"/>
    <col min="3" max="3" width="16.5" style="3" bestFit="1" customWidth="1"/>
    <col min="4" max="4" width="17.5" style="3" bestFit="1" customWidth="1"/>
    <col min="5" max="5" width="16.5" style="3" bestFit="1" customWidth="1"/>
    <col min="6" max="16384" width="10.83203125" style="3"/>
  </cols>
  <sheetData>
    <row r="1" spans="1:5">
      <c r="A1" s="1" t="s">
        <v>109</v>
      </c>
    </row>
    <row r="3" spans="1:5" ht="20">
      <c r="A3" s="34" t="s">
        <v>132</v>
      </c>
      <c r="B3" s="34"/>
      <c r="C3" s="34"/>
      <c r="D3" s="34"/>
      <c r="E3" s="34"/>
    </row>
    <row r="5" spans="1:5">
      <c r="B5" s="33" t="s">
        <v>110</v>
      </c>
      <c r="C5" s="33"/>
      <c r="D5" s="33" t="s">
        <v>3</v>
      </c>
      <c r="E5" s="33"/>
    </row>
    <row r="6" spans="1:5">
      <c r="B6" s="1" t="s">
        <v>1</v>
      </c>
      <c r="C6" s="1" t="s">
        <v>92</v>
      </c>
      <c r="D6" s="1" t="s">
        <v>1</v>
      </c>
      <c r="E6" s="1" t="s">
        <v>92</v>
      </c>
    </row>
    <row r="7" spans="1:5">
      <c r="A7" s="1" t="s">
        <v>111</v>
      </c>
      <c r="B7" s="11">
        <f>'Step-3&amp;4-AT Analysis'!H42</f>
        <v>32693923.376058832</v>
      </c>
      <c r="C7" s="11">
        <f>'Step-3&amp;4-AT Analysis'!R42</f>
        <v>36799191.344881222</v>
      </c>
      <c r="D7" s="11">
        <f>'Step-3&amp;4-AT Analysis'!AD42</f>
        <v>33649088.726002663</v>
      </c>
      <c r="E7" s="11">
        <f>'Step-3&amp;4-AT Analysis'!AN42</f>
        <v>53923981.432813972</v>
      </c>
    </row>
    <row r="8" spans="1:5">
      <c r="A8" s="1" t="s">
        <v>69</v>
      </c>
      <c r="B8" s="11">
        <f>'Step-3&amp;4-AT Analysis'!H82</f>
        <v>242715360.06839317</v>
      </c>
      <c r="C8" s="11">
        <f>'Step-3&amp;4-AT Analysis'!R82</f>
        <v>284890628.03721565</v>
      </c>
      <c r="D8" s="11">
        <f>'Step-3&amp;4-AT Analysis'!AD82</f>
        <v>281740525.41833711</v>
      </c>
      <c r="E8" s="11">
        <f>'Step-3&amp;4-AT Analysis'!AN82</f>
        <v>302015418.12514842</v>
      </c>
    </row>
    <row r="11" spans="1:5">
      <c r="A11" s="15"/>
    </row>
    <row r="12" spans="1:5">
      <c r="B12" s="15"/>
    </row>
    <row r="13" spans="1:5">
      <c r="A13" s="15"/>
    </row>
    <row r="14" spans="1:5">
      <c r="B14" s="15"/>
    </row>
    <row r="15" spans="1:5">
      <c r="A15" s="15"/>
    </row>
    <row r="17" spans="1:8" ht="20">
      <c r="A17" s="34" t="s">
        <v>133</v>
      </c>
      <c r="B17" s="34"/>
      <c r="C17" s="34"/>
      <c r="D17" s="34"/>
      <c r="E17" s="34"/>
    </row>
    <row r="18" spans="1:8" ht="20">
      <c r="A18" s="28"/>
      <c r="B18" s="28"/>
      <c r="C18" s="28"/>
      <c r="D18" s="28"/>
      <c r="E18" s="28"/>
    </row>
    <row r="19" spans="1:8">
      <c r="B19" s="33" t="s">
        <v>140</v>
      </c>
      <c r="C19" s="33"/>
      <c r="D19" s="33" t="s">
        <v>141</v>
      </c>
      <c r="E19" s="33"/>
      <c r="G19" s="3" t="s">
        <v>142</v>
      </c>
      <c r="H19" s="27">
        <f>'Step-2-WACC'!B22</f>
        <v>5.2884848484848486E-2</v>
      </c>
    </row>
    <row r="20" spans="1:8">
      <c r="B20" s="1" t="s">
        <v>136</v>
      </c>
      <c r="C20" s="1" t="s">
        <v>137</v>
      </c>
      <c r="D20" s="1" t="s">
        <v>138</v>
      </c>
      <c r="E20" s="1" t="s">
        <v>139</v>
      </c>
    </row>
    <row r="21" spans="1:8">
      <c r="A21" s="1" t="s">
        <v>134</v>
      </c>
      <c r="B21" s="27">
        <f>'Step-3&amp;4-AT Analysis'!H43</f>
        <v>7.2931659331520793E-2</v>
      </c>
      <c r="C21" s="27">
        <f>'Step-3&amp;4-AT Analysis'!R43</f>
        <v>8.0735213789904225E-2</v>
      </c>
      <c r="D21" s="27">
        <f>'Step-3&amp;4-AT Analysis'!AD43</f>
        <v>7.3634205620088933E-2</v>
      </c>
      <c r="E21" s="27">
        <f>'Step-3&amp;4-AT Analysis'!AN43</f>
        <v>8.7558656390880341E-2</v>
      </c>
    </row>
    <row r="22" spans="1:8">
      <c r="A22" s="1" t="s">
        <v>135</v>
      </c>
      <c r="B22" s="27">
        <f>'Step-3&amp;4-AT Analysis'!H83</f>
        <v>0.1231687911360857</v>
      </c>
      <c r="C22" s="27">
        <f>'Step-3&amp;4-AT Analysis'!R83</f>
        <v>0.1599374737015693</v>
      </c>
      <c r="D22" s="27">
        <f>'Step-3&amp;4-AT Analysis'!AD83</f>
        <v>0.15111395442313302</v>
      </c>
      <c r="E22" s="27">
        <f>'Step-3&amp;4-AT Analysis'!AN83</f>
        <v>0.16142543483404648</v>
      </c>
    </row>
  </sheetData>
  <mergeCells count="6">
    <mergeCell ref="B5:C5"/>
    <mergeCell ref="D5:E5"/>
    <mergeCell ref="D19:E19"/>
    <mergeCell ref="B19:C19"/>
    <mergeCell ref="A3:E3"/>
    <mergeCell ref="A17:E17"/>
  </mergeCells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Step-1-Cost &amp; Revenues</vt:lpstr>
      <vt:lpstr>Step-1-Plan-3 vs Plan-4</vt:lpstr>
      <vt:lpstr>Step-1-Regression</vt:lpstr>
      <vt:lpstr>Step-2-WACC</vt:lpstr>
      <vt:lpstr>Step-3&amp;4-AT Analysis</vt:lpstr>
      <vt:lpstr>Step-4--Summary-in terms of PW</vt:lpstr>
    </vt:vector>
  </TitlesOfParts>
  <Company>apple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yuheng gao</dc:creator>
  <cp:lastModifiedBy>Samria</cp:lastModifiedBy>
  <dcterms:created xsi:type="dcterms:W3CDTF">2019-06-13T05:04:01Z</dcterms:created>
  <dcterms:modified xsi:type="dcterms:W3CDTF">2019-06-17T23:25:25Z</dcterms:modified>
</cp:coreProperties>
</file>