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330"/>
  <workbookPr autoCompressPictures="0"/>
  <bookViews>
    <workbookView xWindow="0" yWindow="-460" windowWidth="25600" windowHeight="16000" activeTab="4"/>
  </bookViews>
  <sheets>
    <sheet name="Step 1 - Regression" sheetId="6" r:id="rId1"/>
    <sheet name="Step 2 - WACC" sheetId="3" r:id="rId2"/>
    <sheet name="Step 1,3, and 4 " sheetId="1" r:id="rId3"/>
    <sheet name="Step 3- plan-3 vs plan-4" sheetId="5" r:id="rId4"/>
    <sheet name="Step 4 summary" sheetId="4" r:id="rId5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2" i="1"/>
  <c r="B78" i="1"/>
  <c r="C78" i="1"/>
  <c r="B368" i="1"/>
  <c r="B6" i="3"/>
  <c r="C368" i="1"/>
  <c r="H368" i="1"/>
  <c r="B30" i="1"/>
  <c r="B31" i="1"/>
  <c r="B32" i="1"/>
  <c r="B33" i="1"/>
  <c r="C30" i="1"/>
  <c r="C31" i="1"/>
  <c r="C32" i="1"/>
  <c r="C34" i="1"/>
  <c r="F18" i="1"/>
  <c r="F19" i="1"/>
  <c r="F20" i="1"/>
  <c r="B19" i="1"/>
  <c r="C19" i="1"/>
  <c r="C20" i="1"/>
  <c r="C22" i="1"/>
  <c r="C23" i="1"/>
  <c r="C25" i="1"/>
  <c r="C36" i="1"/>
  <c r="B79" i="1"/>
  <c r="C79" i="1"/>
  <c r="B369" i="1"/>
  <c r="E369" i="1"/>
  <c r="F369" i="1"/>
  <c r="G369" i="1"/>
  <c r="H369" i="1"/>
  <c r="C80" i="1"/>
  <c r="B370" i="1"/>
  <c r="E370" i="1"/>
  <c r="F370" i="1"/>
  <c r="G370" i="1"/>
  <c r="H370" i="1"/>
  <c r="C81" i="1"/>
  <c r="B371" i="1"/>
  <c r="E371" i="1"/>
  <c r="F371" i="1"/>
  <c r="G371" i="1"/>
  <c r="H371" i="1"/>
  <c r="C82" i="1"/>
  <c r="B372" i="1"/>
  <c r="E372" i="1"/>
  <c r="F372" i="1"/>
  <c r="G372" i="1"/>
  <c r="H372" i="1"/>
  <c r="C83" i="1"/>
  <c r="B373" i="1"/>
  <c r="E373" i="1"/>
  <c r="F373" i="1"/>
  <c r="G373" i="1"/>
  <c r="H373" i="1"/>
  <c r="C84" i="1"/>
  <c r="B374" i="1"/>
  <c r="E374" i="1"/>
  <c r="F374" i="1"/>
  <c r="G374" i="1"/>
  <c r="H374" i="1"/>
  <c r="C85" i="1"/>
  <c r="B375" i="1"/>
  <c r="E375" i="1"/>
  <c r="F375" i="1"/>
  <c r="G375" i="1"/>
  <c r="H375" i="1"/>
  <c r="C86" i="1"/>
  <c r="B376" i="1"/>
  <c r="E376" i="1"/>
  <c r="F376" i="1"/>
  <c r="G376" i="1"/>
  <c r="H376" i="1"/>
  <c r="C87" i="1"/>
  <c r="B377" i="1"/>
  <c r="E377" i="1"/>
  <c r="F377" i="1"/>
  <c r="G377" i="1"/>
  <c r="H377" i="1"/>
  <c r="C88" i="1"/>
  <c r="B378" i="1"/>
  <c r="E378" i="1"/>
  <c r="F378" i="1"/>
  <c r="G378" i="1"/>
  <c r="H378" i="1"/>
  <c r="C89" i="1"/>
  <c r="B379" i="1"/>
  <c r="E379" i="1"/>
  <c r="F379" i="1"/>
  <c r="G379" i="1"/>
  <c r="H379" i="1"/>
  <c r="C90" i="1"/>
  <c r="B380" i="1"/>
  <c r="E380" i="1"/>
  <c r="F380" i="1"/>
  <c r="G380" i="1"/>
  <c r="H380" i="1"/>
  <c r="C91" i="1"/>
  <c r="B381" i="1"/>
  <c r="E381" i="1"/>
  <c r="F381" i="1"/>
  <c r="G381" i="1"/>
  <c r="H381" i="1"/>
  <c r="C92" i="1"/>
  <c r="B382" i="1"/>
  <c r="E382" i="1"/>
  <c r="F382" i="1"/>
  <c r="G382" i="1"/>
  <c r="H382" i="1"/>
  <c r="C93" i="1"/>
  <c r="B383" i="1"/>
  <c r="E383" i="1"/>
  <c r="F383" i="1"/>
  <c r="G383" i="1"/>
  <c r="H383" i="1"/>
  <c r="C94" i="1"/>
  <c r="B384" i="1"/>
  <c r="E384" i="1"/>
  <c r="F384" i="1"/>
  <c r="G384" i="1"/>
  <c r="H384" i="1"/>
  <c r="C95" i="1"/>
  <c r="B385" i="1"/>
  <c r="E385" i="1"/>
  <c r="F385" i="1"/>
  <c r="G385" i="1"/>
  <c r="H385" i="1"/>
  <c r="C96" i="1"/>
  <c r="B386" i="1"/>
  <c r="E386" i="1"/>
  <c r="F386" i="1"/>
  <c r="G386" i="1"/>
  <c r="H386" i="1"/>
  <c r="C97" i="1"/>
  <c r="B387" i="1"/>
  <c r="E387" i="1"/>
  <c r="F387" i="1"/>
  <c r="G387" i="1"/>
  <c r="H387" i="1"/>
  <c r="C98" i="1"/>
  <c r="B388" i="1"/>
  <c r="E388" i="1"/>
  <c r="F388" i="1"/>
  <c r="G388" i="1"/>
  <c r="H388" i="1"/>
  <c r="C99" i="1"/>
  <c r="B389" i="1"/>
  <c r="E389" i="1"/>
  <c r="F389" i="1"/>
  <c r="G389" i="1"/>
  <c r="H389" i="1"/>
  <c r="C100" i="1"/>
  <c r="B390" i="1"/>
  <c r="E390" i="1"/>
  <c r="F390" i="1"/>
  <c r="G390" i="1"/>
  <c r="H390" i="1"/>
  <c r="C101" i="1"/>
  <c r="B391" i="1"/>
  <c r="E391" i="1"/>
  <c r="F391" i="1"/>
  <c r="G391" i="1"/>
  <c r="H391" i="1"/>
  <c r="C102" i="1"/>
  <c r="B392" i="1"/>
  <c r="E392" i="1"/>
  <c r="F392" i="1"/>
  <c r="G392" i="1"/>
  <c r="H392" i="1"/>
  <c r="C103" i="1"/>
  <c r="B393" i="1"/>
  <c r="E393" i="1"/>
  <c r="F393" i="1"/>
  <c r="G393" i="1"/>
  <c r="H393" i="1"/>
  <c r="C104" i="1"/>
  <c r="B394" i="1"/>
  <c r="E394" i="1"/>
  <c r="F394" i="1"/>
  <c r="G394" i="1"/>
  <c r="H394" i="1"/>
  <c r="C105" i="1"/>
  <c r="B395" i="1"/>
  <c r="E395" i="1"/>
  <c r="F395" i="1"/>
  <c r="G395" i="1"/>
  <c r="H395" i="1"/>
  <c r="C106" i="1"/>
  <c r="B396" i="1"/>
  <c r="E396" i="1"/>
  <c r="F396" i="1"/>
  <c r="G396" i="1"/>
  <c r="H396" i="1"/>
  <c r="C107" i="1"/>
  <c r="B397" i="1"/>
  <c r="E397" i="1"/>
  <c r="F397" i="1"/>
  <c r="G397" i="1"/>
  <c r="H397" i="1"/>
  <c r="E76" i="1"/>
  <c r="C108" i="1"/>
  <c r="B398" i="1"/>
  <c r="C398" i="1"/>
  <c r="D398" i="1"/>
  <c r="L398" i="1"/>
  <c r="E398" i="1"/>
  <c r="E399" i="1"/>
  <c r="F398" i="1"/>
  <c r="G398" i="1"/>
  <c r="H398" i="1"/>
  <c r="H401" i="1"/>
  <c r="E21" i="4"/>
  <c r="B258" i="1"/>
  <c r="B294" i="1"/>
  <c r="C294" i="1"/>
  <c r="H294" i="1"/>
  <c r="B259" i="1"/>
  <c r="B295" i="1"/>
  <c r="E295" i="1"/>
  <c r="F295" i="1"/>
  <c r="G295" i="1"/>
  <c r="H295" i="1"/>
  <c r="B80" i="1"/>
  <c r="B260" i="1"/>
  <c r="B296" i="1"/>
  <c r="E296" i="1"/>
  <c r="F296" i="1"/>
  <c r="G296" i="1"/>
  <c r="H296" i="1"/>
  <c r="B81" i="1"/>
  <c r="B261" i="1"/>
  <c r="B297" i="1"/>
  <c r="E297" i="1"/>
  <c r="F297" i="1"/>
  <c r="G297" i="1"/>
  <c r="H297" i="1"/>
  <c r="B82" i="1"/>
  <c r="B262" i="1"/>
  <c r="B298" i="1"/>
  <c r="E298" i="1"/>
  <c r="F298" i="1"/>
  <c r="G298" i="1"/>
  <c r="H298" i="1"/>
  <c r="B83" i="1"/>
  <c r="B263" i="1"/>
  <c r="B299" i="1"/>
  <c r="E299" i="1"/>
  <c r="F299" i="1"/>
  <c r="G299" i="1"/>
  <c r="H299" i="1"/>
  <c r="B84" i="1"/>
  <c r="B264" i="1"/>
  <c r="B300" i="1"/>
  <c r="E300" i="1"/>
  <c r="F300" i="1"/>
  <c r="G300" i="1"/>
  <c r="H300" i="1"/>
  <c r="B85" i="1"/>
  <c r="B265" i="1"/>
  <c r="B301" i="1"/>
  <c r="E301" i="1"/>
  <c r="F301" i="1"/>
  <c r="G301" i="1"/>
  <c r="H301" i="1"/>
  <c r="B86" i="1"/>
  <c r="B266" i="1"/>
  <c r="B302" i="1"/>
  <c r="E302" i="1"/>
  <c r="F302" i="1"/>
  <c r="G302" i="1"/>
  <c r="H302" i="1"/>
  <c r="B87" i="1"/>
  <c r="B267" i="1"/>
  <c r="B303" i="1"/>
  <c r="E303" i="1"/>
  <c r="F303" i="1"/>
  <c r="G303" i="1"/>
  <c r="H303" i="1"/>
  <c r="B88" i="1"/>
  <c r="B268" i="1"/>
  <c r="B304" i="1"/>
  <c r="E304" i="1"/>
  <c r="F304" i="1"/>
  <c r="G304" i="1"/>
  <c r="H304" i="1"/>
  <c r="B89" i="1"/>
  <c r="B269" i="1"/>
  <c r="B305" i="1"/>
  <c r="E305" i="1"/>
  <c r="F305" i="1"/>
  <c r="G305" i="1"/>
  <c r="H305" i="1"/>
  <c r="B90" i="1"/>
  <c r="B270" i="1"/>
  <c r="B306" i="1"/>
  <c r="E306" i="1"/>
  <c r="F306" i="1"/>
  <c r="G306" i="1"/>
  <c r="H306" i="1"/>
  <c r="B91" i="1"/>
  <c r="B271" i="1"/>
  <c r="B307" i="1"/>
  <c r="E307" i="1"/>
  <c r="F307" i="1"/>
  <c r="G307" i="1"/>
  <c r="H307" i="1"/>
  <c r="B92" i="1"/>
  <c r="B272" i="1"/>
  <c r="B308" i="1"/>
  <c r="E308" i="1"/>
  <c r="F308" i="1"/>
  <c r="G308" i="1"/>
  <c r="H308" i="1"/>
  <c r="B93" i="1"/>
  <c r="B273" i="1"/>
  <c r="B309" i="1"/>
  <c r="E309" i="1"/>
  <c r="F309" i="1"/>
  <c r="G309" i="1"/>
  <c r="H309" i="1"/>
  <c r="B94" i="1"/>
  <c r="B274" i="1"/>
  <c r="B310" i="1"/>
  <c r="E310" i="1"/>
  <c r="F310" i="1"/>
  <c r="G310" i="1"/>
  <c r="H310" i="1"/>
  <c r="B95" i="1"/>
  <c r="B275" i="1"/>
  <c r="B311" i="1"/>
  <c r="E311" i="1"/>
  <c r="F311" i="1"/>
  <c r="G311" i="1"/>
  <c r="H311" i="1"/>
  <c r="B96" i="1"/>
  <c r="B276" i="1"/>
  <c r="B312" i="1"/>
  <c r="E312" i="1"/>
  <c r="F312" i="1"/>
  <c r="G312" i="1"/>
  <c r="H312" i="1"/>
  <c r="B97" i="1"/>
  <c r="B277" i="1"/>
  <c r="B313" i="1"/>
  <c r="E313" i="1"/>
  <c r="F313" i="1"/>
  <c r="G313" i="1"/>
  <c r="H313" i="1"/>
  <c r="B98" i="1"/>
  <c r="B278" i="1"/>
  <c r="B314" i="1"/>
  <c r="E314" i="1"/>
  <c r="F314" i="1"/>
  <c r="G314" i="1"/>
  <c r="H314" i="1"/>
  <c r="B99" i="1"/>
  <c r="B279" i="1"/>
  <c r="B315" i="1"/>
  <c r="E315" i="1"/>
  <c r="F315" i="1"/>
  <c r="G315" i="1"/>
  <c r="H315" i="1"/>
  <c r="B100" i="1"/>
  <c r="B280" i="1"/>
  <c r="B316" i="1"/>
  <c r="E316" i="1"/>
  <c r="F316" i="1"/>
  <c r="G316" i="1"/>
  <c r="H316" i="1"/>
  <c r="B101" i="1"/>
  <c r="B281" i="1"/>
  <c r="B317" i="1"/>
  <c r="E317" i="1"/>
  <c r="F317" i="1"/>
  <c r="G317" i="1"/>
  <c r="H317" i="1"/>
  <c r="B102" i="1"/>
  <c r="B282" i="1"/>
  <c r="B318" i="1"/>
  <c r="E318" i="1"/>
  <c r="F318" i="1"/>
  <c r="G318" i="1"/>
  <c r="H318" i="1"/>
  <c r="B103" i="1"/>
  <c r="B283" i="1"/>
  <c r="B319" i="1"/>
  <c r="E319" i="1"/>
  <c r="F319" i="1"/>
  <c r="G319" i="1"/>
  <c r="H319" i="1"/>
  <c r="B104" i="1"/>
  <c r="B284" i="1"/>
  <c r="B320" i="1"/>
  <c r="E320" i="1"/>
  <c r="F320" i="1"/>
  <c r="G320" i="1"/>
  <c r="H320" i="1"/>
  <c r="B105" i="1"/>
  <c r="B285" i="1"/>
  <c r="B321" i="1"/>
  <c r="E321" i="1"/>
  <c r="F321" i="1"/>
  <c r="G321" i="1"/>
  <c r="H321" i="1"/>
  <c r="B106" i="1"/>
  <c r="B286" i="1"/>
  <c r="B322" i="1"/>
  <c r="E322" i="1"/>
  <c r="F322" i="1"/>
  <c r="G322" i="1"/>
  <c r="H322" i="1"/>
  <c r="B107" i="1"/>
  <c r="B287" i="1"/>
  <c r="B323" i="1"/>
  <c r="E323" i="1"/>
  <c r="F323" i="1"/>
  <c r="G323" i="1"/>
  <c r="H323" i="1"/>
  <c r="B108" i="1"/>
  <c r="B288" i="1"/>
  <c r="B324" i="1"/>
  <c r="C324" i="1"/>
  <c r="D324" i="1"/>
  <c r="E324" i="1"/>
  <c r="E294" i="1"/>
  <c r="E325" i="1"/>
  <c r="F324" i="1"/>
  <c r="G324" i="1"/>
  <c r="H324" i="1"/>
  <c r="H327" i="1"/>
  <c r="E20" i="4"/>
  <c r="B331" i="1"/>
  <c r="C331" i="1"/>
  <c r="D331" i="1"/>
  <c r="H331" i="1"/>
  <c r="B332" i="1"/>
  <c r="F111" i="1"/>
  <c r="C186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K361" i="1"/>
  <c r="E361" i="1"/>
  <c r="E362" i="1"/>
  <c r="F361" i="1"/>
  <c r="G361" i="1"/>
  <c r="H361" i="1"/>
  <c r="H364" i="1"/>
  <c r="D21" i="4"/>
  <c r="C258" i="1"/>
  <c r="H258" i="1"/>
  <c r="C116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H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C276" i="1"/>
  <c r="D276" i="1"/>
  <c r="E276" i="1"/>
  <c r="F276" i="1"/>
  <c r="G276" i="1"/>
  <c r="H276" i="1"/>
  <c r="C277" i="1"/>
  <c r="D277" i="1"/>
  <c r="E277" i="1"/>
  <c r="F277" i="1"/>
  <c r="G277" i="1"/>
  <c r="H277" i="1"/>
  <c r="C278" i="1"/>
  <c r="D278" i="1"/>
  <c r="E278" i="1"/>
  <c r="F278" i="1"/>
  <c r="G278" i="1"/>
  <c r="H278" i="1"/>
  <c r="C279" i="1"/>
  <c r="D279" i="1"/>
  <c r="E279" i="1"/>
  <c r="F279" i="1"/>
  <c r="G279" i="1"/>
  <c r="H279" i="1"/>
  <c r="C280" i="1"/>
  <c r="D280" i="1"/>
  <c r="E280" i="1"/>
  <c r="F280" i="1"/>
  <c r="G280" i="1"/>
  <c r="H280" i="1"/>
  <c r="C281" i="1"/>
  <c r="D281" i="1"/>
  <c r="E281" i="1"/>
  <c r="F281" i="1"/>
  <c r="G281" i="1"/>
  <c r="H281" i="1"/>
  <c r="C282" i="1"/>
  <c r="D282" i="1"/>
  <c r="E282" i="1"/>
  <c r="F282" i="1"/>
  <c r="G282" i="1"/>
  <c r="H282" i="1"/>
  <c r="C283" i="1"/>
  <c r="D283" i="1"/>
  <c r="E283" i="1"/>
  <c r="F283" i="1"/>
  <c r="G283" i="1"/>
  <c r="H283" i="1"/>
  <c r="C284" i="1"/>
  <c r="D284" i="1"/>
  <c r="E284" i="1"/>
  <c r="F284" i="1"/>
  <c r="G284" i="1"/>
  <c r="H284" i="1"/>
  <c r="C285" i="1"/>
  <c r="D285" i="1"/>
  <c r="E285" i="1"/>
  <c r="F285" i="1"/>
  <c r="G285" i="1"/>
  <c r="H285" i="1"/>
  <c r="C286" i="1"/>
  <c r="D286" i="1"/>
  <c r="E286" i="1"/>
  <c r="F286" i="1"/>
  <c r="G286" i="1"/>
  <c r="H286" i="1"/>
  <c r="C287" i="1"/>
  <c r="D287" i="1"/>
  <c r="E287" i="1"/>
  <c r="F287" i="1"/>
  <c r="G287" i="1"/>
  <c r="H287" i="1"/>
  <c r="C288" i="1"/>
  <c r="D288" i="1"/>
  <c r="E288" i="1"/>
  <c r="E289" i="1"/>
  <c r="F288" i="1"/>
  <c r="G288" i="1"/>
  <c r="H288" i="1"/>
  <c r="H291" i="1"/>
  <c r="D20" i="4"/>
  <c r="B222" i="1"/>
  <c r="C222" i="1"/>
  <c r="H222" i="1"/>
  <c r="B223" i="1"/>
  <c r="F110" i="1"/>
  <c r="E223" i="1"/>
  <c r="F223" i="1"/>
  <c r="G223" i="1"/>
  <c r="H223" i="1"/>
  <c r="B224" i="1"/>
  <c r="E224" i="1"/>
  <c r="F224" i="1"/>
  <c r="G224" i="1"/>
  <c r="H224" i="1"/>
  <c r="B225" i="1"/>
  <c r="E225" i="1"/>
  <c r="F225" i="1"/>
  <c r="G225" i="1"/>
  <c r="H225" i="1"/>
  <c r="B226" i="1"/>
  <c r="E226" i="1"/>
  <c r="F226" i="1"/>
  <c r="G226" i="1"/>
  <c r="H226" i="1"/>
  <c r="B227" i="1"/>
  <c r="E227" i="1"/>
  <c r="F227" i="1"/>
  <c r="G227" i="1"/>
  <c r="H227" i="1"/>
  <c r="B228" i="1"/>
  <c r="E228" i="1"/>
  <c r="F228" i="1"/>
  <c r="G228" i="1"/>
  <c r="H228" i="1"/>
  <c r="B229" i="1"/>
  <c r="E229" i="1"/>
  <c r="F229" i="1"/>
  <c r="G229" i="1"/>
  <c r="H229" i="1"/>
  <c r="B230" i="1"/>
  <c r="E230" i="1"/>
  <c r="F230" i="1"/>
  <c r="G230" i="1"/>
  <c r="H230" i="1"/>
  <c r="B231" i="1"/>
  <c r="E231" i="1"/>
  <c r="F231" i="1"/>
  <c r="G231" i="1"/>
  <c r="H231" i="1"/>
  <c r="B232" i="1"/>
  <c r="E232" i="1"/>
  <c r="F232" i="1"/>
  <c r="G232" i="1"/>
  <c r="H232" i="1"/>
  <c r="B233" i="1"/>
  <c r="E233" i="1"/>
  <c r="F233" i="1"/>
  <c r="G233" i="1"/>
  <c r="H233" i="1"/>
  <c r="B234" i="1"/>
  <c r="E234" i="1"/>
  <c r="F234" i="1"/>
  <c r="G234" i="1"/>
  <c r="H234" i="1"/>
  <c r="B235" i="1"/>
  <c r="E235" i="1"/>
  <c r="F235" i="1"/>
  <c r="G235" i="1"/>
  <c r="H235" i="1"/>
  <c r="B236" i="1"/>
  <c r="E236" i="1"/>
  <c r="F236" i="1"/>
  <c r="G236" i="1"/>
  <c r="H236" i="1"/>
  <c r="B237" i="1"/>
  <c r="E237" i="1"/>
  <c r="F237" i="1"/>
  <c r="G237" i="1"/>
  <c r="H237" i="1"/>
  <c r="B238" i="1"/>
  <c r="E238" i="1"/>
  <c r="F238" i="1"/>
  <c r="G238" i="1"/>
  <c r="H238" i="1"/>
  <c r="B239" i="1"/>
  <c r="E239" i="1"/>
  <c r="F239" i="1"/>
  <c r="G239" i="1"/>
  <c r="H239" i="1"/>
  <c r="B240" i="1"/>
  <c r="E240" i="1"/>
  <c r="F240" i="1"/>
  <c r="G240" i="1"/>
  <c r="H240" i="1"/>
  <c r="B241" i="1"/>
  <c r="E241" i="1"/>
  <c r="F241" i="1"/>
  <c r="G241" i="1"/>
  <c r="H241" i="1"/>
  <c r="B242" i="1"/>
  <c r="E242" i="1"/>
  <c r="F242" i="1"/>
  <c r="G242" i="1"/>
  <c r="H242" i="1"/>
  <c r="B243" i="1"/>
  <c r="E243" i="1"/>
  <c r="F243" i="1"/>
  <c r="G243" i="1"/>
  <c r="H243" i="1"/>
  <c r="B244" i="1"/>
  <c r="E244" i="1"/>
  <c r="F244" i="1"/>
  <c r="G244" i="1"/>
  <c r="H244" i="1"/>
  <c r="B245" i="1"/>
  <c r="E245" i="1"/>
  <c r="F245" i="1"/>
  <c r="G245" i="1"/>
  <c r="H245" i="1"/>
  <c r="B246" i="1"/>
  <c r="E246" i="1"/>
  <c r="F246" i="1"/>
  <c r="G246" i="1"/>
  <c r="H246" i="1"/>
  <c r="B247" i="1"/>
  <c r="E247" i="1"/>
  <c r="F247" i="1"/>
  <c r="G247" i="1"/>
  <c r="H247" i="1"/>
  <c r="B248" i="1"/>
  <c r="E248" i="1"/>
  <c r="F248" i="1"/>
  <c r="G248" i="1"/>
  <c r="H248" i="1"/>
  <c r="B249" i="1"/>
  <c r="E249" i="1"/>
  <c r="F249" i="1"/>
  <c r="G249" i="1"/>
  <c r="H249" i="1"/>
  <c r="B250" i="1"/>
  <c r="E250" i="1"/>
  <c r="F250" i="1"/>
  <c r="G250" i="1"/>
  <c r="H250" i="1"/>
  <c r="B251" i="1"/>
  <c r="E251" i="1"/>
  <c r="F251" i="1"/>
  <c r="G251" i="1"/>
  <c r="H251" i="1"/>
  <c r="B252" i="1"/>
  <c r="C252" i="1"/>
  <c r="D252" i="1"/>
  <c r="E252" i="1"/>
  <c r="E253" i="1"/>
  <c r="F252" i="1"/>
  <c r="G252" i="1"/>
  <c r="H252" i="1"/>
  <c r="H255" i="1"/>
  <c r="C21" i="4"/>
  <c r="B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E217" i="1"/>
  <c r="F216" i="1"/>
  <c r="G216" i="1"/>
  <c r="H216" i="1"/>
  <c r="H219" i="1"/>
  <c r="B21" i="4"/>
  <c r="B151" i="1"/>
  <c r="C151" i="1"/>
  <c r="H151" i="1"/>
  <c r="B152" i="1"/>
  <c r="E152" i="1"/>
  <c r="F152" i="1"/>
  <c r="G152" i="1"/>
  <c r="H152" i="1"/>
  <c r="B153" i="1"/>
  <c r="E153" i="1"/>
  <c r="F153" i="1"/>
  <c r="G153" i="1"/>
  <c r="H153" i="1"/>
  <c r="B154" i="1"/>
  <c r="E154" i="1"/>
  <c r="F154" i="1"/>
  <c r="G154" i="1"/>
  <c r="H154" i="1"/>
  <c r="B155" i="1"/>
  <c r="E155" i="1"/>
  <c r="F155" i="1"/>
  <c r="G155" i="1"/>
  <c r="H155" i="1"/>
  <c r="B156" i="1"/>
  <c r="E156" i="1"/>
  <c r="F156" i="1"/>
  <c r="G156" i="1"/>
  <c r="H156" i="1"/>
  <c r="B157" i="1"/>
  <c r="E157" i="1"/>
  <c r="F157" i="1"/>
  <c r="G157" i="1"/>
  <c r="H157" i="1"/>
  <c r="B158" i="1"/>
  <c r="E158" i="1"/>
  <c r="F158" i="1"/>
  <c r="G158" i="1"/>
  <c r="H158" i="1"/>
  <c r="B159" i="1"/>
  <c r="E159" i="1"/>
  <c r="F159" i="1"/>
  <c r="G159" i="1"/>
  <c r="H159" i="1"/>
  <c r="B160" i="1"/>
  <c r="E160" i="1"/>
  <c r="F160" i="1"/>
  <c r="G160" i="1"/>
  <c r="H160" i="1"/>
  <c r="B161" i="1"/>
  <c r="E161" i="1"/>
  <c r="F161" i="1"/>
  <c r="G161" i="1"/>
  <c r="H161" i="1"/>
  <c r="B162" i="1"/>
  <c r="E162" i="1"/>
  <c r="F162" i="1"/>
  <c r="G162" i="1"/>
  <c r="H162" i="1"/>
  <c r="B163" i="1"/>
  <c r="E163" i="1"/>
  <c r="F163" i="1"/>
  <c r="G163" i="1"/>
  <c r="H163" i="1"/>
  <c r="B164" i="1"/>
  <c r="E164" i="1"/>
  <c r="F164" i="1"/>
  <c r="G164" i="1"/>
  <c r="H164" i="1"/>
  <c r="B165" i="1"/>
  <c r="E165" i="1"/>
  <c r="F165" i="1"/>
  <c r="G165" i="1"/>
  <c r="H165" i="1"/>
  <c r="B166" i="1"/>
  <c r="E166" i="1"/>
  <c r="F166" i="1"/>
  <c r="G166" i="1"/>
  <c r="H166" i="1"/>
  <c r="B167" i="1"/>
  <c r="E167" i="1"/>
  <c r="F167" i="1"/>
  <c r="G167" i="1"/>
  <c r="H167" i="1"/>
  <c r="B168" i="1"/>
  <c r="E168" i="1"/>
  <c r="F168" i="1"/>
  <c r="G168" i="1"/>
  <c r="H168" i="1"/>
  <c r="B169" i="1"/>
  <c r="E169" i="1"/>
  <c r="F169" i="1"/>
  <c r="G169" i="1"/>
  <c r="H169" i="1"/>
  <c r="B170" i="1"/>
  <c r="E170" i="1"/>
  <c r="F170" i="1"/>
  <c r="G170" i="1"/>
  <c r="H170" i="1"/>
  <c r="B171" i="1"/>
  <c r="E171" i="1"/>
  <c r="F171" i="1"/>
  <c r="G171" i="1"/>
  <c r="H171" i="1"/>
  <c r="B172" i="1"/>
  <c r="E172" i="1"/>
  <c r="F172" i="1"/>
  <c r="G172" i="1"/>
  <c r="H172" i="1"/>
  <c r="B173" i="1"/>
  <c r="E173" i="1"/>
  <c r="F173" i="1"/>
  <c r="G173" i="1"/>
  <c r="H173" i="1"/>
  <c r="B174" i="1"/>
  <c r="E174" i="1"/>
  <c r="F174" i="1"/>
  <c r="G174" i="1"/>
  <c r="H174" i="1"/>
  <c r="B175" i="1"/>
  <c r="E175" i="1"/>
  <c r="F175" i="1"/>
  <c r="G175" i="1"/>
  <c r="H175" i="1"/>
  <c r="B176" i="1"/>
  <c r="E176" i="1"/>
  <c r="F176" i="1"/>
  <c r="G176" i="1"/>
  <c r="H176" i="1"/>
  <c r="B177" i="1"/>
  <c r="E177" i="1"/>
  <c r="F177" i="1"/>
  <c r="G177" i="1"/>
  <c r="H177" i="1"/>
  <c r="B178" i="1"/>
  <c r="E178" i="1"/>
  <c r="F178" i="1"/>
  <c r="G178" i="1"/>
  <c r="H178" i="1"/>
  <c r="B179" i="1"/>
  <c r="E179" i="1"/>
  <c r="F179" i="1"/>
  <c r="G179" i="1"/>
  <c r="H179" i="1"/>
  <c r="B180" i="1"/>
  <c r="E180" i="1"/>
  <c r="F180" i="1"/>
  <c r="G180" i="1"/>
  <c r="H180" i="1"/>
  <c r="B181" i="1"/>
  <c r="C181" i="1"/>
  <c r="D181" i="1"/>
  <c r="E181" i="1"/>
  <c r="E182" i="1"/>
  <c r="F181" i="1"/>
  <c r="G181" i="1"/>
  <c r="H181" i="1"/>
  <c r="H183" i="1"/>
  <c r="C20" i="4"/>
  <c r="B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E147" i="1"/>
  <c r="F146" i="1"/>
  <c r="G146" i="1"/>
  <c r="H146" i="1"/>
  <c r="H148" i="1"/>
  <c r="B20" i="4"/>
  <c r="T40" i="6"/>
  <c r="T42" i="6"/>
  <c r="T45" i="6"/>
  <c r="T46" i="6"/>
  <c r="T49" i="6"/>
  <c r="T50" i="6"/>
  <c r="T53" i="6"/>
  <c r="T54" i="6"/>
  <c r="T57" i="6"/>
  <c r="T58" i="6"/>
  <c r="T61" i="6"/>
  <c r="T62" i="6"/>
  <c r="T65" i="6"/>
  <c r="T66" i="6"/>
  <c r="T69" i="6"/>
  <c r="T41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T43" i="6"/>
  <c r="S4" i="6"/>
  <c r="T4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5" i="6"/>
  <c r="B5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C39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40" i="6"/>
  <c r="F23" i="1"/>
  <c r="C5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6" i="6"/>
  <c r="T68" i="6"/>
  <c r="T64" i="6"/>
  <c r="T60" i="6"/>
  <c r="T56" i="6"/>
  <c r="T52" i="6"/>
  <c r="T48" i="6"/>
  <c r="T44" i="6"/>
  <c r="T67" i="6"/>
  <c r="T63" i="6"/>
  <c r="T59" i="6"/>
  <c r="T55" i="6"/>
  <c r="T51" i="6"/>
  <c r="T47" i="6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B3" i="5"/>
  <c r="G3" i="5"/>
  <c r="D3" i="5"/>
  <c r="I3" i="5"/>
  <c r="G33" i="5"/>
  <c r="B19" i="3"/>
  <c r="B18" i="3"/>
  <c r="B17" i="3"/>
  <c r="B16" i="3"/>
  <c r="D10" i="3"/>
  <c r="H7" i="3"/>
  <c r="A19" i="3"/>
  <c r="F10" i="3"/>
  <c r="A18" i="3"/>
  <c r="A17" i="3"/>
  <c r="B9" i="3"/>
  <c r="B10" i="3"/>
  <c r="A16" i="3"/>
  <c r="H6" i="3"/>
  <c r="F6" i="3"/>
  <c r="D6" i="3"/>
  <c r="E186" i="1"/>
  <c r="E116" i="1"/>
  <c r="E258" i="1"/>
  <c r="B22" i="3"/>
  <c r="B24" i="3"/>
  <c r="B25" i="3"/>
  <c r="F113" i="1"/>
  <c r="H363" i="1"/>
  <c r="D12" i="4"/>
  <c r="H400" i="1"/>
  <c r="E12" i="4"/>
  <c r="H254" i="1"/>
  <c r="C12" i="4"/>
  <c r="H218" i="1"/>
  <c r="B12" i="4"/>
  <c r="H326" i="1"/>
  <c r="E11" i="4"/>
  <c r="H147" i="1"/>
  <c r="B11" i="4"/>
  <c r="H182" i="1"/>
  <c r="C11" i="4"/>
  <c r="H290" i="1"/>
  <c r="D11" i="4"/>
  <c r="M5" i="5"/>
  <c r="M7" i="5"/>
  <c r="C4" i="5"/>
  <c r="B4" i="5"/>
  <c r="D4" i="5"/>
  <c r="C5" i="5"/>
  <c r="B5" i="5"/>
  <c r="D5" i="5"/>
  <c r="C6" i="5"/>
  <c r="B6" i="5"/>
  <c r="D6" i="5"/>
  <c r="C7" i="5"/>
  <c r="B7" i="5"/>
  <c r="D7" i="5"/>
  <c r="C8" i="5"/>
  <c r="B8" i="5"/>
  <c r="D8" i="5"/>
  <c r="C9" i="5"/>
  <c r="B9" i="5"/>
  <c r="D9" i="5"/>
  <c r="C10" i="5"/>
  <c r="B10" i="5"/>
  <c r="D10" i="5"/>
  <c r="C11" i="5"/>
  <c r="B11" i="5"/>
  <c r="D11" i="5"/>
  <c r="C12" i="5"/>
  <c r="B12" i="5"/>
  <c r="D12" i="5"/>
  <c r="C13" i="5"/>
  <c r="B13" i="5"/>
  <c r="D13" i="5"/>
  <c r="C14" i="5"/>
  <c r="B14" i="5"/>
  <c r="D14" i="5"/>
  <c r="C15" i="5"/>
  <c r="B15" i="5"/>
  <c r="D15" i="5"/>
  <c r="C16" i="5"/>
  <c r="B16" i="5"/>
  <c r="D16" i="5"/>
  <c r="C17" i="5"/>
  <c r="B17" i="5"/>
  <c r="D17" i="5"/>
  <c r="C18" i="5"/>
  <c r="B18" i="5"/>
  <c r="D18" i="5"/>
  <c r="C19" i="5"/>
  <c r="B19" i="5"/>
  <c r="D19" i="5"/>
  <c r="C20" i="5"/>
  <c r="B20" i="5"/>
  <c r="D20" i="5"/>
  <c r="C21" i="5"/>
  <c r="B21" i="5"/>
  <c r="D21" i="5"/>
  <c r="C22" i="5"/>
  <c r="B22" i="5"/>
  <c r="D22" i="5"/>
  <c r="C23" i="5"/>
  <c r="B23" i="5"/>
  <c r="D23" i="5"/>
  <c r="C24" i="5"/>
  <c r="B24" i="5"/>
  <c r="D24" i="5"/>
  <c r="C25" i="5"/>
  <c r="B25" i="5"/>
  <c r="D25" i="5"/>
  <c r="C26" i="5"/>
  <c r="B26" i="5"/>
  <c r="D26" i="5"/>
  <c r="C27" i="5"/>
  <c r="B27" i="5"/>
  <c r="D27" i="5"/>
  <c r="C28" i="5"/>
  <c r="B28" i="5"/>
  <c r="D28" i="5"/>
  <c r="C29" i="5"/>
  <c r="B29" i="5"/>
  <c r="D29" i="5"/>
  <c r="C30" i="5"/>
  <c r="B30" i="5"/>
  <c r="D30" i="5"/>
  <c r="C31" i="5"/>
  <c r="B31" i="5"/>
  <c r="D31" i="5"/>
  <c r="C32" i="5"/>
  <c r="B32" i="5"/>
  <c r="D32" i="5"/>
  <c r="C33" i="5"/>
  <c r="B33" i="5"/>
  <c r="D33" i="5"/>
  <c r="D36" i="5"/>
  <c r="H33" i="5"/>
  <c r="I33" i="5"/>
  <c r="I36" i="5"/>
</calcChain>
</file>

<file path=xl/comments1.xml><?xml version="1.0" encoding="utf-8"?>
<comments xmlns="http://schemas.openxmlformats.org/spreadsheetml/2006/main">
  <authors>
    <author>tc={5F4042DE-ED96-44E9-81DB-E6464365B23B}</author>
  </authors>
  <commentList>
    <comment ref="B33" author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Assuming 30% occupancy rate during off season
</t>
        </r>
      </text>
    </comment>
  </commentList>
</comments>
</file>

<file path=xl/sharedStrings.xml><?xml version="1.0" encoding="utf-8"?>
<sst xmlns="http://schemas.openxmlformats.org/spreadsheetml/2006/main" count="219" uniqueCount="106">
  <si>
    <t>Initial cost investment</t>
  </si>
  <si>
    <t>itr</t>
  </si>
  <si>
    <t>Loan</t>
  </si>
  <si>
    <t>Common stocks</t>
  </si>
  <si>
    <t>Preferred Stocks</t>
  </si>
  <si>
    <t>Retained Earnings</t>
  </si>
  <si>
    <t>Percentage</t>
  </si>
  <si>
    <t>Loan amount</t>
  </si>
  <si>
    <t>Amount</t>
  </si>
  <si>
    <t>i</t>
  </si>
  <si>
    <t>CSD</t>
  </si>
  <si>
    <t>m</t>
  </si>
  <si>
    <t>PCS</t>
  </si>
  <si>
    <t>Efficetive i</t>
  </si>
  <si>
    <t>g</t>
  </si>
  <si>
    <t>Cps</t>
  </si>
  <si>
    <t>Cost of Capital</t>
  </si>
  <si>
    <t xml:space="preserve">Cost of capital </t>
  </si>
  <si>
    <t>WACC</t>
  </si>
  <si>
    <t>profit</t>
  </si>
  <si>
    <t>BTMARR</t>
  </si>
  <si>
    <t>ATMARR</t>
  </si>
  <si>
    <t>Number of Floors</t>
  </si>
  <si>
    <t>Area (in sqft)</t>
  </si>
  <si>
    <t xml:space="preserve">Total Number of rooms </t>
  </si>
  <si>
    <t>Cost (per floor)</t>
  </si>
  <si>
    <t>Material</t>
  </si>
  <si>
    <t>Labor</t>
  </si>
  <si>
    <t>Machine</t>
  </si>
  <si>
    <t>Contractor</t>
  </si>
  <si>
    <t xml:space="preserve">Total Cost </t>
  </si>
  <si>
    <t>Initial investment cost</t>
  </si>
  <si>
    <t>Monthly Wages</t>
  </si>
  <si>
    <t xml:space="preserve"> Costs</t>
  </si>
  <si>
    <t xml:space="preserve">Monthly Cost </t>
  </si>
  <si>
    <t>Annual Cost </t>
  </si>
  <si>
    <t>Managers</t>
  </si>
  <si>
    <t>Salaries &amp; Personnel</t>
  </si>
  <si>
    <t>Personnel</t>
  </si>
  <si>
    <t>Repair &amp; Maintenance</t>
  </si>
  <si>
    <t xml:space="preserve">Desk Clerk </t>
  </si>
  <si>
    <t>Marketing</t>
  </si>
  <si>
    <t>Insurance</t>
  </si>
  <si>
    <t xml:space="preserve">Total AO&amp;MC </t>
  </si>
  <si>
    <t>Revenues</t>
  </si>
  <si>
    <t>First 6 months ( off season)</t>
  </si>
  <si>
    <t>Later 6 months(peak season)</t>
  </si>
  <si>
    <t>Cost per room</t>
  </si>
  <si>
    <t>Rent (per night)</t>
  </si>
  <si>
    <t>Revenues per month</t>
  </si>
  <si>
    <t>Revenue per year</t>
  </si>
  <si>
    <t>Annual Revenue</t>
  </si>
  <si>
    <t>Net Revenue</t>
  </si>
  <si>
    <t>j</t>
  </si>
  <si>
    <t>sv</t>
  </si>
  <si>
    <t>Year</t>
  </si>
  <si>
    <t>Uniform:Net CF</t>
  </si>
  <si>
    <t>Geometric: Net CF</t>
  </si>
  <si>
    <t>SV</t>
  </si>
  <si>
    <t>i (loan)</t>
  </si>
  <si>
    <t>Uniform SLN Plan 3</t>
  </si>
  <si>
    <t>BTCF</t>
  </si>
  <si>
    <t>PPMT</t>
  </si>
  <si>
    <t>IPMT</t>
  </si>
  <si>
    <t>DOW</t>
  </si>
  <si>
    <t>TI</t>
  </si>
  <si>
    <t>T</t>
  </si>
  <si>
    <t>ATCF</t>
  </si>
  <si>
    <t>B30</t>
  </si>
  <si>
    <t>PW</t>
  </si>
  <si>
    <t>IRR</t>
  </si>
  <si>
    <t>Uniform SLN Plan 4</t>
  </si>
  <si>
    <t>Geometric SLN Plan 3</t>
  </si>
  <si>
    <t>Geometric SLN Plan 4</t>
  </si>
  <si>
    <t xml:space="preserve">T	</t>
  </si>
  <si>
    <t>Uniform MACRS Plan 3</t>
  </si>
  <si>
    <t>MACRS 39-year property</t>
  </si>
  <si>
    <t>Uniform MACRS Plan 4</t>
  </si>
  <si>
    <t>Geometric MACRS Plan 3</t>
  </si>
  <si>
    <t>Geometric MACRS Plan 4</t>
  </si>
  <si>
    <t>Present Worth</t>
  </si>
  <si>
    <t>SLN Plan 3</t>
  </si>
  <si>
    <t>SLN Plan4</t>
  </si>
  <si>
    <t>MACRS Plan3</t>
  </si>
  <si>
    <t>MACRS Plan4</t>
  </si>
  <si>
    <t xml:space="preserve">Uniform </t>
  </si>
  <si>
    <t>PLAN3</t>
  </si>
  <si>
    <t>PLAN 4</t>
  </si>
  <si>
    <t>EVO</t>
  </si>
  <si>
    <t>NCF</t>
  </si>
  <si>
    <t>TVOM</t>
  </si>
  <si>
    <t>PLAN 3</t>
  </si>
  <si>
    <t xml:space="preserve">Exponential Regression </t>
  </si>
  <si>
    <t>Rent Per Room</t>
  </si>
  <si>
    <t xml:space="preserve">J Rent </t>
  </si>
  <si>
    <t>J Wage</t>
  </si>
  <si>
    <t>Wages per person</t>
  </si>
  <si>
    <t>Exponentional Regression</t>
  </si>
  <si>
    <t>Linear regression</t>
  </si>
  <si>
    <t>Linear Regression</t>
  </si>
  <si>
    <t xml:space="preserve">Rent up </t>
  </si>
  <si>
    <t xml:space="preserve">Wage up </t>
  </si>
  <si>
    <t>Summary</t>
  </si>
  <si>
    <t>EOY</t>
  </si>
  <si>
    <t>Uniform</t>
  </si>
  <si>
    <t>Geometric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</si>
</sst>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SAR&quot;* #,##0.00_);_(&quot;SAR&quot;* \(#,##0.00\);_(&quot;SAR&quot;* &quot;-&quot;??_);_(@_)"/>
    <numFmt numFmtId="165" formatCode="&quot;$&quot;#,##0_);[Red]\(&quot;$&quot;#,##0\)"/>
    <numFmt numFmtId="166" formatCode="&quot;$&quot;#,##0.00_);[Red]\(&quot;$&quot;#,##0.00\)"/>
    <numFmt numFmtId="167" formatCode="0.0000%"/>
    <numFmt numFmtId="168" formatCode="0.000%"/>
    <numFmt numFmtId="169" formatCode="&quot;$&quot;#,##0.00"/>
    <numFmt numFmtId="170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 (Body)"/>
    </font>
    <font>
      <b/>
      <sz val="12"/>
      <color theme="1"/>
      <name val="Calibri (Body)"/>
    </font>
    <font>
      <b/>
      <sz val="22"/>
      <color theme="1"/>
      <name val="Calibri (Body)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'Step 1 - Regression'!$B$4</c:f>
              <c:strCache>
                <c:ptCount val="1"/>
                <c:pt idx="0">
                  <c:v>Rent Per Room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1 - Regression'!$B$5:$B$34</c:f>
              <c:numCache>
                <c:formatCode>_([$$-409]* #,##0.00_);_([$$-409]* \(#,##0.00\);_([$$-409]* "-"??_);_(@_)</c:formatCode>
                <c:ptCount val="30"/>
                <c:pt idx="0">
                  <c:v>4500.0</c:v>
                </c:pt>
                <c:pt idx="1">
                  <c:v>4590.0</c:v>
                </c:pt>
                <c:pt idx="2">
                  <c:v>4681.8</c:v>
                </c:pt>
                <c:pt idx="3">
                  <c:v>4775.436</c:v>
                </c:pt>
                <c:pt idx="4">
                  <c:v>4870.94472</c:v>
                </c:pt>
                <c:pt idx="5">
                  <c:v>4968.3636144</c:v>
                </c:pt>
                <c:pt idx="6">
                  <c:v>5067.730886688</c:v>
                </c:pt>
                <c:pt idx="7">
                  <c:v>5169.085504421758</c:v>
                </c:pt>
                <c:pt idx="8">
                  <c:v>5272.467214510195</c:v>
                </c:pt>
                <c:pt idx="9">
                  <c:v>5377.916558800399</c:v>
                </c:pt>
                <c:pt idx="10">
                  <c:v>5485.474889976407</c:v>
                </c:pt>
                <c:pt idx="11">
                  <c:v>5595.184387775934</c:v>
                </c:pt>
                <c:pt idx="12">
                  <c:v>5707.088075531454</c:v>
                </c:pt>
                <c:pt idx="13">
                  <c:v>5821.229837042082</c:v>
                </c:pt>
                <c:pt idx="14">
                  <c:v>5937.654433782924</c:v>
                </c:pt>
                <c:pt idx="15">
                  <c:v>6056.407522458581</c:v>
                </c:pt>
                <c:pt idx="16">
                  <c:v>6177.535672907754</c:v>
                </c:pt>
                <c:pt idx="17">
                  <c:v>6301.08638636591</c:v>
                </c:pt>
                <c:pt idx="18">
                  <c:v>6427.108114093227</c:v>
                </c:pt>
                <c:pt idx="19">
                  <c:v>6555.65027637509</c:v>
                </c:pt>
                <c:pt idx="20">
                  <c:v>6686.763281902594</c:v>
                </c:pt>
                <c:pt idx="21">
                  <c:v>6820.498547540646</c:v>
                </c:pt>
                <c:pt idx="22">
                  <c:v>6956.908518491458</c:v>
                </c:pt>
                <c:pt idx="23">
                  <c:v>7096.046688861286</c:v>
                </c:pt>
                <c:pt idx="24">
                  <c:v>7237.967622638513</c:v>
                </c:pt>
                <c:pt idx="25">
                  <c:v>7382.726975091282</c:v>
                </c:pt>
                <c:pt idx="26">
                  <c:v>7530.38151459311</c:v>
                </c:pt>
                <c:pt idx="27">
                  <c:v>7680.98914488497</c:v>
                </c:pt>
                <c:pt idx="28">
                  <c:v>7834.608927782671</c:v>
                </c:pt>
                <c:pt idx="29">
                  <c:v>7991.301106338324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31-1E4E-9E28-CA41477880FC}"/>
            </c:ext>
          </c:extLst>
        </c:ser>
        <c:ser>
          <c:idx val="2"/>
          <c:order val="1"/>
          <c:tx>
            <c:strRef>
              <c:f>'Step 1 - Regression'!$C$4</c:f>
              <c:strCache>
                <c:ptCount val="1"/>
                <c:pt idx="0">
                  <c:v>Exponential Regression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1 - Regression'!$C$5:$C$34</c:f>
              <c:numCache>
                <c:formatCode>_([$$-409]* #,##0.00_);_([$$-409]* \(#,##0.00\);_([$$-409]* "-"??_);_(@_)</c:formatCode>
                <c:ptCount val="30"/>
                <c:pt idx="0">
                  <c:v>4500.0</c:v>
                </c:pt>
                <c:pt idx="1">
                  <c:v>4599.0</c:v>
                </c:pt>
                <c:pt idx="2">
                  <c:v>4700.178</c:v>
                </c:pt>
                <c:pt idx="3">
                  <c:v>4803.581916</c:v>
                </c:pt>
                <c:pt idx="4">
                  <c:v>4909.260718152</c:v>
                </c:pt>
                <c:pt idx="5">
                  <c:v>5017.264453951344</c:v>
                </c:pt>
                <c:pt idx="6">
                  <c:v>5127.644271938273</c:v>
                </c:pt>
                <c:pt idx="7">
                  <c:v>5240.452445920915</c:v>
                </c:pt>
                <c:pt idx="8">
                  <c:v>5355.742399731176</c:v>
                </c:pt>
                <c:pt idx="9">
                  <c:v>5473.568732525262</c:v>
                </c:pt>
                <c:pt idx="10">
                  <c:v>5593.987244640818</c:v>
                </c:pt>
                <c:pt idx="11">
                  <c:v>5717.054964022916</c:v>
                </c:pt>
                <c:pt idx="12">
                  <c:v>5842.83017323142</c:v>
                </c:pt>
                <c:pt idx="13">
                  <c:v>5971.372437042512</c:v>
                </c:pt>
                <c:pt idx="14">
                  <c:v>6102.742630657446</c:v>
                </c:pt>
                <c:pt idx="15">
                  <c:v>6237.00296853191</c:v>
                </c:pt>
                <c:pt idx="16">
                  <c:v>6374.217033839613</c:v>
                </c:pt>
                <c:pt idx="17">
                  <c:v>6514.449808584084</c:v>
                </c:pt>
                <c:pt idx="18">
                  <c:v>6657.767704372934</c:v>
                </c:pt>
                <c:pt idx="19">
                  <c:v>6804.238593869139</c:v>
                </c:pt>
                <c:pt idx="20">
                  <c:v>6953.93184293426</c:v>
                </c:pt>
                <c:pt idx="21">
                  <c:v>7106.918343478814</c:v>
                </c:pt>
                <c:pt idx="22">
                  <c:v>7263.270547035348</c:v>
                </c:pt>
                <c:pt idx="23">
                  <c:v>7423.062499070124</c:v>
                </c:pt>
                <c:pt idx="24">
                  <c:v>7586.369874049668</c:v>
                </c:pt>
                <c:pt idx="25">
                  <c:v>7753.270011278761</c:v>
                </c:pt>
                <c:pt idx="26">
                  <c:v>7923.841951526894</c:v>
                </c:pt>
                <c:pt idx="27">
                  <c:v>8098.166474460485</c:v>
                </c:pt>
                <c:pt idx="28">
                  <c:v>8276.326136898617</c:v>
                </c:pt>
                <c:pt idx="29">
                  <c:v>8458.405311910386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31-1E4E-9E28-CA4147788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41784"/>
        <c:axId val="2093845480"/>
      </c:lineChart>
      <c:catAx>
        <c:axId val="209384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45480"/>
        <c:crosses val="autoZero"/>
        <c:auto val="1"/>
        <c:lblAlgn val="ctr"/>
        <c:lblOffset val="100"/>
        <c:noMultiLvlLbl val="0"/>
      </c:catAx>
      <c:valAx>
        <c:axId val="20938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4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rent per room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1 - Regression'!$B$39:$B$68</c:f>
              <c:numCache>
                <c:formatCode>_([$$-409]* #,##0.00_);_([$$-409]* \(#,##0.00\);_([$$-409]* "-"??_);_(@_)</c:formatCode>
                <c:ptCount val="30"/>
                <c:pt idx="0">
                  <c:v>3600.0</c:v>
                </c:pt>
                <c:pt idx="1">
                  <c:v>3672.0</c:v>
                </c:pt>
                <c:pt idx="2">
                  <c:v>3745.44</c:v>
                </c:pt>
                <c:pt idx="3">
                  <c:v>3820.3488</c:v>
                </c:pt>
                <c:pt idx="4">
                  <c:v>3896.755776</c:v>
                </c:pt>
                <c:pt idx="5">
                  <c:v>3974.69089152</c:v>
                </c:pt>
                <c:pt idx="6">
                  <c:v>4054.1847093504</c:v>
                </c:pt>
                <c:pt idx="7">
                  <c:v>4135.268403537407</c:v>
                </c:pt>
                <c:pt idx="8">
                  <c:v>4217.973771608156</c:v>
                </c:pt>
                <c:pt idx="9">
                  <c:v>4302.333247040319</c:v>
                </c:pt>
                <c:pt idx="10">
                  <c:v>4388.379911981126</c:v>
                </c:pt>
                <c:pt idx="11">
                  <c:v>4476.147510220747</c:v>
                </c:pt>
                <c:pt idx="12">
                  <c:v>4565.670460425162</c:v>
                </c:pt>
                <c:pt idx="13">
                  <c:v>4656.983869633666</c:v>
                </c:pt>
                <c:pt idx="14">
                  <c:v>4750.12354702634</c:v>
                </c:pt>
                <c:pt idx="15">
                  <c:v>4845.126017966865</c:v>
                </c:pt>
                <c:pt idx="16">
                  <c:v>4942.028538326203</c:v>
                </c:pt>
                <c:pt idx="17">
                  <c:v>5040.869109092727</c:v>
                </c:pt>
                <c:pt idx="18">
                  <c:v>5141.686491274581</c:v>
                </c:pt>
                <c:pt idx="19">
                  <c:v>5244.520221100073</c:v>
                </c:pt>
                <c:pt idx="20">
                  <c:v>5349.410625522075</c:v>
                </c:pt>
                <c:pt idx="21">
                  <c:v>5456.398838032516</c:v>
                </c:pt>
                <c:pt idx="22">
                  <c:v>5565.526814793167</c:v>
                </c:pt>
                <c:pt idx="23">
                  <c:v>5676.83735108903</c:v>
                </c:pt>
                <c:pt idx="24">
                  <c:v>5790.37409811081</c:v>
                </c:pt>
                <c:pt idx="25">
                  <c:v>5906.181580073026</c:v>
                </c:pt>
                <c:pt idx="26">
                  <c:v>6024.305211674487</c:v>
                </c:pt>
                <c:pt idx="27">
                  <c:v>6144.791315907976</c:v>
                </c:pt>
                <c:pt idx="28">
                  <c:v>6267.687142226137</c:v>
                </c:pt>
                <c:pt idx="29">
                  <c:v>6393.040885070659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26-8244-85B1-4B12616F6A20}"/>
            </c:ext>
          </c:extLst>
        </c:ser>
        <c:ser>
          <c:idx val="2"/>
          <c:order val="1"/>
          <c:tx>
            <c:v>Exponential Regression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1 - Regression'!$C$39:$C$68</c:f>
              <c:numCache>
                <c:formatCode>_([$$-409]* #,##0.00_);_([$$-409]* \(#,##0.00\);_([$$-409]* "-"??_);_(@_)</c:formatCode>
                <c:ptCount val="30"/>
                <c:pt idx="0">
                  <c:v>3600.0</c:v>
                </c:pt>
                <c:pt idx="1">
                  <c:v>3679.2</c:v>
                </c:pt>
                <c:pt idx="2">
                  <c:v>3760.1424</c:v>
                </c:pt>
                <c:pt idx="3">
                  <c:v>3842.8655328</c:v>
                </c:pt>
                <c:pt idx="4">
                  <c:v>3927.4085745216</c:v>
                </c:pt>
                <c:pt idx="5">
                  <c:v>4013.811563161075</c:v>
                </c:pt>
                <c:pt idx="6">
                  <c:v>4102.115417550618</c:v>
                </c:pt>
                <c:pt idx="7">
                  <c:v>4192.361956736732</c:v>
                </c:pt>
                <c:pt idx="8">
                  <c:v>4284.593919784941</c:v>
                </c:pt>
                <c:pt idx="9">
                  <c:v>4378.85498602021</c:v>
                </c:pt>
                <c:pt idx="10">
                  <c:v>4475.189795712654</c:v>
                </c:pt>
                <c:pt idx="11">
                  <c:v>4573.643971218333</c:v>
                </c:pt>
                <c:pt idx="12">
                  <c:v>4674.264138585136</c:v>
                </c:pt>
                <c:pt idx="13">
                  <c:v>4777.09794963401</c:v>
                </c:pt>
                <c:pt idx="14">
                  <c:v>4882.194104525957</c:v>
                </c:pt>
                <c:pt idx="15">
                  <c:v>4989.602374825528</c:v>
                </c:pt>
                <c:pt idx="16">
                  <c:v>5099.37362707169</c:v>
                </c:pt>
                <c:pt idx="17">
                  <c:v>5211.559846867267</c:v>
                </c:pt>
                <c:pt idx="18">
                  <c:v>5326.214163498347</c:v>
                </c:pt>
                <c:pt idx="19">
                  <c:v>5443.390875095311</c:v>
                </c:pt>
                <c:pt idx="20">
                  <c:v>5563.145474347407</c:v>
                </c:pt>
                <c:pt idx="21">
                  <c:v>5685.53467478305</c:v>
                </c:pt>
                <c:pt idx="22">
                  <c:v>5810.616437628277</c:v>
                </c:pt>
                <c:pt idx="23">
                  <c:v>5938.4499992561</c:v>
                </c:pt>
                <c:pt idx="24">
                  <c:v>6069.095899239735</c:v>
                </c:pt>
                <c:pt idx="25">
                  <c:v>6202.616009023008</c:v>
                </c:pt>
                <c:pt idx="26">
                  <c:v>6339.073561221516</c:v>
                </c:pt>
                <c:pt idx="27">
                  <c:v>6478.533179568388</c:v>
                </c:pt>
                <c:pt idx="28">
                  <c:v>6621.060909518892</c:v>
                </c:pt>
                <c:pt idx="29">
                  <c:v>6766.724249528308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26-8244-85B1-4B12616F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25224"/>
        <c:axId val="2093928952"/>
      </c:lineChart>
      <c:catAx>
        <c:axId val="209392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28952"/>
        <c:crosses val="autoZero"/>
        <c:auto val="1"/>
        <c:lblAlgn val="ctr"/>
        <c:lblOffset val="100"/>
        <c:noMultiLvlLbl val="0"/>
      </c:catAx>
      <c:valAx>
        <c:axId val="20939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2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1 - Regression'!$S$4:$S$33</c:f>
              <c:numCache>
                <c:formatCode>_([$$-409]* #,##0.00_);_([$$-409]* \(#,##0.00\);_([$$-409]* "-"??_);_(@_)</c:formatCode>
                <c:ptCount val="30"/>
                <c:pt idx="0">
                  <c:v>4500.0</c:v>
                </c:pt>
                <c:pt idx="1">
                  <c:v>4590.0</c:v>
                </c:pt>
                <c:pt idx="2">
                  <c:v>4681.8</c:v>
                </c:pt>
                <c:pt idx="3">
                  <c:v>4775.436</c:v>
                </c:pt>
                <c:pt idx="4">
                  <c:v>4870.94472</c:v>
                </c:pt>
                <c:pt idx="5">
                  <c:v>4968.3636144</c:v>
                </c:pt>
                <c:pt idx="6">
                  <c:v>5067.730886688</c:v>
                </c:pt>
                <c:pt idx="7">
                  <c:v>5169.085504421758</c:v>
                </c:pt>
                <c:pt idx="8">
                  <c:v>5272.467214510195</c:v>
                </c:pt>
                <c:pt idx="9">
                  <c:v>5377.916558800399</c:v>
                </c:pt>
                <c:pt idx="10">
                  <c:v>5485.474889976407</c:v>
                </c:pt>
                <c:pt idx="11">
                  <c:v>5595.184387775934</c:v>
                </c:pt>
                <c:pt idx="12">
                  <c:v>5707.088075531454</c:v>
                </c:pt>
                <c:pt idx="13">
                  <c:v>5821.229837042082</c:v>
                </c:pt>
                <c:pt idx="14">
                  <c:v>5937.654433782924</c:v>
                </c:pt>
                <c:pt idx="15">
                  <c:v>6056.407522458581</c:v>
                </c:pt>
                <c:pt idx="16">
                  <c:v>6177.535672907754</c:v>
                </c:pt>
                <c:pt idx="17">
                  <c:v>6301.08638636591</c:v>
                </c:pt>
                <c:pt idx="18">
                  <c:v>6427.108114093227</c:v>
                </c:pt>
                <c:pt idx="19">
                  <c:v>6555.65027637509</c:v>
                </c:pt>
                <c:pt idx="20">
                  <c:v>6686.763281902594</c:v>
                </c:pt>
                <c:pt idx="21">
                  <c:v>6820.498547540646</c:v>
                </c:pt>
                <c:pt idx="22">
                  <c:v>6956.908518491458</c:v>
                </c:pt>
                <c:pt idx="23">
                  <c:v>7096.046688861286</c:v>
                </c:pt>
                <c:pt idx="24">
                  <c:v>7237.967622638513</c:v>
                </c:pt>
                <c:pt idx="25">
                  <c:v>7382.726975091282</c:v>
                </c:pt>
                <c:pt idx="26">
                  <c:v>7530.38151459311</c:v>
                </c:pt>
                <c:pt idx="27">
                  <c:v>7680.98914488497</c:v>
                </c:pt>
                <c:pt idx="28">
                  <c:v>7834.608927782671</c:v>
                </c:pt>
                <c:pt idx="29">
                  <c:v>7991.301106338324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3C-8245-B722-A5EC6DF68F86}"/>
            </c:ext>
          </c:extLst>
        </c:ser>
        <c:ser>
          <c:idx val="2"/>
          <c:order val="1"/>
          <c:tx>
            <c:v>Linear Regression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1 - Regression'!$T$4:$T$33</c:f>
              <c:numCache>
                <c:formatCode>_([$$-409]* #,##0.00_);_([$$-409]* \(#,##0.00\);_([$$-409]* "-"??_);_(@_)</c:formatCode>
                <c:ptCount val="30"/>
                <c:pt idx="0">
                  <c:v>4500.0</c:v>
                </c:pt>
                <c:pt idx="1">
                  <c:v>4600.0</c:v>
                </c:pt>
                <c:pt idx="2">
                  <c:v>4700.0</c:v>
                </c:pt>
                <c:pt idx="3">
                  <c:v>4800.0</c:v>
                </c:pt>
                <c:pt idx="4">
                  <c:v>4900.0</c:v>
                </c:pt>
                <c:pt idx="5">
                  <c:v>5000.0</c:v>
                </c:pt>
                <c:pt idx="6">
                  <c:v>5100.0</c:v>
                </c:pt>
                <c:pt idx="7">
                  <c:v>5200.0</c:v>
                </c:pt>
                <c:pt idx="8">
                  <c:v>5300.0</c:v>
                </c:pt>
                <c:pt idx="9">
                  <c:v>5400.0</c:v>
                </c:pt>
                <c:pt idx="10">
                  <c:v>5500.0</c:v>
                </c:pt>
                <c:pt idx="11">
                  <c:v>5600.0</c:v>
                </c:pt>
                <c:pt idx="12">
                  <c:v>5700.0</c:v>
                </c:pt>
                <c:pt idx="13">
                  <c:v>5800.0</c:v>
                </c:pt>
                <c:pt idx="14">
                  <c:v>5900.0</c:v>
                </c:pt>
                <c:pt idx="15">
                  <c:v>6000.0</c:v>
                </c:pt>
                <c:pt idx="16">
                  <c:v>6100.0</c:v>
                </c:pt>
                <c:pt idx="17">
                  <c:v>6200.0</c:v>
                </c:pt>
                <c:pt idx="18">
                  <c:v>6300.0</c:v>
                </c:pt>
                <c:pt idx="19">
                  <c:v>6400.0</c:v>
                </c:pt>
                <c:pt idx="20">
                  <c:v>6500.0</c:v>
                </c:pt>
                <c:pt idx="21">
                  <c:v>6600.0</c:v>
                </c:pt>
                <c:pt idx="22">
                  <c:v>6700.0</c:v>
                </c:pt>
                <c:pt idx="23">
                  <c:v>6800.0</c:v>
                </c:pt>
                <c:pt idx="24">
                  <c:v>6900.0</c:v>
                </c:pt>
                <c:pt idx="25">
                  <c:v>7000.0</c:v>
                </c:pt>
                <c:pt idx="26">
                  <c:v>7100.0</c:v>
                </c:pt>
                <c:pt idx="27">
                  <c:v>7200.0</c:v>
                </c:pt>
                <c:pt idx="28">
                  <c:v>7300.0</c:v>
                </c:pt>
                <c:pt idx="29">
                  <c:v>7400.0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3C-8245-B722-A5EC6DF6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64760"/>
        <c:axId val="2093968488"/>
      </c:lineChart>
      <c:catAx>
        <c:axId val="209396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68488"/>
        <c:crosses val="autoZero"/>
        <c:auto val="1"/>
        <c:lblAlgn val="ctr"/>
        <c:lblOffset val="100"/>
        <c:noMultiLvlLbl val="0"/>
      </c:catAx>
      <c:valAx>
        <c:axId val="209396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6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1 - Regression'!$S$40:$S$69</c:f>
              <c:numCache>
                <c:formatCode>_([$$-409]* #,##0.00_);_([$$-409]* \(#,##0.00\);_([$$-409]* "-"??_);_(@_)</c:formatCode>
                <c:ptCount val="30"/>
                <c:pt idx="0">
                  <c:v>3600.0</c:v>
                </c:pt>
                <c:pt idx="1">
                  <c:v>3672.0</c:v>
                </c:pt>
                <c:pt idx="2">
                  <c:v>3745.44</c:v>
                </c:pt>
                <c:pt idx="3">
                  <c:v>3820.3488</c:v>
                </c:pt>
                <c:pt idx="4">
                  <c:v>3896.755776</c:v>
                </c:pt>
                <c:pt idx="5">
                  <c:v>3974.69089152</c:v>
                </c:pt>
                <c:pt idx="6">
                  <c:v>4054.1847093504</c:v>
                </c:pt>
                <c:pt idx="7">
                  <c:v>4135.268403537407</c:v>
                </c:pt>
                <c:pt idx="8">
                  <c:v>4217.973771608156</c:v>
                </c:pt>
                <c:pt idx="9">
                  <c:v>4302.333247040319</c:v>
                </c:pt>
                <c:pt idx="10">
                  <c:v>4388.379911981126</c:v>
                </c:pt>
                <c:pt idx="11">
                  <c:v>4476.147510220747</c:v>
                </c:pt>
                <c:pt idx="12">
                  <c:v>4565.670460425162</c:v>
                </c:pt>
                <c:pt idx="13">
                  <c:v>4656.983869633666</c:v>
                </c:pt>
                <c:pt idx="14">
                  <c:v>4750.12354702634</c:v>
                </c:pt>
                <c:pt idx="15">
                  <c:v>4845.126017966865</c:v>
                </c:pt>
                <c:pt idx="16">
                  <c:v>4942.028538326203</c:v>
                </c:pt>
                <c:pt idx="17">
                  <c:v>5040.869109092727</c:v>
                </c:pt>
                <c:pt idx="18">
                  <c:v>5141.686491274581</c:v>
                </c:pt>
                <c:pt idx="19">
                  <c:v>5244.520221100073</c:v>
                </c:pt>
                <c:pt idx="20">
                  <c:v>5349.410625522075</c:v>
                </c:pt>
                <c:pt idx="21">
                  <c:v>5456.398838032516</c:v>
                </c:pt>
                <c:pt idx="22">
                  <c:v>5565.526814793167</c:v>
                </c:pt>
                <c:pt idx="23">
                  <c:v>5676.83735108903</c:v>
                </c:pt>
                <c:pt idx="24">
                  <c:v>5790.37409811081</c:v>
                </c:pt>
                <c:pt idx="25">
                  <c:v>5906.181580073026</c:v>
                </c:pt>
                <c:pt idx="26">
                  <c:v>6024.305211674487</c:v>
                </c:pt>
                <c:pt idx="27">
                  <c:v>6144.791315907976</c:v>
                </c:pt>
                <c:pt idx="28">
                  <c:v>6267.687142226137</c:v>
                </c:pt>
                <c:pt idx="29">
                  <c:v>6393.040885070659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2D-6947-A41E-CE4AA8D944CC}"/>
            </c:ext>
          </c:extLst>
        </c:ser>
        <c:ser>
          <c:idx val="2"/>
          <c:order val="1"/>
          <c:tx>
            <c:v>Linear Regression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'Step 1 - Regression'!$T$40:$T$69</c:f>
              <c:numCache>
                <c:formatCode>_([$$-409]* #,##0.00_);_([$$-409]* \(#,##0.00\);_([$$-409]* "-"??_);_(@_)</c:formatCode>
                <c:ptCount val="30"/>
                <c:pt idx="0">
                  <c:v>3600.0</c:v>
                </c:pt>
                <c:pt idx="1">
                  <c:v>3750.0</c:v>
                </c:pt>
                <c:pt idx="2">
                  <c:v>3900.0</c:v>
                </c:pt>
                <c:pt idx="3">
                  <c:v>4050.0</c:v>
                </c:pt>
                <c:pt idx="4">
                  <c:v>4200.0</c:v>
                </c:pt>
                <c:pt idx="5">
                  <c:v>4350.0</c:v>
                </c:pt>
                <c:pt idx="6">
                  <c:v>4500.0</c:v>
                </c:pt>
                <c:pt idx="7">
                  <c:v>4650.0</c:v>
                </c:pt>
                <c:pt idx="8">
                  <c:v>4800.0</c:v>
                </c:pt>
                <c:pt idx="9">
                  <c:v>4950.0</c:v>
                </c:pt>
                <c:pt idx="10">
                  <c:v>5100.0</c:v>
                </c:pt>
                <c:pt idx="11">
                  <c:v>5250.0</c:v>
                </c:pt>
                <c:pt idx="12">
                  <c:v>5400.0</c:v>
                </c:pt>
                <c:pt idx="13">
                  <c:v>5550.0</c:v>
                </c:pt>
                <c:pt idx="14">
                  <c:v>5700.0</c:v>
                </c:pt>
                <c:pt idx="15">
                  <c:v>5850.0</c:v>
                </c:pt>
                <c:pt idx="16">
                  <c:v>6000.0</c:v>
                </c:pt>
                <c:pt idx="17">
                  <c:v>6150.0</c:v>
                </c:pt>
                <c:pt idx="18">
                  <c:v>6300.0</c:v>
                </c:pt>
                <c:pt idx="19">
                  <c:v>6450.0</c:v>
                </c:pt>
                <c:pt idx="20">
                  <c:v>6600.0</c:v>
                </c:pt>
                <c:pt idx="21">
                  <c:v>6750.0</c:v>
                </c:pt>
                <c:pt idx="22">
                  <c:v>6900.0</c:v>
                </c:pt>
                <c:pt idx="23">
                  <c:v>7050.0</c:v>
                </c:pt>
                <c:pt idx="24">
                  <c:v>7200.0</c:v>
                </c:pt>
                <c:pt idx="25">
                  <c:v>7350.0</c:v>
                </c:pt>
                <c:pt idx="26">
                  <c:v>7500.0</c:v>
                </c:pt>
                <c:pt idx="27">
                  <c:v>7650.0</c:v>
                </c:pt>
                <c:pt idx="28">
                  <c:v>7800.0</c:v>
                </c:pt>
                <c:pt idx="29">
                  <c:v>7950.0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2D-6947-A41E-CE4AA8D9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10360"/>
        <c:axId val="2093206632"/>
      </c:lineChart>
      <c:catAx>
        <c:axId val="209321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06632"/>
        <c:crosses val="autoZero"/>
        <c:auto val="1"/>
        <c:lblAlgn val="ctr"/>
        <c:lblOffset val="100"/>
        <c:noMultiLvlLbl val="0"/>
      </c:catAx>
      <c:valAx>
        <c:axId val="209320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1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3</xdr:row>
      <xdr:rowOff>31750</xdr:rowOff>
    </xdr:from>
    <xdr:to>
      <xdr:col>14</xdr:col>
      <xdr:colOff>469900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CFB3F37-8C08-E34D-81E4-51121D32D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806450</xdr:colOff>
      <xdr:row>37</xdr:row>
      <xdr:rowOff>101600</xdr:rowOff>
    </xdr:from>
    <xdr:to>
      <xdr:col>14</xdr:col>
      <xdr:colOff>419100</xdr:colOff>
      <xdr:row>68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727C639-2A13-534B-BCEA-94198866A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393700</xdr:colOff>
      <xdr:row>3</xdr:row>
      <xdr:rowOff>25400</xdr:rowOff>
    </xdr:from>
    <xdr:to>
      <xdr:col>29</xdr:col>
      <xdr:colOff>165100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690D8F3-4776-5E49-B969-809DFE9E8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387350</xdr:colOff>
      <xdr:row>38</xdr:row>
      <xdr:rowOff>31750</xdr:rowOff>
    </xdr:from>
    <xdr:to>
      <xdr:col>28</xdr:col>
      <xdr:colOff>558800</xdr:colOff>
      <xdr:row>68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D729CBD8-89A4-4948-937F-ADAC59B11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596900</xdr:colOff>
      <xdr:row>28</xdr:row>
      <xdr:rowOff>177800</xdr:rowOff>
    </xdr:from>
    <xdr:to>
      <xdr:col>17</xdr:col>
      <xdr:colOff>533400</xdr:colOff>
      <xdr:row>51</xdr:row>
      <xdr:rowOff>177800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4F20FAFA-9D70-9B4D-BA7C-192F8B5F3A61}"/>
            </a:ext>
          </a:extLst>
        </xdr:cNvPr>
        <xdr:cNvSpPr txBox="1"/>
      </xdr:nvSpPr>
      <xdr:spPr>
        <a:xfrm>
          <a:off x="14490700" y="5537200"/>
          <a:ext cx="2413000" cy="438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Rent: Linear Regression line:</a:t>
          </a:r>
        </a:p>
        <a:p>
          <a:pPr rtl="0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aX + b,   b = base rent =$250                                      a = increase rent amount  by</a:t>
          </a:r>
          <a:r>
            <a:rPr lang="en-US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$100 = $350/room</a:t>
          </a:r>
        </a:p>
        <a:p>
          <a:pPr rtl="0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      </a:t>
          </a:r>
        </a:p>
        <a:p>
          <a:pPr rtl="0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Wage: Linear Regression line:</a:t>
          </a:r>
        </a:p>
        <a:p>
          <a:pPr rtl="0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aX + b, b = base wage =</a:t>
          </a:r>
          <a:r>
            <a:rPr lang="en-US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$150</a:t>
          </a:r>
          <a:endParaRPr lang="en-US" sz="16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     </a:t>
          </a:r>
        </a:p>
        <a:p>
          <a:pPr rtl="0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a = increase wage amount = $3750/staff</a:t>
          </a:r>
        </a:p>
        <a:p>
          <a:pPr rtl="0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            </a:t>
          </a:r>
        </a:p>
        <a:p>
          <a:pPr rtl="0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X = Number of year</a:t>
          </a:r>
        </a:p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600" b="1"/>
            <a:t/>
          </a:r>
          <a:br>
            <a:rPr lang="en-US" sz="1600" b="1"/>
          </a:br>
          <a:endParaRPr lang="en-US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15</xdr:row>
      <xdr:rowOff>76200</xdr:rowOff>
    </xdr:from>
    <xdr:to>
      <xdr:col>7</xdr:col>
      <xdr:colOff>622300</xdr:colOff>
      <xdr:row>23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4079D342-9D1C-B94C-9A0A-4E0538DDEF08}"/>
            </a:ext>
          </a:extLst>
        </xdr:cNvPr>
        <xdr:cNvSpPr txBox="1"/>
      </xdr:nvSpPr>
      <xdr:spPr>
        <a:xfrm>
          <a:off x="5003800" y="3543300"/>
          <a:ext cx="594360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WACC</a:t>
          </a:r>
          <a:r>
            <a:rPr lang="en-US" sz="1800" b="1" baseline="0"/>
            <a:t> = summation of the product of percentage &amp; cost of capital </a:t>
          </a:r>
        </a:p>
        <a:p>
          <a:endParaRPr lang="en-US" sz="1800" b="1" baseline="0"/>
        </a:p>
        <a:p>
          <a:r>
            <a:rPr lang="en-US" sz="1800" b="1" baseline="0"/>
            <a:t>BTMARR = WACC + Profit </a:t>
          </a:r>
        </a:p>
        <a:p>
          <a:endParaRPr lang="en-US" sz="1800" b="1" baseline="0"/>
        </a:p>
        <a:p>
          <a:r>
            <a:rPr lang="en-US" sz="1800" b="1" baseline="0"/>
            <a:t>ATMARR = BTMARR * (1-itr)</a:t>
          </a:r>
          <a:endParaRPr lang="en-US" sz="1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37</xdr:row>
      <xdr:rowOff>152400</xdr:rowOff>
    </xdr:from>
    <xdr:to>
      <xdr:col>10</xdr:col>
      <xdr:colOff>314325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5AA0387-23EF-4249-ACDB-F48E080D3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7200900"/>
          <a:ext cx="5886450" cy="3829050"/>
        </a:xfrm>
        <a:prstGeom prst="rect">
          <a:avLst/>
        </a:prstGeom>
      </xdr:spPr>
    </xdr:pic>
    <xdr:clientData/>
  </xdr:twoCellAnchor>
  <xdr:twoCellAnchor>
    <xdr:from>
      <xdr:col>0</xdr:col>
      <xdr:colOff>1193800</xdr:colOff>
      <xdr:row>57</xdr:row>
      <xdr:rowOff>101600</xdr:rowOff>
    </xdr:from>
    <xdr:to>
      <xdr:col>5</xdr:col>
      <xdr:colOff>1155700</xdr:colOff>
      <xdr:row>65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63BC1B0E-CF74-6441-8CD8-6923D634C649}"/>
            </a:ext>
          </a:extLst>
        </xdr:cNvPr>
        <xdr:cNvSpPr txBox="1"/>
      </xdr:nvSpPr>
      <xdr:spPr>
        <a:xfrm>
          <a:off x="1193800" y="10960100"/>
          <a:ext cx="6311900" cy="146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* As we can see from graph:</a:t>
          </a:r>
        </a:p>
        <a:p>
          <a:r>
            <a:rPr lang="en-US" sz="1800"/>
            <a:t>(i)</a:t>
          </a:r>
          <a:r>
            <a:rPr lang="en-US" sz="1800" baseline="0"/>
            <a:t> if leander's rate &lt; TVOM. use plan-4 for the borrowing. </a:t>
          </a:r>
        </a:p>
        <a:p>
          <a:r>
            <a:rPr lang="en-US" sz="1800" baseline="0"/>
            <a:t>(ii) if leander's rate &gt; TVOM, plan-3 for the borrowing </a:t>
          </a:r>
          <a:endParaRPr lang="en-US" sz="1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0</xdr:row>
      <xdr:rowOff>127000</xdr:rowOff>
    </xdr:from>
    <xdr:to>
      <xdr:col>11</xdr:col>
      <xdr:colOff>381000</xdr:colOff>
      <xdr:row>8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F7C9175B-4945-764A-A0A0-1AD7362913A5}"/>
            </a:ext>
          </a:extLst>
        </xdr:cNvPr>
        <xdr:cNvSpPr txBox="1"/>
      </xdr:nvSpPr>
      <xdr:spPr>
        <a:xfrm>
          <a:off x="4445000" y="127000"/>
          <a:ext cx="8674100" cy="149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endParaRPr lang="en-US" sz="16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base"/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Since lender's rate &lt; MARR, thus we prefer to use Plan-4. Thus, the Present Worth calculated for Plan-4 is greater than the one for Plan-3.</a:t>
          </a:r>
        </a:p>
        <a:p>
          <a:pPr rtl="0" fontAlgn="base"/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The Present Worth for Geometric CF is  greater than the Uniform CF. This is expected since the revenues are greater in geometric CF.</a:t>
          </a:r>
        </a:p>
      </xdr:txBody>
    </xdr:sp>
    <xdr:clientData/>
  </xdr:twoCellAnchor>
  <xdr:twoCellAnchor>
    <xdr:from>
      <xdr:col>2</xdr:col>
      <xdr:colOff>1460500</xdr:colOff>
      <xdr:row>22</xdr:row>
      <xdr:rowOff>177800</xdr:rowOff>
    </xdr:from>
    <xdr:to>
      <xdr:col>11</xdr:col>
      <xdr:colOff>177800</xdr:colOff>
      <xdr:row>28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B43C0AFF-1286-0240-971C-1E055CCBB0BD}"/>
            </a:ext>
          </a:extLst>
        </xdr:cNvPr>
        <xdr:cNvSpPr txBox="1"/>
      </xdr:nvSpPr>
      <xdr:spPr>
        <a:xfrm>
          <a:off x="4762500" y="4902200"/>
          <a:ext cx="8153400" cy="104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Observation:</a:t>
          </a:r>
          <a:r>
            <a:rPr lang="en-US" sz="1600" b="1" baseline="0"/>
            <a:t> </a:t>
          </a:r>
        </a:p>
        <a:p>
          <a:endParaRPr lang="en-US" sz="1600" b="1" baseline="0"/>
        </a:p>
        <a:p>
          <a:r>
            <a:rPr lang="en-US" sz="1600" b="1" baseline="0"/>
            <a:t>For all the cases, IRR is greater than the ATMARR. Thus, the investment is feasible to do. </a:t>
          </a:r>
          <a:endParaRPr lang="en-US" sz="16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ath Ali Kamli" id="{CE8FD208-562B-4DCA-923B-1DD1A3F7B601}" userId="S::kamli.m@northeastern.edu::e2ea0128-8ac3-4f8d-9e14-38c18941ad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19-06-15T20:58:46.03" personId="{CE8FD208-562B-4DCA-923B-1DD1A3F7B601}" id="{5F4042DE-ED96-44E9-81DB-E6464365B23B}">
    <text xml:space="preserve">Assuming 30% occupancy rate during off season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Relationship Id="rId3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K2" sqref="K2"/>
    </sheetView>
  </sheetViews>
  <sheetFormatPr baseColWidth="10" defaultRowHeight="14" x14ac:dyDescent="0"/>
  <cols>
    <col min="1" max="1" width="17" style="7" customWidth="1"/>
    <col min="2" max="2" width="18.33203125" style="7" customWidth="1"/>
    <col min="3" max="3" width="22.1640625" style="7" customWidth="1"/>
    <col min="4" max="4" width="16.5" style="7" customWidth="1"/>
    <col min="5" max="17" width="10.83203125" style="7"/>
    <col min="18" max="18" width="19.83203125" style="7" customWidth="1"/>
    <col min="19" max="19" width="21.1640625" style="7" customWidth="1"/>
    <col min="20" max="20" width="22" style="7" customWidth="1"/>
    <col min="21" max="21" width="23.33203125" style="7" customWidth="1"/>
    <col min="22" max="16384" width="10.83203125" style="7"/>
  </cols>
  <sheetData>
    <row r="1" spans="1:23">
      <c r="A1" s="36" t="s">
        <v>92</v>
      </c>
      <c r="B1" s="37"/>
      <c r="C1" s="37"/>
      <c r="D1" s="37"/>
      <c r="R1" s="38" t="s">
        <v>98</v>
      </c>
      <c r="S1" s="37"/>
      <c r="T1" s="37"/>
      <c r="U1" s="37"/>
    </row>
    <row r="2" spans="1:23">
      <c r="A2" s="37"/>
      <c r="B2" s="37"/>
      <c r="C2" s="37"/>
      <c r="D2" s="37"/>
      <c r="E2" s="7" t="s">
        <v>94</v>
      </c>
      <c r="F2" s="12">
        <v>0.02</v>
      </c>
      <c r="R2" s="37"/>
      <c r="S2" s="37"/>
      <c r="T2" s="37"/>
      <c r="U2" s="37"/>
      <c r="V2" s="7" t="s">
        <v>100</v>
      </c>
      <c r="W2" s="7">
        <v>100</v>
      </c>
    </row>
    <row r="3" spans="1:23" ht="16">
      <c r="E3" s="7" t="s">
        <v>95</v>
      </c>
      <c r="F3" s="12">
        <v>0.02</v>
      </c>
      <c r="R3" s="30" t="s">
        <v>103</v>
      </c>
      <c r="S3" s="30" t="s">
        <v>93</v>
      </c>
      <c r="T3" s="7" t="s">
        <v>99</v>
      </c>
      <c r="V3" s="7" t="s">
        <v>101</v>
      </c>
      <c r="W3" s="7">
        <v>150</v>
      </c>
    </row>
    <row r="4" spans="1:23" ht="16">
      <c r="A4" s="30" t="s">
        <v>103</v>
      </c>
      <c r="B4" s="30" t="s">
        <v>93</v>
      </c>
      <c r="C4" s="30" t="s">
        <v>92</v>
      </c>
      <c r="R4" s="7">
        <v>1</v>
      </c>
      <c r="S4" s="31">
        <f>150*30</f>
        <v>4500</v>
      </c>
      <c r="T4" s="31">
        <f>S4</f>
        <v>4500</v>
      </c>
    </row>
    <row r="5" spans="1:23">
      <c r="A5" s="7">
        <v>1</v>
      </c>
      <c r="B5" s="32">
        <f>150*30</f>
        <v>4500</v>
      </c>
      <c r="C5" s="32">
        <f>B5</f>
        <v>4500</v>
      </c>
      <c r="R5" s="7">
        <v>2</v>
      </c>
      <c r="S5" s="31">
        <f>$B$5*(1+$F$2)^R4</f>
        <v>4590</v>
      </c>
      <c r="T5" s="31">
        <f>$T$4+$W$2*R4</f>
        <v>4600</v>
      </c>
    </row>
    <row r="6" spans="1:23">
      <c r="A6" s="7">
        <v>2</v>
      </c>
      <c r="B6" s="32">
        <f>$B$5*(1+$F$2)^A5</f>
        <v>4590</v>
      </c>
      <c r="C6" s="32">
        <f>$C$5*(1+2.2%)^A5</f>
        <v>4599</v>
      </c>
      <c r="R6" s="7">
        <v>3</v>
      </c>
      <c r="S6" s="31">
        <f t="shared" ref="S6:S33" si="0">$B$5*(1+$F$2)^R5</f>
        <v>4681.8</v>
      </c>
      <c r="T6" s="31">
        <f t="shared" ref="T6:T33" si="1">$T$4+$W$2*R5</f>
        <v>4700</v>
      </c>
    </row>
    <row r="7" spans="1:23">
      <c r="A7" s="7">
        <v>3</v>
      </c>
      <c r="B7" s="32">
        <f t="shared" ref="B7:B34" si="2">$B$5*(1+$F$2)^A6</f>
        <v>4681.8</v>
      </c>
      <c r="C7" s="32">
        <f t="shared" ref="C7:C34" si="3">$C$5*(1+2.2%)^A6</f>
        <v>4700.1779999999999</v>
      </c>
      <c r="R7" s="7">
        <v>4</v>
      </c>
      <c r="S7" s="31">
        <f t="shared" si="0"/>
        <v>4775.4359999999997</v>
      </c>
      <c r="T7" s="31">
        <f t="shared" si="1"/>
        <v>4800</v>
      </c>
    </row>
    <row r="8" spans="1:23">
      <c r="A8" s="7">
        <v>4</v>
      </c>
      <c r="B8" s="32">
        <f t="shared" si="2"/>
        <v>4775.4359999999997</v>
      </c>
      <c r="C8" s="32">
        <f t="shared" si="3"/>
        <v>4803.5819160000001</v>
      </c>
      <c r="R8" s="7">
        <v>5</v>
      </c>
      <c r="S8" s="31">
        <f t="shared" si="0"/>
        <v>4870.9447199999995</v>
      </c>
      <c r="T8" s="31">
        <f t="shared" si="1"/>
        <v>4900</v>
      </c>
    </row>
    <row r="9" spans="1:23">
      <c r="A9" s="7">
        <v>5</v>
      </c>
      <c r="B9" s="32">
        <f t="shared" si="2"/>
        <v>4870.9447199999995</v>
      </c>
      <c r="C9" s="32">
        <f t="shared" si="3"/>
        <v>4909.2607181519998</v>
      </c>
      <c r="R9" s="7">
        <v>6</v>
      </c>
      <c r="S9" s="31">
        <f t="shared" si="0"/>
        <v>4968.3636144000002</v>
      </c>
      <c r="T9" s="31">
        <f t="shared" si="1"/>
        <v>5000</v>
      </c>
    </row>
    <row r="10" spans="1:23">
      <c r="A10" s="7">
        <v>6</v>
      </c>
      <c r="B10" s="32">
        <f t="shared" si="2"/>
        <v>4968.3636144000002</v>
      </c>
      <c r="C10" s="32">
        <f t="shared" si="3"/>
        <v>5017.264453951344</v>
      </c>
      <c r="R10" s="7">
        <v>7</v>
      </c>
      <c r="S10" s="31">
        <f t="shared" si="0"/>
        <v>5067.7308866880003</v>
      </c>
      <c r="T10" s="31">
        <f t="shared" si="1"/>
        <v>5100</v>
      </c>
    </row>
    <row r="11" spans="1:23">
      <c r="A11" s="7">
        <v>7</v>
      </c>
      <c r="B11" s="32">
        <f t="shared" si="2"/>
        <v>5067.7308866880003</v>
      </c>
      <c r="C11" s="32">
        <f t="shared" si="3"/>
        <v>5127.6442719382731</v>
      </c>
      <c r="R11" s="7">
        <v>8</v>
      </c>
      <c r="S11" s="31">
        <f t="shared" si="0"/>
        <v>5169.0855044217587</v>
      </c>
      <c r="T11" s="31">
        <f t="shared" si="1"/>
        <v>5200</v>
      </c>
    </row>
    <row r="12" spans="1:23">
      <c r="A12" s="7">
        <v>8</v>
      </c>
      <c r="B12" s="32">
        <f t="shared" si="2"/>
        <v>5169.0855044217587</v>
      </c>
      <c r="C12" s="32">
        <f t="shared" si="3"/>
        <v>5240.4524459209151</v>
      </c>
      <c r="R12" s="7">
        <v>9</v>
      </c>
      <c r="S12" s="31">
        <f t="shared" si="0"/>
        <v>5272.4672145101949</v>
      </c>
      <c r="T12" s="31">
        <f t="shared" si="1"/>
        <v>5300</v>
      </c>
    </row>
    <row r="13" spans="1:23">
      <c r="A13" s="7">
        <v>9</v>
      </c>
      <c r="B13" s="32">
        <f t="shared" si="2"/>
        <v>5272.4672145101949</v>
      </c>
      <c r="C13" s="32">
        <f t="shared" si="3"/>
        <v>5355.7423997311762</v>
      </c>
      <c r="R13" s="7">
        <v>10</v>
      </c>
      <c r="S13" s="31">
        <f t="shared" si="0"/>
        <v>5377.9165588003989</v>
      </c>
      <c r="T13" s="31">
        <f t="shared" si="1"/>
        <v>5400</v>
      </c>
    </row>
    <row r="14" spans="1:23">
      <c r="A14" s="7">
        <v>10</v>
      </c>
      <c r="B14" s="32">
        <f t="shared" si="2"/>
        <v>5377.9165588003989</v>
      </c>
      <c r="C14" s="32">
        <f t="shared" si="3"/>
        <v>5473.568732525262</v>
      </c>
      <c r="R14" s="7">
        <v>11</v>
      </c>
      <c r="S14" s="31">
        <f t="shared" si="0"/>
        <v>5485.4748899764072</v>
      </c>
      <c r="T14" s="31">
        <f t="shared" si="1"/>
        <v>5500</v>
      </c>
    </row>
    <row r="15" spans="1:23">
      <c r="A15" s="7">
        <v>11</v>
      </c>
      <c r="B15" s="32">
        <f t="shared" si="2"/>
        <v>5485.4748899764072</v>
      </c>
      <c r="C15" s="32">
        <f t="shared" si="3"/>
        <v>5593.9872446408181</v>
      </c>
      <c r="R15" s="7">
        <v>12</v>
      </c>
      <c r="S15" s="31">
        <f t="shared" si="0"/>
        <v>5595.1843877759338</v>
      </c>
      <c r="T15" s="31">
        <f t="shared" si="1"/>
        <v>5600</v>
      </c>
    </row>
    <row r="16" spans="1:23">
      <c r="A16" s="7">
        <v>12</v>
      </c>
      <c r="B16" s="32">
        <f t="shared" si="2"/>
        <v>5595.1843877759338</v>
      </c>
      <c r="C16" s="32">
        <f t="shared" si="3"/>
        <v>5717.0549640229165</v>
      </c>
      <c r="R16" s="7">
        <v>13</v>
      </c>
      <c r="S16" s="31">
        <f t="shared" si="0"/>
        <v>5707.0880755314538</v>
      </c>
      <c r="T16" s="31">
        <f t="shared" si="1"/>
        <v>5700</v>
      </c>
    </row>
    <row r="17" spans="1:20">
      <c r="A17" s="7">
        <v>13</v>
      </c>
      <c r="B17" s="32">
        <f t="shared" si="2"/>
        <v>5707.0880755314538</v>
      </c>
      <c r="C17" s="32">
        <f t="shared" si="3"/>
        <v>5842.8301732314203</v>
      </c>
      <c r="R17" s="7">
        <v>14</v>
      </c>
      <c r="S17" s="31">
        <f t="shared" si="0"/>
        <v>5821.2298370420822</v>
      </c>
      <c r="T17" s="31">
        <f t="shared" si="1"/>
        <v>5800</v>
      </c>
    </row>
    <row r="18" spans="1:20">
      <c r="A18" s="7">
        <v>14</v>
      </c>
      <c r="B18" s="32">
        <f t="shared" si="2"/>
        <v>5821.2298370420822</v>
      </c>
      <c r="C18" s="32">
        <f t="shared" si="3"/>
        <v>5971.3724370425116</v>
      </c>
      <c r="R18" s="7">
        <v>15</v>
      </c>
      <c r="S18" s="31">
        <f t="shared" si="0"/>
        <v>5937.6544337829246</v>
      </c>
      <c r="T18" s="31">
        <f t="shared" si="1"/>
        <v>5900</v>
      </c>
    </row>
    <row r="19" spans="1:20">
      <c r="A19" s="7">
        <v>15</v>
      </c>
      <c r="B19" s="32">
        <f t="shared" si="2"/>
        <v>5937.6544337829246</v>
      </c>
      <c r="C19" s="32">
        <f t="shared" si="3"/>
        <v>6102.7426306574462</v>
      </c>
      <c r="R19" s="7">
        <v>16</v>
      </c>
      <c r="S19" s="31">
        <f t="shared" si="0"/>
        <v>6056.4075224585813</v>
      </c>
      <c r="T19" s="31">
        <f t="shared" si="1"/>
        <v>6000</v>
      </c>
    </row>
    <row r="20" spans="1:20">
      <c r="A20" s="7">
        <v>16</v>
      </c>
      <c r="B20" s="32">
        <f t="shared" si="2"/>
        <v>6056.4075224585813</v>
      </c>
      <c r="C20" s="32">
        <f t="shared" si="3"/>
        <v>6237.0029685319105</v>
      </c>
      <c r="R20" s="7">
        <v>17</v>
      </c>
      <c r="S20" s="31">
        <f t="shared" si="0"/>
        <v>6177.5356729077539</v>
      </c>
      <c r="T20" s="31">
        <f t="shared" si="1"/>
        <v>6100</v>
      </c>
    </row>
    <row r="21" spans="1:20">
      <c r="A21" s="7">
        <v>17</v>
      </c>
      <c r="B21" s="32">
        <f t="shared" si="2"/>
        <v>6177.5356729077539</v>
      </c>
      <c r="C21" s="32">
        <f t="shared" si="3"/>
        <v>6374.2170338396127</v>
      </c>
      <c r="R21" s="7">
        <v>18</v>
      </c>
      <c r="S21" s="31">
        <f t="shared" si="0"/>
        <v>6301.0863863659097</v>
      </c>
      <c r="T21" s="31">
        <f t="shared" si="1"/>
        <v>6200</v>
      </c>
    </row>
    <row r="22" spans="1:20">
      <c r="A22" s="7">
        <v>18</v>
      </c>
      <c r="B22" s="32">
        <f t="shared" si="2"/>
        <v>6301.0863863659097</v>
      </c>
      <c r="C22" s="32">
        <f t="shared" si="3"/>
        <v>6514.4498085840842</v>
      </c>
      <c r="R22" s="7">
        <v>19</v>
      </c>
      <c r="S22" s="31">
        <f t="shared" si="0"/>
        <v>6427.1081140932274</v>
      </c>
      <c r="T22" s="31">
        <f t="shared" si="1"/>
        <v>6300</v>
      </c>
    </row>
    <row r="23" spans="1:20">
      <c r="A23" s="7">
        <v>19</v>
      </c>
      <c r="B23" s="32">
        <f t="shared" si="2"/>
        <v>6427.1081140932274</v>
      </c>
      <c r="C23" s="32">
        <f t="shared" si="3"/>
        <v>6657.7677043729336</v>
      </c>
      <c r="R23" s="7">
        <v>20</v>
      </c>
      <c r="S23" s="31">
        <f t="shared" si="0"/>
        <v>6555.6502763750914</v>
      </c>
      <c r="T23" s="31">
        <f t="shared" si="1"/>
        <v>6400</v>
      </c>
    </row>
    <row r="24" spans="1:20">
      <c r="A24" s="7">
        <v>20</v>
      </c>
      <c r="B24" s="32">
        <f t="shared" si="2"/>
        <v>6555.6502763750914</v>
      </c>
      <c r="C24" s="32">
        <f t="shared" si="3"/>
        <v>6804.2385938691386</v>
      </c>
      <c r="R24" s="7">
        <v>21</v>
      </c>
      <c r="S24" s="31">
        <f t="shared" si="0"/>
        <v>6686.7632819025939</v>
      </c>
      <c r="T24" s="31">
        <f t="shared" si="1"/>
        <v>6500</v>
      </c>
    </row>
    <row r="25" spans="1:20">
      <c r="A25" s="7">
        <v>21</v>
      </c>
      <c r="B25" s="32">
        <f t="shared" si="2"/>
        <v>6686.7632819025939</v>
      </c>
      <c r="C25" s="32">
        <f t="shared" si="3"/>
        <v>6953.9318429342602</v>
      </c>
      <c r="R25" s="7">
        <v>22</v>
      </c>
      <c r="S25" s="31">
        <f t="shared" si="0"/>
        <v>6820.4985475406456</v>
      </c>
      <c r="T25" s="31">
        <f t="shared" si="1"/>
        <v>6600</v>
      </c>
    </row>
    <row r="26" spans="1:20">
      <c r="A26" s="7">
        <v>22</v>
      </c>
      <c r="B26" s="32">
        <f t="shared" si="2"/>
        <v>6820.4985475406456</v>
      </c>
      <c r="C26" s="32">
        <f t="shared" si="3"/>
        <v>7106.9183434788138</v>
      </c>
      <c r="R26" s="7">
        <v>23</v>
      </c>
      <c r="S26" s="31">
        <f t="shared" si="0"/>
        <v>6956.9085184914584</v>
      </c>
      <c r="T26" s="31">
        <f t="shared" si="1"/>
        <v>6700</v>
      </c>
    </row>
    <row r="27" spans="1:20">
      <c r="A27" s="7">
        <v>23</v>
      </c>
      <c r="B27" s="32">
        <f t="shared" si="2"/>
        <v>6956.9085184914584</v>
      </c>
      <c r="C27" s="32">
        <f t="shared" si="3"/>
        <v>7263.2705470353476</v>
      </c>
      <c r="R27" s="7">
        <v>24</v>
      </c>
      <c r="S27" s="31">
        <f t="shared" si="0"/>
        <v>7096.0466888612864</v>
      </c>
      <c r="T27" s="31">
        <f t="shared" si="1"/>
        <v>6800</v>
      </c>
    </row>
    <row r="28" spans="1:20">
      <c r="A28" s="7">
        <v>24</v>
      </c>
      <c r="B28" s="32">
        <f t="shared" si="2"/>
        <v>7096.0466888612864</v>
      </c>
      <c r="C28" s="32">
        <f t="shared" si="3"/>
        <v>7423.0624990701244</v>
      </c>
      <c r="R28" s="7">
        <v>25</v>
      </c>
      <c r="S28" s="31">
        <f t="shared" si="0"/>
        <v>7237.9676226385127</v>
      </c>
      <c r="T28" s="31">
        <f t="shared" si="1"/>
        <v>6900</v>
      </c>
    </row>
    <row r="29" spans="1:20">
      <c r="A29" s="7">
        <v>25</v>
      </c>
      <c r="B29" s="32">
        <f t="shared" si="2"/>
        <v>7237.9676226385127</v>
      </c>
      <c r="C29" s="32">
        <f t="shared" si="3"/>
        <v>7586.3698740496684</v>
      </c>
      <c r="R29" s="7">
        <v>26</v>
      </c>
      <c r="S29" s="31">
        <f t="shared" si="0"/>
        <v>7382.7269750912828</v>
      </c>
      <c r="T29" s="31">
        <f t="shared" si="1"/>
        <v>7000</v>
      </c>
    </row>
    <row r="30" spans="1:20">
      <c r="A30" s="7">
        <v>26</v>
      </c>
      <c r="B30" s="32">
        <f t="shared" si="2"/>
        <v>7382.7269750912828</v>
      </c>
      <c r="C30" s="32">
        <f t="shared" si="3"/>
        <v>7753.2700112787606</v>
      </c>
      <c r="R30" s="7">
        <v>27</v>
      </c>
      <c r="S30" s="31">
        <f t="shared" si="0"/>
        <v>7530.3815145931094</v>
      </c>
      <c r="T30" s="31">
        <f t="shared" si="1"/>
        <v>7100</v>
      </c>
    </row>
    <row r="31" spans="1:20">
      <c r="A31" s="7">
        <v>27</v>
      </c>
      <c r="B31" s="32">
        <f t="shared" si="2"/>
        <v>7530.3815145931094</v>
      </c>
      <c r="C31" s="32">
        <f t="shared" si="3"/>
        <v>7923.8419515268943</v>
      </c>
      <c r="R31" s="7">
        <v>28</v>
      </c>
      <c r="S31" s="31">
        <f t="shared" si="0"/>
        <v>7680.9891448849703</v>
      </c>
      <c r="T31" s="31">
        <f t="shared" si="1"/>
        <v>7200</v>
      </c>
    </row>
    <row r="32" spans="1:20">
      <c r="A32" s="7">
        <v>28</v>
      </c>
      <c r="B32" s="32">
        <f t="shared" si="2"/>
        <v>7680.9891448849703</v>
      </c>
      <c r="C32" s="32">
        <f t="shared" si="3"/>
        <v>8098.1664744604859</v>
      </c>
      <c r="R32" s="7">
        <v>29</v>
      </c>
      <c r="S32" s="31">
        <f t="shared" si="0"/>
        <v>7834.6089277826713</v>
      </c>
      <c r="T32" s="31">
        <f t="shared" si="1"/>
        <v>7300</v>
      </c>
    </row>
    <row r="33" spans="1:20">
      <c r="A33" s="7">
        <v>29</v>
      </c>
      <c r="B33" s="32">
        <f t="shared" si="2"/>
        <v>7834.6089277826713</v>
      </c>
      <c r="C33" s="32">
        <f t="shared" si="3"/>
        <v>8276.3261368986168</v>
      </c>
      <c r="R33" s="7">
        <v>30</v>
      </c>
      <c r="S33" s="31">
        <f t="shared" si="0"/>
        <v>7991.3011063383237</v>
      </c>
      <c r="T33" s="31">
        <f t="shared" si="1"/>
        <v>7400</v>
      </c>
    </row>
    <row r="34" spans="1:20">
      <c r="A34" s="7">
        <v>30</v>
      </c>
      <c r="B34" s="32">
        <f t="shared" si="2"/>
        <v>7991.3011063383237</v>
      </c>
      <c r="C34" s="32">
        <f t="shared" si="3"/>
        <v>8458.4053119103864</v>
      </c>
    </row>
    <row r="35" spans="1:20">
      <c r="B35" s="32"/>
      <c r="C35" s="32"/>
    </row>
    <row r="36" spans="1:20">
      <c r="B36" s="32"/>
      <c r="C36" s="32"/>
    </row>
    <row r="37" spans="1:20">
      <c r="B37" s="32"/>
      <c r="C37" s="32"/>
    </row>
    <row r="38" spans="1:20" ht="16">
      <c r="A38" s="30" t="s">
        <v>103</v>
      </c>
      <c r="B38" s="32" t="s">
        <v>96</v>
      </c>
      <c r="C38" s="32" t="s">
        <v>97</v>
      </c>
    </row>
    <row r="39" spans="1:20" ht="16">
      <c r="A39" s="7">
        <v>1</v>
      </c>
      <c r="B39" s="32">
        <v>3600</v>
      </c>
      <c r="C39" s="32">
        <f>B39</f>
        <v>3600</v>
      </c>
      <c r="R39" s="30" t="s">
        <v>103</v>
      </c>
      <c r="S39" s="7" t="s">
        <v>96</v>
      </c>
      <c r="T39" s="7" t="s">
        <v>97</v>
      </c>
    </row>
    <row r="40" spans="1:20">
      <c r="A40" s="7">
        <v>2</v>
      </c>
      <c r="B40" s="32">
        <f>$B$39*(1+$F$3)^A39</f>
        <v>3672</v>
      </c>
      <c r="C40" s="32">
        <f>$C$39*(1+2.2%)^A39</f>
        <v>3679.2000000000003</v>
      </c>
      <c r="R40" s="7">
        <v>1</v>
      </c>
      <c r="S40" s="31">
        <v>3600</v>
      </c>
      <c r="T40" s="31">
        <f>S40</f>
        <v>3600</v>
      </c>
    </row>
    <row r="41" spans="1:20">
      <c r="A41" s="7">
        <v>3</v>
      </c>
      <c r="B41" s="32">
        <f t="shared" ref="B41:B68" si="4">$B$39*(1+$F$3)^A40</f>
        <v>3745.44</v>
      </c>
      <c r="C41" s="32">
        <f t="shared" ref="C41:C68" si="5">$C$39*(1+2.2%)^A40</f>
        <v>3760.1423999999997</v>
      </c>
      <c r="R41" s="7">
        <v>2</v>
      </c>
      <c r="S41" s="31">
        <f>$B$39*(1+$F$3)^R40</f>
        <v>3672</v>
      </c>
      <c r="T41" s="31">
        <f t="shared" ref="T41:T69" si="6">$T$40+$W$3*R40</f>
        <v>3750</v>
      </c>
    </row>
    <row r="42" spans="1:20">
      <c r="A42" s="7">
        <v>4</v>
      </c>
      <c r="B42" s="32">
        <f t="shared" si="4"/>
        <v>3820.3487999999998</v>
      </c>
      <c r="C42" s="32">
        <f t="shared" si="5"/>
        <v>3842.8655328</v>
      </c>
      <c r="R42" s="7">
        <v>3</v>
      </c>
      <c r="S42" s="31">
        <f t="shared" ref="S42:S69" si="7">$B$39*(1+$F$3)^R41</f>
        <v>3745.44</v>
      </c>
      <c r="T42" s="31">
        <f t="shared" si="6"/>
        <v>3900</v>
      </c>
    </row>
    <row r="43" spans="1:20">
      <c r="A43" s="7">
        <v>5</v>
      </c>
      <c r="B43" s="32">
        <f t="shared" si="4"/>
        <v>3896.755776</v>
      </c>
      <c r="C43" s="32">
        <f t="shared" si="5"/>
        <v>3927.4085745216003</v>
      </c>
      <c r="R43" s="7">
        <v>4</v>
      </c>
      <c r="S43" s="31">
        <f t="shared" si="7"/>
        <v>3820.3487999999998</v>
      </c>
      <c r="T43" s="31">
        <f t="shared" si="6"/>
        <v>4050</v>
      </c>
    </row>
    <row r="44" spans="1:20">
      <c r="A44" s="7">
        <v>6</v>
      </c>
      <c r="B44" s="32">
        <f t="shared" si="4"/>
        <v>3974.6908915200002</v>
      </c>
      <c r="C44" s="32">
        <f t="shared" si="5"/>
        <v>4013.8115631610754</v>
      </c>
      <c r="R44" s="7">
        <v>5</v>
      </c>
      <c r="S44" s="31">
        <f t="shared" si="7"/>
        <v>3896.755776</v>
      </c>
      <c r="T44" s="31">
        <f t="shared" si="6"/>
        <v>4200</v>
      </c>
    </row>
    <row r="45" spans="1:20">
      <c r="A45" s="7">
        <v>7</v>
      </c>
      <c r="B45" s="32">
        <f t="shared" si="4"/>
        <v>4054.1847093504002</v>
      </c>
      <c r="C45" s="32">
        <f t="shared" si="5"/>
        <v>4102.115417550619</v>
      </c>
      <c r="R45" s="7">
        <v>6</v>
      </c>
      <c r="S45" s="31">
        <f t="shared" si="7"/>
        <v>3974.6908915200002</v>
      </c>
      <c r="T45" s="31">
        <f t="shared" si="6"/>
        <v>4350</v>
      </c>
    </row>
    <row r="46" spans="1:20">
      <c r="A46" s="7">
        <v>8</v>
      </c>
      <c r="B46" s="32">
        <f t="shared" si="4"/>
        <v>4135.2684035374077</v>
      </c>
      <c r="C46" s="32">
        <f t="shared" si="5"/>
        <v>4192.3619567367323</v>
      </c>
      <c r="R46" s="7">
        <v>7</v>
      </c>
      <c r="S46" s="31">
        <f t="shared" si="7"/>
        <v>4054.1847093504002</v>
      </c>
      <c r="T46" s="31">
        <f t="shared" si="6"/>
        <v>4500</v>
      </c>
    </row>
    <row r="47" spans="1:20">
      <c r="A47" s="7">
        <v>9</v>
      </c>
      <c r="B47" s="32">
        <f t="shared" si="4"/>
        <v>4217.9737716081563</v>
      </c>
      <c r="C47" s="32">
        <f t="shared" si="5"/>
        <v>4284.5939197849411</v>
      </c>
      <c r="R47" s="7">
        <v>8</v>
      </c>
      <c r="S47" s="31">
        <f t="shared" si="7"/>
        <v>4135.2684035374077</v>
      </c>
      <c r="T47" s="31">
        <f t="shared" si="6"/>
        <v>4650</v>
      </c>
    </row>
    <row r="48" spans="1:20">
      <c r="A48" s="7">
        <v>10</v>
      </c>
      <c r="B48" s="32">
        <f t="shared" si="4"/>
        <v>4302.3332470403193</v>
      </c>
      <c r="C48" s="32">
        <f t="shared" si="5"/>
        <v>4378.8549860202093</v>
      </c>
      <c r="R48" s="7">
        <v>9</v>
      </c>
      <c r="S48" s="31">
        <f t="shared" si="7"/>
        <v>4217.9737716081563</v>
      </c>
      <c r="T48" s="31">
        <f t="shared" si="6"/>
        <v>4800</v>
      </c>
    </row>
    <row r="49" spans="1:20">
      <c r="A49" s="7">
        <v>11</v>
      </c>
      <c r="B49" s="32">
        <f t="shared" si="4"/>
        <v>4388.3799119811256</v>
      </c>
      <c r="C49" s="32">
        <f t="shared" si="5"/>
        <v>4475.1897957126539</v>
      </c>
      <c r="R49" s="7">
        <v>10</v>
      </c>
      <c r="S49" s="31">
        <f t="shared" si="7"/>
        <v>4302.3332470403193</v>
      </c>
      <c r="T49" s="31">
        <f t="shared" si="6"/>
        <v>4950</v>
      </c>
    </row>
    <row r="50" spans="1:20">
      <c r="A50" s="7">
        <v>12</v>
      </c>
      <c r="B50" s="32">
        <f t="shared" si="4"/>
        <v>4476.1475102207469</v>
      </c>
      <c r="C50" s="32">
        <f t="shared" si="5"/>
        <v>4573.6439712183328</v>
      </c>
      <c r="R50" s="7">
        <v>11</v>
      </c>
      <c r="S50" s="31">
        <f t="shared" si="7"/>
        <v>4388.3799119811256</v>
      </c>
      <c r="T50" s="31">
        <f t="shared" si="6"/>
        <v>5100</v>
      </c>
    </row>
    <row r="51" spans="1:20">
      <c r="A51" s="7">
        <v>13</v>
      </c>
      <c r="B51" s="32">
        <f t="shared" si="4"/>
        <v>4565.6704604251627</v>
      </c>
      <c r="C51" s="32">
        <f t="shared" si="5"/>
        <v>4674.2641385851366</v>
      </c>
      <c r="R51" s="7">
        <v>12</v>
      </c>
      <c r="S51" s="31">
        <f t="shared" si="7"/>
        <v>4476.1475102207469</v>
      </c>
      <c r="T51" s="31">
        <f t="shared" si="6"/>
        <v>5250</v>
      </c>
    </row>
    <row r="52" spans="1:20">
      <c r="A52" s="7">
        <v>14</v>
      </c>
      <c r="B52" s="32">
        <f t="shared" si="4"/>
        <v>4656.9838696336656</v>
      </c>
      <c r="C52" s="32">
        <f t="shared" si="5"/>
        <v>4777.0979496340096</v>
      </c>
      <c r="R52" s="7">
        <v>13</v>
      </c>
      <c r="S52" s="31">
        <f t="shared" si="7"/>
        <v>4565.6704604251627</v>
      </c>
      <c r="T52" s="31">
        <f t="shared" si="6"/>
        <v>5400</v>
      </c>
    </row>
    <row r="53" spans="1:20">
      <c r="A53" s="7">
        <v>15</v>
      </c>
      <c r="B53" s="32">
        <f t="shared" si="4"/>
        <v>4750.12354702634</v>
      </c>
      <c r="C53" s="32">
        <f t="shared" si="5"/>
        <v>4882.1941045259573</v>
      </c>
      <c r="R53" s="7">
        <v>14</v>
      </c>
      <c r="S53" s="31">
        <f t="shared" si="7"/>
        <v>4656.9838696336656</v>
      </c>
      <c r="T53" s="31">
        <f t="shared" si="6"/>
        <v>5550</v>
      </c>
    </row>
    <row r="54" spans="1:20">
      <c r="A54" s="7">
        <v>16</v>
      </c>
      <c r="B54" s="32">
        <f t="shared" si="4"/>
        <v>4845.1260179668652</v>
      </c>
      <c r="C54" s="32">
        <f t="shared" si="5"/>
        <v>4989.6023748255284</v>
      </c>
      <c r="R54" s="7">
        <v>15</v>
      </c>
      <c r="S54" s="31">
        <f t="shared" si="7"/>
        <v>4750.12354702634</v>
      </c>
      <c r="T54" s="31">
        <f t="shared" si="6"/>
        <v>5700</v>
      </c>
    </row>
    <row r="55" spans="1:20">
      <c r="A55" s="7">
        <v>17</v>
      </c>
      <c r="B55" s="32">
        <f t="shared" si="4"/>
        <v>4942.0285383262035</v>
      </c>
      <c r="C55" s="32">
        <f t="shared" si="5"/>
        <v>5099.37362707169</v>
      </c>
      <c r="R55" s="7">
        <v>16</v>
      </c>
      <c r="S55" s="31">
        <f t="shared" si="7"/>
        <v>4845.1260179668652</v>
      </c>
      <c r="T55" s="31">
        <f t="shared" si="6"/>
        <v>5850</v>
      </c>
    </row>
    <row r="56" spans="1:20">
      <c r="A56" s="7">
        <v>18</v>
      </c>
      <c r="B56" s="32">
        <f t="shared" si="4"/>
        <v>5040.8691090927277</v>
      </c>
      <c r="C56" s="32">
        <f t="shared" si="5"/>
        <v>5211.5598468672679</v>
      </c>
      <c r="R56" s="7">
        <v>17</v>
      </c>
      <c r="S56" s="31">
        <f t="shared" si="7"/>
        <v>4942.0285383262035</v>
      </c>
      <c r="T56" s="31">
        <f t="shared" si="6"/>
        <v>6000</v>
      </c>
    </row>
    <row r="57" spans="1:20">
      <c r="A57" s="7">
        <v>19</v>
      </c>
      <c r="B57" s="32">
        <f t="shared" si="4"/>
        <v>5141.6864912745814</v>
      </c>
      <c r="C57" s="32">
        <f t="shared" si="5"/>
        <v>5326.2141634983473</v>
      </c>
      <c r="R57" s="7">
        <v>18</v>
      </c>
      <c r="S57" s="31">
        <f t="shared" si="7"/>
        <v>5040.8691090927277</v>
      </c>
      <c r="T57" s="31">
        <f t="shared" si="6"/>
        <v>6150</v>
      </c>
    </row>
    <row r="58" spans="1:20">
      <c r="A58" s="7">
        <v>20</v>
      </c>
      <c r="B58" s="32">
        <f t="shared" si="4"/>
        <v>5244.5202211000733</v>
      </c>
      <c r="C58" s="32">
        <f t="shared" si="5"/>
        <v>5443.3908750953115</v>
      </c>
      <c r="R58" s="7">
        <v>19</v>
      </c>
      <c r="S58" s="31">
        <f t="shared" si="7"/>
        <v>5141.6864912745814</v>
      </c>
      <c r="T58" s="31">
        <f t="shared" si="6"/>
        <v>6300</v>
      </c>
    </row>
    <row r="59" spans="1:20">
      <c r="A59" s="7">
        <v>21</v>
      </c>
      <c r="B59" s="32">
        <f t="shared" si="4"/>
        <v>5349.410625522075</v>
      </c>
      <c r="C59" s="32">
        <f t="shared" si="5"/>
        <v>5563.1454743474078</v>
      </c>
      <c r="R59" s="7">
        <v>20</v>
      </c>
      <c r="S59" s="31">
        <f t="shared" si="7"/>
        <v>5244.5202211000733</v>
      </c>
      <c r="T59" s="31">
        <f t="shared" si="6"/>
        <v>6450</v>
      </c>
    </row>
    <row r="60" spans="1:20">
      <c r="A60" s="7">
        <v>22</v>
      </c>
      <c r="B60" s="32">
        <f t="shared" si="4"/>
        <v>5456.3988380325163</v>
      </c>
      <c r="C60" s="32">
        <f t="shared" si="5"/>
        <v>5685.5346747830508</v>
      </c>
      <c r="R60" s="7">
        <v>21</v>
      </c>
      <c r="S60" s="31">
        <f t="shared" si="7"/>
        <v>5349.410625522075</v>
      </c>
      <c r="T60" s="31">
        <f t="shared" si="6"/>
        <v>6600</v>
      </c>
    </row>
    <row r="61" spans="1:20">
      <c r="A61" s="7">
        <v>23</v>
      </c>
      <c r="B61" s="32">
        <f t="shared" si="4"/>
        <v>5565.5268147931674</v>
      </c>
      <c r="C61" s="32">
        <f t="shared" si="5"/>
        <v>5810.6164376282777</v>
      </c>
      <c r="R61" s="7">
        <v>22</v>
      </c>
      <c r="S61" s="31">
        <f t="shared" si="7"/>
        <v>5456.3988380325163</v>
      </c>
      <c r="T61" s="31">
        <f t="shared" si="6"/>
        <v>6750</v>
      </c>
    </row>
    <row r="62" spans="1:20">
      <c r="A62" s="7">
        <v>24</v>
      </c>
      <c r="B62" s="32">
        <f t="shared" si="4"/>
        <v>5676.8373510890297</v>
      </c>
      <c r="C62" s="32">
        <f t="shared" si="5"/>
        <v>5938.4499992560995</v>
      </c>
      <c r="R62" s="7">
        <v>23</v>
      </c>
      <c r="S62" s="31">
        <f t="shared" si="7"/>
        <v>5565.5268147931674</v>
      </c>
      <c r="T62" s="31">
        <f t="shared" si="6"/>
        <v>6900</v>
      </c>
    </row>
    <row r="63" spans="1:20">
      <c r="A63" s="7">
        <v>25</v>
      </c>
      <c r="B63" s="32">
        <f t="shared" si="4"/>
        <v>5790.3740981108103</v>
      </c>
      <c r="C63" s="32">
        <f t="shared" si="5"/>
        <v>6069.0958992397345</v>
      </c>
      <c r="R63" s="7">
        <v>24</v>
      </c>
      <c r="S63" s="31">
        <f t="shared" si="7"/>
        <v>5676.8373510890297</v>
      </c>
      <c r="T63" s="31">
        <f t="shared" si="6"/>
        <v>7050</v>
      </c>
    </row>
    <row r="64" spans="1:20">
      <c r="A64" s="7">
        <v>26</v>
      </c>
      <c r="B64" s="32">
        <f t="shared" si="4"/>
        <v>5906.1815800730265</v>
      </c>
      <c r="C64" s="32">
        <f t="shared" si="5"/>
        <v>6202.6160090230087</v>
      </c>
      <c r="R64" s="7">
        <v>25</v>
      </c>
      <c r="S64" s="31">
        <f t="shared" si="7"/>
        <v>5790.3740981108103</v>
      </c>
      <c r="T64" s="31">
        <f t="shared" si="6"/>
        <v>7200</v>
      </c>
    </row>
    <row r="65" spans="1:20">
      <c r="A65" s="7">
        <v>27</v>
      </c>
      <c r="B65" s="32">
        <f t="shared" si="4"/>
        <v>6024.3052116744875</v>
      </c>
      <c r="C65" s="32">
        <f t="shared" si="5"/>
        <v>6339.0735612215158</v>
      </c>
      <c r="R65" s="7">
        <v>26</v>
      </c>
      <c r="S65" s="31">
        <f t="shared" si="7"/>
        <v>5906.1815800730265</v>
      </c>
      <c r="T65" s="31">
        <f t="shared" si="6"/>
        <v>7350</v>
      </c>
    </row>
    <row r="66" spans="1:20">
      <c r="A66" s="7">
        <v>28</v>
      </c>
      <c r="B66" s="32">
        <f t="shared" si="4"/>
        <v>6144.7913159079762</v>
      </c>
      <c r="C66" s="32">
        <f t="shared" si="5"/>
        <v>6478.5331795683887</v>
      </c>
      <c r="R66" s="7">
        <v>27</v>
      </c>
      <c r="S66" s="31">
        <f t="shared" si="7"/>
        <v>6024.3052116744875</v>
      </c>
      <c r="T66" s="31">
        <f t="shared" si="6"/>
        <v>7500</v>
      </c>
    </row>
    <row r="67" spans="1:20">
      <c r="A67" s="7">
        <v>29</v>
      </c>
      <c r="B67" s="32">
        <f t="shared" si="4"/>
        <v>6267.6871422261374</v>
      </c>
      <c r="C67" s="32">
        <f t="shared" si="5"/>
        <v>6621.0609095188929</v>
      </c>
      <c r="R67" s="7">
        <v>28</v>
      </c>
      <c r="S67" s="31">
        <f t="shared" si="7"/>
        <v>6144.7913159079762</v>
      </c>
      <c r="T67" s="31">
        <f t="shared" si="6"/>
        <v>7650</v>
      </c>
    </row>
    <row r="68" spans="1:20">
      <c r="A68" s="7">
        <v>30</v>
      </c>
      <c r="B68" s="32">
        <f t="shared" si="4"/>
        <v>6393.040885070659</v>
      </c>
      <c r="C68" s="32">
        <f t="shared" si="5"/>
        <v>6766.724249528309</v>
      </c>
      <c r="R68" s="7">
        <v>29</v>
      </c>
      <c r="S68" s="31">
        <f t="shared" si="7"/>
        <v>6267.6871422261374</v>
      </c>
      <c r="T68" s="31">
        <f t="shared" si="6"/>
        <v>7800</v>
      </c>
    </row>
    <row r="69" spans="1:20">
      <c r="R69" s="7">
        <v>30</v>
      </c>
      <c r="S69" s="31">
        <f t="shared" si="7"/>
        <v>6393.040885070659</v>
      </c>
      <c r="T69" s="31">
        <f t="shared" si="6"/>
        <v>7950</v>
      </c>
    </row>
  </sheetData>
  <mergeCells count="2">
    <mergeCell ref="A1:D2"/>
    <mergeCell ref="R1:U2"/>
  </mergeCells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27" sqref="F27"/>
    </sheetView>
  </sheetViews>
  <sheetFormatPr baseColWidth="10" defaultColWidth="8.83203125" defaultRowHeight="14" x14ac:dyDescent="0"/>
  <cols>
    <col min="1" max="1" width="24.6640625" customWidth="1"/>
    <col min="2" max="2" width="23" customWidth="1"/>
    <col min="3" max="3" width="15.5" customWidth="1"/>
    <col min="4" max="4" width="21.5" customWidth="1"/>
    <col min="5" max="5" width="18.5" customWidth="1"/>
    <col min="6" max="6" width="21.5" customWidth="1"/>
    <col min="7" max="7" width="10.83203125" customWidth="1"/>
    <col min="8" max="8" width="22.6640625" customWidth="1"/>
  </cols>
  <sheetData>
    <row r="1" spans="1:9" ht="18">
      <c r="A1" s="21" t="s">
        <v>0</v>
      </c>
      <c r="B1" s="24">
        <v>114600000</v>
      </c>
      <c r="C1" s="1"/>
      <c r="D1" s="21" t="s">
        <v>1</v>
      </c>
      <c r="E1" s="23">
        <v>0.4</v>
      </c>
      <c r="F1" s="1"/>
      <c r="G1" s="1"/>
      <c r="H1" s="1"/>
      <c r="I1" s="1"/>
    </row>
    <row r="2" spans="1:9" ht="18">
      <c r="A2" s="21"/>
      <c r="B2" s="1"/>
      <c r="C2" s="1"/>
      <c r="D2" s="1"/>
      <c r="E2" s="1"/>
      <c r="F2" s="1"/>
      <c r="G2" s="1"/>
      <c r="H2" s="1"/>
      <c r="I2" s="1"/>
    </row>
    <row r="3" spans="1:9" ht="18">
      <c r="A3" s="21"/>
      <c r="B3" s="1"/>
      <c r="C3" s="1"/>
      <c r="D3" s="1"/>
      <c r="E3" s="1"/>
      <c r="F3" s="1"/>
      <c r="G3" s="1"/>
      <c r="H3" s="1"/>
      <c r="I3" s="1"/>
    </row>
    <row r="4" spans="1:9" ht="18">
      <c r="A4" s="21"/>
      <c r="B4" s="21" t="s">
        <v>2</v>
      </c>
      <c r="C4" s="21"/>
      <c r="D4" s="21" t="s">
        <v>3</v>
      </c>
      <c r="E4" s="21"/>
      <c r="F4" s="21" t="s">
        <v>4</v>
      </c>
      <c r="G4" s="4"/>
      <c r="H4" s="21" t="s">
        <v>5</v>
      </c>
      <c r="I4" s="1"/>
    </row>
    <row r="5" spans="1:9" ht="18">
      <c r="A5" s="22" t="s">
        <v>6</v>
      </c>
      <c r="B5" s="23">
        <v>0.3</v>
      </c>
      <c r="C5" s="21" t="s">
        <v>6</v>
      </c>
      <c r="D5" s="23">
        <v>0.4</v>
      </c>
      <c r="E5" s="21" t="s">
        <v>6</v>
      </c>
      <c r="F5" s="23">
        <v>0.2</v>
      </c>
      <c r="G5" s="1"/>
      <c r="H5" s="23">
        <v>0.1</v>
      </c>
      <c r="I5" s="1"/>
    </row>
    <row r="6" spans="1:9" ht="18">
      <c r="A6" s="21" t="s">
        <v>7</v>
      </c>
      <c r="B6" s="24">
        <f>B1*B5</f>
        <v>34380000</v>
      </c>
      <c r="C6" s="21" t="s">
        <v>8</v>
      </c>
      <c r="D6" s="24">
        <f>B1*D5</f>
        <v>45840000</v>
      </c>
      <c r="E6" s="21" t="s">
        <v>8</v>
      </c>
      <c r="F6" s="24">
        <f>B1*F5</f>
        <v>22920000</v>
      </c>
      <c r="G6" s="1"/>
      <c r="H6" s="24">
        <f>B1*H5</f>
        <v>11460000</v>
      </c>
      <c r="I6" s="1"/>
    </row>
    <row r="7" spans="1:9" ht="18">
      <c r="A7" s="21" t="s">
        <v>9</v>
      </c>
      <c r="B7" s="23">
        <v>0.05</v>
      </c>
      <c r="C7" s="21" t="s">
        <v>10</v>
      </c>
      <c r="D7" s="28">
        <v>5</v>
      </c>
      <c r="E7" s="21" t="s">
        <v>10</v>
      </c>
      <c r="F7" s="28">
        <v>7</v>
      </c>
      <c r="G7" s="1"/>
      <c r="H7" s="25">
        <f>D10</f>
        <v>0.09</v>
      </c>
      <c r="I7" s="1"/>
    </row>
    <row r="8" spans="1:9" ht="18">
      <c r="A8" s="21" t="s">
        <v>11</v>
      </c>
      <c r="B8" s="23">
        <v>1</v>
      </c>
      <c r="C8" s="21" t="s">
        <v>12</v>
      </c>
      <c r="D8" s="28">
        <v>100</v>
      </c>
      <c r="E8" s="21" t="s">
        <v>12</v>
      </c>
      <c r="F8" s="28">
        <v>100</v>
      </c>
      <c r="G8" s="1"/>
      <c r="H8" s="1"/>
      <c r="I8" s="1"/>
    </row>
    <row r="9" spans="1:9" ht="18">
      <c r="A9" s="21" t="s">
        <v>13</v>
      </c>
      <c r="B9" s="23">
        <f>EFFECT(B7,B8)</f>
        <v>5.0000000000000044E-2</v>
      </c>
      <c r="C9" s="21" t="s">
        <v>14</v>
      </c>
      <c r="D9" s="23">
        <v>0.04</v>
      </c>
      <c r="E9" s="21" t="s">
        <v>15</v>
      </c>
      <c r="F9" s="28">
        <v>1</v>
      </c>
      <c r="G9" s="1"/>
      <c r="H9" s="1"/>
      <c r="I9" s="1"/>
    </row>
    <row r="10" spans="1:9" ht="18">
      <c r="A10" s="21" t="s">
        <v>16</v>
      </c>
      <c r="B10" s="25">
        <f>B9*(1-E1)</f>
        <v>3.0000000000000027E-2</v>
      </c>
      <c r="C10" s="21" t="s">
        <v>17</v>
      </c>
      <c r="D10" s="25">
        <f>D7/D8+D9</f>
        <v>0.09</v>
      </c>
      <c r="E10" s="21" t="s">
        <v>17</v>
      </c>
      <c r="F10" s="25">
        <f>F7/(F8-F9)</f>
        <v>7.0707070707070704E-2</v>
      </c>
      <c r="G10" s="1"/>
      <c r="H10" s="1"/>
      <c r="I10" s="1"/>
    </row>
    <row r="11" spans="1:9" ht="18">
      <c r="A11" s="21"/>
      <c r="B11" s="1"/>
      <c r="C11" s="21"/>
      <c r="D11" s="1"/>
      <c r="E11" s="2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 ht="18">
      <c r="A15" s="21" t="s">
        <v>16</v>
      </c>
      <c r="B15" s="21" t="s">
        <v>6</v>
      </c>
      <c r="C15" s="1"/>
      <c r="D15" s="1"/>
      <c r="E15" s="1"/>
      <c r="F15" s="1"/>
      <c r="G15" s="1"/>
      <c r="H15" s="1"/>
      <c r="I15" s="1"/>
    </row>
    <row r="16" spans="1:9" ht="18">
      <c r="A16" s="25">
        <f>B10</f>
        <v>3.0000000000000027E-2</v>
      </c>
      <c r="B16" s="23">
        <f>B5</f>
        <v>0.3</v>
      </c>
      <c r="C16" s="1"/>
      <c r="D16" s="1"/>
      <c r="E16" s="1"/>
      <c r="F16" s="1"/>
      <c r="G16" s="1"/>
      <c r="H16" s="1"/>
      <c r="I16" s="1"/>
    </row>
    <row r="17" spans="1:9" ht="18">
      <c r="A17" s="25">
        <f>D10</f>
        <v>0.09</v>
      </c>
      <c r="B17" s="23">
        <f>D5</f>
        <v>0.4</v>
      </c>
      <c r="C17" s="1"/>
      <c r="D17" s="1"/>
      <c r="E17" s="1"/>
      <c r="F17" s="1"/>
      <c r="G17" s="1"/>
      <c r="H17" s="1"/>
      <c r="I17" s="1"/>
    </row>
    <row r="18" spans="1:9" ht="18">
      <c r="A18" s="25">
        <f>F10</f>
        <v>7.0707070707070704E-2</v>
      </c>
      <c r="B18" s="23">
        <f>F5</f>
        <v>0.2</v>
      </c>
      <c r="C18" s="1"/>
      <c r="D18" s="1"/>
      <c r="E18" s="1"/>
      <c r="F18" s="1"/>
      <c r="G18" s="1"/>
      <c r="H18" s="1"/>
      <c r="I18" s="1"/>
    </row>
    <row r="19" spans="1:9" ht="18">
      <c r="A19" s="25">
        <f>H7</f>
        <v>0.09</v>
      </c>
      <c r="B19" s="23">
        <f>H5</f>
        <v>0.1</v>
      </c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7"/>
      <c r="B21" s="7"/>
      <c r="C21" s="7"/>
      <c r="D21" s="1"/>
      <c r="E21" s="1"/>
      <c r="F21" s="1"/>
      <c r="G21" s="1"/>
      <c r="H21" s="1"/>
      <c r="I21" s="1"/>
    </row>
    <row r="22" spans="1:9" ht="18">
      <c r="A22" s="13" t="s">
        <v>18</v>
      </c>
      <c r="B22" s="26">
        <f>SUMPRODUCT(A16:A19,B16:B19)</f>
        <v>6.8141414141414142E-2</v>
      </c>
      <c r="C22" s="7"/>
      <c r="D22" s="1"/>
      <c r="E22" s="1"/>
      <c r="F22" s="1"/>
      <c r="G22" s="1"/>
      <c r="H22" s="1"/>
      <c r="I22" s="1"/>
    </row>
    <row r="23" spans="1:9" ht="18">
      <c r="A23" s="13" t="s">
        <v>19</v>
      </c>
      <c r="B23" s="27">
        <v>0.02</v>
      </c>
      <c r="C23" s="7"/>
      <c r="D23" s="1"/>
      <c r="E23" s="1"/>
      <c r="F23" s="1"/>
      <c r="G23" s="1"/>
      <c r="H23" s="1"/>
      <c r="I23" s="1"/>
    </row>
    <row r="24" spans="1:9" ht="18">
      <c r="A24" s="13" t="s">
        <v>20</v>
      </c>
      <c r="B24" s="26">
        <f>SUM(B22,B23)</f>
        <v>8.8141414141414146E-2</v>
      </c>
      <c r="C24" s="7"/>
      <c r="D24" s="1"/>
      <c r="E24" s="1"/>
      <c r="F24" s="1"/>
      <c r="G24" s="1"/>
      <c r="H24" s="1"/>
      <c r="I24" s="1"/>
    </row>
    <row r="25" spans="1:9" ht="18">
      <c r="A25" s="13" t="s">
        <v>21</v>
      </c>
      <c r="B25" s="26">
        <f>B24*(1-E1)</f>
        <v>5.2884848484848486E-2</v>
      </c>
      <c r="C25" s="7"/>
    </row>
    <row r="26" spans="1:9">
      <c r="A26" s="7"/>
      <c r="B26" s="7"/>
      <c r="C26" s="7"/>
    </row>
    <row r="27" spans="1:9">
      <c r="A27" s="7"/>
      <c r="B27" s="7"/>
      <c r="C27" s="7"/>
    </row>
    <row r="28" spans="1:9">
      <c r="A28" s="7"/>
      <c r="B28" s="7"/>
      <c r="C28" s="7"/>
    </row>
    <row r="29" spans="1:9">
      <c r="A29" s="7"/>
      <c r="B29" s="7"/>
      <c r="C29" s="7"/>
    </row>
    <row r="30" spans="1:9">
      <c r="A30" s="7"/>
      <c r="B30" s="7"/>
      <c r="C30" s="7"/>
    </row>
    <row r="31" spans="1:9">
      <c r="A31" s="7"/>
      <c r="B31" s="7"/>
      <c r="C31" s="7"/>
    </row>
    <row r="32" spans="1:9">
      <c r="A32" s="7"/>
      <c r="B32" s="7"/>
      <c r="C32" s="7"/>
    </row>
    <row r="33" spans="1:3">
      <c r="A33" s="7"/>
      <c r="B33" s="7"/>
      <c r="C33" s="7"/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4"/>
  <sheetViews>
    <sheetView workbookViewId="0">
      <selection activeCell="H219" sqref="H219"/>
    </sheetView>
  </sheetViews>
  <sheetFormatPr baseColWidth="10" defaultColWidth="9.1640625" defaultRowHeight="14" x14ac:dyDescent="0"/>
  <cols>
    <col min="1" max="1" width="31.5" style="7" customWidth="1"/>
    <col min="2" max="2" width="27.33203125" style="7" customWidth="1"/>
    <col min="3" max="3" width="25.5" style="7" customWidth="1"/>
    <col min="4" max="4" width="27.83203125" style="7" customWidth="1"/>
    <col min="5" max="5" width="24.1640625" style="7" customWidth="1"/>
    <col min="6" max="6" width="25.5" style="7" customWidth="1"/>
    <col min="7" max="7" width="19.33203125" style="7" customWidth="1"/>
    <col min="8" max="8" width="17.5" style="7" customWidth="1"/>
    <col min="9" max="11" width="9.1640625" style="7"/>
    <col min="12" max="12" width="10.33203125" style="7" bestFit="1" customWidth="1"/>
    <col min="13" max="16384" width="9.1640625" style="7"/>
  </cols>
  <sheetData>
    <row r="1" spans="1:4">
      <c r="A1" s="6" t="s">
        <v>22</v>
      </c>
      <c r="B1" s="7">
        <v>20</v>
      </c>
      <c r="C1" s="6" t="s">
        <v>23</v>
      </c>
      <c r="D1" s="7">
        <v>65000</v>
      </c>
    </row>
    <row r="2" spans="1:4">
      <c r="A2" s="6" t="s">
        <v>24</v>
      </c>
      <c r="B2" s="7">
        <v>200</v>
      </c>
    </row>
    <row r="6" spans="1:4">
      <c r="B6" s="6" t="s">
        <v>25</v>
      </c>
    </row>
    <row r="7" spans="1:4">
      <c r="A7" s="6" t="s">
        <v>26</v>
      </c>
      <c r="B7" s="8">
        <v>1900000</v>
      </c>
      <c r="D7" s="8"/>
    </row>
    <row r="8" spans="1:4">
      <c r="A8" s="6" t="s">
        <v>27</v>
      </c>
      <c r="B8" s="8">
        <v>1600000</v>
      </c>
      <c r="D8" s="8"/>
    </row>
    <row r="9" spans="1:4">
      <c r="A9" s="6" t="s">
        <v>28</v>
      </c>
      <c r="B9" s="8">
        <v>970000</v>
      </c>
      <c r="D9" s="8"/>
    </row>
    <row r="10" spans="1:4">
      <c r="A10" s="6" t="s">
        <v>29</v>
      </c>
      <c r="B10" s="8">
        <v>1260000</v>
      </c>
      <c r="D10" s="8"/>
    </row>
    <row r="11" spans="1:4">
      <c r="A11" s="6" t="s">
        <v>30</v>
      </c>
      <c r="B11" s="8">
        <f>SUM(B7:B10)</f>
        <v>5730000</v>
      </c>
      <c r="D11" s="8"/>
    </row>
    <row r="12" spans="1:4">
      <c r="B12" s="6" t="s">
        <v>31</v>
      </c>
      <c r="C12" s="8">
        <f>B11*20</f>
        <v>114600000</v>
      </c>
    </row>
    <row r="13" spans="1:4">
      <c r="D13" s="8"/>
    </row>
    <row r="15" spans="1:4">
      <c r="D15" s="8"/>
    </row>
    <row r="17" spans="1:6">
      <c r="F17" s="6" t="s">
        <v>32</v>
      </c>
    </row>
    <row r="18" spans="1:6">
      <c r="A18" s="6" t="s">
        <v>33</v>
      </c>
      <c r="B18" s="6" t="s">
        <v>34</v>
      </c>
      <c r="C18" s="6" t="s">
        <v>35</v>
      </c>
      <c r="E18" s="6" t="s">
        <v>36</v>
      </c>
      <c r="F18" s="17">
        <f>3*3*30*8*30</f>
        <v>64800</v>
      </c>
    </row>
    <row r="19" spans="1:6">
      <c r="A19" s="6" t="s">
        <v>37</v>
      </c>
      <c r="B19" s="8">
        <f>F18+F19+F20</f>
        <v>250650</v>
      </c>
      <c r="C19" s="8">
        <f>B19*12</f>
        <v>3007800</v>
      </c>
      <c r="E19" s="6" t="s">
        <v>38</v>
      </c>
      <c r="F19" s="17">
        <f>(60+9*2+6+60+3*3+2*2)*15*30</f>
        <v>70650</v>
      </c>
    </row>
    <row r="20" spans="1:6">
      <c r="A20" s="6" t="s">
        <v>39</v>
      </c>
      <c r="B20" s="8">
        <v>200000</v>
      </c>
      <c r="C20" s="8">
        <f>B20*12</f>
        <v>2400000</v>
      </c>
      <c r="E20" s="6" t="s">
        <v>40</v>
      </c>
      <c r="F20" s="17">
        <f>8*3*20*8*30</f>
        <v>115200</v>
      </c>
    </row>
    <row r="21" spans="1:6">
      <c r="A21" s="6"/>
      <c r="B21" s="8"/>
      <c r="C21" s="8"/>
    </row>
    <row r="22" spans="1:6">
      <c r="A22" s="6" t="s">
        <v>41</v>
      </c>
      <c r="B22" s="8">
        <v>100000</v>
      </c>
      <c r="C22" s="8">
        <f>B22*12</f>
        <v>1200000</v>
      </c>
    </row>
    <row r="23" spans="1:6">
      <c r="A23" s="6" t="s">
        <v>42</v>
      </c>
      <c r="B23" s="8">
        <v>50000</v>
      </c>
      <c r="C23" s="8">
        <f>B23*12</f>
        <v>600000</v>
      </c>
      <c r="F23" s="17">
        <f>AVERAGE(F18:F20)</f>
        <v>83550</v>
      </c>
    </row>
    <row r="24" spans="1:6">
      <c r="C24" s="8"/>
    </row>
    <row r="25" spans="1:6">
      <c r="B25" s="6" t="s">
        <v>43</v>
      </c>
      <c r="C25" s="8">
        <f>SUM(C19:C23)</f>
        <v>7207800</v>
      </c>
    </row>
    <row r="28" spans="1:6">
      <c r="A28" s="6" t="s">
        <v>44</v>
      </c>
      <c r="B28" s="6" t="s">
        <v>45</v>
      </c>
      <c r="C28" s="6" t="s">
        <v>46</v>
      </c>
    </row>
    <row r="29" spans="1:6">
      <c r="A29" s="6" t="s">
        <v>47</v>
      </c>
      <c r="B29" s="9">
        <v>250</v>
      </c>
      <c r="C29" s="9">
        <v>550</v>
      </c>
    </row>
    <row r="30" spans="1:6">
      <c r="A30" s="6" t="s">
        <v>48</v>
      </c>
      <c r="B30" s="8">
        <f>B$29*$B$2</f>
        <v>50000</v>
      </c>
      <c r="C30" s="8">
        <f>C$29*$B$2</f>
        <v>110000</v>
      </c>
    </row>
    <row r="31" spans="1:6">
      <c r="A31" s="6" t="s">
        <v>49</v>
      </c>
      <c r="B31" s="8">
        <f>B30*30</f>
        <v>1500000</v>
      </c>
      <c r="C31" s="9">
        <f>C30*30</f>
        <v>3300000</v>
      </c>
    </row>
    <row r="32" spans="1:6">
      <c r="A32" s="6" t="s">
        <v>50</v>
      </c>
      <c r="B32" s="8">
        <f>B31*6</f>
        <v>9000000</v>
      </c>
      <c r="C32" s="9">
        <f>C31*6</f>
        <v>19800000</v>
      </c>
    </row>
    <row r="33" spans="1:3">
      <c r="B33" s="8">
        <f>B32*30%</f>
        <v>2700000</v>
      </c>
    </row>
    <row r="34" spans="1:3">
      <c r="B34" s="10" t="s">
        <v>51</v>
      </c>
      <c r="C34" s="8">
        <f>B33+C32</f>
        <v>22500000</v>
      </c>
    </row>
    <row r="35" spans="1:3">
      <c r="B35" s="6"/>
    </row>
    <row r="36" spans="1:3">
      <c r="B36" s="10" t="s">
        <v>52</v>
      </c>
      <c r="C36" s="8">
        <f>C34-C25</f>
        <v>15292200</v>
      </c>
    </row>
    <row r="40" spans="1:3">
      <c r="A40" s="6"/>
      <c r="B40" s="6"/>
      <c r="C40" s="6"/>
    </row>
    <row r="41" spans="1:3">
      <c r="B41" s="8"/>
    </row>
    <row r="42" spans="1:3">
      <c r="B42" s="8"/>
      <c r="C42" s="8"/>
    </row>
    <row r="43" spans="1:3">
      <c r="B43" s="8"/>
      <c r="C43" s="8"/>
    </row>
    <row r="44" spans="1:3">
      <c r="B44" s="8"/>
      <c r="C44" s="8"/>
    </row>
    <row r="45" spans="1:3">
      <c r="B45" s="8"/>
      <c r="C45" s="8"/>
    </row>
    <row r="46" spans="1:3">
      <c r="B46" s="8"/>
      <c r="C46" s="8"/>
    </row>
    <row r="47" spans="1:3">
      <c r="B47" s="8"/>
      <c r="C47" s="8"/>
    </row>
    <row r="48" spans="1:3">
      <c r="B48" s="8"/>
      <c r="C48" s="8"/>
    </row>
    <row r="49" spans="2:8">
      <c r="B49" s="8"/>
      <c r="C49" s="8"/>
    </row>
    <row r="50" spans="2:8">
      <c r="B50" s="8"/>
      <c r="C50" s="8"/>
    </row>
    <row r="51" spans="2:8">
      <c r="B51" s="8"/>
      <c r="C51" s="8"/>
    </row>
    <row r="52" spans="2:8">
      <c r="B52" s="8"/>
      <c r="C52" s="8"/>
    </row>
    <row r="53" spans="2:8">
      <c r="B53" s="8"/>
      <c r="C53" s="8"/>
    </row>
    <row r="54" spans="2:8">
      <c r="B54" s="8"/>
      <c r="C54" s="8"/>
    </row>
    <row r="55" spans="2:8">
      <c r="B55" s="8"/>
      <c r="C55" s="8"/>
    </row>
    <row r="56" spans="2:8">
      <c r="B56" s="8"/>
      <c r="C56" s="8"/>
    </row>
    <row r="57" spans="2:8">
      <c r="B57" s="8"/>
      <c r="C57" s="8"/>
      <c r="H57" s="8"/>
    </row>
    <row r="58" spans="2:8">
      <c r="B58" s="8"/>
      <c r="C58" s="8"/>
    </row>
    <row r="59" spans="2:8">
      <c r="B59" s="8"/>
      <c r="C59" s="8"/>
      <c r="F59" s="8"/>
    </row>
    <row r="60" spans="2:8">
      <c r="B60" s="8"/>
      <c r="C60" s="8"/>
      <c r="F60" s="8"/>
    </row>
    <row r="61" spans="2:8">
      <c r="B61" s="8"/>
      <c r="C61" s="8"/>
      <c r="F61" s="8"/>
    </row>
    <row r="62" spans="2:8">
      <c r="B62" s="8"/>
      <c r="C62" s="8"/>
      <c r="F62" s="8"/>
    </row>
    <row r="63" spans="2:8">
      <c r="B63" s="8"/>
      <c r="C63" s="8"/>
      <c r="F63" s="8"/>
    </row>
    <row r="64" spans="2:8">
      <c r="B64" s="8"/>
      <c r="C64" s="8"/>
      <c r="F64" s="8"/>
    </row>
    <row r="65" spans="1:6">
      <c r="B65" s="8"/>
      <c r="C65" s="8"/>
      <c r="F65" s="8"/>
    </row>
    <row r="66" spans="1:6">
      <c r="B66" s="8"/>
      <c r="C66" s="8"/>
      <c r="F66" s="8"/>
    </row>
    <row r="67" spans="1:6">
      <c r="B67" s="8"/>
      <c r="C67" s="8"/>
      <c r="F67" s="8"/>
    </row>
    <row r="68" spans="1:6">
      <c r="B68" s="8"/>
      <c r="C68" s="8"/>
      <c r="F68" s="8"/>
    </row>
    <row r="69" spans="1:6">
      <c r="B69" s="8"/>
      <c r="C69" s="8"/>
      <c r="F69" s="8"/>
    </row>
    <row r="70" spans="1:6">
      <c r="B70" s="8"/>
      <c r="C70" s="8"/>
      <c r="F70" s="8"/>
    </row>
    <row r="71" spans="1:6">
      <c r="B71" s="8"/>
      <c r="C71" s="8"/>
      <c r="F71" s="8"/>
    </row>
    <row r="72" spans="1:6">
      <c r="F72" s="8"/>
    </row>
    <row r="73" spans="1:6">
      <c r="F73" s="8"/>
    </row>
    <row r="74" spans="1:6">
      <c r="F74" s="8"/>
    </row>
    <row r="75" spans="1:6">
      <c r="F75" s="8"/>
    </row>
    <row r="76" spans="1:6">
      <c r="A76" s="6" t="s">
        <v>53</v>
      </c>
      <c r="B76" s="11">
        <v>0.02</v>
      </c>
      <c r="C76" s="6"/>
      <c r="D76" s="6" t="s">
        <v>54</v>
      </c>
      <c r="E76" s="8">
        <f>30%*C12</f>
        <v>34380000</v>
      </c>
      <c r="F76" s="8"/>
    </row>
    <row r="77" spans="1:6">
      <c r="A77" s="6" t="s">
        <v>55</v>
      </c>
      <c r="B77" s="6" t="s">
        <v>56</v>
      </c>
      <c r="C77" s="6" t="s">
        <v>57</v>
      </c>
      <c r="F77" s="8"/>
    </row>
    <row r="78" spans="1:6">
      <c r="A78" s="7">
        <v>0</v>
      </c>
      <c r="B78" s="8">
        <f>-C12</f>
        <v>-114600000</v>
      </c>
      <c r="C78" s="8">
        <f>B78</f>
        <v>-114600000</v>
      </c>
      <c r="F78" s="8"/>
    </row>
    <row r="79" spans="1:6">
      <c r="A79" s="7">
        <v>1</v>
      </c>
      <c r="B79" s="8">
        <f>$C$36</f>
        <v>15292200</v>
      </c>
      <c r="C79" s="8">
        <f>B79</f>
        <v>15292200</v>
      </c>
    </row>
    <row r="80" spans="1:6">
      <c r="A80" s="7">
        <v>2</v>
      </c>
      <c r="B80" s="8">
        <f t="shared" ref="B80:B107" si="0">$C$36</f>
        <v>15292200</v>
      </c>
      <c r="C80" s="8">
        <f t="shared" ref="C80:C107" si="1">$C79*(1+$B$76)</f>
        <v>15598044</v>
      </c>
    </row>
    <row r="81" spans="1:3">
      <c r="A81" s="7">
        <v>3</v>
      </c>
      <c r="B81" s="8">
        <f>$C$36</f>
        <v>15292200</v>
      </c>
      <c r="C81" s="8">
        <f t="shared" si="1"/>
        <v>15910004.880000001</v>
      </c>
    </row>
    <row r="82" spans="1:3">
      <c r="A82" s="7">
        <v>4</v>
      </c>
      <c r="B82" s="8">
        <f t="shared" si="0"/>
        <v>15292200</v>
      </c>
      <c r="C82" s="8">
        <f t="shared" si="1"/>
        <v>16228204.977600001</v>
      </c>
    </row>
    <row r="83" spans="1:3">
      <c r="A83" s="7">
        <v>5</v>
      </c>
      <c r="B83" s="8">
        <f t="shared" si="0"/>
        <v>15292200</v>
      </c>
      <c r="C83" s="8">
        <f t="shared" si="1"/>
        <v>16552769.077152001</v>
      </c>
    </row>
    <row r="84" spans="1:3">
      <c r="A84" s="7">
        <v>6</v>
      </c>
      <c r="B84" s="8">
        <f t="shared" si="0"/>
        <v>15292200</v>
      </c>
      <c r="C84" s="8">
        <f t="shared" si="1"/>
        <v>16883824.458695043</v>
      </c>
    </row>
    <row r="85" spans="1:3">
      <c r="A85" s="7">
        <v>7</v>
      </c>
      <c r="B85" s="8">
        <f t="shared" si="0"/>
        <v>15292200</v>
      </c>
      <c r="C85" s="8">
        <f t="shared" si="1"/>
        <v>17221500.947868943</v>
      </c>
    </row>
    <row r="86" spans="1:3">
      <c r="A86" s="7">
        <v>8</v>
      </c>
      <c r="B86" s="8">
        <f t="shared" si="0"/>
        <v>15292200</v>
      </c>
      <c r="C86" s="8">
        <f t="shared" si="1"/>
        <v>17565930.966826323</v>
      </c>
    </row>
    <row r="87" spans="1:3">
      <c r="A87" s="7">
        <v>9</v>
      </c>
      <c r="B87" s="8">
        <f t="shared" si="0"/>
        <v>15292200</v>
      </c>
      <c r="C87" s="8">
        <f t="shared" si="1"/>
        <v>17917249.58616285</v>
      </c>
    </row>
    <row r="88" spans="1:3">
      <c r="A88" s="7">
        <v>10</v>
      </c>
      <c r="B88" s="8">
        <f t="shared" si="0"/>
        <v>15292200</v>
      </c>
      <c r="C88" s="8">
        <f t="shared" si="1"/>
        <v>18275594.577886108</v>
      </c>
    </row>
    <row r="89" spans="1:3">
      <c r="A89" s="7">
        <v>11</v>
      </c>
      <c r="B89" s="8">
        <f t="shared" si="0"/>
        <v>15292200</v>
      </c>
      <c r="C89" s="8">
        <f t="shared" si="1"/>
        <v>18641106.469443832</v>
      </c>
    </row>
    <row r="90" spans="1:3">
      <c r="A90" s="7">
        <v>12</v>
      </c>
      <c r="B90" s="8">
        <f t="shared" si="0"/>
        <v>15292200</v>
      </c>
      <c r="C90" s="8">
        <f t="shared" si="1"/>
        <v>19013928.598832708</v>
      </c>
    </row>
    <row r="91" spans="1:3">
      <c r="A91" s="7">
        <v>13</v>
      </c>
      <c r="B91" s="8">
        <f t="shared" si="0"/>
        <v>15292200</v>
      </c>
      <c r="C91" s="8">
        <f t="shared" si="1"/>
        <v>19394207.170809362</v>
      </c>
    </row>
    <row r="92" spans="1:3">
      <c r="A92" s="7">
        <v>14</v>
      </c>
      <c r="B92" s="8">
        <f t="shared" si="0"/>
        <v>15292200</v>
      </c>
      <c r="C92" s="8">
        <f t="shared" si="1"/>
        <v>19782091.314225551</v>
      </c>
    </row>
    <row r="93" spans="1:3">
      <c r="A93" s="7">
        <v>15</v>
      </c>
      <c r="B93" s="8">
        <f t="shared" si="0"/>
        <v>15292200</v>
      </c>
      <c r="C93" s="8">
        <f t="shared" si="1"/>
        <v>20177733.140510064</v>
      </c>
    </row>
    <row r="94" spans="1:3">
      <c r="A94" s="7">
        <v>16</v>
      </c>
      <c r="B94" s="8">
        <f t="shared" si="0"/>
        <v>15292200</v>
      </c>
      <c r="C94" s="8">
        <f t="shared" si="1"/>
        <v>20581287.803320266</v>
      </c>
    </row>
    <row r="95" spans="1:3">
      <c r="A95" s="7">
        <v>17</v>
      </c>
      <c r="B95" s="8">
        <f t="shared" si="0"/>
        <v>15292200</v>
      </c>
      <c r="C95" s="8">
        <f t="shared" si="1"/>
        <v>20992913.559386671</v>
      </c>
    </row>
    <row r="96" spans="1:3">
      <c r="A96" s="7">
        <v>18</v>
      </c>
      <c r="B96" s="8">
        <f t="shared" si="0"/>
        <v>15292200</v>
      </c>
      <c r="C96" s="8">
        <f t="shared" si="1"/>
        <v>21412771.830574404</v>
      </c>
    </row>
    <row r="97" spans="1:6">
      <c r="A97" s="7">
        <v>19</v>
      </c>
      <c r="B97" s="8">
        <f t="shared" si="0"/>
        <v>15292200</v>
      </c>
      <c r="C97" s="8">
        <f t="shared" si="1"/>
        <v>21841027.267185893</v>
      </c>
    </row>
    <row r="98" spans="1:6">
      <c r="A98" s="7">
        <v>20</v>
      </c>
      <c r="B98" s="8">
        <f t="shared" si="0"/>
        <v>15292200</v>
      </c>
      <c r="C98" s="8">
        <f t="shared" si="1"/>
        <v>22277847.812529612</v>
      </c>
    </row>
    <row r="99" spans="1:6">
      <c r="A99" s="7">
        <v>21</v>
      </c>
      <c r="B99" s="8">
        <f t="shared" si="0"/>
        <v>15292200</v>
      </c>
      <c r="C99" s="8">
        <f t="shared" si="1"/>
        <v>22723404.768780205</v>
      </c>
    </row>
    <row r="100" spans="1:6">
      <c r="A100" s="7">
        <v>22</v>
      </c>
      <c r="B100" s="8">
        <f t="shared" si="0"/>
        <v>15292200</v>
      </c>
      <c r="C100" s="8">
        <f t="shared" si="1"/>
        <v>23177872.86415581</v>
      </c>
    </row>
    <row r="101" spans="1:6">
      <c r="A101" s="7">
        <v>23</v>
      </c>
      <c r="B101" s="8">
        <f t="shared" si="0"/>
        <v>15292200</v>
      </c>
      <c r="C101" s="8">
        <f t="shared" si="1"/>
        <v>23641430.321438927</v>
      </c>
    </row>
    <row r="102" spans="1:6">
      <c r="A102" s="7">
        <v>24</v>
      </c>
      <c r="B102" s="8">
        <f t="shared" si="0"/>
        <v>15292200</v>
      </c>
      <c r="C102" s="8">
        <f t="shared" si="1"/>
        <v>24114258.927867707</v>
      </c>
    </row>
    <row r="103" spans="1:6">
      <c r="A103" s="7">
        <v>25</v>
      </c>
      <c r="B103" s="8">
        <f t="shared" si="0"/>
        <v>15292200</v>
      </c>
      <c r="C103" s="8">
        <f t="shared" si="1"/>
        <v>24596544.106425062</v>
      </c>
    </row>
    <row r="104" spans="1:6">
      <c r="A104" s="7">
        <v>26</v>
      </c>
      <c r="B104" s="8">
        <f t="shared" si="0"/>
        <v>15292200</v>
      </c>
      <c r="C104" s="8">
        <f t="shared" si="1"/>
        <v>25088474.988553565</v>
      </c>
    </row>
    <row r="105" spans="1:6">
      <c r="A105" s="7">
        <v>27</v>
      </c>
      <c r="B105" s="8">
        <f t="shared" si="0"/>
        <v>15292200</v>
      </c>
      <c r="C105" s="8">
        <f t="shared" si="1"/>
        <v>25590244.488324638</v>
      </c>
    </row>
    <row r="106" spans="1:6">
      <c r="A106" s="7">
        <v>28</v>
      </c>
      <c r="B106" s="8">
        <f t="shared" si="0"/>
        <v>15292200</v>
      </c>
      <c r="C106" s="8">
        <f t="shared" si="1"/>
        <v>26102049.37809113</v>
      </c>
    </row>
    <row r="107" spans="1:6">
      <c r="A107" s="7">
        <v>29</v>
      </c>
      <c r="B107" s="8">
        <f t="shared" si="0"/>
        <v>15292200</v>
      </c>
      <c r="C107" s="8">
        <f t="shared" si="1"/>
        <v>26624090.365652952</v>
      </c>
    </row>
    <row r="108" spans="1:6">
      <c r="A108" s="7">
        <v>30</v>
      </c>
      <c r="B108" s="8">
        <f>$C$36+E76</f>
        <v>49672200</v>
      </c>
      <c r="C108" s="8">
        <f>$C107*(1+$B$76)+E76</f>
        <v>61536572.172966011</v>
      </c>
    </row>
    <row r="110" spans="1:6">
      <c r="E110" s="6" t="s">
        <v>58</v>
      </c>
      <c r="F110" s="8">
        <f>E76</f>
        <v>34380000</v>
      </c>
    </row>
    <row r="111" spans="1:6">
      <c r="E111" s="6" t="s">
        <v>59</v>
      </c>
      <c r="F111" s="12">
        <f>'Step 2 - WACC'!B7</f>
        <v>0.05</v>
      </c>
    </row>
    <row r="112" spans="1:6">
      <c r="E112" s="6" t="s">
        <v>1</v>
      </c>
      <c r="F112" s="12">
        <v>0.4</v>
      </c>
    </row>
    <row r="113" spans="1:8">
      <c r="E113" s="6" t="s">
        <v>21</v>
      </c>
      <c r="F113" s="14">
        <f>'Step 2 - WACC'!B25</f>
        <v>5.2884848484848486E-2</v>
      </c>
    </row>
    <row r="114" spans="1:8" ht="18">
      <c r="A114" s="13" t="s">
        <v>60</v>
      </c>
    </row>
    <row r="115" spans="1:8">
      <c r="A115" s="6" t="s">
        <v>55</v>
      </c>
      <c r="B115" s="6" t="s">
        <v>61</v>
      </c>
      <c r="C115" s="6" t="s">
        <v>62</v>
      </c>
      <c r="D115" s="6" t="s">
        <v>63</v>
      </c>
      <c r="E115" s="6" t="s">
        <v>64</v>
      </c>
      <c r="F115" s="6" t="s">
        <v>65</v>
      </c>
      <c r="G115" s="6" t="s">
        <v>66</v>
      </c>
      <c r="H115" s="6" t="s">
        <v>67</v>
      </c>
    </row>
    <row r="116" spans="1:8">
      <c r="A116" s="7">
        <v>0</v>
      </c>
      <c r="B116" s="8">
        <f>C78</f>
        <v>-114600000</v>
      </c>
      <c r="C116" s="8">
        <f>-'Step 2 - WACC'!B6</f>
        <v>-34380000</v>
      </c>
      <c r="D116" s="8">
        <v>0</v>
      </c>
      <c r="E116" s="8">
        <f>D116</f>
        <v>0</v>
      </c>
      <c r="F116" s="8"/>
      <c r="H116" s="8">
        <f t="shared" ref="H116:H146" si="2">$B116-$C116-$D116-$G116</f>
        <v>-80220000</v>
      </c>
    </row>
    <row r="117" spans="1:8">
      <c r="A117" s="7">
        <v>1</v>
      </c>
      <c r="B117" s="8">
        <f>B79</f>
        <v>15292200</v>
      </c>
      <c r="C117" s="8">
        <f t="shared" ref="C117:C146" si="3">PPMT($F$111,$A117,30,$C$116)</f>
        <v>517468.33805990894</v>
      </c>
      <c r="D117" s="8">
        <f t="shared" ref="D117:D146" si="4">IPMT($F$111,$A117,30,$C$116)</f>
        <v>1719000</v>
      </c>
      <c r="E117" s="8">
        <f t="shared" ref="E117:E146" si="5">SLN(-$B$116,$F$110,30)</f>
        <v>2674000</v>
      </c>
      <c r="F117" s="8">
        <f t="shared" ref="F117:F145" si="6">$B117-$D117-$E117</f>
        <v>10899200</v>
      </c>
      <c r="G117" s="8">
        <f t="shared" ref="G117:G146" si="7">$F$112*F117</f>
        <v>4359680</v>
      </c>
      <c r="H117" s="8">
        <f t="shared" si="2"/>
        <v>8696051.6619400904</v>
      </c>
    </row>
    <row r="118" spans="1:8">
      <c r="A118" s="7">
        <v>2</v>
      </c>
      <c r="B118" s="8">
        <f t="shared" ref="B118:B145" si="8">B80</f>
        <v>15292200</v>
      </c>
      <c r="C118" s="8">
        <f t="shared" si="3"/>
        <v>543341.75496290426</v>
      </c>
      <c r="D118" s="8">
        <f t="shared" si="4"/>
        <v>1693126.5830970046</v>
      </c>
      <c r="E118" s="8">
        <f t="shared" si="5"/>
        <v>2674000</v>
      </c>
      <c r="F118" s="8">
        <f t="shared" si="6"/>
        <v>10925073.416902995</v>
      </c>
      <c r="G118" s="8">
        <f t="shared" si="7"/>
        <v>4370029.3667611983</v>
      </c>
      <c r="H118" s="8">
        <f t="shared" si="2"/>
        <v>8685702.2951788921</v>
      </c>
    </row>
    <row r="119" spans="1:8">
      <c r="A119" s="7">
        <v>3</v>
      </c>
      <c r="B119" s="8">
        <f t="shared" si="8"/>
        <v>15292200</v>
      </c>
      <c r="C119" s="8">
        <f t="shared" si="3"/>
        <v>570508.84271104948</v>
      </c>
      <c r="D119" s="8">
        <f t="shared" si="4"/>
        <v>1665959.4953488596</v>
      </c>
      <c r="E119" s="8">
        <f t="shared" si="5"/>
        <v>2674000</v>
      </c>
      <c r="F119" s="8">
        <f t="shared" si="6"/>
        <v>10952240.50465114</v>
      </c>
      <c r="G119" s="8">
        <f t="shared" si="7"/>
        <v>4380896.2018604567</v>
      </c>
      <c r="H119" s="8">
        <f t="shared" si="2"/>
        <v>8674835.4600796327</v>
      </c>
    </row>
    <row r="120" spans="1:8">
      <c r="A120" s="7">
        <v>4</v>
      </c>
      <c r="B120" s="8">
        <f t="shared" si="8"/>
        <v>15292200</v>
      </c>
      <c r="C120" s="8">
        <f t="shared" si="3"/>
        <v>599034.28484660201</v>
      </c>
      <c r="D120" s="8">
        <f t="shared" si="4"/>
        <v>1637434.0532133069</v>
      </c>
      <c r="E120" s="8">
        <f t="shared" si="5"/>
        <v>2674000</v>
      </c>
      <c r="F120" s="8">
        <f t="shared" si="6"/>
        <v>10980765.946786692</v>
      </c>
      <c r="G120" s="8">
        <f t="shared" si="7"/>
        <v>4392306.3787146769</v>
      </c>
      <c r="H120" s="8">
        <f t="shared" si="2"/>
        <v>8663425.2832254134</v>
      </c>
    </row>
    <row r="121" spans="1:8">
      <c r="A121" s="7">
        <v>5</v>
      </c>
      <c r="B121" s="8">
        <f t="shared" si="8"/>
        <v>15292200</v>
      </c>
      <c r="C121" s="8">
        <f t="shared" si="3"/>
        <v>628985.99908893206</v>
      </c>
      <c r="D121" s="8">
        <f t="shared" si="4"/>
        <v>1607482.3389709769</v>
      </c>
      <c r="E121" s="8">
        <f t="shared" si="5"/>
        <v>2674000</v>
      </c>
      <c r="F121" s="8">
        <f t="shared" si="6"/>
        <v>11010717.661029022</v>
      </c>
      <c r="G121" s="8">
        <f t="shared" si="7"/>
        <v>4404287.0644116094</v>
      </c>
      <c r="H121" s="8">
        <f t="shared" si="2"/>
        <v>8651444.59752848</v>
      </c>
    </row>
    <row r="122" spans="1:8">
      <c r="A122" s="7">
        <v>6</v>
      </c>
      <c r="B122" s="8">
        <f t="shared" si="8"/>
        <v>15292200</v>
      </c>
      <c r="C122" s="8">
        <f t="shared" si="3"/>
        <v>660435.29904337879</v>
      </c>
      <c r="D122" s="8">
        <f t="shared" si="4"/>
        <v>1576033.0390165304</v>
      </c>
      <c r="E122" s="8">
        <f t="shared" si="5"/>
        <v>2674000</v>
      </c>
      <c r="F122" s="8">
        <f t="shared" si="6"/>
        <v>11042166.96098347</v>
      </c>
      <c r="G122" s="8">
        <f t="shared" si="7"/>
        <v>4416866.7843933878</v>
      </c>
      <c r="H122" s="8">
        <f t="shared" si="2"/>
        <v>8638864.8775467016</v>
      </c>
    </row>
    <row r="123" spans="1:8">
      <c r="A123" s="7">
        <v>7</v>
      </c>
      <c r="B123" s="8">
        <f t="shared" si="8"/>
        <v>15292200</v>
      </c>
      <c r="C123" s="8">
        <f t="shared" si="3"/>
        <v>693457.06399554771</v>
      </c>
      <c r="D123" s="8">
        <f t="shared" si="4"/>
        <v>1543011.2740643611</v>
      </c>
      <c r="E123" s="8">
        <f t="shared" si="5"/>
        <v>2674000</v>
      </c>
      <c r="F123" s="8">
        <f t="shared" si="6"/>
        <v>11075188.725935638</v>
      </c>
      <c r="G123" s="8">
        <f t="shared" si="7"/>
        <v>4430075.490374255</v>
      </c>
      <c r="H123" s="8">
        <f t="shared" si="2"/>
        <v>8625656.1715658344</v>
      </c>
    </row>
    <row r="124" spans="1:8">
      <c r="A124" s="7">
        <v>8</v>
      </c>
      <c r="B124" s="8">
        <f t="shared" si="8"/>
        <v>15292200</v>
      </c>
      <c r="C124" s="8">
        <f t="shared" si="3"/>
        <v>728129.91719532514</v>
      </c>
      <c r="D124" s="8">
        <f t="shared" si="4"/>
        <v>1508338.4208645839</v>
      </c>
      <c r="E124" s="8">
        <f t="shared" si="5"/>
        <v>2674000</v>
      </c>
      <c r="F124" s="8">
        <f t="shared" si="6"/>
        <v>11109861.579135416</v>
      </c>
      <c r="G124" s="8">
        <f t="shared" si="7"/>
        <v>4443944.6316541666</v>
      </c>
      <c r="H124" s="8">
        <f t="shared" si="2"/>
        <v>8611787.0302859247</v>
      </c>
    </row>
    <row r="125" spans="1:8">
      <c r="A125" s="7">
        <v>9</v>
      </c>
      <c r="B125" s="8">
        <f t="shared" si="8"/>
        <v>15292200</v>
      </c>
      <c r="C125" s="8">
        <f t="shared" si="3"/>
        <v>764536.41305509128</v>
      </c>
      <c r="D125" s="8">
        <f t="shared" si="4"/>
        <v>1471931.9250048178</v>
      </c>
      <c r="E125" s="8">
        <f t="shared" si="5"/>
        <v>2674000</v>
      </c>
      <c r="F125" s="8">
        <f t="shared" si="6"/>
        <v>11146268.074995182</v>
      </c>
      <c r="G125" s="8">
        <f t="shared" si="7"/>
        <v>4458507.2299980735</v>
      </c>
      <c r="H125" s="8">
        <f t="shared" si="2"/>
        <v>8597224.4319420159</v>
      </c>
    </row>
    <row r="126" spans="1:8">
      <c r="A126" s="7">
        <v>10</v>
      </c>
      <c r="B126" s="8">
        <f t="shared" si="8"/>
        <v>15292200</v>
      </c>
      <c r="C126" s="8">
        <f t="shared" si="3"/>
        <v>802763.23370784591</v>
      </c>
      <c r="D126" s="8">
        <f t="shared" si="4"/>
        <v>1433705.104352063</v>
      </c>
      <c r="E126" s="8">
        <f t="shared" si="5"/>
        <v>2674000</v>
      </c>
      <c r="F126" s="8">
        <f t="shared" si="6"/>
        <v>11184494.895647937</v>
      </c>
      <c r="G126" s="8">
        <f t="shared" si="7"/>
        <v>4473797.9582591755</v>
      </c>
      <c r="H126" s="8">
        <f t="shared" si="2"/>
        <v>8581933.7036809176</v>
      </c>
    </row>
    <row r="127" spans="1:8">
      <c r="A127" s="7">
        <v>11</v>
      </c>
      <c r="B127" s="8">
        <f t="shared" si="8"/>
        <v>15292200</v>
      </c>
      <c r="C127" s="8">
        <f t="shared" si="3"/>
        <v>842901.39539323829</v>
      </c>
      <c r="D127" s="8">
        <f t="shared" si="4"/>
        <v>1393566.9426666708</v>
      </c>
      <c r="E127" s="8">
        <f t="shared" si="5"/>
        <v>2674000</v>
      </c>
      <c r="F127" s="8">
        <f t="shared" si="6"/>
        <v>11224633.05733333</v>
      </c>
      <c r="G127" s="8">
        <f t="shared" si="7"/>
        <v>4489853.2229333324</v>
      </c>
      <c r="H127" s="8">
        <f t="shared" si="2"/>
        <v>8565878.4390067607</v>
      </c>
    </row>
    <row r="128" spans="1:8">
      <c r="A128" s="7">
        <v>12</v>
      </c>
      <c r="B128" s="8">
        <f t="shared" si="8"/>
        <v>15292200</v>
      </c>
      <c r="C128" s="8">
        <f t="shared" si="3"/>
        <v>885046.46516290016</v>
      </c>
      <c r="D128" s="8">
        <f t="shared" si="4"/>
        <v>1351421.8728970087</v>
      </c>
      <c r="E128" s="8">
        <f t="shared" si="5"/>
        <v>2674000</v>
      </c>
      <c r="F128" s="8">
        <f t="shared" si="6"/>
        <v>11266778.127102992</v>
      </c>
      <c r="G128" s="8">
        <f t="shared" si="7"/>
        <v>4506711.2508411966</v>
      </c>
      <c r="H128" s="8">
        <f t="shared" si="2"/>
        <v>8549020.4110988956</v>
      </c>
    </row>
    <row r="129" spans="1:8">
      <c r="A129" s="7">
        <v>13</v>
      </c>
      <c r="B129" s="8">
        <f t="shared" si="8"/>
        <v>15292200</v>
      </c>
      <c r="C129" s="8">
        <f t="shared" si="3"/>
        <v>929298.78842104506</v>
      </c>
      <c r="D129" s="8">
        <f t="shared" si="4"/>
        <v>1307169.5496388637</v>
      </c>
      <c r="E129" s="8">
        <f t="shared" si="5"/>
        <v>2674000</v>
      </c>
      <c r="F129" s="8">
        <f t="shared" si="6"/>
        <v>11311030.450361136</v>
      </c>
      <c r="G129" s="8">
        <f t="shared" si="7"/>
        <v>4524412.1801444544</v>
      </c>
      <c r="H129" s="8">
        <f t="shared" si="2"/>
        <v>8531319.4817956351</v>
      </c>
    </row>
    <row r="130" spans="1:8">
      <c r="A130" s="7">
        <v>14</v>
      </c>
      <c r="B130" s="8">
        <f t="shared" si="8"/>
        <v>15292200</v>
      </c>
      <c r="C130" s="8">
        <f t="shared" si="3"/>
        <v>975763.7278420974</v>
      </c>
      <c r="D130" s="8">
        <f t="shared" si="4"/>
        <v>1260704.6102178115</v>
      </c>
      <c r="E130" s="8">
        <f t="shared" si="5"/>
        <v>2674000</v>
      </c>
      <c r="F130" s="8">
        <f t="shared" si="6"/>
        <v>11357495.389782188</v>
      </c>
      <c r="G130" s="8">
        <f t="shared" si="7"/>
        <v>4542998.1559128752</v>
      </c>
      <c r="H130" s="8">
        <f t="shared" si="2"/>
        <v>8512733.5060272142</v>
      </c>
    </row>
    <row r="131" spans="1:8">
      <c r="A131" s="7">
        <v>15</v>
      </c>
      <c r="B131" s="8">
        <f t="shared" si="8"/>
        <v>15292200</v>
      </c>
      <c r="C131" s="8">
        <f t="shared" si="3"/>
        <v>1024551.9142342022</v>
      </c>
      <c r="D131" s="8">
        <f t="shared" si="4"/>
        <v>1211916.4238257066</v>
      </c>
      <c r="E131" s="8">
        <f t="shared" si="5"/>
        <v>2674000</v>
      </c>
      <c r="F131" s="8">
        <f t="shared" si="6"/>
        <v>11406283.576174293</v>
      </c>
      <c r="G131" s="8">
        <f t="shared" si="7"/>
        <v>4562513.4304697169</v>
      </c>
      <c r="H131" s="8">
        <f t="shared" si="2"/>
        <v>8493218.2314703725</v>
      </c>
    </row>
    <row r="132" spans="1:8">
      <c r="A132" s="7">
        <v>16</v>
      </c>
      <c r="B132" s="8">
        <f t="shared" si="8"/>
        <v>15292200</v>
      </c>
      <c r="C132" s="8">
        <f t="shared" si="3"/>
        <v>1075779.5099459125</v>
      </c>
      <c r="D132" s="8">
        <f t="shared" si="4"/>
        <v>1160688.8281139964</v>
      </c>
      <c r="E132" s="8">
        <f t="shared" si="5"/>
        <v>2674000</v>
      </c>
      <c r="F132" s="8">
        <f t="shared" si="6"/>
        <v>11457511.171886005</v>
      </c>
      <c r="G132" s="8">
        <f t="shared" si="7"/>
        <v>4583004.4687544024</v>
      </c>
      <c r="H132" s="8">
        <f t="shared" si="2"/>
        <v>8472727.1931856871</v>
      </c>
    </row>
    <row r="133" spans="1:8">
      <c r="A133" s="7">
        <v>17</v>
      </c>
      <c r="B133" s="8">
        <f t="shared" si="8"/>
        <v>15292200</v>
      </c>
      <c r="C133" s="8">
        <f t="shared" si="3"/>
        <v>1129568.4854432081</v>
      </c>
      <c r="D133" s="8">
        <f t="shared" si="4"/>
        <v>1106899.852616701</v>
      </c>
      <c r="E133" s="8">
        <f t="shared" si="5"/>
        <v>2674000</v>
      </c>
      <c r="F133" s="8">
        <f t="shared" si="6"/>
        <v>11511300.147383299</v>
      </c>
      <c r="G133" s="8">
        <f t="shared" si="7"/>
        <v>4604520.0589533197</v>
      </c>
      <c r="H133" s="8">
        <f t="shared" si="2"/>
        <v>8451211.6029867716</v>
      </c>
    </row>
    <row r="134" spans="1:8">
      <c r="A134" s="7">
        <v>18</v>
      </c>
      <c r="B134" s="8">
        <f t="shared" si="8"/>
        <v>15292200</v>
      </c>
      <c r="C134" s="8">
        <f t="shared" si="3"/>
        <v>1186046.9097153684</v>
      </c>
      <c r="D134" s="8">
        <f t="shared" si="4"/>
        <v>1050421.4283445405</v>
      </c>
      <c r="E134" s="8">
        <f t="shared" si="5"/>
        <v>2674000</v>
      </c>
      <c r="F134" s="8">
        <f t="shared" si="6"/>
        <v>11567778.57165546</v>
      </c>
      <c r="G134" s="8">
        <f t="shared" si="7"/>
        <v>4627111.4286621837</v>
      </c>
      <c r="H134" s="8">
        <f t="shared" si="2"/>
        <v>8428620.2332779057</v>
      </c>
    </row>
    <row r="135" spans="1:8">
      <c r="A135" s="7">
        <v>19</v>
      </c>
      <c r="B135" s="8">
        <f t="shared" si="8"/>
        <v>15292200</v>
      </c>
      <c r="C135" s="8">
        <f t="shared" si="3"/>
        <v>1245349.2552011372</v>
      </c>
      <c r="D135" s="8">
        <f t="shared" si="4"/>
        <v>991119.0828587719</v>
      </c>
      <c r="E135" s="8">
        <f t="shared" si="5"/>
        <v>2674000</v>
      </c>
      <c r="F135" s="8">
        <f t="shared" si="6"/>
        <v>11627080.917141229</v>
      </c>
      <c r="G135" s="8">
        <f t="shared" si="7"/>
        <v>4650832.3668564921</v>
      </c>
      <c r="H135" s="8">
        <f t="shared" si="2"/>
        <v>8404899.295083601</v>
      </c>
    </row>
    <row r="136" spans="1:8">
      <c r="A136" s="7">
        <v>20</v>
      </c>
      <c r="B136" s="8">
        <f t="shared" si="8"/>
        <v>15292200</v>
      </c>
      <c r="C136" s="8">
        <f t="shared" si="3"/>
        <v>1307616.7179611938</v>
      </c>
      <c r="D136" s="8">
        <f t="shared" si="4"/>
        <v>928851.6200987153</v>
      </c>
      <c r="E136" s="8">
        <f t="shared" si="5"/>
        <v>2674000</v>
      </c>
      <c r="F136" s="8">
        <f t="shared" si="6"/>
        <v>11689348.379901284</v>
      </c>
      <c r="G136" s="8">
        <f t="shared" si="7"/>
        <v>4675739.3519605137</v>
      </c>
      <c r="H136" s="8">
        <f t="shared" si="2"/>
        <v>8379992.3099795766</v>
      </c>
    </row>
    <row r="137" spans="1:8">
      <c r="A137" s="7">
        <v>21</v>
      </c>
      <c r="B137" s="8">
        <f t="shared" si="8"/>
        <v>15292200</v>
      </c>
      <c r="C137" s="8">
        <f t="shared" si="3"/>
        <v>1372997.5538592534</v>
      </c>
      <c r="D137" s="8">
        <f t="shared" si="4"/>
        <v>863470.78420065553</v>
      </c>
      <c r="E137" s="8">
        <f t="shared" si="5"/>
        <v>2674000</v>
      </c>
      <c r="F137" s="8">
        <f t="shared" si="6"/>
        <v>11754729.215799345</v>
      </c>
      <c r="G137" s="8">
        <f t="shared" si="7"/>
        <v>4701891.6863197377</v>
      </c>
      <c r="H137" s="8">
        <f t="shared" si="2"/>
        <v>8353839.9756203545</v>
      </c>
    </row>
    <row r="138" spans="1:8">
      <c r="A138" s="7">
        <v>22</v>
      </c>
      <c r="B138" s="8">
        <f t="shared" si="8"/>
        <v>15292200</v>
      </c>
      <c r="C138" s="8">
        <f t="shared" si="3"/>
        <v>1441647.4315522162</v>
      </c>
      <c r="D138" s="8">
        <f t="shared" si="4"/>
        <v>794820.90650769277</v>
      </c>
      <c r="E138" s="8">
        <f t="shared" si="5"/>
        <v>2674000</v>
      </c>
      <c r="F138" s="8">
        <f t="shared" si="6"/>
        <v>11823379.093492307</v>
      </c>
      <c r="G138" s="8">
        <f t="shared" si="7"/>
        <v>4729351.6373969233</v>
      </c>
      <c r="H138" s="8">
        <f t="shared" si="2"/>
        <v>8326380.0245431671</v>
      </c>
    </row>
    <row r="139" spans="1:8">
      <c r="A139" s="7">
        <v>23</v>
      </c>
      <c r="B139" s="8">
        <f t="shared" si="8"/>
        <v>15292200</v>
      </c>
      <c r="C139" s="8">
        <f t="shared" si="3"/>
        <v>1513729.8031298269</v>
      </c>
      <c r="D139" s="8">
        <f t="shared" si="4"/>
        <v>722738.53493008204</v>
      </c>
      <c r="E139" s="8">
        <f t="shared" si="5"/>
        <v>2674000</v>
      </c>
      <c r="F139" s="8">
        <f t="shared" si="6"/>
        <v>11895461.465069918</v>
      </c>
      <c r="G139" s="8">
        <f t="shared" si="7"/>
        <v>4758184.5860279677</v>
      </c>
      <c r="H139" s="8">
        <f t="shared" si="2"/>
        <v>8297547.0759121226</v>
      </c>
    </row>
    <row r="140" spans="1:8">
      <c r="A140" s="7">
        <v>24</v>
      </c>
      <c r="B140" s="8">
        <f t="shared" si="8"/>
        <v>15292200</v>
      </c>
      <c r="C140" s="8">
        <f t="shared" si="3"/>
        <v>1589416.2932863182</v>
      </c>
      <c r="D140" s="8">
        <f t="shared" si="4"/>
        <v>647052.04477359063</v>
      </c>
      <c r="E140" s="8">
        <f t="shared" si="5"/>
        <v>2674000</v>
      </c>
      <c r="F140" s="8">
        <f t="shared" si="6"/>
        <v>11971147.95522641</v>
      </c>
      <c r="G140" s="8">
        <f t="shared" si="7"/>
        <v>4788459.1820905646</v>
      </c>
      <c r="H140" s="8">
        <f t="shared" si="2"/>
        <v>8267272.4798495276</v>
      </c>
    </row>
    <row r="141" spans="1:8">
      <c r="A141" s="7">
        <v>25</v>
      </c>
      <c r="B141" s="8">
        <f t="shared" si="8"/>
        <v>15292200</v>
      </c>
      <c r="C141" s="8">
        <f t="shared" si="3"/>
        <v>1668887.1079506343</v>
      </c>
      <c r="D141" s="8">
        <f t="shared" si="4"/>
        <v>567581.23010927462</v>
      </c>
      <c r="E141" s="8">
        <f t="shared" si="5"/>
        <v>2674000</v>
      </c>
      <c r="F141" s="8">
        <f t="shared" si="6"/>
        <v>12050618.769890726</v>
      </c>
      <c r="G141" s="8">
        <f t="shared" si="7"/>
        <v>4820247.5079562906</v>
      </c>
      <c r="H141" s="8">
        <f t="shared" si="2"/>
        <v>8235484.1539837997</v>
      </c>
    </row>
    <row r="142" spans="1:8">
      <c r="A142" s="7">
        <v>26</v>
      </c>
      <c r="B142" s="8">
        <f t="shared" si="8"/>
        <v>15292200</v>
      </c>
      <c r="C142" s="8">
        <f t="shared" si="3"/>
        <v>1752331.4633481661</v>
      </c>
      <c r="D142" s="8">
        <f t="shared" si="4"/>
        <v>484136.87471174292</v>
      </c>
      <c r="E142" s="8">
        <f t="shared" si="5"/>
        <v>2674000</v>
      </c>
      <c r="F142" s="8">
        <f t="shared" si="6"/>
        <v>12134063.125288257</v>
      </c>
      <c r="G142" s="8">
        <f t="shared" si="7"/>
        <v>4853625.2501153033</v>
      </c>
      <c r="H142" s="8">
        <f t="shared" si="2"/>
        <v>8202106.4118247889</v>
      </c>
    </row>
    <row r="143" spans="1:8">
      <c r="A143" s="7">
        <v>27</v>
      </c>
      <c r="B143" s="8">
        <f t="shared" si="8"/>
        <v>15292200</v>
      </c>
      <c r="C143" s="8">
        <f t="shared" si="3"/>
        <v>1839948.0365155747</v>
      </c>
      <c r="D143" s="8">
        <f t="shared" si="4"/>
        <v>396520.30154433456</v>
      </c>
      <c r="E143" s="8">
        <f t="shared" si="5"/>
        <v>2674000</v>
      </c>
      <c r="F143" s="8">
        <f t="shared" si="6"/>
        <v>12221679.698455665</v>
      </c>
      <c r="G143" s="8">
        <f t="shared" si="7"/>
        <v>4888671.8793822667</v>
      </c>
      <c r="H143" s="8">
        <f t="shared" si="2"/>
        <v>8167059.7825578237</v>
      </c>
    </row>
    <row r="144" spans="1:8">
      <c r="A144" s="7">
        <v>28</v>
      </c>
      <c r="B144" s="8">
        <f t="shared" si="8"/>
        <v>15292200</v>
      </c>
      <c r="C144" s="8">
        <f t="shared" si="3"/>
        <v>1931945.4383413531</v>
      </c>
      <c r="D144" s="8">
        <f t="shared" si="4"/>
        <v>304522.8997185558</v>
      </c>
      <c r="E144" s="8">
        <f t="shared" si="5"/>
        <v>2674000</v>
      </c>
      <c r="F144" s="8">
        <f t="shared" si="6"/>
        <v>12313677.100281443</v>
      </c>
      <c r="G144" s="8">
        <f t="shared" si="7"/>
        <v>4925470.8401125772</v>
      </c>
      <c r="H144" s="8">
        <f t="shared" si="2"/>
        <v>8130260.8218275132</v>
      </c>
    </row>
    <row r="145" spans="1:12">
      <c r="A145" s="7">
        <v>29</v>
      </c>
      <c r="B145" s="8">
        <f t="shared" si="8"/>
        <v>15292200</v>
      </c>
      <c r="C145" s="8">
        <f t="shared" si="3"/>
        <v>2028542.7102584206</v>
      </c>
      <c r="D145" s="8">
        <f t="shared" si="4"/>
        <v>207925.62780148815</v>
      </c>
      <c r="E145" s="8">
        <f t="shared" si="5"/>
        <v>2674000</v>
      </c>
      <c r="F145" s="8">
        <f t="shared" si="6"/>
        <v>12410274.372198511</v>
      </c>
      <c r="G145" s="8">
        <f t="shared" si="7"/>
        <v>4964109.7488794047</v>
      </c>
      <c r="H145" s="8">
        <f t="shared" si="2"/>
        <v>8091621.9130606856</v>
      </c>
      <c r="L145" s="14"/>
    </row>
    <row r="146" spans="1:12">
      <c r="A146" s="7">
        <v>30</v>
      </c>
      <c r="B146" s="8">
        <f>B108</f>
        <v>49672200</v>
      </c>
      <c r="C146" s="8">
        <f t="shared" si="3"/>
        <v>2129969.8457713421</v>
      </c>
      <c r="D146" s="8">
        <f t="shared" si="4"/>
        <v>106498.49228856713</v>
      </c>
      <c r="E146" s="8">
        <f t="shared" si="5"/>
        <v>2674000</v>
      </c>
      <c r="F146" s="8">
        <f>$B146-$D146-$E146-E147</f>
        <v>12511701.507711433</v>
      </c>
      <c r="G146" s="8">
        <f t="shared" si="7"/>
        <v>5004680.6030845735</v>
      </c>
      <c r="H146" s="8">
        <f t="shared" si="2"/>
        <v>42431051.058855519</v>
      </c>
    </row>
    <row r="147" spans="1:12">
      <c r="D147" s="6" t="s">
        <v>68</v>
      </c>
      <c r="E147" s="8">
        <f>-B116-SUM(E117:E146)</f>
        <v>34380000</v>
      </c>
      <c r="G147" s="10" t="s">
        <v>69</v>
      </c>
      <c r="H147" s="8">
        <f>NPV(F113,H117:H146)+H116</f>
        <v>53910478.12657541</v>
      </c>
    </row>
    <row r="148" spans="1:12">
      <c r="F148" s="12"/>
      <c r="G148" s="10" t="s">
        <v>70</v>
      </c>
      <c r="H148" s="16">
        <f>IRR(H116:H146)</f>
        <v>0.10366370354619048</v>
      </c>
    </row>
    <row r="149" spans="1:12" ht="18">
      <c r="A149" s="13" t="s">
        <v>71</v>
      </c>
    </row>
    <row r="150" spans="1:12">
      <c r="A150" s="6" t="s">
        <v>55</v>
      </c>
      <c r="B150" s="6" t="s">
        <v>61</v>
      </c>
      <c r="C150" s="6" t="s">
        <v>62</v>
      </c>
      <c r="D150" s="6" t="s">
        <v>63</v>
      </c>
      <c r="E150" s="6" t="s">
        <v>64</v>
      </c>
      <c r="F150" s="6" t="s">
        <v>65</v>
      </c>
      <c r="G150" s="6" t="s">
        <v>66</v>
      </c>
      <c r="H150" s="6" t="s">
        <v>67</v>
      </c>
    </row>
    <row r="151" spans="1:12">
      <c r="A151" s="7">
        <v>0</v>
      </c>
      <c r="B151" s="8">
        <f>$B78</f>
        <v>-114600000</v>
      </c>
      <c r="C151" s="8">
        <f>-'Step 2 - WACC'!B6</f>
        <v>-34380000</v>
      </c>
      <c r="D151" s="8">
        <v>0</v>
      </c>
      <c r="E151" s="8">
        <v>0</v>
      </c>
      <c r="F151" s="8">
        <v>0</v>
      </c>
      <c r="G151" s="8">
        <v>0</v>
      </c>
      <c r="H151" s="8">
        <f>$B151-$C151-$D151-$G151</f>
        <v>-80220000</v>
      </c>
    </row>
    <row r="152" spans="1:12">
      <c r="A152" s="7">
        <v>1</v>
      </c>
      <c r="B152" s="8">
        <f t="shared" ref="B152:B181" si="9">$B79</f>
        <v>15292200</v>
      </c>
      <c r="C152" s="8">
        <v>0</v>
      </c>
      <c r="D152" s="8">
        <v>0</v>
      </c>
      <c r="E152" s="8">
        <f t="shared" ref="E152:E181" si="10">SLN(-$B$151,$F$110,30)</f>
        <v>2674000</v>
      </c>
      <c r="F152" s="8">
        <f>B152-D152-E152</f>
        <v>12618200</v>
      </c>
      <c r="G152" s="18">
        <f t="shared" ref="G152:G181" si="11">$F$112*$F152</f>
        <v>5047280</v>
      </c>
      <c r="H152" s="8">
        <f t="shared" ref="H152:H181" si="12">$B152-$C152-$D152-$G152</f>
        <v>10244920</v>
      </c>
    </row>
    <row r="153" spans="1:12">
      <c r="A153" s="7">
        <v>2</v>
      </c>
      <c r="B153" s="8">
        <f t="shared" si="9"/>
        <v>15292200</v>
      </c>
      <c r="C153" s="8">
        <v>0</v>
      </c>
      <c r="D153" s="8">
        <v>0</v>
      </c>
      <c r="E153" s="8">
        <f t="shared" si="10"/>
        <v>2674000</v>
      </c>
      <c r="F153" s="8">
        <f t="shared" ref="F153:F180" si="13">B153-D153-E153</f>
        <v>12618200</v>
      </c>
      <c r="G153" s="18">
        <f t="shared" si="11"/>
        <v>5047280</v>
      </c>
      <c r="H153" s="8">
        <f t="shared" si="12"/>
        <v>10244920</v>
      </c>
    </row>
    <row r="154" spans="1:12">
      <c r="A154" s="7">
        <v>3</v>
      </c>
      <c r="B154" s="8">
        <f t="shared" si="9"/>
        <v>15292200</v>
      </c>
      <c r="C154" s="8">
        <v>0</v>
      </c>
      <c r="D154" s="8">
        <v>0</v>
      </c>
      <c r="E154" s="8">
        <f t="shared" si="10"/>
        <v>2674000</v>
      </c>
      <c r="F154" s="8">
        <f t="shared" si="13"/>
        <v>12618200</v>
      </c>
      <c r="G154" s="18">
        <f t="shared" si="11"/>
        <v>5047280</v>
      </c>
      <c r="H154" s="8">
        <f t="shared" si="12"/>
        <v>10244920</v>
      </c>
    </row>
    <row r="155" spans="1:12">
      <c r="A155" s="7">
        <v>4</v>
      </c>
      <c r="B155" s="8">
        <f t="shared" si="9"/>
        <v>15292200</v>
      </c>
      <c r="C155" s="8">
        <v>0</v>
      </c>
      <c r="D155" s="8">
        <v>0</v>
      </c>
      <c r="E155" s="8">
        <f t="shared" si="10"/>
        <v>2674000</v>
      </c>
      <c r="F155" s="8">
        <f t="shared" si="13"/>
        <v>12618200</v>
      </c>
      <c r="G155" s="18">
        <f t="shared" si="11"/>
        <v>5047280</v>
      </c>
      <c r="H155" s="8">
        <f t="shared" si="12"/>
        <v>10244920</v>
      </c>
    </row>
    <row r="156" spans="1:12">
      <c r="A156" s="7">
        <v>5</v>
      </c>
      <c r="B156" s="8">
        <f t="shared" si="9"/>
        <v>15292200</v>
      </c>
      <c r="C156" s="8">
        <v>0</v>
      </c>
      <c r="D156" s="8">
        <v>0</v>
      </c>
      <c r="E156" s="8">
        <f t="shared" si="10"/>
        <v>2674000</v>
      </c>
      <c r="F156" s="8">
        <f t="shared" si="13"/>
        <v>12618200</v>
      </c>
      <c r="G156" s="18">
        <f t="shared" si="11"/>
        <v>5047280</v>
      </c>
      <c r="H156" s="8">
        <f t="shared" si="12"/>
        <v>10244920</v>
      </c>
    </row>
    <row r="157" spans="1:12">
      <c r="A157" s="7">
        <v>6</v>
      </c>
      <c r="B157" s="8">
        <f t="shared" si="9"/>
        <v>15292200</v>
      </c>
      <c r="C157" s="8">
        <v>0</v>
      </c>
      <c r="D157" s="8">
        <v>0</v>
      </c>
      <c r="E157" s="8">
        <f t="shared" si="10"/>
        <v>2674000</v>
      </c>
      <c r="F157" s="8">
        <f t="shared" si="13"/>
        <v>12618200</v>
      </c>
      <c r="G157" s="18">
        <f t="shared" si="11"/>
        <v>5047280</v>
      </c>
      <c r="H157" s="8">
        <f t="shared" si="12"/>
        <v>10244920</v>
      </c>
    </row>
    <row r="158" spans="1:12">
      <c r="A158" s="7">
        <v>7</v>
      </c>
      <c r="B158" s="8">
        <f t="shared" si="9"/>
        <v>15292200</v>
      </c>
      <c r="C158" s="8">
        <v>0</v>
      </c>
      <c r="D158" s="8">
        <v>0</v>
      </c>
      <c r="E158" s="8">
        <f t="shared" si="10"/>
        <v>2674000</v>
      </c>
      <c r="F158" s="8">
        <f t="shared" si="13"/>
        <v>12618200</v>
      </c>
      <c r="G158" s="18">
        <f t="shared" si="11"/>
        <v>5047280</v>
      </c>
      <c r="H158" s="8">
        <f t="shared" si="12"/>
        <v>10244920</v>
      </c>
    </row>
    <row r="159" spans="1:12">
      <c r="A159" s="7">
        <v>8</v>
      </c>
      <c r="B159" s="8">
        <f t="shared" si="9"/>
        <v>15292200</v>
      </c>
      <c r="C159" s="8">
        <v>0</v>
      </c>
      <c r="D159" s="8">
        <v>0</v>
      </c>
      <c r="E159" s="8">
        <f t="shared" si="10"/>
        <v>2674000</v>
      </c>
      <c r="F159" s="8">
        <f>B159-D159-E159</f>
        <v>12618200</v>
      </c>
      <c r="G159" s="18">
        <f t="shared" si="11"/>
        <v>5047280</v>
      </c>
      <c r="H159" s="8">
        <f t="shared" si="12"/>
        <v>10244920</v>
      </c>
    </row>
    <row r="160" spans="1:12">
      <c r="A160" s="7">
        <v>9</v>
      </c>
      <c r="B160" s="8">
        <f t="shared" si="9"/>
        <v>15292200</v>
      </c>
      <c r="C160" s="8">
        <v>0</v>
      </c>
      <c r="D160" s="8">
        <v>0</v>
      </c>
      <c r="E160" s="8">
        <f t="shared" si="10"/>
        <v>2674000</v>
      </c>
      <c r="F160" s="8">
        <f t="shared" si="13"/>
        <v>12618200</v>
      </c>
      <c r="G160" s="18">
        <f t="shared" si="11"/>
        <v>5047280</v>
      </c>
      <c r="H160" s="8">
        <f t="shared" si="12"/>
        <v>10244920</v>
      </c>
    </row>
    <row r="161" spans="1:8">
      <c r="A161" s="7">
        <v>10</v>
      </c>
      <c r="B161" s="8">
        <f t="shared" si="9"/>
        <v>15292200</v>
      </c>
      <c r="C161" s="8">
        <v>0</v>
      </c>
      <c r="D161" s="8">
        <v>0</v>
      </c>
      <c r="E161" s="8">
        <f t="shared" si="10"/>
        <v>2674000</v>
      </c>
      <c r="F161" s="8">
        <f t="shared" si="13"/>
        <v>12618200</v>
      </c>
      <c r="G161" s="18">
        <f t="shared" si="11"/>
        <v>5047280</v>
      </c>
      <c r="H161" s="8">
        <f t="shared" si="12"/>
        <v>10244920</v>
      </c>
    </row>
    <row r="162" spans="1:8">
      <c r="A162" s="7">
        <v>11</v>
      </c>
      <c r="B162" s="8">
        <f t="shared" si="9"/>
        <v>15292200</v>
      </c>
      <c r="C162" s="8">
        <v>0</v>
      </c>
      <c r="D162" s="8">
        <v>0</v>
      </c>
      <c r="E162" s="8">
        <f t="shared" si="10"/>
        <v>2674000</v>
      </c>
      <c r="F162" s="8">
        <f t="shared" si="13"/>
        <v>12618200</v>
      </c>
      <c r="G162" s="18">
        <f t="shared" si="11"/>
        <v>5047280</v>
      </c>
      <c r="H162" s="8">
        <f t="shared" si="12"/>
        <v>10244920</v>
      </c>
    </row>
    <row r="163" spans="1:8">
      <c r="A163" s="7">
        <v>12</v>
      </c>
      <c r="B163" s="8">
        <f t="shared" si="9"/>
        <v>15292200</v>
      </c>
      <c r="C163" s="8">
        <v>0</v>
      </c>
      <c r="D163" s="8">
        <v>0</v>
      </c>
      <c r="E163" s="8">
        <f t="shared" si="10"/>
        <v>2674000</v>
      </c>
      <c r="F163" s="8">
        <f t="shared" si="13"/>
        <v>12618200</v>
      </c>
      <c r="G163" s="18">
        <f t="shared" si="11"/>
        <v>5047280</v>
      </c>
      <c r="H163" s="8">
        <f t="shared" si="12"/>
        <v>10244920</v>
      </c>
    </row>
    <row r="164" spans="1:8">
      <c r="A164" s="7">
        <v>13</v>
      </c>
      <c r="B164" s="8">
        <f t="shared" si="9"/>
        <v>15292200</v>
      </c>
      <c r="C164" s="8">
        <v>0</v>
      </c>
      <c r="D164" s="8">
        <v>0</v>
      </c>
      <c r="E164" s="8">
        <f t="shared" si="10"/>
        <v>2674000</v>
      </c>
      <c r="F164" s="8">
        <f t="shared" si="13"/>
        <v>12618200</v>
      </c>
      <c r="G164" s="18">
        <f t="shared" si="11"/>
        <v>5047280</v>
      </c>
      <c r="H164" s="8">
        <f t="shared" si="12"/>
        <v>10244920</v>
      </c>
    </row>
    <row r="165" spans="1:8">
      <c r="A165" s="7">
        <v>14</v>
      </c>
      <c r="B165" s="8">
        <f t="shared" si="9"/>
        <v>15292200</v>
      </c>
      <c r="C165" s="8">
        <v>0</v>
      </c>
      <c r="D165" s="8">
        <v>0</v>
      </c>
      <c r="E165" s="8">
        <f t="shared" si="10"/>
        <v>2674000</v>
      </c>
      <c r="F165" s="8">
        <f t="shared" si="13"/>
        <v>12618200</v>
      </c>
      <c r="G165" s="18">
        <f t="shared" si="11"/>
        <v>5047280</v>
      </c>
      <c r="H165" s="8">
        <f t="shared" si="12"/>
        <v>10244920</v>
      </c>
    </row>
    <row r="166" spans="1:8">
      <c r="A166" s="7">
        <v>15</v>
      </c>
      <c r="B166" s="8">
        <f t="shared" si="9"/>
        <v>15292200</v>
      </c>
      <c r="C166" s="8">
        <v>0</v>
      </c>
      <c r="D166" s="8">
        <v>0</v>
      </c>
      <c r="E166" s="8">
        <f t="shared" si="10"/>
        <v>2674000</v>
      </c>
      <c r="F166" s="8">
        <f t="shared" si="13"/>
        <v>12618200</v>
      </c>
      <c r="G166" s="18">
        <f t="shared" si="11"/>
        <v>5047280</v>
      </c>
      <c r="H166" s="8">
        <f t="shared" si="12"/>
        <v>10244920</v>
      </c>
    </row>
    <row r="167" spans="1:8">
      <c r="A167" s="7">
        <v>16</v>
      </c>
      <c r="B167" s="8">
        <f t="shared" si="9"/>
        <v>15292200</v>
      </c>
      <c r="C167" s="8">
        <v>0</v>
      </c>
      <c r="D167" s="8">
        <v>0</v>
      </c>
      <c r="E167" s="8">
        <f t="shared" si="10"/>
        <v>2674000</v>
      </c>
      <c r="F167" s="8">
        <f t="shared" si="13"/>
        <v>12618200</v>
      </c>
      <c r="G167" s="18">
        <f t="shared" si="11"/>
        <v>5047280</v>
      </c>
      <c r="H167" s="8">
        <f t="shared" si="12"/>
        <v>10244920</v>
      </c>
    </row>
    <row r="168" spans="1:8">
      <c r="A168" s="7">
        <v>17</v>
      </c>
      <c r="B168" s="8">
        <f t="shared" si="9"/>
        <v>15292200</v>
      </c>
      <c r="C168" s="8">
        <v>0</v>
      </c>
      <c r="D168" s="8">
        <v>0</v>
      </c>
      <c r="E168" s="8">
        <f t="shared" si="10"/>
        <v>2674000</v>
      </c>
      <c r="F168" s="8">
        <f t="shared" si="13"/>
        <v>12618200</v>
      </c>
      <c r="G168" s="18">
        <f t="shared" si="11"/>
        <v>5047280</v>
      </c>
      <c r="H168" s="8">
        <f t="shared" si="12"/>
        <v>10244920</v>
      </c>
    </row>
    <row r="169" spans="1:8">
      <c r="A169" s="7">
        <v>18</v>
      </c>
      <c r="B169" s="8">
        <f t="shared" si="9"/>
        <v>15292200</v>
      </c>
      <c r="C169" s="8">
        <v>0</v>
      </c>
      <c r="D169" s="8">
        <v>0</v>
      </c>
      <c r="E169" s="8">
        <f t="shared" si="10"/>
        <v>2674000</v>
      </c>
      <c r="F169" s="8">
        <f t="shared" si="13"/>
        <v>12618200</v>
      </c>
      <c r="G169" s="18">
        <f t="shared" si="11"/>
        <v>5047280</v>
      </c>
      <c r="H169" s="8">
        <f t="shared" si="12"/>
        <v>10244920</v>
      </c>
    </row>
    <row r="170" spans="1:8">
      <c r="A170" s="7">
        <v>19</v>
      </c>
      <c r="B170" s="8">
        <f t="shared" si="9"/>
        <v>15292200</v>
      </c>
      <c r="C170" s="8">
        <v>0</v>
      </c>
      <c r="D170" s="8">
        <v>0</v>
      </c>
      <c r="E170" s="8">
        <f t="shared" si="10"/>
        <v>2674000</v>
      </c>
      <c r="F170" s="8">
        <f t="shared" si="13"/>
        <v>12618200</v>
      </c>
      <c r="G170" s="18">
        <f t="shared" si="11"/>
        <v>5047280</v>
      </c>
      <c r="H170" s="8">
        <f t="shared" si="12"/>
        <v>10244920</v>
      </c>
    </row>
    <row r="171" spans="1:8">
      <c r="A171" s="7">
        <v>20</v>
      </c>
      <c r="B171" s="8">
        <f t="shared" si="9"/>
        <v>15292200</v>
      </c>
      <c r="C171" s="8">
        <v>0</v>
      </c>
      <c r="D171" s="8">
        <v>0</v>
      </c>
      <c r="E171" s="8">
        <f t="shared" si="10"/>
        <v>2674000</v>
      </c>
      <c r="F171" s="8">
        <f t="shared" si="13"/>
        <v>12618200</v>
      </c>
      <c r="G171" s="18">
        <f t="shared" si="11"/>
        <v>5047280</v>
      </c>
      <c r="H171" s="8">
        <f t="shared" si="12"/>
        <v>10244920</v>
      </c>
    </row>
    <row r="172" spans="1:8">
      <c r="A172" s="7">
        <v>21</v>
      </c>
      <c r="B172" s="8">
        <f t="shared" si="9"/>
        <v>15292200</v>
      </c>
      <c r="C172" s="8">
        <v>0</v>
      </c>
      <c r="D172" s="8">
        <v>0</v>
      </c>
      <c r="E172" s="8">
        <f t="shared" si="10"/>
        <v>2674000</v>
      </c>
      <c r="F172" s="8">
        <f t="shared" si="13"/>
        <v>12618200</v>
      </c>
      <c r="G172" s="18">
        <f t="shared" si="11"/>
        <v>5047280</v>
      </c>
      <c r="H172" s="8">
        <f t="shared" si="12"/>
        <v>10244920</v>
      </c>
    </row>
    <row r="173" spans="1:8">
      <c r="A173" s="7">
        <v>22</v>
      </c>
      <c r="B173" s="8">
        <f t="shared" si="9"/>
        <v>15292200</v>
      </c>
      <c r="C173" s="8">
        <v>0</v>
      </c>
      <c r="D173" s="8">
        <v>0</v>
      </c>
      <c r="E173" s="8">
        <f t="shared" si="10"/>
        <v>2674000</v>
      </c>
      <c r="F173" s="8">
        <f t="shared" si="13"/>
        <v>12618200</v>
      </c>
      <c r="G173" s="18">
        <f t="shared" si="11"/>
        <v>5047280</v>
      </c>
      <c r="H173" s="8">
        <f t="shared" si="12"/>
        <v>10244920</v>
      </c>
    </row>
    <row r="174" spans="1:8">
      <c r="A174" s="7">
        <v>23</v>
      </c>
      <c r="B174" s="8">
        <f t="shared" si="9"/>
        <v>15292200</v>
      </c>
      <c r="C174" s="8">
        <v>0</v>
      </c>
      <c r="D174" s="8">
        <v>0</v>
      </c>
      <c r="E174" s="8">
        <f t="shared" si="10"/>
        <v>2674000</v>
      </c>
      <c r="F174" s="8">
        <f t="shared" si="13"/>
        <v>12618200</v>
      </c>
      <c r="G174" s="18">
        <f t="shared" si="11"/>
        <v>5047280</v>
      </c>
      <c r="H174" s="8">
        <f t="shared" si="12"/>
        <v>10244920</v>
      </c>
    </row>
    <row r="175" spans="1:8">
      <c r="A175" s="7">
        <v>24</v>
      </c>
      <c r="B175" s="8">
        <f t="shared" si="9"/>
        <v>15292200</v>
      </c>
      <c r="C175" s="8">
        <v>0</v>
      </c>
      <c r="D175" s="8">
        <v>0</v>
      </c>
      <c r="E175" s="8">
        <f t="shared" si="10"/>
        <v>2674000</v>
      </c>
      <c r="F175" s="8">
        <f t="shared" si="13"/>
        <v>12618200</v>
      </c>
      <c r="G175" s="18">
        <f t="shared" si="11"/>
        <v>5047280</v>
      </c>
      <c r="H175" s="8">
        <f t="shared" si="12"/>
        <v>10244920</v>
      </c>
    </row>
    <row r="176" spans="1:8">
      <c r="A176" s="7">
        <v>25</v>
      </c>
      <c r="B176" s="8">
        <f t="shared" si="9"/>
        <v>15292200</v>
      </c>
      <c r="C176" s="8">
        <v>0</v>
      </c>
      <c r="D176" s="8">
        <v>0</v>
      </c>
      <c r="E176" s="8">
        <f t="shared" si="10"/>
        <v>2674000</v>
      </c>
      <c r="F176" s="8">
        <f t="shared" si="13"/>
        <v>12618200</v>
      </c>
      <c r="G176" s="18">
        <f t="shared" si="11"/>
        <v>5047280</v>
      </c>
      <c r="H176" s="8">
        <f t="shared" si="12"/>
        <v>10244920</v>
      </c>
    </row>
    <row r="177" spans="1:11">
      <c r="A177" s="7">
        <v>26</v>
      </c>
      <c r="B177" s="8">
        <f t="shared" si="9"/>
        <v>15292200</v>
      </c>
      <c r="C177" s="8">
        <v>0</v>
      </c>
      <c r="D177" s="8">
        <v>0</v>
      </c>
      <c r="E177" s="8">
        <f t="shared" si="10"/>
        <v>2674000</v>
      </c>
      <c r="F177" s="8">
        <f t="shared" si="13"/>
        <v>12618200</v>
      </c>
      <c r="G177" s="18">
        <f t="shared" si="11"/>
        <v>5047280</v>
      </c>
      <c r="H177" s="8">
        <f t="shared" si="12"/>
        <v>10244920</v>
      </c>
    </row>
    <row r="178" spans="1:11">
      <c r="A178" s="7">
        <v>27</v>
      </c>
      <c r="B178" s="8">
        <f t="shared" si="9"/>
        <v>15292200</v>
      </c>
      <c r="C178" s="8">
        <v>0</v>
      </c>
      <c r="D178" s="8">
        <v>0</v>
      </c>
      <c r="E178" s="8">
        <f t="shared" si="10"/>
        <v>2674000</v>
      </c>
      <c r="F178" s="8">
        <f t="shared" si="13"/>
        <v>12618200</v>
      </c>
      <c r="G178" s="18">
        <f t="shared" si="11"/>
        <v>5047280</v>
      </c>
      <c r="H178" s="8">
        <f t="shared" si="12"/>
        <v>10244920</v>
      </c>
    </row>
    <row r="179" spans="1:11">
      <c r="A179" s="7">
        <v>28</v>
      </c>
      <c r="B179" s="8">
        <f t="shared" si="9"/>
        <v>15292200</v>
      </c>
      <c r="C179" s="8">
        <v>0</v>
      </c>
      <c r="D179" s="8">
        <v>0</v>
      </c>
      <c r="E179" s="8">
        <f t="shared" si="10"/>
        <v>2674000</v>
      </c>
      <c r="F179" s="8">
        <f t="shared" si="13"/>
        <v>12618200</v>
      </c>
      <c r="G179" s="18">
        <f t="shared" si="11"/>
        <v>5047280</v>
      </c>
      <c r="H179" s="8">
        <f t="shared" si="12"/>
        <v>10244920</v>
      </c>
    </row>
    <row r="180" spans="1:11">
      <c r="A180" s="7">
        <v>29</v>
      </c>
      <c r="B180" s="8">
        <f t="shared" si="9"/>
        <v>15292200</v>
      </c>
      <c r="C180" s="8">
        <v>0</v>
      </c>
      <c r="D180" s="8">
        <v>0</v>
      </c>
      <c r="E180" s="8">
        <f t="shared" si="10"/>
        <v>2674000</v>
      </c>
      <c r="F180" s="8">
        <f t="shared" si="13"/>
        <v>12618200</v>
      </c>
      <c r="G180" s="18">
        <f t="shared" si="11"/>
        <v>5047280</v>
      </c>
      <c r="H180" s="8">
        <f t="shared" si="12"/>
        <v>10244920</v>
      </c>
    </row>
    <row r="181" spans="1:11">
      <c r="A181" s="7">
        <v>30</v>
      </c>
      <c r="B181" s="8">
        <f t="shared" si="9"/>
        <v>49672200</v>
      </c>
      <c r="C181" s="8">
        <f>-C151</f>
        <v>34380000</v>
      </c>
      <c r="D181" s="8">
        <f>FV(5%,30,0,-C181)-C181</f>
        <v>114208378.85767978</v>
      </c>
      <c r="E181" s="8">
        <f t="shared" si="10"/>
        <v>2674000</v>
      </c>
      <c r="F181" s="8">
        <f>B181-D181-E181-E182</f>
        <v>-101590178.85767978</v>
      </c>
      <c r="G181" s="18">
        <f t="shared" si="11"/>
        <v>-40636071.543071918</v>
      </c>
      <c r="H181" s="8">
        <f t="shared" si="12"/>
        <v>-58280107.314607866</v>
      </c>
    </row>
    <row r="182" spans="1:11">
      <c r="D182" s="7" t="s">
        <v>68</v>
      </c>
      <c r="E182" s="8">
        <f>-B151-SUM(E152:E181)</f>
        <v>34380000</v>
      </c>
      <c r="G182" s="19" t="s">
        <v>69</v>
      </c>
      <c r="H182" s="8">
        <f>NPV(F113,H152:H181)+H151</f>
        <v>57617835.96130389</v>
      </c>
    </row>
    <row r="183" spans="1:11">
      <c r="G183" s="19" t="s">
        <v>70</v>
      </c>
      <c r="H183" s="16">
        <f>IRR(H151:H181)</f>
        <v>0.12003180336922514</v>
      </c>
    </row>
    <row r="184" spans="1:11" ht="18">
      <c r="A184" s="13" t="s">
        <v>72</v>
      </c>
    </row>
    <row r="185" spans="1:11">
      <c r="A185" s="6" t="s">
        <v>55</v>
      </c>
      <c r="B185" s="6" t="s">
        <v>61</v>
      </c>
      <c r="C185" s="6" t="s">
        <v>62</v>
      </c>
      <c r="D185" s="6" t="s">
        <v>63</v>
      </c>
      <c r="E185" s="6" t="s">
        <v>64</v>
      </c>
      <c r="F185" s="6" t="s">
        <v>65</v>
      </c>
      <c r="G185" s="6" t="s">
        <v>66</v>
      </c>
      <c r="H185" s="6" t="s">
        <v>67</v>
      </c>
      <c r="K185" s="6"/>
    </row>
    <row r="186" spans="1:11">
      <c r="A186" s="7">
        <v>0</v>
      </c>
      <c r="B186" s="8">
        <f>$C78</f>
        <v>-114600000</v>
      </c>
      <c r="C186" s="8">
        <f>-'Step 2 - WACC'!B6</f>
        <v>-34380000</v>
      </c>
      <c r="D186" s="8">
        <v>0</v>
      </c>
      <c r="E186" s="8">
        <f>D186</f>
        <v>0</v>
      </c>
      <c r="H186" s="8">
        <f t="shared" ref="H186:H216" si="14">B186-C186-D186-G186</f>
        <v>-80220000</v>
      </c>
    </row>
    <row r="187" spans="1:11">
      <c r="A187" s="7">
        <v>1</v>
      </c>
      <c r="B187" s="8">
        <f t="shared" ref="B187:B215" si="15">$C79</f>
        <v>15292200</v>
      </c>
      <c r="C187" s="8">
        <f t="shared" ref="C187:C216" si="16">PPMT($F$111,$A187,30,$C$186)</f>
        <v>517468.33805990894</v>
      </c>
      <c r="D187" s="8">
        <f t="shared" ref="D187:D216" si="17">IPMT($F$111,$A187,30,$C$186)</f>
        <v>1719000</v>
      </c>
      <c r="E187" s="8">
        <f>SLN(-$B$186,$F$110,30)</f>
        <v>2674000</v>
      </c>
      <c r="F187" s="8">
        <f>B187-D187-E187</f>
        <v>10899200</v>
      </c>
      <c r="G187" s="8">
        <f t="shared" ref="G187:G216" si="18">F187*$F$112</f>
        <v>4359680</v>
      </c>
      <c r="H187" s="8">
        <f t="shared" si="14"/>
        <v>8696051.6619400904</v>
      </c>
      <c r="K187" s="16"/>
    </row>
    <row r="188" spans="1:11">
      <c r="A188" s="7">
        <v>2</v>
      </c>
      <c r="B188" s="8">
        <f t="shared" si="15"/>
        <v>15598044</v>
      </c>
      <c r="C188" s="8">
        <f t="shared" si="16"/>
        <v>543341.75496290426</v>
      </c>
      <c r="D188" s="8">
        <f t="shared" si="17"/>
        <v>1693126.5830970046</v>
      </c>
      <c r="E188" s="8">
        <f t="shared" ref="E188:E216" si="19">SLN(-$B$186,$F$110,30)</f>
        <v>2674000</v>
      </c>
      <c r="F188" s="8">
        <f t="shared" ref="F188:F214" si="20">B188-D188-E188</f>
        <v>11230917.416902995</v>
      </c>
      <c r="G188" s="8">
        <f t="shared" si="18"/>
        <v>4492366.9667611979</v>
      </c>
      <c r="H188" s="8">
        <f t="shared" si="14"/>
        <v>8869208.6951788925</v>
      </c>
      <c r="K188" s="16"/>
    </row>
    <row r="189" spans="1:11">
      <c r="A189" s="7">
        <v>3</v>
      </c>
      <c r="B189" s="8">
        <f t="shared" si="15"/>
        <v>15910004.880000001</v>
      </c>
      <c r="C189" s="8">
        <f t="shared" si="16"/>
        <v>570508.84271104948</v>
      </c>
      <c r="D189" s="8">
        <f t="shared" si="17"/>
        <v>1665959.4953488596</v>
      </c>
      <c r="E189" s="8">
        <f t="shared" si="19"/>
        <v>2674000</v>
      </c>
      <c r="F189" s="8">
        <f t="shared" si="20"/>
        <v>11570045.384651141</v>
      </c>
      <c r="G189" s="8">
        <f t="shared" si="18"/>
        <v>4628018.1538604563</v>
      </c>
      <c r="H189" s="8">
        <f t="shared" si="14"/>
        <v>9045518.3880796358</v>
      </c>
      <c r="K189" s="16"/>
    </row>
    <row r="190" spans="1:11">
      <c r="A190" s="7">
        <v>4</v>
      </c>
      <c r="B190" s="8">
        <f t="shared" si="15"/>
        <v>16228204.977600001</v>
      </c>
      <c r="C190" s="8">
        <f t="shared" si="16"/>
        <v>599034.28484660201</v>
      </c>
      <c r="D190" s="8">
        <f t="shared" si="17"/>
        <v>1637434.0532133069</v>
      </c>
      <c r="E190" s="8">
        <f t="shared" si="19"/>
        <v>2674000</v>
      </c>
      <c r="F190" s="8">
        <f>B190-D190-E190</f>
        <v>11916770.924386693</v>
      </c>
      <c r="G190" s="8">
        <f t="shared" si="18"/>
        <v>4766708.3697546776</v>
      </c>
      <c r="H190" s="8">
        <f t="shared" si="14"/>
        <v>9225028.2697854135</v>
      </c>
      <c r="K190" s="16"/>
    </row>
    <row r="191" spans="1:11">
      <c r="A191" s="7">
        <v>5</v>
      </c>
      <c r="B191" s="8">
        <f t="shared" si="15"/>
        <v>16552769.077152001</v>
      </c>
      <c r="C191" s="8">
        <f t="shared" si="16"/>
        <v>628985.99908893206</v>
      </c>
      <c r="D191" s="8">
        <f t="shared" si="17"/>
        <v>1607482.3389709769</v>
      </c>
      <c r="E191" s="8">
        <f t="shared" si="19"/>
        <v>2674000</v>
      </c>
      <c r="F191" s="8">
        <f t="shared" si="20"/>
        <v>12271286.738181025</v>
      </c>
      <c r="G191" s="8">
        <f t="shared" si="18"/>
        <v>4908514.6952724103</v>
      </c>
      <c r="H191" s="8">
        <f t="shared" si="14"/>
        <v>9407786.0438196827</v>
      </c>
      <c r="K191" s="16"/>
    </row>
    <row r="192" spans="1:11">
      <c r="A192" s="7">
        <v>6</v>
      </c>
      <c r="B192" s="8">
        <f t="shared" si="15"/>
        <v>16883824.458695043</v>
      </c>
      <c r="C192" s="8">
        <f t="shared" si="16"/>
        <v>660435.29904337879</v>
      </c>
      <c r="D192" s="8">
        <f t="shared" si="17"/>
        <v>1576033.0390165304</v>
      </c>
      <c r="E192" s="8">
        <f t="shared" si="19"/>
        <v>2674000</v>
      </c>
      <c r="F192" s="8">
        <f t="shared" si="20"/>
        <v>12633791.419678513</v>
      </c>
      <c r="G192" s="8">
        <f t="shared" si="18"/>
        <v>5053516.5678714057</v>
      </c>
      <c r="H192" s="8">
        <f t="shared" si="14"/>
        <v>9593839.5527637266</v>
      </c>
      <c r="K192" s="16"/>
    </row>
    <row r="193" spans="1:11">
      <c r="A193" s="7">
        <v>7</v>
      </c>
      <c r="B193" s="8">
        <f t="shared" si="15"/>
        <v>17221500.947868943</v>
      </c>
      <c r="C193" s="8">
        <f t="shared" si="16"/>
        <v>693457.06399554771</v>
      </c>
      <c r="D193" s="8">
        <f t="shared" si="17"/>
        <v>1543011.2740643611</v>
      </c>
      <c r="E193" s="8">
        <f>SLN(-$B$186,$F$110,30)</f>
        <v>2674000</v>
      </c>
      <c r="F193" s="8">
        <f t="shared" si="20"/>
        <v>13004489.673804581</v>
      </c>
      <c r="G193" s="8">
        <f t="shared" si="18"/>
        <v>5201795.869521833</v>
      </c>
      <c r="H193" s="8">
        <f t="shared" si="14"/>
        <v>9783236.7402871996</v>
      </c>
      <c r="K193" s="16"/>
    </row>
    <row r="194" spans="1:11">
      <c r="A194" s="7">
        <v>8</v>
      </c>
      <c r="B194" s="8">
        <f t="shared" si="15"/>
        <v>17565930.966826323</v>
      </c>
      <c r="C194" s="8">
        <f t="shared" si="16"/>
        <v>728129.91719532514</v>
      </c>
      <c r="D194" s="8">
        <f t="shared" si="17"/>
        <v>1508338.4208645839</v>
      </c>
      <c r="E194" s="8">
        <f t="shared" si="19"/>
        <v>2674000</v>
      </c>
      <c r="F194" s="8">
        <f>B194-D194-E194</f>
        <v>13383592.545961739</v>
      </c>
      <c r="G194" s="8">
        <f t="shared" si="18"/>
        <v>5353437.018384696</v>
      </c>
      <c r="H194" s="8">
        <f t="shared" si="14"/>
        <v>9976025.6103817187</v>
      </c>
      <c r="K194" s="16"/>
    </row>
    <row r="195" spans="1:11">
      <c r="A195" s="7">
        <v>9</v>
      </c>
      <c r="B195" s="8">
        <f t="shared" si="15"/>
        <v>17917249.58616285</v>
      </c>
      <c r="C195" s="8">
        <f t="shared" si="16"/>
        <v>764536.41305509128</v>
      </c>
      <c r="D195" s="8">
        <f t="shared" si="17"/>
        <v>1471931.9250048178</v>
      </c>
      <c r="E195" s="8">
        <f>SLN(-$B$186,$F$110,30)</f>
        <v>2674000</v>
      </c>
      <c r="F195" s="8">
        <f t="shared" si="20"/>
        <v>13771317.661158033</v>
      </c>
      <c r="G195" s="8">
        <f t="shared" si="18"/>
        <v>5508527.0644632131</v>
      </c>
      <c r="H195" s="8">
        <f t="shared" si="14"/>
        <v>10172254.183639728</v>
      </c>
      <c r="K195" s="16"/>
    </row>
    <row r="196" spans="1:11">
      <c r="A196" s="7">
        <v>10</v>
      </c>
      <c r="B196" s="8">
        <f t="shared" si="15"/>
        <v>18275594.577886108</v>
      </c>
      <c r="C196" s="8">
        <f t="shared" si="16"/>
        <v>802763.23370784591</v>
      </c>
      <c r="D196" s="8">
        <f t="shared" si="17"/>
        <v>1433705.104352063</v>
      </c>
      <c r="E196" s="8">
        <f t="shared" si="19"/>
        <v>2674000</v>
      </c>
      <c r="F196" s="8">
        <f t="shared" si="20"/>
        <v>14167889.473534044</v>
      </c>
      <c r="G196" s="8">
        <f t="shared" si="18"/>
        <v>5667155.7894136179</v>
      </c>
      <c r="H196" s="8">
        <f t="shared" si="14"/>
        <v>10371970.450412583</v>
      </c>
      <c r="K196" s="16"/>
    </row>
    <row r="197" spans="1:11">
      <c r="A197" s="7">
        <v>11</v>
      </c>
      <c r="B197" s="8">
        <f t="shared" si="15"/>
        <v>18641106.469443832</v>
      </c>
      <c r="C197" s="8">
        <f t="shared" si="16"/>
        <v>842901.39539323829</v>
      </c>
      <c r="D197" s="8">
        <f t="shared" si="17"/>
        <v>1393566.9426666708</v>
      </c>
      <c r="E197" s="8">
        <f t="shared" si="19"/>
        <v>2674000</v>
      </c>
      <c r="F197" s="8">
        <f t="shared" si="20"/>
        <v>14573539.526777159</v>
      </c>
      <c r="G197" s="8">
        <f t="shared" si="18"/>
        <v>5829415.8107108641</v>
      </c>
      <c r="H197" s="8">
        <f t="shared" si="14"/>
        <v>10575222.32067306</v>
      </c>
      <c r="K197" s="16"/>
    </row>
    <row r="198" spans="1:11">
      <c r="A198" s="7">
        <v>12</v>
      </c>
      <c r="B198" s="8">
        <f t="shared" si="15"/>
        <v>19013928.598832708</v>
      </c>
      <c r="C198" s="8">
        <f t="shared" si="16"/>
        <v>885046.46516290016</v>
      </c>
      <c r="D198" s="8">
        <f t="shared" si="17"/>
        <v>1351421.8728970087</v>
      </c>
      <c r="E198" s="8">
        <f t="shared" si="19"/>
        <v>2674000</v>
      </c>
      <c r="F198" s="8">
        <f t="shared" si="20"/>
        <v>14988506.725935698</v>
      </c>
      <c r="G198" s="8">
        <f t="shared" si="18"/>
        <v>5995402.6903742794</v>
      </c>
      <c r="H198" s="8">
        <f t="shared" si="14"/>
        <v>10782057.570398519</v>
      </c>
      <c r="K198" s="16"/>
    </row>
    <row r="199" spans="1:11">
      <c r="A199" s="7">
        <v>13</v>
      </c>
      <c r="B199" s="8">
        <f t="shared" si="15"/>
        <v>19394207.170809362</v>
      </c>
      <c r="C199" s="8">
        <f t="shared" si="16"/>
        <v>929298.78842104506</v>
      </c>
      <c r="D199" s="8">
        <f t="shared" si="17"/>
        <v>1307169.5496388637</v>
      </c>
      <c r="E199" s="8">
        <f t="shared" si="19"/>
        <v>2674000</v>
      </c>
      <c r="F199" s="8">
        <f>B199-D199-E199</f>
        <v>15413037.621170498</v>
      </c>
      <c r="G199" s="8">
        <f t="shared" si="18"/>
        <v>6165215.0484681996</v>
      </c>
      <c r="H199" s="8">
        <f t="shared" si="14"/>
        <v>10992523.784281254</v>
      </c>
      <c r="K199" s="16"/>
    </row>
    <row r="200" spans="1:11">
      <c r="A200" s="7">
        <v>14</v>
      </c>
      <c r="B200" s="8">
        <f t="shared" si="15"/>
        <v>19782091.314225551</v>
      </c>
      <c r="C200" s="8">
        <f t="shared" si="16"/>
        <v>975763.7278420974</v>
      </c>
      <c r="D200" s="8">
        <f t="shared" si="17"/>
        <v>1260704.6102178115</v>
      </c>
      <c r="E200" s="8">
        <f t="shared" si="19"/>
        <v>2674000</v>
      </c>
      <c r="F200" s="8">
        <f t="shared" si="20"/>
        <v>15847386.704007737</v>
      </c>
      <c r="G200" s="8">
        <f t="shared" si="18"/>
        <v>6338954.6816030955</v>
      </c>
      <c r="H200" s="8">
        <f t="shared" si="14"/>
        <v>11206668.294562548</v>
      </c>
      <c r="K200" s="16"/>
    </row>
    <row r="201" spans="1:11">
      <c r="A201" s="7">
        <v>15</v>
      </c>
      <c r="B201" s="8">
        <f t="shared" si="15"/>
        <v>20177733.140510064</v>
      </c>
      <c r="C201" s="8">
        <f t="shared" si="16"/>
        <v>1024551.9142342022</v>
      </c>
      <c r="D201" s="8">
        <f t="shared" si="17"/>
        <v>1211916.4238257066</v>
      </c>
      <c r="E201" s="8">
        <f t="shared" si="19"/>
        <v>2674000</v>
      </c>
      <c r="F201" s="8">
        <f t="shared" si="20"/>
        <v>16291816.716684356</v>
      </c>
      <c r="G201" s="8">
        <f t="shared" si="18"/>
        <v>6516726.6866737427</v>
      </c>
      <c r="H201" s="8">
        <f t="shared" si="14"/>
        <v>11424538.115776412</v>
      </c>
      <c r="K201" s="16"/>
    </row>
    <row r="202" spans="1:11">
      <c r="A202" s="7">
        <v>16</v>
      </c>
      <c r="B202" s="8">
        <f t="shared" si="15"/>
        <v>20581287.803320266</v>
      </c>
      <c r="C202" s="8">
        <f t="shared" si="16"/>
        <v>1075779.5099459125</v>
      </c>
      <c r="D202" s="8">
        <f t="shared" si="17"/>
        <v>1160688.8281139964</v>
      </c>
      <c r="E202" s="8">
        <f t="shared" si="19"/>
        <v>2674000</v>
      </c>
      <c r="F202" s="8">
        <f t="shared" si="20"/>
        <v>16746598.975206271</v>
      </c>
      <c r="G202" s="8">
        <f t="shared" si="18"/>
        <v>6698639.5900825085</v>
      </c>
      <c r="H202" s="8">
        <f t="shared" si="14"/>
        <v>11646179.875177849</v>
      </c>
      <c r="K202" s="16"/>
    </row>
    <row r="203" spans="1:11">
      <c r="A203" s="7">
        <v>17</v>
      </c>
      <c r="B203" s="8">
        <f t="shared" si="15"/>
        <v>20992913.559386671</v>
      </c>
      <c r="C203" s="8">
        <f t="shared" si="16"/>
        <v>1129568.4854432081</v>
      </c>
      <c r="D203" s="8">
        <f t="shared" si="17"/>
        <v>1106899.852616701</v>
      </c>
      <c r="E203" s="8">
        <f t="shared" si="19"/>
        <v>2674000</v>
      </c>
      <c r="F203" s="8">
        <f t="shared" si="20"/>
        <v>17212013.706769969</v>
      </c>
      <c r="G203" s="8">
        <f t="shared" si="18"/>
        <v>6884805.4827079885</v>
      </c>
      <c r="H203" s="8">
        <f t="shared" si="14"/>
        <v>11871639.738618772</v>
      </c>
      <c r="K203" s="16"/>
    </row>
    <row r="204" spans="1:11">
      <c r="A204" s="7">
        <v>18</v>
      </c>
      <c r="B204" s="8">
        <f t="shared" si="15"/>
        <v>21412771.830574404</v>
      </c>
      <c r="C204" s="8">
        <f t="shared" si="16"/>
        <v>1186046.9097153684</v>
      </c>
      <c r="D204" s="8">
        <f t="shared" si="17"/>
        <v>1050421.4283445405</v>
      </c>
      <c r="E204" s="8">
        <f t="shared" si="19"/>
        <v>2674000</v>
      </c>
      <c r="F204" s="8">
        <f t="shared" si="20"/>
        <v>17688350.402229864</v>
      </c>
      <c r="G204" s="8">
        <f t="shared" si="18"/>
        <v>7075340.1608919464</v>
      </c>
      <c r="H204" s="8">
        <f t="shared" si="14"/>
        <v>12100963.331622548</v>
      </c>
      <c r="K204" s="16"/>
    </row>
    <row r="205" spans="1:11">
      <c r="A205" s="7">
        <v>19</v>
      </c>
      <c r="B205" s="8">
        <f t="shared" si="15"/>
        <v>21841027.267185893</v>
      </c>
      <c r="C205" s="8">
        <f t="shared" si="16"/>
        <v>1245349.2552011372</v>
      </c>
      <c r="D205" s="8">
        <f t="shared" si="17"/>
        <v>991119.0828587719</v>
      </c>
      <c r="E205" s="8">
        <f t="shared" si="19"/>
        <v>2674000</v>
      </c>
      <c r="F205" s="8">
        <f t="shared" si="20"/>
        <v>18175908.184327122</v>
      </c>
      <c r="G205" s="8">
        <f t="shared" si="18"/>
        <v>7270363.2737308489</v>
      </c>
      <c r="H205" s="8">
        <f t="shared" si="14"/>
        <v>12334195.655395135</v>
      </c>
      <c r="K205" s="16"/>
    </row>
    <row r="206" spans="1:11">
      <c r="A206" s="7">
        <v>20</v>
      </c>
      <c r="B206" s="8">
        <f t="shared" si="15"/>
        <v>22277847.812529612</v>
      </c>
      <c r="C206" s="8">
        <f t="shared" si="16"/>
        <v>1307616.7179611938</v>
      </c>
      <c r="D206" s="8">
        <f t="shared" si="17"/>
        <v>928851.6200987153</v>
      </c>
      <c r="E206" s="8">
        <f t="shared" si="19"/>
        <v>2674000</v>
      </c>
      <c r="F206" s="8">
        <f t="shared" si="20"/>
        <v>18674996.192430899</v>
      </c>
      <c r="G206" s="8">
        <f t="shared" si="18"/>
        <v>7469998.4769723602</v>
      </c>
      <c r="H206" s="8">
        <f t="shared" si="14"/>
        <v>12571380.997497346</v>
      </c>
      <c r="K206" s="16"/>
    </row>
    <row r="207" spans="1:11">
      <c r="A207" s="7">
        <v>21</v>
      </c>
      <c r="B207" s="8">
        <f t="shared" si="15"/>
        <v>22723404.768780205</v>
      </c>
      <c r="C207" s="8">
        <f t="shared" si="16"/>
        <v>1372997.5538592534</v>
      </c>
      <c r="D207" s="8">
        <f t="shared" si="17"/>
        <v>863470.78420065553</v>
      </c>
      <c r="E207" s="8">
        <f t="shared" si="19"/>
        <v>2674000</v>
      </c>
      <c r="F207" s="8">
        <f t="shared" si="20"/>
        <v>19185933.984579548</v>
      </c>
      <c r="G207" s="8">
        <f t="shared" si="18"/>
        <v>7674373.5938318195</v>
      </c>
      <c r="H207" s="8">
        <f t="shared" si="14"/>
        <v>12812562.836888477</v>
      </c>
      <c r="K207" s="16"/>
    </row>
    <row r="208" spans="1:11">
      <c r="A208" s="7">
        <v>22</v>
      </c>
      <c r="B208" s="8">
        <f t="shared" si="15"/>
        <v>23177872.86415581</v>
      </c>
      <c r="C208" s="8">
        <f t="shared" si="16"/>
        <v>1441647.4315522162</v>
      </c>
      <c r="D208" s="8">
        <f t="shared" si="17"/>
        <v>794820.90650769277</v>
      </c>
      <c r="E208" s="8">
        <f t="shared" si="19"/>
        <v>2674000</v>
      </c>
      <c r="F208" s="8">
        <f t="shared" si="20"/>
        <v>19709051.957648117</v>
      </c>
      <c r="G208" s="8">
        <f t="shared" si="18"/>
        <v>7883620.7830592468</v>
      </c>
      <c r="H208" s="8">
        <f t="shared" si="14"/>
        <v>13057783.743036654</v>
      </c>
      <c r="K208" s="16"/>
    </row>
    <row r="209" spans="1:11">
      <c r="A209" s="7">
        <v>23</v>
      </c>
      <c r="B209" s="8">
        <f t="shared" si="15"/>
        <v>23641430.321438927</v>
      </c>
      <c r="C209" s="8">
        <f t="shared" si="16"/>
        <v>1513729.8031298269</v>
      </c>
      <c r="D209" s="8">
        <f t="shared" si="17"/>
        <v>722738.53493008204</v>
      </c>
      <c r="E209" s="8">
        <f t="shared" si="19"/>
        <v>2674000</v>
      </c>
      <c r="F209" s="8">
        <f t="shared" si="20"/>
        <v>20244691.786508843</v>
      </c>
      <c r="G209" s="8">
        <f t="shared" si="18"/>
        <v>8097876.7146035377</v>
      </c>
      <c r="H209" s="8">
        <f t="shared" si="14"/>
        <v>13307085.268775484</v>
      </c>
      <c r="K209" s="16"/>
    </row>
    <row r="210" spans="1:11">
      <c r="A210" s="7">
        <v>24</v>
      </c>
      <c r="B210" s="8">
        <f t="shared" si="15"/>
        <v>24114258.927867707</v>
      </c>
      <c r="C210" s="8">
        <f t="shared" si="16"/>
        <v>1589416.2932863182</v>
      </c>
      <c r="D210" s="8">
        <f t="shared" si="17"/>
        <v>647052.04477359063</v>
      </c>
      <c r="E210" s="8">
        <f t="shared" si="19"/>
        <v>2674000</v>
      </c>
      <c r="F210" s="8">
        <f t="shared" si="20"/>
        <v>20793206.883094117</v>
      </c>
      <c r="G210" s="8">
        <f t="shared" si="18"/>
        <v>8317282.753237647</v>
      </c>
      <c r="H210" s="8">
        <f t="shared" si="14"/>
        <v>13560507.836570151</v>
      </c>
      <c r="K210" s="16"/>
    </row>
    <row r="211" spans="1:11">
      <c r="A211" s="7">
        <v>25</v>
      </c>
      <c r="B211" s="8">
        <f t="shared" si="15"/>
        <v>24596544.106425062</v>
      </c>
      <c r="C211" s="8">
        <f t="shared" si="16"/>
        <v>1668887.1079506343</v>
      </c>
      <c r="D211" s="8">
        <f t="shared" si="17"/>
        <v>567581.23010927462</v>
      </c>
      <c r="E211" s="8">
        <f t="shared" si="19"/>
        <v>2674000</v>
      </c>
      <c r="F211" s="8">
        <f t="shared" si="20"/>
        <v>21354962.876315787</v>
      </c>
      <c r="G211" s="8">
        <f t="shared" si="18"/>
        <v>8541985.150526315</v>
      </c>
      <c r="H211" s="8">
        <f t="shared" si="14"/>
        <v>13818090.617838837</v>
      </c>
      <c r="K211" s="16"/>
    </row>
    <row r="212" spans="1:11">
      <c r="A212" s="7">
        <v>26</v>
      </c>
      <c r="B212" s="8">
        <f t="shared" si="15"/>
        <v>25088474.988553565</v>
      </c>
      <c r="C212" s="8">
        <f t="shared" si="16"/>
        <v>1752331.4633481661</v>
      </c>
      <c r="D212" s="8">
        <f t="shared" si="17"/>
        <v>484136.87471174292</v>
      </c>
      <c r="E212" s="8">
        <f t="shared" si="19"/>
        <v>2674000</v>
      </c>
      <c r="F212" s="8">
        <f t="shared" si="20"/>
        <v>21930338.113841821</v>
      </c>
      <c r="G212" s="8">
        <f t="shared" si="18"/>
        <v>8772135.2455367278</v>
      </c>
      <c r="H212" s="8">
        <f t="shared" si="14"/>
        <v>14079871.404956928</v>
      </c>
      <c r="K212" s="16"/>
    </row>
    <row r="213" spans="1:11">
      <c r="A213" s="7">
        <v>27</v>
      </c>
      <c r="B213" s="8">
        <f t="shared" si="15"/>
        <v>25590244.488324638</v>
      </c>
      <c r="C213" s="8">
        <f t="shared" si="16"/>
        <v>1839948.0365155747</v>
      </c>
      <c r="D213" s="8">
        <f t="shared" si="17"/>
        <v>396520.30154433456</v>
      </c>
      <c r="E213" s="8">
        <f t="shared" si="19"/>
        <v>2674000</v>
      </c>
      <c r="F213" s="8">
        <f t="shared" si="20"/>
        <v>22519724.186780304</v>
      </c>
      <c r="G213" s="8">
        <f t="shared" si="18"/>
        <v>9007889.6747121215</v>
      </c>
      <c r="H213" s="8">
        <f t="shared" si="14"/>
        <v>14345886.475552607</v>
      </c>
      <c r="K213" s="16"/>
    </row>
    <row r="214" spans="1:11">
      <c r="A214" s="7">
        <v>28</v>
      </c>
      <c r="B214" s="8">
        <f t="shared" si="15"/>
        <v>26102049.37809113</v>
      </c>
      <c r="C214" s="8">
        <f t="shared" si="16"/>
        <v>1931945.4383413531</v>
      </c>
      <c r="D214" s="8">
        <f t="shared" si="17"/>
        <v>304522.8997185558</v>
      </c>
      <c r="E214" s="8">
        <f t="shared" si="19"/>
        <v>2674000</v>
      </c>
      <c r="F214" s="8">
        <f t="shared" si="20"/>
        <v>23123526.478372574</v>
      </c>
      <c r="G214" s="8">
        <f t="shared" si="18"/>
        <v>9249410.5913490299</v>
      </c>
      <c r="H214" s="8">
        <f t="shared" si="14"/>
        <v>14616170.448682191</v>
      </c>
      <c r="K214" s="16"/>
    </row>
    <row r="215" spans="1:11">
      <c r="A215" s="7">
        <v>29</v>
      </c>
      <c r="B215" s="8">
        <f t="shared" si="15"/>
        <v>26624090.365652952</v>
      </c>
      <c r="C215" s="8">
        <f t="shared" si="16"/>
        <v>2028542.7102584206</v>
      </c>
      <c r="D215" s="8">
        <f t="shared" si="17"/>
        <v>207925.62780148815</v>
      </c>
      <c r="E215" s="8">
        <f t="shared" si="19"/>
        <v>2674000</v>
      </c>
      <c r="F215" s="8">
        <f>B215-D215-E215</f>
        <v>23742164.737851463</v>
      </c>
      <c r="G215" s="8">
        <f t="shared" si="18"/>
        <v>9496865.8951405864</v>
      </c>
      <c r="H215" s="8">
        <f t="shared" si="14"/>
        <v>14890756.132452456</v>
      </c>
      <c r="K215" s="16"/>
    </row>
    <row r="216" spans="1:11">
      <c r="A216" s="7">
        <v>30</v>
      </c>
      <c r="B216" s="8">
        <f>$C108</f>
        <v>61536572.172966011</v>
      </c>
      <c r="C216" s="8">
        <f t="shared" si="16"/>
        <v>2129969.8457713421</v>
      </c>
      <c r="D216" s="8">
        <f t="shared" si="17"/>
        <v>106498.49228856713</v>
      </c>
      <c r="E216" s="8">
        <f t="shared" si="19"/>
        <v>2674000</v>
      </c>
      <c r="F216" s="8">
        <f>B216-D216-E216-E217</f>
        <v>24376073.680677444</v>
      </c>
      <c r="G216" s="8">
        <f t="shared" si="18"/>
        <v>9750429.4722709786</v>
      </c>
      <c r="H216" s="8">
        <f t="shared" si="14"/>
        <v>49549674.362635121</v>
      </c>
      <c r="K216" s="16"/>
    </row>
    <row r="217" spans="1:11">
      <c r="B217" s="8"/>
      <c r="C217" s="8"/>
      <c r="D217" s="10" t="s">
        <v>68</v>
      </c>
      <c r="E217" s="8">
        <f>-$B$186-SUM(E187:E216)</f>
        <v>34380000</v>
      </c>
      <c r="F217" s="8"/>
      <c r="G217" s="8"/>
      <c r="H217" s="8"/>
      <c r="K217" s="16"/>
    </row>
    <row r="218" spans="1:11">
      <c r="G218" s="10" t="s">
        <v>69</v>
      </c>
      <c r="H218" s="8">
        <f>NPV(F113,H187:H216)+H186</f>
        <v>88701935.980232</v>
      </c>
    </row>
    <row r="219" spans="1:11">
      <c r="G219" s="10" t="s">
        <v>70</v>
      </c>
      <c r="H219" s="12">
        <f>IRR(H186:H216)</f>
        <v>0.12351602237844328</v>
      </c>
    </row>
    <row r="220" spans="1:11" ht="18">
      <c r="A220" s="13" t="s">
        <v>73</v>
      </c>
      <c r="G220" s="8"/>
      <c r="H220" s="12"/>
    </row>
    <row r="221" spans="1:11">
      <c r="A221" s="6" t="s">
        <v>55</v>
      </c>
      <c r="B221" s="6" t="s">
        <v>61</v>
      </c>
      <c r="C221" s="6" t="s">
        <v>62</v>
      </c>
      <c r="D221" s="6" t="s">
        <v>63</v>
      </c>
      <c r="E221" s="6" t="s">
        <v>64</v>
      </c>
      <c r="F221" s="6" t="s">
        <v>65</v>
      </c>
      <c r="G221" s="8" t="s">
        <v>74</v>
      </c>
      <c r="H221" s="8" t="s">
        <v>67</v>
      </c>
      <c r="K221" s="6"/>
    </row>
    <row r="222" spans="1:11">
      <c r="A222" s="7">
        <v>0</v>
      </c>
      <c r="B222" s="8">
        <f>$C78</f>
        <v>-114600000</v>
      </c>
      <c r="C222" s="8">
        <f>-'Step 2 - WACC'!B6</f>
        <v>-34380000</v>
      </c>
      <c r="D222" s="8">
        <v>0</v>
      </c>
      <c r="E222" s="8">
        <v>0</v>
      </c>
      <c r="H222" s="8">
        <f t="shared" ref="H222:H252" si="21">B222-C222-D222-G222</f>
        <v>-80220000</v>
      </c>
    </row>
    <row r="223" spans="1:11">
      <c r="A223" s="7">
        <v>1</v>
      </c>
      <c r="B223" s="8">
        <f t="shared" ref="B223:B252" si="22">$C79</f>
        <v>15292200</v>
      </c>
      <c r="C223" s="8">
        <v>0</v>
      </c>
      <c r="D223" s="8">
        <v>0</v>
      </c>
      <c r="E223" s="8">
        <f>SLN(-$B$222,$F$110,30)</f>
        <v>2674000</v>
      </c>
      <c r="F223" s="8">
        <f>B223-D223-E223</f>
        <v>12618200</v>
      </c>
      <c r="G223" s="8">
        <f t="shared" ref="G223:G252" si="23">F223*$F$112</f>
        <v>5047280</v>
      </c>
      <c r="H223" s="8">
        <f t="shared" si="21"/>
        <v>10244920</v>
      </c>
      <c r="K223" s="16"/>
    </row>
    <row r="224" spans="1:11">
      <c r="A224" s="7">
        <v>2</v>
      </c>
      <c r="B224" s="8">
        <f t="shared" si="22"/>
        <v>15598044</v>
      </c>
      <c r="C224" s="8">
        <v>0</v>
      </c>
      <c r="D224" s="8">
        <v>0</v>
      </c>
      <c r="E224" s="8">
        <f t="shared" ref="E224:E252" si="24">SLN(-$B$222,$F$110,30)</f>
        <v>2674000</v>
      </c>
      <c r="F224" s="8">
        <f t="shared" ref="F224:F250" si="25">B224-D224-E224</f>
        <v>12924044</v>
      </c>
      <c r="G224" s="8">
        <f t="shared" si="23"/>
        <v>5169617.6000000006</v>
      </c>
      <c r="H224" s="8">
        <f t="shared" si="21"/>
        <v>10428426.399999999</v>
      </c>
      <c r="K224" s="16"/>
    </row>
    <row r="225" spans="1:11">
      <c r="A225" s="7">
        <v>3</v>
      </c>
      <c r="B225" s="8">
        <f t="shared" si="22"/>
        <v>15910004.880000001</v>
      </c>
      <c r="C225" s="8">
        <v>0</v>
      </c>
      <c r="D225" s="8">
        <v>0</v>
      </c>
      <c r="E225" s="8">
        <f t="shared" si="24"/>
        <v>2674000</v>
      </c>
      <c r="F225" s="8">
        <f t="shared" si="25"/>
        <v>13236004.880000001</v>
      </c>
      <c r="G225" s="8">
        <f t="shared" si="23"/>
        <v>5294401.9520000005</v>
      </c>
      <c r="H225" s="8">
        <f t="shared" si="21"/>
        <v>10615602.927999999</v>
      </c>
      <c r="K225" s="16"/>
    </row>
    <row r="226" spans="1:11">
      <c r="A226" s="7">
        <v>4</v>
      </c>
      <c r="B226" s="8">
        <f t="shared" si="22"/>
        <v>16228204.977600001</v>
      </c>
      <c r="C226" s="8">
        <v>0</v>
      </c>
      <c r="D226" s="8">
        <v>0</v>
      </c>
      <c r="E226" s="8">
        <f>SLN(-$B$222,$F$110,30)</f>
        <v>2674000</v>
      </c>
      <c r="F226" s="8">
        <f>B226-D226-E226</f>
        <v>13554204.977600001</v>
      </c>
      <c r="G226" s="8">
        <f t="shared" si="23"/>
        <v>5421681.9910400007</v>
      </c>
      <c r="H226" s="8">
        <f t="shared" si="21"/>
        <v>10806522.98656</v>
      </c>
      <c r="K226" s="16"/>
    </row>
    <row r="227" spans="1:11">
      <c r="A227" s="7">
        <v>5</v>
      </c>
      <c r="B227" s="8">
        <f t="shared" si="22"/>
        <v>16552769.077152001</v>
      </c>
      <c r="C227" s="8">
        <v>0</v>
      </c>
      <c r="D227" s="8">
        <v>0</v>
      </c>
      <c r="E227" s="8">
        <f t="shared" si="24"/>
        <v>2674000</v>
      </c>
      <c r="F227" s="8">
        <f t="shared" si="25"/>
        <v>13878769.077152001</v>
      </c>
      <c r="G227" s="8">
        <f t="shared" si="23"/>
        <v>5551507.6308608009</v>
      </c>
      <c r="H227" s="8">
        <f t="shared" si="21"/>
        <v>11001261.446291201</v>
      </c>
      <c r="K227" s="16"/>
    </row>
    <row r="228" spans="1:11">
      <c r="A228" s="7">
        <v>6</v>
      </c>
      <c r="B228" s="8">
        <f t="shared" si="22"/>
        <v>16883824.458695043</v>
      </c>
      <c r="C228" s="8">
        <v>0</v>
      </c>
      <c r="D228" s="8">
        <v>0</v>
      </c>
      <c r="E228" s="8">
        <f t="shared" si="24"/>
        <v>2674000</v>
      </c>
      <c r="F228" s="8">
        <f t="shared" si="25"/>
        <v>14209824.458695043</v>
      </c>
      <c r="G228" s="8">
        <f t="shared" si="23"/>
        <v>5683929.7834780179</v>
      </c>
      <c r="H228" s="8">
        <f t="shared" si="21"/>
        <v>11199894.675217025</v>
      </c>
      <c r="K228" s="16"/>
    </row>
    <row r="229" spans="1:11">
      <c r="A229" s="7">
        <v>7</v>
      </c>
      <c r="B229" s="8">
        <f t="shared" si="22"/>
        <v>17221500.947868943</v>
      </c>
      <c r="C229" s="8">
        <v>0</v>
      </c>
      <c r="D229" s="8">
        <v>0</v>
      </c>
      <c r="E229" s="8">
        <f t="shared" si="24"/>
        <v>2674000</v>
      </c>
      <c r="F229" s="8">
        <f t="shared" si="25"/>
        <v>14547500.947868943</v>
      </c>
      <c r="G229" s="8">
        <f t="shared" si="23"/>
        <v>5819000.379147578</v>
      </c>
      <c r="H229" s="8">
        <f t="shared" si="21"/>
        <v>11402500.568721365</v>
      </c>
      <c r="K229" s="16"/>
    </row>
    <row r="230" spans="1:11">
      <c r="A230" s="7">
        <v>8</v>
      </c>
      <c r="B230" s="8">
        <f t="shared" si="22"/>
        <v>17565930.966826323</v>
      </c>
      <c r="C230" s="8">
        <v>0</v>
      </c>
      <c r="D230" s="8">
        <v>0</v>
      </c>
      <c r="E230" s="8">
        <f t="shared" si="24"/>
        <v>2674000</v>
      </c>
      <c r="F230" s="8">
        <f t="shared" si="25"/>
        <v>14891930.966826323</v>
      </c>
      <c r="G230" s="8">
        <f t="shared" si="23"/>
        <v>5956772.3867305294</v>
      </c>
      <c r="H230" s="8">
        <f t="shared" si="21"/>
        <v>11609158.580095794</v>
      </c>
      <c r="K230" s="16"/>
    </row>
    <row r="231" spans="1:11">
      <c r="A231" s="7">
        <v>9</v>
      </c>
      <c r="B231" s="8">
        <f t="shared" si="22"/>
        <v>17917249.58616285</v>
      </c>
      <c r="C231" s="8">
        <v>0</v>
      </c>
      <c r="D231" s="8">
        <v>0</v>
      </c>
      <c r="E231" s="8">
        <f t="shared" si="24"/>
        <v>2674000</v>
      </c>
      <c r="F231" s="8">
        <f t="shared" si="25"/>
        <v>15243249.58616285</v>
      </c>
      <c r="G231" s="8">
        <f t="shared" si="23"/>
        <v>6097299.8344651405</v>
      </c>
      <c r="H231" s="8">
        <f t="shared" si="21"/>
        <v>11819949.75169771</v>
      </c>
      <c r="K231" s="16"/>
    </row>
    <row r="232" spans="1:11">
      <c r="A232" s="7">
        <v>10</v>
      </c>
      <c r="B232" s="8">
        <f t="shared" si="22"/>
        <v>18275594.577886108</v>
      </c>
      <c r="C232" s="8">
        <v>0</v>
      </c>
      <c r="D232" s="8">
        <v>0</v>
      </c>
      <c r="E232" s="8">
        <f t="shared" si="24"/>
        <v>2674000</v>
      </c>
      <c r="F232" s="8">
        <f t="shared" si="25"/>
        <v>15601594.577886108</v>
      </c>
      <c r="G232" s="8">
        <f t="shared" si="23"/>
        <v>6240637.8311544433</v>
      </c>
      <c r="H232" s="8">
        <f t="shared" si="21"/>
        <v>12034956.746731665</v>
      </c>
      <c r="K232" s="16"/>
    </row>
    <row r="233" spans="1:11">
      <c r="A233" s="7">
        <v>11</v>
      </c>
      <c r="B233" s="8">
        <f t="shared" si="22"/>
        <v>18641106.469443832</v>
      </c>
      <c r="C233" s="8">
        <v>0</v>
      </c>
      <c r="D233" s="8">
        <v>0</v>
      </c>
      <c r="E233" s="8">
        <f t="shared" si="24"/>
        <v>2674000</v>
      </c>
      <c r="F233" s="8">
        <f t="shared" si="25"/>
        <v>15967106.469443832</v>
      </c>
      <c r="G233" s="8">
        <f t="shared" si="23"/>
        <v>6386842.5877775326</v>
      </c>
      <c r="H233" s="8">
        <f t="shared" si="21"/>
        <v>12254263.881666299</v>
      </c>
      <c r="K233" s="16"/>
    </row>
    <row r="234" spans="1:11">
      <c r="A234" s="7">
        <v>12</v>
      </c>
      <c r="B234" s="8">
        <f t="shared" si="22"/>
        <v>19013928.598832708</v>
      </c>
      <c r="C234" s="8">
        <v>0</v>
      </c>
      <c r="D234" s="8">
        <v>0</v>
      </c>
      <c r="E234" s="8">
        <f t="shared" si="24"/>
        <v>2674000</v>
      </c>
      <c r="F234" s="8">
        <f t="shared" si="25"/>
        <v>16339928.598832708</v>
      </c>
      <c r="G234" s="8">
        <f t="shared" si="23"/>
        <v>6535971.4395330837</v>
      </c>
      <c r="H234" s="8">
        <f t="shared" si="21"/>
        <v>12477957.159299623</v>
      </c>
      <c r="K234" s="16"/>
    </row>
    <row r="235" spans="1:11">
      <c r="A235" s="7">
        <v>13</v>
      </c>
      <c r="B235" s="8">
        <f t="shared" si="22"/>
        <v>19394207.170809362</v>
      </c>
      <c r="C235" s="8">
        <v>0</v>
      </c>
      <c r="D235" s="8">
        <v>0</v>
      </c>
      <c r="E235" s="8">
        <f t="shared" si="24"/>
        <v>2674000</v>
      </c>
      <c r="F235" s="8">
        <f t="shared" si="25"/>
        <v>16720207.170809362</v>
      </c>
      <c r="G235" s="8">
        <f t="shared" si="23"/>
        <v>6688082.8683237452</v>
      </c>
      <c r="H235" s="8">
        <f t="shared" si="21"/>
        <v>12706124.302485617</v>
      </c>
      <c r="K235" s="16"/>
    </row>
    <row r="236" spans="1:11">
      <c r="A236" s="7">
        <v>14</v>
      </c>
      <c r="B236" s="8">
        <f t="shared" si="22"/>
        <v>19782091.314225551</v>
      </c>
      <c r="C236" s="8">
        <v>0</v>
      </c>
      <c r="D236" s="8">
        <v>0</v>
      </c>
      <c r="E236" s="8">
        <f t="shared" si="24"/>
        <v>2674000</v>
      </c>
      <c r="F236" s="8">
        <f t="shared" si="25"/>
        <v>17108091.314225551</v>
      </c>
      <c r="G236" s="8">
        <f t="shared" si="23"/>
        <v>6843236.5256902203</v>
      </c>
      <c r="H236" s="8">
        <f t="shared" si="21"/>
        <v>12938854.78853533</v>
      </c>
      <c r="K236" s="16"/>
    </row>
    <row r="237" spans="1:11">
      <c r="A237" s="7">
        <v>15</v>
      </c>
      <c r="B237" s="8">
        <f t="shared" si="22"/>
        <v>20177733.140510064</v>
      </c>
      <c r="C237" s="8">
        <v>0</v>
      </c>
      <c r="D237" s="8">
        <v>0</v>
      </c>
      <c r="E237" s="8">
        <f t="shared" si="24"/>
        <v>2674000</v>
      </c>
      <c r="F237" s="8">
        <f t="shared" si="25"/>
        <v>17503733.140510064</v>
      </c>
      <c r="G237" s="8">
        <f t="shared" si="23"/>
        <v>7001493.2562040258</v>
      </c>
      <c r="H237" s="8">
        <f t="shared" si="21"/>
        <v>13176239.884306038</v>
      </c>
      <c r="K237" s="16"/>
    </row>
    <row r="238" spans="1:11">
      <c r="A238" s="7">
        <v>16</v>
      </c>
      <c r="B238" s="8">
        <f t="shared" si="22"/>
        <v>20581287.803320266</v>
      </c>
      <c r="C238" s="8">
        <v>0</v>
      </c>
      <c r="D238" s="8">
        <v>0</v>
      </c>
      <c r="E238" s="8">
        <f t="shared" si="24"/>
        <v>2674000</v>
      </c>
      <c r="F238" s="8">
        <f t="shared" si="25"/>
        <v>17907287.803320266</v>
      </c>
      <c r="G238" s="8">
        <f t="shared" si="23"/>
        <v>7162915.1213281071</v>
      </c>
      <c r="H238" s="8">
        <f t="shared" si="21"/>
        <v>13418372.681992158</v>
      </c>
      <c r="K238" s="16"/>
    </row>
    <row r="239" spans="1:11">
      <c r="A239" s="7">
        <v>17</v>
      </c>
      <c r="B239" s="8">
        <f t="shared" si="22"/>
        <v>20992913.559386671</v>
      </c>
      <c r="C239" s="8">
        <v>0</v>
      </c>
      <c r="D239" s="8">
        <v>0</v>
      </c>
      <c r="E239" s="8">
        <f t="shared" si="24"/>
        <v>2674000</v>
      </c>
      <c r="F239" s="8">
        <f t="shared" si="25"/>
        <v>18318913.559386671</v>
      </c>
      <c r="G239" s="8">
        <f t="shared" si="23"/>
        <v>7327565.4237546688</v>
      </c>
      <c r="H239" s="8">
        <f t="shared" si="21"/>
        <v>13665348.135632001</v>
      </c>
      <c r="K239" s="16"/>
    </row>
    <row r="240" spans="1:11">
      <c r="A240" s="7">
        <v>18</v>
      </c>
      <c r="B240" s="8">
        <f t="shared" si="22"/>
        <v>21412771.830574404</v>
      </c>
      <c r="C240" s="8">
        <v>0</v>
      </c>
      <c r="D240" s="8">
        <v>0</v>
      </c>
      <c r="E240" s="8">
        <f t="shared" si="24"/>
        <v>2674000</v>
      </c>
      <c r="F240" s="8">
        <f t="shared" si="25"/>
        <v>18738771.830574404</v>
      </c>
      <c r="G240" s="8">
        <f t="shared" si="23"/>
        <v>7495508.7322297618</v>
      </c>
      <c r="H240" s="8">
        <f t="shared" si="21"/>
        <v>13917263.098344643</v>
      </c>
      <c r="K240" s="16"/>
    </row>
    <row r="241" spans="1:11">
      <c r="A241" s="7">
        <v>19</v>
      </c>
      <c r="B241" s="8">
        <f t="shared" si="22"/>
        <v>21841027.267185893</v>
      </c>
      <c r="C241" s="8">
        <v>0</v>
      </c>
      <c r="D241" s="8">
        <v>0</v>
      </c>
      <c r="E241" s="8">
        <f t="shared" si="24"/>
        <v>2674000</v>
      </c>
      <c r="F241" s="8">
        <f t="shared" si="25"/>
        <v>19167027.267185893</v>
      </c>
      <c r="G241" s="8">
        <f t="shared" si="23"/>
        <v>7666810.9068743577</v>
      </c>
      <c r="H241" s="8">
        <f t="shared" si="21"/>
        <v>14174216.360311534</v>
      </c>
      <c r="K241" s="16"/>
    </row>
    <row r="242" spans="1:11">
      <c r="A242" s="7">
        <v>20</v>
      </c>
      <c r="B242" s="8">
        <f t="shared" si="22"/>
        <v>22277847.812529612</v>
      </c>
      <c r="C242" s="8">
        <v>0</v>
      </c>
      <c r="D242" s="8">
        <v>0</v>
      </c>
      <c r="E242" s="8">
        <f t="shared" si="24"/>
        <v>2674000</v>
      </c>
      <c r="F242" s="8">
        <f t="shared" si="25"/>
        <v>19603847.812529612</v>
      </c>
      <c r="G242" s="8">
        <f t="shared" si="23"/>
        <v>7841539.1250118455</v>
      </c>
      <c r="H242" s="8">
        <f t="shared" si="21"/>
        <v>14436308.687517766</v>
      </c>
      <c r="K242" s="16"/>
    </row>
    <row r="243" spans="1:11">
      <c r="A243" s="7">
        <v>21</v>
      </c>
      <c r="B243" s="8">
        <f t="shared" si="22"/>
        <v>22723404.768780205</v>
      </c>
      <c r="C243" s="8">
        <v>0</v>
      </c>
      <c r="D243" s="8">
        <v>0</v>
      </c>
      <c r="E243" s="8">
        <f t="shared" si="24"/>
        <v>2674000</v>
      </c>
      <c r="F243" s="8">
        <f t="shared" si="25"/>
        <v>20049404.768780205</v>
      </c>
      <c r="G243" s="8">
        <f t="shared" si="23"/>
        <v>8019761.9075120827</v>
      </c>
      <c r="H243" s="8">
        <f t="shared" si="21"/>
        <v>14703642.861268122</v>
      </c>
      <c r="K243" s="16"/>
    </row>
    <row r="244" spans="1:11">
      <c r="A244" s="7">
        <v>22</v>
      </c>
      <c r="B244" s="8">
        <f t="shared" si="22"/>
        <v>23177872.86415581</v>
      </c>
      <c r="C244" s="8">
        <v>0</v>
      </c>
      <c r="D244" s="8">
        <v>0</v>
      </c>
      <c r="E244" s="8">
        <f t="shared" si="24"/>
        <v>2674000</v>
      </c>
      <c r="F244" s="8">
        <f t="shared" si="25"/>
        <v>20503872.86415581</v>
      </c>
      <c r="G244" s="8">
        <f t="shared" si="23"/>
        <v>8201549.1456623245</v>
      </c>
      <c r="H244" s="8">
        <f t="shared" si="21"/>
        <v>14976323.718493486</v>
      </c>
      <c r="K244" s="16"/>
    </row>
    <row r="245" spans="1:11">
      <c r="A245" s="7">
        <v>23</v>
      </c>
      <c r="B245" s="8">
        <f t="shared" si="22"/>
        <v>23641430.321438927</v>
      </c>
      <c r="C245" s="8">
        <v>0</v>
      </c>
      <c r="D245" s="8">
        <v>0</v>
      </c>
      <c r="E245" s="8">
        <f t="shared" si="24"/>
        <v>2674000</v>
      </c>
      <c r="F245" s="8">
        <f t="shared" si="25"/>
        <v>20967430.321438927</v>
      </c>
      <c r="G245" s="8">
        <f t="shared" si="23"/>
        <v>8386972.1285755709</v>
      </c>
      <c r="H245" s="8">
        <f t="shared" si="21"/>
        <v>15254458.192863356</v>
      </c>
      <c r="K245" s="16"/>
    </row>
    <row r="246" spans="1:11">
      <c r="A246" s="7">
        <v>24</v>
      </c>
      <c r="B246" s="8">
        <f t="shared" si="22"/>
        <v>24114258.927867707</v>
      </c>
      <c r="C246" s="8">
        <v>0</v>
      </c>
      <c r="D246" s="8">
        <v>0</v>
      </c>
      <c r="E246" s="8">
        <f t="shared" si="24"/>
        <v>2674000</v>
      </c>
      <c r="F246" s="8">
        <f t="shared" si="25"/>
        <v>21440258.927867707</v>
      </c>
      <c r="G246" s="8">
        <f t="shared" si="23"/>
        <v>8576103.5711470824</v>
      </c>
      <c r="H246" s="8">
        <f t="shared" si="21"/>
        <v>15538155.356720624</v>
      </c>
      <c r="K246" s="16"/>
    </row>
    <row r="247" spans="1:11">
      <c r="A247" s="7">
        <v>25</v>
      </c>
      <c r="B247" s="8">
        <f t="shared" si="22"/>
        <v>24596544.106425062</v>
      </c>
      <c r="C247" s="8">
        <v>0</v>
      </c>
      <c r="D247" s="8">
        <v>0</v>
      </c>
      <c r="E247" s="8">
        <f t="shared" si="24"/>
        <v>2674000</v>
      </c>
      <c r="F247" s="8">
        <f t="shared" si="25"/>
        <v>21922544.106425062</v>
      </c>
      <c r="G247" s="8">
        <f t="shared" si="23"/>
        <v>8769017.6425700244</v>
      </c>
      <c r="H247" s="8">
        <f t="shared" si="21"/>
        <v>15827526.463855037</v>
      </c>
      <c r="K247" s="16"/>
    </row>
    <row r="248" spans="1:11">
      <c r="A248" s="7">
        <v>26</v>
      </c>
      <c r="B248" s="8">
        <f t="shared" si="22"/>
        <v>25088474.988553565</v>
      </c>
      <c r="C248" s="8">
        <v>0</v>
      </c>
      <c r="D248" s="8">
        <v>0</v>
      </c>
      <c r="E248" s="8">
        <f t="shared" si="24"/>
        <v>2674000</v>
      </c>
      <c r="F248" s="8">
        <f t="shared" si="25"/>
        <v>22414474.988553565</v>
      </c>
      <c r="G248" s="8">
        <f t="shared" si="23"/>
        <v>8965789.9954214264</v>
      </c>
      <c r="H248" s="8">
        <f t="shared" si="21"/>
        <v>16122684.993132139</v>
      </c>
      <c r="K248" s="16"/>
    </row>
    <row r="249" spans="1:11">
      <c r="A249" s="7">
        <v>27</v>
      </c>
      <c r="B249" s="8">
        <f t="shared" si="22"/>
        <v>25590244.488324638</v>
      </c>
      <c r="C249" s="8">
        <v>0</v>
      </c>
      <c r="D249" s="8">
        <v>0</v>
      </c>
      <c r="E249" s="8">
        <f t="shared" si="24"/>
        <v>2674000</v>
      </c>
      <c r="F249" s="8">
        <f t="shared" si="25"/>
        <v>22916244.488324638</v>
      </c>
      <c r="G249" s="8">
        <f t="shared" si="23"/>
        <v>9166497.7953298558</v>
      </c>
      <c r="H249" s="8">
        <f t="shared" si="21"/>
        <v>16423746.692994783</v>
      </c>
      <c r="K249" s="16"/>
    </row>
    <row r="250" spans="1:11">
      <c r="A250" s="7">
        <v>28</v>
      </c>
      <c r="B250" s="8">
        <f t="shared" si="22"/>
        <v>26102049.37809113</v>
      </c>
      <c r="C250" s="8">
        <v>0</v>
      </c>
      <c r="D250" s="8">
        <v>0</v>
      </c>
      <c r="E250" s="8">
        <f t="shared" si="24"/>
        <v>2674000</v>
      </c>
      <c r="F250" s="8">
        <f t="shared" si="25"/>
        <v>23428049.37809113</v>
      </c>
      <c r="G250" s="8">
        <f t="shared" si="23"/>
        <v>9371219.7512364518</v>
      </c>
      <c r="H250" s="8">
        <f t="shared" si="21"/>
        <v>16730829.626854679</v>
      </c>
      <c r="K250" s="16"/>
    </row>
    <row r="251" spans="1:11">
      <c r="A251" s="7">
        <v>29</v>
      </c>
      <c r="B251" s="8">
        <f t="shared" si="22"/>
        <v>26624090.365652952</v>
      </c>
      <c r="C251" s="8">
        <v>0</v>
      </c>
      <c r="D251" s="8">
        <v>0</v>
      </c>
      <c r="E251" s="8">
        <f t="shared" si="24"/>
        <v>2674000</v>
      </c>
      <c r="F251" s="8">
        <f>B251-D251-E251</f>
        <v>23950090.365652952</v>
      </c>
      <c r="G251" s="8">
        <f t="shared" si="23"/>
        <v>9580036.1462611817</v>
      </c>
      <c r="H251" s="8">
        <f t="shared" si="21"/>
        <v>17044054.219391771</v>
      </c>
      <c r="K251" s="16"/>
    </row>
    <row r="252" spans="1:11">
      <c r="A252" s="7">
        <v>30</v>
      </c>
      <c r="B252" s="8">
        <f t="shared" si="22"/>
        <v>61536572.172966011</v>
      </c>
      <c r="C252" s="8">
        <f>-C222</f>
        <v>34380000</v>
      </c>
      <c r="D252" s="8">
        <f>FV(F111,30,0,C222)-C252</f>
        <v>114208378.85767978</v>
      </c>
      <c r="E252" s="8">
        <f t="shared" si="24"/>
        <v>2674000</v>
      </c>
      <c r="F252" s="8">
        <f>B252-D252-E252-E253</f>
        <v>-89725806.684713781</v>
      </c>
      <c r="G252" s="8">
        <f t="shared" si="23"/>
        <v>-35890322.673885517</v>
      </c>
      <c r="H252" s="8">
        <f t="shared" si="21"/>
        <v>-51161484.010828264</v>
      </c>
      <c r="K252" s="16"/>
    </row>
    <row r="253" spans="1:11">
      <c r="D253" s="6" t="s">
        <v>68</v>
      </c>
      <c r="E253" s="8">
        <f>-$B$222-SUM(E223:E252)</f>
        <v>34380000</v>
      </c>
    </row>
    <row r="254" spans="1:11">
      <c r="G254" s="10" t="s">
        <v>69</v>
      </c>
      <c r="H254" s="8">
        <f>NPV(F113,H223:H252)+H222</f>
        <v>92409293.81496051</v>
      </c>
    </row>
    <row r="255" spans="1:11">
      <c r="D255" s="6"/>
      <c r="E255" s="8"/>
      <c r="G255" s="10" t="s">
        <v>70</v>
      </c>
      <c r="H255" s="16">
        <f>IRR(H222:H252)</f>
        <v>0.13940588071653148</v>
      </c>
    </row>
    <row r="256" spans="1:11" ht="18">
      <c r="A256" s="13" t="s">
        <v>75</v>
      </c>
    </row>
    <row r="257" spans="1:11">
      <c r="A257" s="6" t="s">
        <v>55</v>
      </c>
      <c r="B257" s="6" t="s">
        <v>61</v>
      </c>
      <c r="C257" s="6" t="s">
        <v>62</v>
      </c>
      <c r="D257" s="6" t="s">
        <v>63</v>
      </c>
      <c r="E257" s="6" t="s">
        <v>64</v>
      </c>
      <c r="F257" s="6" t="s">
        <v>65</v>
      </c>
      <c r="G257" s="6" t="s">
        <v>66</v>
      </c>
      <c r="H257" s="6" t="s">
        <v>67</v>
      </c>
      <c r="K257" s="6" t="s">
        <v>76</v>
      </c>
    </row>
    <row r="258" spans="1:11">
      <c r="A258" s="7">
        <v>0</v>
      </c>
      <c r="B258" s="8">
        <f>$B78</f>
        <v>-114600000</v>
      </c>
      <c r="C258" s="8">
        <f>-'Step 2 - WACC'!B6</f>
        <v>-34380000</v>
      </c>
      <c r="D258" s="8">
        <v>0</v>
      </c>
      <c r="E258" s="8">
        <f>D258</f>
        <v>0</v>
      </c>
      <c r="H258" s="8">
        <f t="shared" ref="H258:H288" si="26">B258-C258-D258-G258</f>
        <v>-80220000</v>
      </c>
    </row>
    <row r="259" spans="1:11">
      <c r="A259" s="7">
        <v>1</v>
      </c>
      <c r="B259" s="8">
        <f t="shared" ref="B259:B288" si="27">$B79</f>
        <v>15292200</v>
      </c>
      <c r="C259" s="8">
        <f t="shared" ref="C259:C288" si="28">PPMT($F$111,$A259,30,$C$116)</f>
        <v>517468.33805990894</v>
      </c>
      <c r="D259" s="8">
        <f t="shared" ref="D259:D288" si="29">IPMT($F$111,$A259,30,$C$258)</f>
        <v>1719000</v>
      </c>
      <c r="E259" s="8">
        <f>K259*-$B$258</f>
        <v>2820306</v>
      </c>
      <c r="F259" s="8">
        <f>B259-D259-E259</f>
        <v>10752894</v>
      </c>
      <c r="G259" s="8">
        <f t="shared" ref="G259:G288" si="30">F259*$F$112</f>
        <v>4301157.6000000006</v>
      </c>
      <c r="H259" s="8">
        <f t="shared" si="26"/>
        <v>8754574.0619400889</v>
      </c>
      <c r="K259" s="15">
        <v>2.461E-2</v>
      </c>
    </row>
    <row r="260" spans="1:11">
      <c r="A260" s="7">
        <v>2</v>
      </c>
      <c r="B260" s="8">
        <f t="shared" si="27"/>
        <v>15292200</v>
      </c>
      <c r="C260" s="8">
        <f t="shared" si="28"/>
        <v>543341.75496290426</v>
      </c>
      <c r="D260" s="8">
        <f t="shared" si="29"/>
        <v>1693126.5830970046</v>
      </c>
      <c r="E260" s="8">
        <f t="shared" ref="E260:E288" si="31">K260*-$B$258</f>
        <v>2938344</v>
      </c>
      <c r="F260" s="8">
        <f t="shared" ref="F260:F287" si="32">B260-D260-E260</f>
        <v>10660729.416902995</v>
      </c>
      <c r="G260" s="8">
        <f t="shared" si="30"/>
        <v>4264291.7667611977</v>
      </c>
      <c r="H260" s="8">
        <f t="shared" si="26"/>
        <v>8791439.8951788917</v>
      </c>
      <c r="K260" s="15">
        <v>2.564E-2</v>
      </c>
    </row>
    <row r="261" spans="1:11">
      <c r="A261" s="7">
        <v>3</v>
      </c>
      <c r="B261" s="8">
        <f t="shared" si="27"/>
        <v>15292200</v>
      </c>
      <c r="C261" s="8">
        <f t="shared" si="28"/>
        <v>570508.84271104948</v>
      </c>
      <c r="D261" s="8">
        <f t="shared" si="29"/>
        <v>1665959.4953488596</v>
      </c>
      <c r="E261" s="8">
        <f>K261*-$B$258</f>
        <v>2938344</v>
      </c>
      <c r="F261" s="8">
        <f t="shared" si="32"/>
        <v>10687896.50465114</v>
      </c>
      <c r="G261" s="8">
        <f t="shared" si="30"/>
        <v>4275158.6018604562</v>
      </c>
      <c r="H261" s="8">
        <f t="shared" si="26"/>
        <v>8780573.0600796342</v>
      </c>
      <c r="K261" s="15">
        <v>2.564E-2</v>
      </c>
    </row>
    <row r="262" spans="1:11">
      <c r="A262" s="7">
        <v>4</v>
      </c>
      <c r="B262" s="8">
        <f t="shared" si="27"/>
        <v>15292200</v>
      </c>
      <c r="C262" s="8">
        <f t="shared" si="28"/>
        <v>599034.28484660201</v>
      </c>
      <c r="D262" s="8">
        <f t="shared" si="29"/>
        <v>1637434.0532133069</v>
      </c>
      <c r="E262" s="8">
        <f t="shared" si="31"/>
        <v>2938344</v>
      </c>
      <c r="F262" s="8">
        <f t="shared" si="32"/>
        <v>10716421.946786692</v>
      </c>
      <c r="G262" s="8">
        <f t="shared" si="30"/>
        <v>4286568.7787146773</v>
      </c>
      <c r="H262" s="8">
        <f t="shared" si="26"/>
        <v>8769162.883225413</v>
      </c>
      <c r="K262" s="15">
        <v>2.564E-2</v>
      </c>
    </row>
    <row r="263" spans="1:11">
      <c r="A263" s="7">
        <v>5</v>
      </c>
      <c r="B263" s="8">
        <f t="shared" si="27"/>
        <v>15292200</v>
      </c>
      <c r="C263" s="8">
        <f t="shared" si="28"/>
        <v>628985.99908893206</v>
      </c>
      <c r="D263" s="8">
        <f t="shared" si="29"/>
        <v>1607482.3389709769</v>
      </c>
      <c r="E263" s="8">
        <f>K263*-$B$258</f>
        <v>2938344</v>
      </c>
      <c r="F263" s="8">
        <f t="shared" si="32"/>
        <v>10746373.661029022</v>
      </c>
      <c r="G263" s="8">
        <f t="shared" si="30"/>
        <v>4298549.4644116089</v>
      </c>
      <c r="H263" s="8">
        <f t="shared" si="26"/>
        <v>8757182.1975284815</v>
      </c>
      <c r="K263" s="15">
        <v>2.564E-2</v>
      </c>
    </row>
    <row r="264" spans="1:11">
      <c r="A264" s="7">
        <v>6</v>
      </c>
      <c r="B264" s="8">
        <f t="shared" si="27"/>
        <v>15292200</v>
      </c>
      <c r="C264" s="8">
        <f t="shared" si="28"/>
        <v>660435.29904337879</v>
      </c>
      <c r="D264" s="8">
        <f t="shared" si="29"/>
        <v>1576033.0390165304</v>
      </c>
      <c r="E264" s="8">
        <f t="shared" si="31"/>
        <v>2938344</v>
      </c>
      <c r="F264" s="8">
        <f t="shared" si="32"/>
        <v>10777822.96098347</v>
      </c>
      <c r="G264" s="8">
        <f t="shared" si="30"/>
        <v>4311129.1843933882</v>
      </c>
      <c r="H264" s="8">
        <f t="shared" si="26"/>
        <v>8744602.4775467031</v>
      </c>
      <c r="K264" s="15">
        <v>2.564E-2</v>
      </c>
    </row>
    <row r="265" spans="1:11">
      <c r="A265" s="7">
        <v>7</v>
      </c>
      <c r="B265" s="8">
        <f t="shared" si="27"/>
        <v>15292200</v>
      </c>
      <c r="C265" s="8">
        <f t="shared" si="28"/>
        <v>693457.06399554771</v>
      </c>
      <c r="D265" s="8">
        <f t="shared" si="29"/>
        <v>1543011.2740643611</v>
      </c>
      <c r="E265" s="8">
        <f t="shared" si="31"/>
        <v>2938344</v>
      </c>
      <c r="F265" s="8">
        <f t="shared" si="32"/>
        <v>10810844.725935638</v>
      </c>
      <c r="G265" s="8">
        <f t="shared" si="30"/>
        <v>4324337.8903742554</v>
      </c>
      <c r="H265" s="8">
        <f t="shared" si="26"/>
        <v>8731393.7715658359</v>
      </c>
      <c r="K265" s="15">
        <v>2.564E-2</v>
      </c>
    </row>
    <row r="266" spans="1:11">
      <c r="A266" s="7">
        <v>8</v>
      </c>
      <c r="B266" s="8">
        <f t="shared" si="27"/>
        <v>15292200</v>
      </c>
      <c r="C266" s="8">
        <f t="shared" si="28"/>
        <v>728129.91719532514</v>
      </c>
      <c r="D266" s="8">
        <f t="shared" si="29"/>
        <v>1508338.4208645839</v>
      </c>
      <c r="E266" s="8">
        <f t="shared" si="31"/>
        <v>2938344</v>
      </c>
      <c r="F266" s="8">
        <f t="shared" si="32"/>
        <v>10845517.579135416</v>
      </c>
      <c r="G266" s="8">
        <f t="shared" si="30"/>
        <v>4338207.031654167</v>
      </c>
      <c r="H266" s="8">
        <f t="shared" si="26"/>
        <v>8717524.6302859224</v>
      </c>
      <c r="K266" s="15">
        <v>2.564E-2</v>
      </c>
    </row>
    <row r="267" spans="1:11">
      <c r="A267" s="7">
        <v>9</v>
      </c>
      <c r="B267" s="8">
        <f t="shared" si="27"/>
        <v>15292200</v>
      </c>
      <c r="C267" s="8">
        <f t="shared" si="28"/>
        <v>764536.41305509128</v>
      </c>
      <c r="D267" s="8">
        <f t="shared" si="29"/>
        <v>1471931.9250048178</v>
      </c>
      <c r="E267" s="8">
        <f t="shared" si="31"/>
        <v>2938344</v>
      </c>
      <c r="F267" s="8">
        <f>B267-D267-E267</f>
        <v>10881924.074995182</v>
      </c>
      <c r="G267" s="8">
        <f t="shared" si="30"/>
        <v>4352769.629998073</v>
      </c>
      <c r="H267" s="8">
        <f t="shared" si="26"/>
        <v>8702962.0319420174</v>
      </c>
      <c r="K267" s="15">
        <v>2.564E-2</v>
      </c>
    </row>
    <row r="268" spans="1:11">
      <c r="A268" s="7">
        <v>10</v>
      </c>
      <c r="B268" s="8">
        <f t="shared" si="27"/>
        <v>15292200</v>
      </c>
      <c r="C268" s="8">
        <f t="shared" si="28"/>
        <v>802763.23370784591</v>
      </c>
      <c r="D268" s="8">
        <f t="shared" si="29"/>
        <v>1433705.104352063</v>
      </c>
      <c r="E268" s="8">
        <f t="shared" si="31"/>
        <v>2938344</v>
      </c>
      <c r="F268" s="8">
        <f t="shared" si="32"/>
        <v>10920150.895647937</v>
      </c>
      <c r="G268" s="8">
        <f t="shared" si="30"/>
        <v>4368060.358259175</v>
      </c>
      <c r="H268" s="8">
        <f t="shared" si="26"/>
        <v>8687671.3036809172</v>
      </c>
      <c r="K268" s="15">
        <v>2.564E-2</v>
      </c>
    </row>
    <row r="269" spans="1:11">
      <c r="A269" s="7">
        <v>11</v>
      </c>
      <c r="B269" s="8">
        <f t="shared" si="27"/>
        <v>15292200</v>
      </c>
      <c r="C269" s="8">
        <f t="shared" si="28"/>
        <v>842901.39539323829</v>
      </c>
      <c r="D269" s="8">
        <f t="shared" si="29"/>
        <v>1393566.9426666708</v>
      </c>
      <c r="E269" s="8">
        <f t="shared" si="31"/>
        <v>2938344</v>
      </c>
      <c r="F269" s="8">
        <f t="shared" si="32"/>
        <v>10960289.05733333</v>
      </c>
      <c r="G269" s="8">
        <f t="shared" si="30"/>
        <v>4384115.6229333319</v>
      </c>
      <c r="H269" s="8">
        <f t="shared" si="26"/>
        <v>8671616.0390067603</v>
      </c>
      <c r="K269" s="15">
        <v>2.564E-2</v>
      </c>
    </row>
    <row r="270" spans="1:11">
      <c r="A270" s="7">
        <v>12</v>
      </c>
      <c r="B270" s="8">
        <f t="shared" si="27"/>
        <v>15292200</v>
      </c>
      <c r="C270" s="8">
        <f t="shared" si="28"/>
        <v>885046.46516290016</v>
      </c>
      <c r="D270" s="8">
        <f t="shared" si="29"/>
        <v>1351421.8728970087</v>
      </c>
      <c r="E270" s="8">
        <f t="shared" si="31"/>
        <v>2938344</v>
      </c>
      <c r="F270" s="8">
        <f t="shared" si="32"/>
        <v>11002434.127102992</v>
      </c>
      <c r="G270" s="8">
        <f t="shared" si="30"/>
        <v>4400973.650841197</v>
      </c>
      <c r="H270" s="8">
        <f t="shared" si="26"/>
        <v>8654758.0110988952</v>
      </c>
      <c r="K270" s="15">
        <v>2.564E-2</v>
      </c>
    </row>
    <row r="271" spans="1:11">
      <c r="A271" s="7">
        <v>13</v>
      </c>
      <c r="B271" s="8">
        <f t="shared" si="27"/>
        <v>15292200</v>
      </c>
      <c r="C271" s="8">
        <f t="shared" si="28"/>
        <v>929298.78842104506</v>
      </c>
      <c r="D271" s="8">
        <f t="shared" si="29"/>
        <v>1307169.5496388637</v>
      </c>
      <c r="E271" s="8">
        <f t="shared" si="31"/>
        <v>2938344</v>
      </c>
      <c r="F271" s="8">
        <f t="shared" si="32"/>
        <v>11046686.450361136</v>
      </c>
      <c r="G271" s="8">
        <f t="shared" si="30"/>
        <v>4418674.5801444547</v>
      </c>
      <c r="H271" s="8">
        <f t="shared" si="26"/>
        <v>8637057.0817956366</v>
      </c>
      <c r="K271" s="15">
        <v>2.564E-2</v>
      </c>
    </row>
    <row r="272" spans="1:11">
      <c r="A272" s="7">
        <v>14</v>
      </c>
      <c r="B272" s="8">
        <f t="shared" si="27"/>
        <v>15292200</v>
      </c>
      <c r="C272" s="8">
        <f t="shared" si="28"/>
        <v>975763.7278420974</v>
      </c>
      <c r="D272" s="8">
        <f t="shared" si="29"/>
        <v>1260704.6102178115</v>
      </c>
      <c r="E272" s="8">
        <f t="shared" si="31"/>
        <v>2938344</v>
      </c>
      <c r="F272" s="8">
        <f t="shared" si="32"/>
        <v>11093151.389782188</v>
      </c>
      <c r="G272" s="8">
        <f t="shared" si="30"/>
        <v>4437260.5559128756</v>
      </c>
      <c r="H272" s="8">
        <f t="shared" si="26"/>
        <v>8618471.1060272157</v>
      </c>
      <c r="K272" s="15">
        <v>2.564E-2</v>
      </c>
    </row>
    <row r="273" spans="1:11">
      <c r="A273" s="7">
        <v>15</v>
      </c>
      <c r="B273" s="8">
        <f t="shared" si="27"/>
        <v>15292200</v>
      </c>
      <c r="C273" s="8">
        <f t="shared" si="28"/>
        <v>1024551.9142342022</v>
      </c>
      <c r="D273" s="8">
        <f t="shared" si="29"/>
        <v>1211916.4238257066</v>
      </c>
      <c r="E273" s="8">
        <f t="shared" si="31"/>
        <v>2938344</v>
      </c>
      <c r="F273" s="8">
        <f t="shared" si="32"/>
        <v>11141939.576174293</v>
      </c>
      <c r="G273" s="8">
        <f t="shared" si="30"/>
        <v>4456775.8304697173</v>
      </c>
      <c r="H273" s="8">
        <f t="shared" si="26"/>
        <v>8598955.831470374</v>
      </c>
      <c r="K273" s="15">
        <v>2.564E-2</v>
      </c>
    </row>
    <row r="274" spans="1:11">
      <c r="A274" s="7">
        <v>16</v>
      </c>
      <c r="B274" s="8">
        <f t="shared" si="27"/>
        <v>15292200</v>
      </c>
      <c r="C274" s="8">
        <f t="shared" si="28"/>
        <v>1075779.5099459125</v>
      </c>
      <c r="D274" s="8">
        <f t="shared" si="29"/>
        <v>1160688.8281139964</v>
      </c>
      <c r="E274" s="8">
        <f t="shared" si="31"/>
        <v>2938344</v>
      </c>
      <c r="F274" s="8">
        <f t="shared" si="32"/>
        <v>11193167.171886005</v>
      </c>
      <c r="G274" s="8">
        <f t="shared" si="30"/>
        <v>4477266.8687544018</v>
      </c>
      <c r="H274" s="8">
        <f t="shared" si="26"/>
        <v>8578464.7931856886</v>
      </c>
      <c r="K274" s="15">
        <v>2.564E-2</v>
      </c>
    </row>
    <row r="275" spans="1:11">
      <c r="A275" s="7">
        <v>17</v>
      </c>
      <c r="B275" s="8">
        <f t="shared" si="27"/>
        <v>15292200</v>
      </c>
      <c r="C275" s="8">
        <f t="shared" si="28"/>
        <v>1129568.4854432081</v>
      </c>
      <c r="D275" s="8">
        <f t="shared" si="29"/>
        <v>1106899.852616701</v>
      </c>
      <c r="E275" s="8">
        <f t="shared" si="31"/>
        <v>2938344</v>
      </c>
      <c r="F275" s="8">
        <f t="shared" si="32"/>
        <v>11246956.147383299</v>
      </c>
      <c r="G275" s="8">
        <f t="shared" si="30"/>
        <v>4498782.45895332</v>
      </c>
      <c r="H275" s="8">
        <f t="shared" si="26"/>
        <v>8556949.2029867694</v>
      </c>
      <c r="K275" s="15">
        <v>2.564E-2</v>
      </c>
    </row>
    <row r="276" spans="1:11">
      <c r="A276" s="7">
        <v>18</v>
      </c>
      <c r="B276" s="8">
        <f t="shared" si="27"/>
        <v>15292200</v>
      </c>
      <c r="C276" s="8">
        <f t="shared" si="28"/>
        <v>1186046.9097153684</v>
      </c>
      <c r="D276" s="8">
        <f t="shared" si="29"/>
        <v>1050421.4283445405</v>
      </c>
      <c r="E276" s="8">
        <f t="shared" si="31"/>
        <v>2938344</v>
      </c>
      <c r="F276" s="8">
        <f t="shared" si="32"/>
        <v>11303434.57165546</v>
      </c>
      <c r="G276" s="8">
        <f t="shared" si="30"/>
        <v>4521373.8286621841</v>
      </c>
      <c r="H276" s="8">
        <f t="shared" si="26"/>
        <v>8534357.8332779072</v>
      </c>
      <c r="K276" s="15">
        <v>2.564E-2</v>
      </c>
    </row>
    <row r="277" spans="1:11">
      <c r="A277" s="7">
        <v>19</v>
      </c>
      <c r="B277" s="8">
        <f t="shared" si="27"/>
        <v>15292200</v>
      </c>
      <c r="C277" s="8">
        <f t="shared" si="28"/>
        <v>1245349.2552011372</v>
      </c>
      <c r="D277" s="8">
        <f t="shared" si="29"/>
        <v>991119.0828587719</v>
      </c>
      <c r="E277" s="8">
        <f t="shared" si="31"/>
        <v>2938344</v>
      </c>
      <c r="F277" s="8">
        <f t="shared" si="32"/>
        <v>11362736.917141229</v>
      </c>
      <c r="G277" s="8">
        <f t="shared" si="30"/>
        <v>4545094.7668564916</v>
      </c>
      <c r="H277" s="8">
        <f t="shared" si="26"/>
        <v>8510636.8950836007</v>
      </c>
      <c r="K277" s="15">
        <v>2.564E-2</v>
      </c>
    </row>
    <row r="278" spans="1:11">
      <c r="A278" s="7">
        <v>20</v>
      </c>
      <c r="B278" s="8">
        <f t="shared" si="27"/>
        <v>15292200</v>
      </c>
      <c r="C278" s="8">
        <f t="shared" si="28"/>
        <v>1307616.7179611938</v>
      </c>
      <c r="D278" s="8">
        <f t="shared" si="29"/>
        <v>928851.6200987153</v>
      </c>
      <c r="E278" s="8">
        <f t="shared" si="31"/>
        <v>2938344</v>
      </c>
      <c r="F278" s="8">
        <f t="shared" si="32"/>
        <v>11425004.379901284</v>
      </c>
      <c r="G278" s="8">
        <f t="shared" si="30"/>
        <v>4570001.7519605141</v>
      </c>
      <c r="H278" s="8">
        <f t="shared" si="26"/>
        <v>8485729.9099795762</v>
      </c>
      <c r="K278" s="15">
        <v>2.564E-2</v>
      </c>
    </row>
    <row r="279" spans="1:11">
      <c r="A279" s="7">
        <v>21</v>
      </c>
      <c r="B279" s="8">
        <f t="shared" si="27"/>
        <v>15292200</v>
      </c>
      <c r="C279" s="8">
        <f t="shared" si="28"/>
        <v>1372997.5538592534</v>
      </c>
      <c r="D279" s="8">
        <f t="shared" si="29"/>
        <v>863470.78420065553</v>
      </c>
      <c r="E279" s="8">
        <f>K279*-$B$258</f>
        <v>2938344</v>
      </c>
      <c r="F279" s="8">
        <f t="shared" si="32"/>
        <v>11490385.215799345</v>
      </c>
      <c r="G279" s="8">
        <f t="shared" si="30"/>
        <v>4596154.0863197381</v>
      </c>
      <c r="H279" s="8">
        <f t="shared" si="26"/>
        <v>8459577.5756203532</v>
      </c>
      <c r="K279" s="15">
        <v>2.564E-2</v>
      </c>
    </row>
    <row r="280" spans="1:11">
      <c r="A280" s="7">
        <v>22</v>
      </c>
      <c r="B280" s="8">
        <f t="shared" si="27"/>
        <v>15292200</v>
      </c>
      <c r="C280" s="8">
        <f t="shared" si="28"/>
        <v>1441647.4315522162</v>
      </c>
      <c r="D280" s="8">
        <f t="shared" si="29"/>
        <v>794820.90650769277</v>
      </c>
      <c r="E280" s="8">
        <f t="shared" si="31"/>
        <v>2938344</v>
      </c>
      <c r="F280" s="8">
        <f t="shared" si="32"/>
        <v>11559035.093492307</v>
      </c>
      <c r="G280" s="8">
        <f t="shared" si="30"/>
        <v>4623614.0373969227</v>
      </c>
      <c r="H280" s="8">
        <f t="shared" si="26"/>
        <v>8432117.6245431677</v>
      </c>
      <c r="K280" s="15">
        <v>2.564E-2</v>
      </c>
    </row>
    <row r="281" spans="1:11">
      <c r="A281" s="7">
        <v>23</v>
      </c>
      <c r="B281" s="8">
        <f t="shared" si="27"/>
        <v>15292200</v>
      </c>
      <c r="C281" s="8">
        <f t="shared" si="28"/>
        <v>1513729.8031298269</v>
      </c>
      <c r="D281" s="8">
        <f t="shared" si="29"/>
        <v>722738.53493008204</v>
      </c>
      <c r="E281" s="8">
        <f t="shared" si="31"/>
        <v>2938344</v>
      </c>
      <c r="F281" s="8">
        <f t="shared" si="32"/>
        <v>11631117.465069918</v>
      </c>
      <c r="G281" s="8">
        <f t="shared" si="30"/>
        <v>4652446.9860279672</v>
      </c>
      <c r="H281" s="8">
        <f t="shared" si="26"/>
        <v>8403284.6759121232</v>
      </c>
      <c r="K281" s="15">
        <v>2.564E-2</v>
      </c>
    </row>
    <row r="282" spans="1:11">
      <c r="A282" s="7">
        <v>24</v>
      </c>
      <c r="B282" s="8">
        <f t="shared" si="27"/>
        <v>15292200</v>
      </c>
      <c r="C282" s="8">
        <f t="shared" si="28"/>
        <v>1589416.2932863182</v>
      </c>
      <c r="D282" s="8">
        <f t="shared" si="29"/>
        <v>647052.04477359063</v>
      </c>
      <c r="E282" s="8">
        <f t="shared" si="31"/>
        <v>2938344</v>
      </c>
      <c r="F282" s="8">
        <f t="shared" si="32"/>
        <v>11706803.95522641</v>
      </c>
      <c r="G282" s="8">
        <f t="shared" si="30"/>
        <v>4682721.5820905641</v>
      </c>
      <c r="H282" s="8">
        <f t="shared" si="26"/>
        <v>8373010.0798495281</v>
      </c>
      <c r="K282" s="15">
        <v>2.564E-2</v>
      </c>
    </row>
    <row r="283" spans="1:11">
      <c r="A283" s="7">
        <v>25</v>
      </c>
      <c r="B283" s="8">
        <f t="shared" si="27"/>
        <v>15292200</v>
      </c>
      <c r="C283" s="8">
        <f t="shared" si="28"/>
        <v>1668887.1079506343</v>
      </c>
      <c r="D283" s="8">
        <f t="shared" si="29"/>
        <v>567581.23010927462</v>
      </c>
      <c r="E283" s="8">
        <f t="shared" si="31"/>
        <v>2938344</v>
      </c>
      <c r="F283" s="8">
        <f t="shared" si="32"/>
        <v>11786274.769890726</v>
      </c>
      <c r="G283" s="8">
        <f t="shared" si="30"/>
        <v>4714509.9079562901</v>
      </c>
      <c r="H283" s="8">
        <f t="shared" si="26"/>
        <v>8341221.7539838003</v>
      </c>
      <c r="K283" s="15">
        <v>2.564E-2</v>
      </c>
    </row>
    <row r="284" spans="1:11">
      <c r="A284" s="7">
        <v>26</v>
      </c>
      <c r="B284" s="8">
        <f t="shared" si="27"/>
        <v>15292200</v>
      </c>
      <c r="C284" s="8">
        <f t="shared" si="28"/>
        <v>1752331.4633481661</v>
      </c>
      <c r="D284" s="8">
        <f t="shared" si="29"/>
        <v>484136.87471174292</v>
      </c>
      <c r="E284" s="8">
        <f t="shared" si="31"/>
        <v>2938344</v>
      </c>
      <c r="F284" s="8">
        <f t="shared" si="32"/>
        <v>11869719.125288257</v>
      </c>
      <c r="G284" s="8">
        <f t="shared" si="30"/>
        <v>4747887.6501153028</v>
      </c>
      <c r="H284" s="8">
        <f t="shared" si="26"/>
        <v>8307844.0118247895</v>
      </c>
      <c r="K284" s="15">
        <v>2.564E-2</v>
      </c>
    </row>
    <row r="285" spans="1:11">
      <c r="A285" s="7">
        <v>27</v>
      </c>
      <c r="B285" s="8">
        <f t="shared" si="27"/>
        <v>15292200</v>
      </c>
      <c r="C285" s="8">
        <f t="shared" si="28"/>
        <v>1839948.0365155747</v>
      </c>
      <c r="D285" s="8">
        <f t="shared" si="29"/>
        <v>396520.30154433456</v>
      </c>
      <c r="E285" s="8">
        <f t="shared" si="31"/>
        <v>2938344</v>
      </c>
      <c r="F285" s="8">
        <f t="shared" si="32"/>
        <v>11957335.698455665</v>
      </c>
      <c r="G285" s="8">
        <f t="shared" si="30"/>
        <v>4782934.2793822661</v>
      </c>
      <c r="H285" s="8">
        <f t="shared" si="26"/>
        <v>8272797.3825578243</v>
      </c>
      <c r="K285" s="15">
        <v>2.564E-2</v>
      </c>
    </row>
    <row r="286" spans="1:11">
      <c r="A286" s="7">
        <v>28</v>
      </c>
      <c r="B286" s="8">
        <f t="shared" si="27"/>
        <v>15292200</v>
      </c>
      <c r="C286" s="8">
        <f t="shared" si="28"/>
        <v>1931945.4383413531</v>
      </c>
      <c r="D286" s="8">
        <f t="shared" si="29"/>
        <v>304522.8997185558</v>
      </c>
      <c r="E286" s="8">
        <f t="shared" si="31"/>
        <v>2938344</v>
      </c>
      <c r="F286" s="8">
        <f t="shared" si="32"/>
        <v>12049333.100281443</v>
      </c>
      <c r="G286" s="8">
        <f t="shared" si="30"/>
        <v>4819733.2401125776</v>
      </c>
      <c r="H286" s="8">
        <f t="shared" si="26"/>
        <v>8235998.4218275128</v>
      </c>
      <c r="K286" s="15">
        <v>2.564E-2</v>
      </c>
    </row>
    <row r="287" spans="1:11">
      <c r="A287" s="7">
        <v>29</v>
      </c>
      <c r="B287" s="8">
        <f t="shared" si="27"/>
        <v>15292200</v>
      </c>
      <c r="C287" s="8">
        <f t="shared" si="28"/>
        <v>2028542.7102584206</v>
      </c>
      <c r="D287" s="8">
        <f t="shared" si="29"/>
        <v>207925.62780148815</v>
      </c>
      <c r="E287" s="8">
        <f t="shared" si="31"/>
        <v>2938344</v>
      </c>
      <c r="F287" s="8">
        <f t="shared" si="32"/>
        <v>12145930.372198511</v>
      </c>
      <c r="G287" s="8">
        <f t="shared" si="30"/>
        <v>4858372.1488794042</v>
      </c>
      <c r="H287" s="8">
        <f t="shared" si="26"/>
        <v>8197359.5130606862</v>
      </c>
      <c r="K287" s="15">
        <v>2.564E-2</v>
      </c>
    </row>
    <row r="288" spans="1:11">
      <c r="A288" s="7">
        <v>30</v>
      </c>
      <c r="B288" s="8">
        <f t="shared" si="27"/>
        <v>49672200</v>
      </c>
      <c r="C288" s="8">
        <f t="shared" si="28"/>
        <v>2129969.8457713421</v>
      </c>
      <c r="D288" s="8">
        <f t="shared" si="29"/>
        <v>106498.49228856713</v>
      </c>
      <c r="E288" s="8">
        <f t="shared" si="31"/>
        <v>1469172</v>
      </c>
      <c r="F288" s="8">
        <f>B288-D288-E288-E289</f>
        <v>20059639.507711433</v>
      </c>
      <c r="G288" s="8">
        <f t="shared" si="30"/>
        <v>8023855.8030845737</v>
      </c>
      <c r="H288" s="8">
        <f t="shared" si="26"/>
        <v>39411875.858855516</v>
      </c>
      <c r="K288" s="15">
        <v>1.282E-2</v>
      </c>
    </row>
    <row r="289" spans="1:12">
      <c r="D289" s="7" t="s">
        <v>68</v>
      </c>
      <c r="E289" s="8">
        <f>-B258-SUM(E259:E288)</f>
        <v>28036890</v>
      </c>
    </row>
    <row r="290" spans="1:12">
      <c r="E290" s="8"/>
      <c r="G290" s="10" t="s">
        <v>69</v>
      </c>
      <c r="H290" s="8">
        <f>NPV(F113,H259:H288)+H258</f>
        <v>54773062.437872112</v>
      </c>
    </row>
    <row r="291" spans="1:12">
      <c r="E291" s="8"/>
      <c r="G291" s="10" t="s">
        <v>70</v>
      </c>
      <c r="H291" s="14">
        <f>IRR(H258:H288)</f>
        <v>0.10478731353037696</v>
      </c>
    </row>
    <row r="292" spans="1:12" ht="18">
      <c r="A292" s="13" t="s">
        <v>77</v>
      </c>
    </row>
    <row r="293" spans="1:12">
      <c r="A293" s="6" t="s">
        <v>55</v>
      </c>
      <c r="B293" s="6" t="s">
        <v>61</v>
      </c>
      <c r="C293" s="6" t="s">
        <v>62</v>
      </c>
      <c r="D293" s="6" t="s">
        <v>63</v>
      </c>
      <c r="E293" s="6" t="s">
        <v>64</v>
      </c>
      <c r="F293" s="6" t="s">
        <v>65</v>
      </c>
      <c r="G293" s="8" t="s">
        <v>66</v>
      </c>
      <c r="H293" s="8" t="s">
        <v>67</v>
      </c>
    </row>
    <row r="294" spans="1:12">
      <c r="A294" s="7">
        <v>0</v>
      </c>
      <c r="B294" s="8">
        <f>B258</f>
        <v>-114600000</v>
      </c>
      <c r="C294" s="8">
        <f>-'Step 2 - WACC'!B6</f>
        <v>-34380000</v>
      </c>
      <c r="D294" s="8">
        <v>0</v>
      </c>
      <c r="E294" s="8">
        <f>D294</f>
        <v>0</v>
      </c>
      <c r="H294" s="8">
        <f t="shared" ref="H294:H324" si="33">B294-C294-D294-G294</f>
        <v>-80220000</v>
      </c>
    </row>
    <row r="295" spans="1:12">
      <c r="A295" s="7">
        <v>1</v>
      </c>
      <c r="B295" s="8">
        <f>B259</f>
        <v>15292200</v>
      </c>
      <c r="C295" s="8">
        <v>0</v>
      </c>
      <c r="D295" s="8">
        <v>0</v>
      </c>
      <c r="E295" s="8">
        <f>-$B$294*K259</f>
        <v>2820306</v>
      </c>
      <c r="F295" s="8">
        <f>B295-D295-E295</f>
        <v>12471894</v>
      </c>
      <c r="G295" s="8">
        <f t="shared" ref="G295:G324" si="34">F295*$F$112</f>
        <v>4988757.6000000006</v>
      </c>
      <c r="H295" s="8">
        <f t="shared" si="33"/>
        <v>10303442.399999999</v>
      </c>
      <c r="L295" s="15"/>
    </row>
    <row r="296" spans="1:12">
      <c r="A296" s="7">
        <v>2</v>
      </c>
      <c r="B296" s="8">
        <f t="shared" ref="B296:B323" si="35">B260</f>
        <v>15292200</v>
      </c>
      <c r="C296" s="8">
        <v>0</v>
      </c>
      <c r="D296" s="8">
        <v>0</v>
      </c>
      <c r="E296" s="8">
        <f t="shared" ref="E296:E324" si="36">-$B$294*K260</f>
        <v>2938344</v>
      </c>
      <c r="F296" s="8">
        <f t="shared" ref="F296:F323" si="37">B296-D296-E296</f>
        <v>12353856</v>
      </c>
      <c r="G296" s="8">
        <f t="shared" si="34"/>
        <v>4941542.4000000004</v>
      </c>
      <c r="H296" s="8">
        <f t="shared" si="33"/>
        <v>10350657.6</v>
      </c>
      <c r="L296" s="15"/>
    </row>
    <row r="297" spans="1:12">
      <c r="A297" s="7">
        <v>3</v>
      </c>
      <c r="B297" s="8">
        <f t="shared" si="35"/>
        <v>15292200</v>
      </c>
      <c r="C297" s="8">
        <v>0</v>
      </c>
      <c r="D297" s="8">
        <v>0</v>
      </c>
      <c r="E297" s="8">
        <f t="shared" si="36"/>
        <v>2938344</v>
      </c>
      <c r="F297" s="8">
        <f t="shared" si="37"/>
        <v>12353856</v>
      </c>
      <c r="G297" s="8">
        <f t="shared" si="34"/>
        <v>4941542.4000000004</v>
      </c>
      <c r="H297" s="8">
        <f t="shared" si="33"/>
        <v>10350657.6</v>
      </c>
      <c r="L297" s="15"/>
    </row>
    <row r="298" spans="1:12">
      <c r="A298" s="7">
        <v>4</v>
      </c>
      <c r="B298" s="8">
        <f t="shared" si="35"/>
        <v>15292200</v>
      </c>
      <c r="C298" s="8">
        <v>0</v>
      </c>
      <c r="D298" s="8">
        <v>0</v>
      </c>
      <c r="E298" s="8">
        <f t="shared" si="36"/>
        <v>2938344</v>
      </c>
      <c r="F298" s="8">
        <f>B298-D298-E298</f>
        <v>12353856</v>
      </c>
      <c r="G298" s="8">
        <f t="shared" si="34"/>
        <v>4941542.4000000004</v>
      </c>
      <c r="H298" s="8">
        <f t="shared" si="33"/>
        <v>10350657.6</v>
      </c>
      <c r="L298" s="15"/>
    </row>
    <row r="299" spans="1:12">
      <c r="A299" s="7">
        <v>5</v>
      </c>
      <c r="B299" s="8">
        <f t="shared" si="35"/>
        <v>15292200</v>
      </c>
      <c r="C299" s="8">
        <v>0</v>
      </c>
      <c r="D299" s="8">
        <v>0</v>
      </c>
      <c r="E299" s="8">
        <f>-$B$294*K263</f>
        <v>2938344</v>
      </c>
      <c r="F299" s="8">
        <f t="shared" si="37"/>
        <v>12353856</v>
      </c>
      <c r="G299" s="8">
        <f t="shared" si="34"/>
        <v>4941542.4000000004</v>
      </c>
      <c r="H299" s="8">
        <f t="shared" si="33"/>
        <v>10350657.6</v>
      </c>
      <c r="L299" s="15"/>
    </row>
    <row r="300" spans="1:12">
      <c r="A300" s="7">
        <v>6</v>
      </c>
      <c r="B300" s="8">
        <f t="shared" si="35"/>
        <v>15292200</v>
      </c>
      <c r="C300" s="8">
        <v>0</v>
      </c>
      <c r="D300" s="8">
        <v>0</v>
      </c>
      <c r="E300" s="8">
        <f t="shared" si="36"/>
        <v>2938344</v>
      </c>
      <c r="F300" s="8">
        <f t="shared" si="37"/>
        <v>12353856</v>
      </c>
      <c r="G300" s="8">
        <f t="shared" si="34"/>
        <v>4941542.4000000004</v>
      </c>
      <c r="H300" s="8">
        <f t="shared" si="33"/>
        <v>10350657.6</v>
      </c>
      <c r="L300" s="15"/>
    </row>
    <row r="301" spans="1:12">
      <c r="A301" s="7">
        <v>7</v>
      </c>
      <c r="B301" s="8">
        <f t="shared" si="35"/>
        <v>15292200</v>
      </c>
      <c r="C301" s="8">
        <v>0</v>
      </c>
      <c r="D301" s="8">
        <v>0</v>
      </c>
      <c r="E301" s="8">
        <f t="shared" si="36"/>
        <v>2938344</v>
      </c>
      <c r="F301" s="8">
        <f t="shared" si="37"/>
        <v>12353856</v>
      </c>
      <c r="G301" s="8">
        <f t="shared" si="34"/>
        <v>4941542.4000000004</v>
      </c>
      <c r="H301" s="8">
        <f t="shared" si="33"/>
        <v>10350657.6</v>
      </c>
      <c r="L301" s="15"/>
    </row>
    <row r="302" spans="1:12">
      <c r="A302" s="7">
        <v>8</v>
      </c>
      <c r="B302" s="8">
        <f t="shared" si="35"/>
        <v>15292200</v>
      </c>
      <c r="C302" s="8">
        <v>0</v>
      </c>
      <c r="D302" s="8">
        <v>0</v>
      </c>
      <c r="E302" s="8">
        <f t="shared" si="36"/>
        <v>2938344</v>
      </c>
      <c r="F302" s="8">
        <f t="shared" si="37"/>
        <v>12353856</v>
      </c>
      <c r="G302" s="8">
        <f t="shared" si="34"/>
        <v>4941542.4000000004</v>
      </c>
      <c r="H302" s="8">
        <f t="shared" si="33"/>
        <v>10350657.6</v>
      </c>
      <c r="L302" s="15"/>
    </row>
    <row r="303" spans="1:12">
      <c r="A303" s="7">
        <v>9</v>
      </c>
      <c r="B303" s="8">
        <f t="shared" si="35"/>
        <v>15292200</v>
      </c>
      <c r="C303" s="8">
        <v>0</v>
      </c>
      <c r="D303" s="8">
        <v>0</v>
      </c>
      <c r="E303" s="8">
        <f t="shared" si="36"/>
        <v>2938344</v>
      </c>
      <c r="F303" s="8">
        <f t="shared" si="37"/>
        <v>12353856</v>
      </c>
      <c r="G303" s="8">
        <f t="shared" si="34"/>
        <v>4941542.4000000004</v>
      </c>
      <c r="H303" s="8">
        <f t="shared" si="33"/>
        <v>10350657.6</v>
      </c>
      <c r="L303" s="15"/>
    </row>
    <row r="304" spans="1:12">
      <c r="A304" s="7">
        <v>10</v>
      </c>
      <c r="B304" s="8">
        <f t="shared" si="35"/>
        <v>15292200</v>
      </c>
      <c r="C304" s="8">
        <v>0</v>
      </c>
      <c r="D304" s="8">
        <v>0</v>
      </c>
      <c r="E304" s="8">
        <f t="shared" si="36"/>
        <v>2938344</v>
      </c>
      <c r="F304" s="8">
        <f t="shared" si="37"/>
        <v>12353856</v>
      </c>
      <c r="G304" s="8">
        <f t="shared" si="34"/>
        <v>4941542.4000000004</v>
      </c>
      <c r="H304" s="8">
        <f t="shared" si="33"/>
        <v>10350657.6</v>
      </c>
      <c r="L304" s="15"/>
    </row>
    <row r="305" spans="1:12">
      <c r="A305" s="7">
        <v>11</v>
      </c>
      <c r="B305" s="8">
        <f t="shared" si="35"/>
        <v>15292200</v>
      </c>
      <c r="C305" s="8">
        <v>0</v>
      </c>
      <c r="D305" s="8">
        <v>0</v>
      </c>
      <c r="E305" s="8">
        <f t="shared" si="36"/>
        <v>2938344</v>
      </c>
      <c r="F305" s="8">
        <f t="shared" si="37"/>
        <v>12353856</v>
      </c>
      <c r="G305" s="8">
        <f t="shared" si="34"/>
        <v>4941542.4000000004</v>
      </c>
      <c r="H305" s="8">
        <f t="shared" si="33"/>
        <v>10350657.6</v>
      </c>
      <c r="L305" s="15"/>
    </row>
    <row r="306" spans="1:12">
      <c r="A306" s="7">
        <v>12</v>
      </c>
      <c r="B306" s="8">
        <f t="shared" si="35"/>
        <v>15292200</v>
      </c>
      <c r="C306" s="8">
        <v>0</v>
      </c>
      <c r="D306" s="8">
        <v>0</v>
      </c>
      <c r="E306" s="8">
        <f t="shared" si="36"/>
        <v>2938344</v>
      </c>
      <c r="F306" s="8">
        <f t="shared" si="37"/>
        <v>12353856</v>
      </c>
      <c r="G306" s="8">
        <f t="shared" si="34"/>
        <v>4941542.4000000004</v>
      </c>
      <c r="H306" s="8">
        <f t="shared" si="33"/>
        <v>10350657.6</v>
      </c>
      <c r="L306" s="15"/>
    </row>
    <row r="307" spans="1:12">
      <c r="A307" s="7">
        <v>13</v>
      </c>
      <c r="B307" s="8">
        <f t="shared" si="35"/>
        <v>15292200</v>
      </c>
      <c r="C307" s="8">
        <v>0</v>
      </c>
      <c r="D307" s="8">
        <v>0</v>
      </c>
      <c r="E307" s="8">
        <f t="shared" si="36"/>
        <v>2938344</v>
      </c>
      <c r="F307" s="8">
        <f t="shared" si="37"/>
        <v>12353856</v>
      </c>
      <c r="G307" s="8">
        <f t="shared" si="34"/>
        <v>4941542.4000000004</v>
      </c>
      <c r="H307" s="8">
        <f t="shared" si="33"/>
        <v>10350657.6</v>
      </c>
      <c r="L307" s="15"/>
    </row>
    <row r="308" spans="1:12">
      <c r="A308" s="7">
        <v>14</v>
      </c>
      <c r="B308" s="8">
        <f t="shared" si="35"/>
        <v>15292200</v>
      </c>
      <c r="C308" s="8">
        <v>0</v>
      </c>
      <c r="D308" s="8">
        <v>0</v>
      </c>
      <c r="E308" s="8">
        <f t="shared" si="36"/>
        <v>2938344</v>
      </c>
      <c r="F308" s="8">
        <f t="shared" si="37"/>
        <v>12353856</v>
      </c>
      <c r="G308" s="8">
        <f t="shared" si="34"/>
        <v>4941542.4000000004</v>
      </c>
      <c r="H308" s="8">
        <f t="shared" si="33"/>
        <v>10350657.6</v>
      </c>
      <c r="L308" s="15"/>
    </row>
    <row r="309" spans="1:12">
      <c r="A309" s="7">
        <v>15</v>
      </c>
      <c r="B309" s="8">
        <f t="shared" si="35"/>
        <v>15292200</v>
      </c>
      <c r="C309" s="8">
        <v>0</v>
      </c>
      <c r="D309" s="8">
        <v>0</v>
      </c>
      <c r="E309" s="8">
        <f t="shared" si="36"/>
        <v>2938344</v>
      </c>
      <c r="F309" s="8">
        <f t="shared" si="37"/>
        <v>12353856</v>
      </c>
      <c r="G309" s="8">
        <f t="shared" si="34"/>
        <v>4941542.4000000004</v>
      </c>
      <c r="H309" s="8">
        <f t="shared" si="33"/>
        <v>10350657.6</v>
      </c>
      <c r="L309" s="15"/>
    </row>
    <row r="310" spans="1:12">
      <c r="A310" s="7">
        <v>16</v>
      </c>
      <c r="B310" s="8">
        <f t="shared" si="35"/>
        <v>15292200</v>
      </c>
      <c r="C310" s="8">
        <v>0</v>
      </c>
      <c r="D310" s="8">
        <v>0</v>
      </c>
      <c r="E310" s="8">
        <f t="shared" si="36"/>
        <v>2938344</v>
      </c>
      <c r="F310" s="8">
        <f t="shared" si="37"/>
        <v>12353856</v>
      </c>
      <c r="G310" s="8">
        <f t="shared" si="34"/>
        <v>4941542.4000000004</v>
      </c>
      <c r="H310" s="8">
        <f t="shared" si="33"/>
        <v>10350657.6</v>
      </c>
      <c r="L310" s="15"/>
    </row>
    <row r="311" spans="1:12">
      <c r="A311" s="7">
        <v>17</v>
      </c>
      <c r="B311" s="8">
        <f t="shared" si="35"/>
        <v>15292200</v>
      </c>
      <c r="C311" s="8">
        <v>0</v>
      </c>
      <c r="D311" s="8">
        <v>0</v>
      </c>
      <c r="E311" s="8">
        <f t="shared" si="36"/>
        <v>2938344</v>
      </c>
      <c r="F311" s="8">
        <f t="shared" si="37"/>
        <v>12353856</v>
      </c>
      <c r="G311" s="8">
        <f t="shared" si="34"/>
        <v>4941542.4000000004</v>
      </c>
      <c r="H311" s="8">
        <f t="shared" si="33"/>
        <v>10350657.6</v>
      </c>
      <c r="L311" s="15"/>
    </row>
    <row r="312" spans="1:12">
      <c r="A312" s="7">
        <v>18</v>
      </c>
      <c r="B312" s="8">
        <f t="shared" si="35"/>
        <v>15292200</v>
      </c>
      <c r="C312" s="8">
        <v>0</v>
      </c>
      <c r="D312" s="8">
        <v>0</v>
      </c>
      <c r="E312" s="8">
        <f t="shared" si="36"/>
        <v>2938344</v>
      </c>
      <c r="F312" s="8">
        <f t="shared" si="37"/>
        <v>12353856</v>
      </c>
      <c r="G312" s="8">
        <f t="shared" si="34"/>
        <v>4941542.4000000004</v>
      </c>
      <c r="H312" s="8">
        <f t="shared" si="33"/>
        <v>10350657.6</v>
      </c>
      <c r="L312" s="15"/>
    </row>
    <row r="313" spans="1:12">
      <c r="A313" s="7">
        <v>19</v>
      </c>
      <c r="B313" s="8">
        <f t="shared" si="35"/>
        <v>15292200</v>
      </c>
      <c r="C313" s="8">
        <v>0</v>
      </c>
      <c r="D313" s="8">
        <v>0</v>
      </c>
      <c r="E313" s="8">
        <f t="shared" si="36"/>
        <v>2938344</v>
      </c>
      <c r="F313" s="8">
        <f t="shared" si="37"/>
        <v>12353856</v>
      </c>
      <c r="G313" s="8">
        <f t="shared" si="34"/>
        <v>4941542.4000000004</v>
      </c>
      <c r="H313" s="8">
        <f t="shared" si="33"/>
        <v>10350657.6</v>
      </c>
      <c r="L313" s="15"/>
    </row>
    <row r="314" spans="1:12">
      <c r="A314" s="7">
        <v>20</v>
      </c>
      <c r="B314" s="8">
        <f t="shared" si="35"/>
        <v>15292200</v>
      </c>
      <c r="C314" s="8">
        <v>0</v>
      </c>
      <c r="D314" s="8">
        <v>0</v>
      </c>
      <c r="E314" s="8">
        <f t="shared" si="36"/>
        <v>2938344</v>
      </c>
      <c r="F314" s="8">
        <f t="shared" si="37"/>
        <v>12353856</v>
      </c>
      <c r="G314" s="8">
        <f t="shared" si="34"/>
        <v>4941542.4000000004</v>
      </c>
      <c r="H314" s="8">
        <f t="shared" si="33"/>
        <v>10350657.6</v>
      </c>
      <c r="L314" s="15"/>
    </row>
    <row r="315" spans="1:12">
      <c r="A315" s="7">
        <v>21</v>
      </c>
      <c r="B315" s="8">
        <f t="shared" si="35"/>
        <v>15292200</v>
      </c>
      <c r="C315" s="8">
        <v>0</v>
      </c>
      <c r="D315" s="8">
        <v>0</v>
      </c>
      <c r="E315" s="8">
        <f t="shared" si="36"/>
        <v>2938344</v>
      </c>
      <c r="F315" s="8">
        <f t="shared" si="37"/>
        <v>12353856</v>
      </c>
      <c r="G315" s="8">
        <f t="shared" si="34"/>
        <v>4941542.4000000004</v>
      </c>
      <c r="H315" s="8">
        <f t="shared" si="33"/>
        <v>10350657.6</v>
      </c>
      <c r="L315" s="15"/>
    </row>
    <row r="316" spans="1:12">
      <c r="A316" s="7">
        <v>22</v>
      </c>
      <c r="B316" s="8">
        <f t="shared" si="35"/>
        <v>15292200</v>
      </c>
      <c r="C316" s="8">
        <v>0</v>
      </c>
      <c r="D316" s="8">
        <v>0</v>
      </c>
      <c r="E316" s="8">
        <f t="shared" si="36"/>
        <v>2938344</v>
      </c>
      <c r="F316" s="8">
        <f t="shared" si="37"/>
        <v>12353856</v>
      </c>
      <c r="G316" s="8">
        <f t="shared" si="34"/>
        <v>4941542.4000000004</v>
      </c>
      <c r="H316" s="8">
        <f t="shared" si="33"/>
        <v>10350657.6</v>
      </c>
      <c r="L316" s="15"/>
    </row>
    <row r="317" spans="1:12">
      <c r="A317" s="7">
        <v>23</v>
      </c>
      <c r="B317" s="8">
        <f t="shared" si="35"/>
        <v>15292200</v>
      </c>
      <c r="C317" s="8">
        <v>0</v>
      </c>
      <c r="D317" s="8">
        <v>0</v>
      </c>
      <c r="E317" s="8">
        <f t="shared" si="36"/>
        <v>2938344</v>
      </c>
      <c r="F317" s="8">
        <f t="shared" si="37"/>
        <v>12353856</v>
      </c>
      <c r="G317" s="8">
        <f t="shared" si="34"/>
        <v>4941542.4000000004</v>
      </c>
      <c r="H317" s="8">
        <f t="shared" si="33"/>
        <v>10350657.6</v>
      </c>
      <c r="L317" s="15"/>
    </row>
    <row r="318" spans="1:12">
      <c r="A318" s="7">
        <v>24</v>
      </c>
      <c r="B318" s="8">
        <f t="shared" si="35"/>
        <v>15292200</v>
      </c>
      <c r="C318" s="8">
        <v>0</v>
      </c>
      <c r="D318" s="8">
        <v>0</v>
      </c>
      <c r="E318" s="8">
        <f t="shared" si="36"/>
        <v>2938344</v>
      </c>
      <c r="F318" s="8">
        <f t="shared" si="37"/>
        <v>12353856</v>
      </c>
      <c r="G318" s="8">
        <f t="shared" si="34"/>
        <v>4941542.4000000004</v>
      </c>
      <c r="H318" s="8">
        <f t="shared" si="33"/>
        <v>10350657.6</v>
      </c>
      <c r="L318" s="15"/>
    </row>
    <row r="319" spans="1:12">
      <c r="A319" s="7">
        <v>25</v>
      </c>
      <c r="B319" s="8">
        <f t="shared" si="35"/>
        <v>15292200</v>
      </c>
      <c r="C319" s="8">
        <v>0</v>
      </c>
      <c r="D319" s="8">
        <v>0</v>
      </c>
      <c r="E319" s="8">
        <f t="shared" si="36"/>
        <v>2938344</v>
      </c>
      <c r="F319" s="8">
        <f t="shared" si="37"/>
        <v>12353856</v>
      </c>
      <c r="G319" s="8">
        <f t="shared" si="34"/>
        <v>4941542.4000000004</v>
      </c>
      <c r="H319" s="8">
        <f t="shared" si="33"/>
        <v>10350657.6</v>
      </c>
      <c r="L319" s="15"/>
    </row>
    <row r="320" spans="1:12">
      <c r="A320" s="7">
        <v>26</v>
      </c>
      <c r="B320" s="8">
        <f t="shared" si="35"/>
        <v>15292200</v>
      </c>
      <c r="C320" s="8">
        <v>0</v>
      </c>
      <c r="D320" s="8">
        <v>0</v>
      </c>
      <c r="E320" s="8">
        <f t="shared" si="36"/>
        <v>2938344</v>
      </c>
      <c r="F320" s="8">
        <f t="shared" si="37"/>
        <v>12353856</v>
      </c>
      <c r="G320" s="8">
        <f t="shared" si="34"/>
        <v>4941542.4000000004</v>
      </c>
      <c r="H320" s="8">
        <f t="shared" si="33"/>
        <v>10350657.6</v>
      </c>
      <c r="L320" s="15"/>
    </row>
    <row r="321" spans="1:12">
      <c r="A321" s="7">
        <v>27</v>
      </c>
      <c r="B321" s="8">
        <f t="shared" si="35"/>
        <v>15292200</v>
      </c>
      <c r="C321" s="8">
        <v>0</v>
      </c>
      <c r="D321" s="8">
        <v>0</v>
      </c>
      <c r="E321" s="8">
        <f t="shared" si="36"/>
        <v>2938344</v>
      </c>
      <c r="F321" s="8">
        <f t="shared" si="37"/>
        <v>12353856</v>
      </c>
      <c r="G321" s="8">
        <f t="shared" si="34"/>
        <v>4941542.4000000004</v>
      </c>
      <c r="H321" s="8">
        <f t="shared" si="33"/>
        <v>10350657.6</v>
      </c>
      <c r="L321" s="15"/>
    </row>
    <row r="322" spans="1:12">
      <c r="A322" s="7">
        <v>28</v>
      </c>
      <c r="B322" s="8">
        <f t="shared" si="35"/>
        <v>15292200</v>
      </c>
      <c r="C322" s="8">
        <v>0</v>
      </c>
      <c r="D322" s="8">
        <v>0</v>
      </c>
      <c r="E322" s="8">
        <f t="shared" si="36"/>
        <v>2938344</v>
      </c>
      <c r="F322" s="8">
        <f t="shared" si="37"/>
        <v>12353856</v>
      </c>
      <c r="G322" s="8">
        <f t="shared" si="34"/>
        <v>4941542.4000000004</v>
      </c>
      <c r="H322" s="8">
        <f t="shared" si="33"/>
        <v>10350657.6</v>
      </c>
      <c r="L322" s="15"/>
    </row>
    <row r="323" spans="1:12">
      <c r="A323" s="7">
        <v>29</v>
      </c>
      <c r="B323" s="8">
        <f t="shared" si="35"/>
        <v>15292200</v>
      </c>
      <c r="C323" s="8">
        <v>0</v>
      </c>
      <c r="D323" s="8">
        <v>0</v>
      </c>
      <c r="E323" s="8">
        <f t="shared" si="36"/>
        <v>2938344</v>
      </c>
      <c r="F323" s="8">
        <f t="shared" si="37"/>
        <v>12353856</v>
      </c>
      <c r="G323" s="8">
        <f t="shared" si="34"/>
        <v>4941542.4000000004</v>
      </c>
      <c r="H323" s="8">
        <f t="shared" si="33"/>
        <v>10350657.6</v>
      </c>
      <c r="L323" s="15"/>
    </row>
    <row r="324" spans="1:12">
      <c r="A324" s="7">
        <v>30</v>
      </c>
      <c r="B324" s="8">
        <f>B288</f>
        <v>49672200</v>
      </c>
      <c r="C324" s="8">
        <f>-C294</f>
        <v>34380000</v>
      </c>
      <c r="D324" s="8">
        <f>FV(5%,30,0,C294)-C324</f>
        <v>114208378.85767978</v>
      </c>
      <c r="E324" s="8">
        <f t="shared" si="36"/>
        <v>1469172</v>
      </c>
      <c r="F324" s="8">
        <f>B324-D324-E324-E325</f>
        <v>-94042240.857679784</v>
      </c>
      <c r="G324" s="8">
        <f t="shared" si="34"/>
        <v>-37616896.343071915</v>
      </c>
      <c r="H324" s="8">
        <f t="shared" si="33"/>
        <v>-61299282.514607869</v>
      </c>
      <c r="L324" s="15"/>
    </row>
    <row r="325" spans="1:12">
      <c r="D325" s="7" t="s">
        <v>68</v>
      </c>
      <c r="E325" s="8">
        <f>-B294-SUM(E294:E324)</f>
        <v>28036890</v>
      </c>
    </row>
    <row r="326" spans="1:12">
      <c r="G326" s="10" t="s">
        <v>69</v>
      </c>
      <c r="H326" s="8">
        <f>NPV(F113,H295:H324)+H294</f>
        <v>58480420.272600681</v>
      </c>
    </row>
    <row r="327" spans="1:12">
      <c r="A327" s="6"/>
      <c r="G327" s="10" t="s">
        <v>70</v>
      </c>
      <c r="H327" s="14">
        <f>IRR(H294:H324)</f>
        <v>0.12131552182214822</v>
      </c>
    </row>
    <row r="328" spans="1:12">
      <c r="A328" s="6"/>
      <c r="G328" s="8"/>
      <c r="H328" s="14"/>
    </row>
    <row r="329" spans="1:12" ht="18">
      <c r="A329" s="13" t="s">
        <v>78</v>
      </c>
    </row>
    <row r="330" spans="1:12">
      <c r="A330" s="6" t="s">
        <v>55</v>
      </c>
      <c r="B330" s="6" t="s">
        <v>61</v>
      </c>
      <c r="C330" s="6" t="s">
        <v>62</v>
      </c>
      <c r="D330" s="6" t="s">
        <v>63</v>
      </c>
      <c r="E330" s="6" t="s">
        <v>64</v>
      </c>
      <c r="F330" s="6" t="s">
        <v>65</v>
      </c>
      <c r="G330" s="6" t="s">
        <v>66</v>
      </c>
      <c r="H330" s="6" t="s">
        <v>67</v>
      </c>
      <c r="K330" s="6" t="s">
        <v>76</v>
      </c>
    </row>
    <row r="331" spans="1:12">
      <c r="A331" s="7">
        <v>0</v>
      </c>
      <c r="B331" s="8">
        <f>$C78</f>
        <v>-114600000</v>
      </c>
      <c r="C331" s="8">
        <f t="shared" ref="C331:D331" si="38">C294</f>
        <v>-34380000</v>
      </c>
      <c r="D331" s="8">
        <f t="shared" si="38"/>
        <v>0</v>
      </c>
      <c r="E331" s="7">
        <v>0</v>
      </c>
      <c r="H331" s="8">
        <f t="shared" ref="H331:H361" si="39">B331-C331-D331-G331</f>
        <v>-80220000</v>
      </c>
    </row>
    <row r="332" spans="1:12">
      <c r="A332" s="7">
        <v>1</v>
      </c>
      <c r="B332" s="8">
        <f t="shared" ref="B332:B360" si="40">$C79</f>
        <v>15292200</v>
      </c>
      <c r="C332" s="8">
        <f t="shared" ref="C332:C361" si="41">PPMT($F$111,$A332,30,$C$186)</f>
        <v>517468.33805990894</v>
      </c>
      <c r="D332" s="8">
        <f>IPMT($F$111,$A332,30,$C$186)</f>
        <v>1719000</v>
      </c>
      <c r="E332" s="8">
        <f>$B$331*-K332</f>
        <v>2820306</v>
      </c>
      <c r="F332" s="8">
        <f>B332-E332-D332</f>
        <v>10752894</v>
      </c>
      <c r="G332" s="8">
        <f t="shared" ref="G332:G361" si="42">F332*$F$112</f>
        <v>4301157.6000000006</v>
      </c>
      <c r="H332" s="8">
        <f t="shared" si="39"/>
        <v>8754574.0619400889</v>
      </c>
      <c r="K332" s="16">
        <v>2.461E-2</v>
      </c>
    </row>
    <row r="333" spans="1:12">
      <c r="A333" s="7">
        <v>2</v>
      </c>
      <c r="B333" s="8">
        <f t="shared" si="40"/>
        <v>15598044</v>
      </c>
      <c r="C333" s="8">
        <f t="shared" si="41"/>
        <v>543341.75496290426</v>
      </c>
      <c r="D333" s="8">
        <f t="shared" ref="D333:D361" si="43">IPMT($F$111,$A333,30,$C$186)</f>
        <v>1693126.5830970046</v>
      </c>
      <c r="E333" s="8">
        <f>$B$331*-K333</f>
        <v>2938344</v>
      </c>
      <c r="F333" s="8">
        <f t="shared" ref="F333:F360" si="44">B333-E333-D333</f>
        <v>10966573.416902995</v>
      </c>
      <c r="G333" s="8">
        <f t="shared" si="42"/>
        <v>4386629.3667611983</v>
      </c>
      <c r="H333" s="8">
        <f t="shared" si="39"/>
        <v>8974946.2951788921</v>
      </c>
      <c r="K333" s="16">
        <v>2.564E-2</v>
      </c>
    </row>
    <row r="334" spans="1:12">
      <c r="A334" s="7">
        <v>3</v>
      </c>
      <c r="B334" s="8">
        <f t="shared" si="40"/>
        <v>15910004.880000001</v>
      </c>
      <c r="C334" s="8">
        <f t="shared" si="41"/>
        <v>570508.84271104948</v>
      </c>
      <c r="D334" s="8">
        <f t="shared" si="43"/>
        <v>1665959.4953488596</v>
      </c>
      <c r="E334" s="8">
        <f>$B$331*-K334</f>
        <v>2938344</v>
      </c>
      <c r="F334" s="8">
        <f t="shared" si="44"/>
        <v>11305701.384651141</v>
      </c>
      <c r="G334" s="8">
        <f t="shared" si="42"/>
        <v>4522280.5538604567</v>
      </c>
      <c r="H334" s="8">
        <f t="shared" si="39"/>
        <v>9151255.9880796336</v>
      </c>
      <c r="K334" s="16">
        <v>2.564E-2</v>
      </c>
    </row>
    <row r="335" spans="1:12">
      <c r="A335" s="7">
        <v>4</v>
      </c>
      <c r="B335" s="8">
        <f t="shared" si="40"/>
        <v>16228204.977600001</v>
      </c>
      <c r="C335" s="8">
        <f t="shared" si="41"/>
        <v>599034.28484660201</v>
      </c>
      <c r="D335" s="8">
        <f t="shared" si="43"/>
        <v>1637434.0532133069</v>
      </c>
      <c r="E335" s="8">
        <f t="shared" ref="E335:E361" si="45">$B$331*-K335</f>
        <v>2938344</v>
      </c>
      <c r="F335" s="8">
        <f t="shared" si="44"/>
        <v>11652426.924386693</v>
      </c>
      <c r="G335" s="8">
        <f t="shared" si="42"/>
        <v>4660970.7697546771</v>
      </c>
      <c r="H335" s="8">
        <f t="shared" si="39"/>
        <v>9330765.8697854131</v>
      </c>
      <c r="K335" s="16">
        <v>2.564E-2</v>
      </c>
    </row>
    <row r="336" spans="1:12">
      <c r="A336" s="7">
        <v>5</v>
      </c>
      <c r="B336" s="8">
        <f t="shared" si="40"/>
        <v>16552769.077152001</v>
      </c>
      <c r="C336" s="8">
        <f t="shared" si="41"/>
        <v>628985.99908893206</v>
      </c>
      <c r="D336" s="8">
        <f t="shared" si="43"/>
        <v>1607482.3389709769</v>
      </c>
      <c r="E336" s="8">
        <f t="shared" si="45"/>
        <v>2938344</v>
      </c>
      <c r="F336" s="8">
        <f>B336-E336-D336</f>
        <v>12006942.738181025</v>
      </c>
      <c r="G336" s="8">
        <f t="shared" si="42"/>
        <v>4802777.0952724097</v>
      </c>
      <c r="H336" s="8">
        <f t="shared" si="39"/>
        <v>9513523.6438196823</v>
      </c>
      <c r="K336" s="16">
        <v>2.564E-2</v>
      </c>
    </row>
    <row r="337" spans="1:11">
      <c r="A337" s="7">
        <v>6</v>
      </c>
      <c r="B337" s="8">
        <f t="shared" si="40"/>
        <v>16883824.458695043</v>
      </c>
      <c r="C337" s="8">
        <f t="shared" si="41"/>
        <v>660435.29904337879</v>
      </c>
      <c r="D337" s="8">
        <f t="shared" si="43"/>
        <v>1576033.0390165304</v>
      </c>
      <c r="E337" s="8">
        <f t="shared" si="45"/>
        <v>2938344</v>
      </c>
      <c r="F337" s="8">
        <f t="shared" si="44"/>
        <v>12369447.419678513</v>
      </c>
      <c r="G337" s="8">
        <f t="shared" si="42"/>
        <v>4947778.9678714052</v>
      </c>
      <c r="H337" s="8">
        <f t="shared" si="39"/>
        <v>9699577.1527637281</v>
      </c>
      <c r="K337" s="16">
        <v>2.564E-2</v>
      </c>
    </row>
    <row r="338" spans="1:11">
      <c r="A338" s="7">
        <v>7</v>
      </c>
      <c r="B338" s="8">
        <f t="shared" si="40"/>
        <v>17221500.947868943</v>
      </c>
      <c r="C338" s="8">
        <f t="shared" si="41"/>
        <v>693457.06399554771</v>
      </c>
      <c r="D338" s="8">
        <f t="shared" si="43"/>
        <v>1543011.2740643611</v>
      </c>
      <c r="E338" s="8">
        <f t="shared" si="45"/>
        <v>2938344</v>
      </c>
      <c r="F338" s="8">
        <f t="shared" si="44"/>
        <v>12740145.673804581</v>
      </c>
      <c r="G338" s="8">
        <f t="shared" si="42"/>
        <v>5096058.2695218325</v>
      </c>
      <c r="H338" s="8">
        <f t="shared" si="39"/>
        <v>9888974.3402872011</v>
      </c>
      <c r="K338" s="16">
        <v>2.564E-2</v>
      </c>
    </row>
    <row r="339" spans="1:11">
      <c r="A339" s="7">
        <v>8</v>
      </c>
      <c r="B339" s="8">
        <f t="shared" si="40"/>
        <v>17565930.966826323</v>
      </c>
      <c r="C339" s="8">
        <f t="shared" si="41"/>
        <v>728129.91719532514</v>
      </c>
      <c r="D339" s="8">
        <f t="shared" si="43"/>
        <v>1508338.4208645839</v>
      </c>
      <c r="E339" s="8">
        <f t="shared" si="45"/>
        <v>2938344</v>
      </c>
      <c r="F339" s="8">
        <f t="shared" si="44"/>
        <v>13119248.545961739</v>
      </c>
      <c r="G339" s="8">
        <f t="shared" si="42"/>
        <v>5247699.4183846964</v>
      </c>
      <c r="H339" s="8">
        <f t="shared" si="39"/>
        <v>10081763.21038172</v>
      </c>
      <c r="K339" s="16">
        <v>2.564E-2</v>
      </c>
    </row>
    <row r="340" spans="1:11">
      <c r="A340" s="7">
        <v>9</v>
      </c>
      <c r="B340" s="8">
        <f t="shared" si="40"/>
        <v>17917249.58616285</v>
      </c>
      <c r="C340" s="8">
        <f t="shared" si="41"/>
        <v>764536.41305509128</v>
      </c>
      <c r="D340" s="8">
        <f t="shared" si="43"/>
        <v>1471931.9250048178</v>
      </c>
      <c r="E340" s="8">
        <f t="shared" si="45"/>
        <v>2938344</v>
      </c>
      <c r="F340" s="8">
        <f t="shared" si="44"/>
        <v>13506973.661158033</v>
      </c>
      <c r="G340" s="8">
        <f t="shared" si="42"/>
        <v>5402789.4644632135</v>
      </c>
      <c r="H340" s="8">
        <f t="shared" si="39"/>
        <v>10277991.783639727</v>
      </c>
      <c r="K340" s="16">
        <v>2.564E-2</v>
      </c>
    </row>
    <row r="341" spans="1:11">
      <c r="A341" s="7">
        <v>10</v>
      </c>
      <c r="B341" s="8">
        <f t="shared" si="40"/>
        <v>18275594.577886108</v>
      </c>
      <c r="C341" s="8">
        <f t="shared" si="41"/>
        <v>802763.23370784591</v>
      </c>
      <c r="D341" s="8">
        <f t="shared" si="43"/>
        <v>1433705.104352063</v>
      </c>
      <c r="E341" s="8">
        <f t="shared" si="45"/>
        <v>2938344</v>
      </c>
      <c r="F341" s="8">
        <f t="shared" si="44"/>
        <v>13903545.473534046</v>
      </c>
      <c r="G341" s="8">
        <f t="shared" si="42"/>
        <v>5561418.1894136183</v>
      </c>
      <c r="H341" s="8">
        <f t="shared" si="39"/>
        <v>10477708.050412582</v>
      </c>
      <c r="K341" s="16">
        <v>2.564E-2</v>
      </c>
    </row>
    <row r="342" spans="1:11">
      <c r="A342" s="7">
        <v>11</v>
      </c>
      <c r="B342" s="8">
        <f t="shared" si="40"/>
        <v>18641106.469443832</v>
      </c>
      <c r="C342" s="8">
        <f t="shared" si="41"/>
        <v>842901.39539323829</v>
      </c>
      <c r="D342" s="8">
        <f t="shared" si="43"/>
        <v>1393566.9426666708</v>
      </c>
      <c r="E342" s="8">
        <f t="shared" si="45"/>
        <v>2938344</v>
      </c>
      <c r="F342" s="8">
        <f t="shared" si="44"/>
        <v>14309195.526777161</v>
      </c>
      <c r="G342" s="8">
        <f t="shared" si="42"/>
        <v>5723678.2107108645</v>
      </c>
      <c r="H342" s="8">
        <f t="shared" si="39"/>
        <v>10680959.920673059</v>
      </c>
      <c r="K342" s="16">
        <v>2.564E-2</v>
      </c>
    </row>
    <row r="343" spans="1:11">
      <c r="A343" s="7">
        <v>12</v>
      </c>
      <c r="B343" s="8">
        <f t="shared" si="40"/>
        <v>19013928.598832708</v>
      </c>
      <c r="C343" s="8">
        <f t="shared" si="41"/>
        <v>885046.46516290016</v>
      </c>
      <c r="D343" s="8">
        <f t="shared" si="43"/>
        <v>1351421.8728970087</v>
      </c>
      <c r="E343" s="8">
        <f t="shared" si="45"/>
        <v>2938344</v>
      </c>
      <c r="F343" s="8">
        <f t="shared" si="44"/>
        <v>14724162.725935699</v>
      </c>
      <c r="G343" s="8">
        <f t="shared" si="42"/>
        <v>5889665.0903742798</v>
      </c>
      <c r="H343" s="8">
        <f t="shared" si="39"/>
        <v>10887795.170398518</v>
      </c>
      <c r="K343" s="16">
        <v>2.564E-2</v>
      </c>
    </row>
    <row r="344" spans="1:11">
      <c r="A344" s="7">
        <v>13</v>
      </c>
      <c r="B344" s="8">
        <f t="shared" si="40"/>
        <v>19394207.170809362</v>
      </c>
      <c r="C344" s="8">
        <f t="shared" si="41"/>
        <v>929298.78842104506</v>
      </c>
      <c r="D344" s="8">
        <f t="shared" si="43"/>
        <v>1307169.5496388637</v>
      </c>
      <c r="E344" s="8">
        <f t="shared" si="45"/>
        <v>2938344</v>
      </c>
      <c r="F344" s="8">
        <f t="shared" si="44"/>
        <v>15148693.621170498</v>
      </c>
      <c r="G344" s="8">
        <f t="shared" si="42"/>
        <v>6059477.4484681999</v>
      </c>
      <c r="H344" s="8">
        <f t="shared" si="39"/>
        <v>11098261.384281252</v>
      </c>
      <c r="K344" s="16">
        <v>2.564E-2</v>
      </c>
    </row>
    <row r="345" spans="1:11">
      <c r="A345" s="7">
        <v>14</v>
      </c>
      <c r="B345" s="8">
        <f t="shared" si="40"/>
        <v>19782091.314225551</v>
      </c>
      <c r="C345" s="8">
        <f t="shared" si="41"/>
        <v>975763.7278420974</v>
      </c>
      <c r="D345" s="8">
        <f t="shared" si="43"/>
        <v>1260704.6102178115</v>
      </c>
      <c r="E345" s="8">
        <f t="shared" si="45"/>
        <v>2938344</v>
      </c>
      <c r="F345" s="8">
        <f t="shared" si="44"/>
        <v>15583042.704007739</v>
      </c>
      <c r="G345" s="8">
        <f t="shared" si="42"/>
        <v>6233217.0816030959</v>
      </c>
      <c r="H345" s="8">
        <f t="shared" si="39"/>
        <v>11312405.89456255</v>
      </c>
      <c r="K345" s="16">
        <v>2.564E-2</v>
      </c>
    </row>
    <row r="346" spans="1:11">
      <c r="A346" s="7">
        <v>15</v>
      </c>
      <c r="B346" s="8">
        <f t="shared" si="40"/>
        <v>20177733.140510064</v>
      </c>
      <c r="C346" s="8">
        <f t="shared" si="41"/>
        <v>1024551.9142342022</v>
      </c>
      <c r="D346" s="8">
        <f t="shared" si="43"/>
        <v>1211916.4238257066</v>
      </c>
      <c r="E346" s="8">
        <f t="shared" si="45"/>
        <v>2938344</v>
      </c>
      <c r="F346" s="8">
        <f t="shared" si="44"/>
        <v>16027472.716684356</v>
      </c>
      <c r="G346" s="8">
        <f t="shared" si="42"/>
        <v>6410989.0866737431</v>
      </c>
      <c r="H346" s="8">
        <f t="shared" si="39"/>
        <v>11530275.71577641</v>
      </c>
      <c r="K346" s="16">
        <v>2.564E-2</v>
      </c>
    </row>
    <row r="347" spans="1:11">
      <c r="A347" s="7">
        <v>16</v>
      </c>
      <c r="B347" s="8">
        <f t="shared" si="40"/>
        <v>20581287.803320266</v>
      </c>
      <c r="C347" s="8">
        <f t="shared" si="41"/>
        <v>1075779.5099459125</v>
      </c>
      <c r="D347" s="8">
        <f t="shared" si="43"/>
        <v>1160688.8281139964</v>
      </c>
      <c r="E347" s="8">
        <f t="shared" si="45"/>
        <v>2938344</v>
      </c>
      <c r="F347" s="8">
        <f t="shared" si="44"/>
        <v>16482254.975206271</v>
      </c>
      <c r="G347" s="8">
        <f t="shared" si="42"/>
        <v>6592901.9900825089</v>
      </c>
      <c r="H347" s="8">
        <f t="shared" si="39"/>
        <v>11751917.475177847</v>
      </c>
      <c r="K347" s="16">
        <v>2.564E-2</v>
      </c>
    </row>
    <row r="348" spans="1:11">
      <c r="A348" s="7">
        <v>17</v>
      </c>
      <c r="B348" s="8">
        <f t="shared" si="40"/>
        <v>20992913.559386671</v>
      </c>
      <c r="C348" s="8">
        <f t="shared" si="41"/>
        <v>1129568.4854432081</v>
      </c>
      <c r="D348" s="8">
        <f t="shared" si="43"/>
        <v>1106899.852616701</v>
      </c>
      <c r="E348" s="8">
        <f t="shared" si="45"/>
        <v>2938344</v>
      </c>
      <c r="F348" s="8">
        <f t="shared" si="44"/>
        <v>16947669.706769969</v>
      </c>
      <c r="G348" s="8">
        <f t="shared" si="42"/>
        <v>6779067.8827079879</v>
      </c>
      <c r="H348" s="8">
        <f t="shared" si="39"/>
        <v>11977377.338618774</v>
      </c>
      <c r="K348" s="16">
        <v>2.564E-2</v>
      </c>
    </row>
    <row r="349" spans="1:11">
      <c r="A349" s="7">
        <v>18</v>
      </c>
      <c r="B349" s="8">
        <f t="shared" si="40"/>
        <v>21412771.830574404</v>
      </c>
      <c r="C349" s="8">
        <f t="shared" si="41"/>
        <v>1186046.9097153684</v>
      </c>
      <c r="D349" s="8">
        <f t="shared" si="43"/>
        <v>1050421.4283445405</v>
      </c>
      <c r="E349" s="8">
        <f t="shared" si="45"/>
        <v>2938344</v>
      </c>
      <c r="F349" s="8">
        <f t="shared" si="44"/>
        <v>17424006.402229864</v>
      </c>
      <c r="G349" s="8">
        <f t="shared" si="42"/>
        <v>6969602.5608919458</v>
      </c>
      <c r="H349" s="8">
        <f t="shared" si="39"/>
        <v>12206700.93162255</v>
      </c>
      <c r="K349" s="16">
        <v>2.564E-2</v>
      </c>
    </row>
    <row r="350" spans="1:11">
      <c r="A350" s="7">
        <v>19</v>
      </c>
      <c r="B350" s="8">
        <f t="shared" si="40"/>
        <v>21841027.267185893</v>
      </c>
      <c r="C350" s="8">
        <f t="shared" si="41"/>
        <v>1245349.2552011372</v>
      </c>
      <c r="D350" s="8">
        <f t="shared" si="43"/>
        <v>991119.0828587719</v>
      </c>
      <c r="E350" s="8">
        <f t="shared" si="45"/>
        <v>2938344</v>
      </c>
      <c r="F350" s="8">
        <f t="shared" si="44"/>
        <v>17911564.184327122</v>
      </c>
      <c r="G350" s="8">
        <f t="shared" si="42"/>
        <v>7164625.6737308493</v>
      </c>
      <c r="H350" s="8">
        <f t="shared" si="39"/>
        <v>12439933.255395133</v>
      </c>
      <c r="K350" s="16">
        <v>2.564E-2</v>
      </c>
    </row>
    <row r="351" spans="1:11">
      <c r="A351" s="7">
        <v>20</v>
      </c>
      <c r="B351" s="8">
        <f t="shared" si="40"/>
        <v>22277847.812529612</v>
      </c>
      <c r="C351" s="8">
        <f t="shared" si="41"/>
        <v>1307616.7179611938</v>
      </c>
      <c r="D351" s="8">
        <f t="shared" si="43"/>
        <v>928851.6200987153</v>
      </c>
      <c r="E351" s="8">
        <f t="shared" si="45"/>
        <v>2938344</v>
      </c>
      <c r="F351" s="8">
        <f t="shared" si="44"/>
        <v>18410652.192430899</v>
      </c>
      <c r="G351" s="8">
        <f>F351*$F$112</f>
        <v>7364260.8769723596</v>
      </c>
      <c r="H351" s="8">
        <f t="shared" si="39"/>
        <v>12677118.597497348</v>
      </c>
      <c r="K351" s="16">
        <v>2.564E-2</v>
      </c>
    </row>
    <row r="352" spans="1:11">
      <c r="A352" s="7">
        <v>21</v>
      </c>
      <c r="B352" s="8">
        <f t="shared" si="40"/>
        <v>22723404.768780205</v>
      </c>
      <c r="C352" s="8">
        <f t="shared" si="41"/>
        <v>1372997.5538592534</v>
      </c>
      <c r="D352" s="8">
        <f t="shared" si="43"/>
        <v>863470.78420065553</v>
      </c>
      <c r="E352" s="8">
        <f t="shared" si="45"/>
        <v>2938344</v>
      </c>
      <c r="F352" s="8">
        <f t="shared" si="44"/>
        <v>18921589.984579548</v>
      </c>
      <c r="G352" s="8">
        <f t="shared" si="42"/>
        <v>7568635.9938318199</v>
      </c>
      <c r="H352" s="8">
        <f t="shared" si="39"/>
        <v>12918300.436888475</v>
      </c>
      <c r="K352" s="16">
        <v>2.564E-2</v>
      </c>
    </row>
    <row r="353" spans="1:12">
      <c r="A353" s="7">
        <v>22</v>
      </c>
      <c r="B353" s="8">
        <f t="shared" si="40"/>
        <v>23177872.86415581</v>
      </c>
      <c r="C353" s="8">
        <f t="shared" si="41"/>
        <v>1441647.4315522162</v>
      </c>
      <c r="D353" s="8">
        <f t="shared" si="43"/>
        <v>794820.90650769277</v>
      </c>
      <c r="E353" s="8">
        <f t="shared" si="45"/>
        <v>2938344</v>
      </c>
      <c r="F353" s="8">
        <f t="shared" si="44"/>
        <v>19444707.957648117</v>
      </c>
      <c r="G353" s="8">
        <f t="shared" si="42"/>
        <v>7777883.1830592472</v>
      </c>
      <c r="H353" s="8">
        <f t="shared" si="39"/>
        <v>13163521.343036653</v>
      </c>
      <c r="K353" s="16">
        <v>2.564E-2</v>
      </c>
    </row>
    <row r="354" spans="1:12">
      <c r="A354" s="7">
        <v>23</v>
      </c>
      <c r="B354" s="8">
        <f t="shared" si="40"/>
        <v>23641430.321438927</v>
      </c>
      <c r="C354" s="8">
        <f t="shared" si="41"/>
        <v>1513729.8031298269</v>
      </c>
      <c r="D354" s="8">
        <f t="shared" si="43"/>
        <v>722738.53493008204</v>
      </c>
      <c r="E354" s="8">
        <f t="shared" si="45"/>
        <v>2938344</v>
      </c>
      <c r="F354" s="8">
        <f t="shared" si="44"/>
        <v>19980347.786508843</v>
      </c>
      <c r="G354" s="8">
        <f t="shared" si="42"/>
        <v>7992139.1146035381</v>
      </c>
      <c r="H354" s="8">
        <f t="shared" si="39"/>
        <v>13412822.868775483</v>
      </c>
      <c r="K354" s="16">
        <v>2.564E-2</v>
      </c>
    </row>
    <row r="355" spans="1:12">
      <c r="A355" s="7">
        <v>24</v>
      </c>
      <c r="B355" s="8">
        <f t="shared" si="40"/>
        <v>24114258.927867707</v>
      </c>
      <c r="C355" s="8">
        <f t="shared" si="41"/>
        <v>1589416.2932863182</v>
      </c>
      <c r="D355" s="8">
        <f t="shared" si="43"/>
        <v>647052.04477359063</v>
      </c>
      <c r="E355" s="8">
        <f t="shared" si="45"/>
        <v>2938344</v>
      </c>
      <c r="F355" s="8">
        <f t="shared" si="44"/>
        <v>20528862.883094117</v>
      </c>
      <c r="G355" s="8">
        <f t="shared" si="42"/>
        <v>8211545.1532376474</v>
      </c>
      <c r="H355" s="8">
        <f t="shared" si="39"/>
        <v>13666245.436570149</v>
      </c>
      <c r="K355" s="16">
        <v>2.564E-2</v>
      </c>
    </row>
    <row r="356" spans="1:12">
      <c r="A356" s="7">
        <v>25</v>
      </c>
      <c r="B356" s="8">
        <f t="shared" si="40"/>
        <v>24596544.106425062</v>
      </c>
      <c r="C356" s="8">
        <f t="shared" si="41"/>
        <v>1668887.1079506343</v>
      </c>
      <c r="D356" s="8">
        <f t="shared" si="43"/>
        <v>567581.23010927462</v>
      </c>
      <c r="E356" s="8">
        <f t="shared" si="45"/>
        <v>2938344</v>
      </c>
      <c r="F356" s="8">
        <f t="shared" si="44"/>
        <v>21090618.876315787</v>
      </c>
      <c r="G356" s="8">
        <f t="shared" si="42"/>
        <v>8436247.5505263153</v>
      </c>
      <c r="H356" s="8">
        <f t="shared" si="39"/>
        <v>13923828.217838837</v>
      </c>
      <c r="K356" s="16">
        <v>2.564E-2</v>
      </c>
    </row>
    <row r="357" spans="1:12">
      <c r="A357" s="7">
        <v>26</v>
      </c>
      <c r="B357" s="8">
        <f t="shared" si="40"/>
        <v>25088474.988553565</v>
      </c>
      <c r="C357" s="8">
        <f t="shared" si="41"/>
        <v>1752331.4633481661</v>
      </c>
      <c r="D357" s="8">
        <f t="shared" si="43"/>
        <v>484136.87471174292</v>
      </c>
      <c r="E357" s="8">
        <f t="shared" si="45"/>
        <v>2938344</v>
      </c>
      <c r="F357" s="8">
        <f t="shared" si="44"/>
        <v>21665994.113841821</v>
      </c>
      <c r="G357" s="8">
        <f t="shared" si="42"/>
        <v>8666397.6455367282</v>
      </c>
      <c r="H357" s="8">
        <f t="shared" si="39"/>
        <v>14185609.004956927</v>
      </c>
      <c r="K357" s="16">
        <v>2.564E-2</v>
      </c>
    </row>
    <row r="358" spans="1:12">
      <c r="A358" s="7">
        <v>27</v>
      </c>
      <c r="B358" s="8">
        <f t="shared" si="40"/>
        <v>25590244.488324638</v>
      </c>
      <c r="C358" s="8">
        <f t="shared" si="41"/>
        <v>1839948.0365155747</v>
      </c>
      <c r="D358" s="8">
        <f t="shared" si="43"/>
        <v>396520.30154433456</v>
      </c>
      <c r="E358" s="8">
        <f t="shared" si="45"/>
        <v>2938344</v>
      </c>
      <c r="F358" s="8">
        <f t="shared" si="44"/>
        <v>22255380.186780304</v>
      </c>
      <c r="G358" s="8">
        <f t="shared" si="42"/>
        <v>8902152.0747121219</v>
      </c>
      <c r="H358" s="8">
        <f t="shared" si="39"/>
        <v>14451624.075552607</v>
      </c>
      <c r="K358" s="16">
        <v>2.564E-2</v>
      </c>
    </row>
    <row r="359" spans="1:12">
      <c r="A359" s="7">
        <v>28</v>
      </c>
      <c r="B359" s="8">
        <f t="shared" si="40"/>
        <v>26102049.37809113</v>
      </c>
      <c r="C359" s="8">
        <f t="shared" si="41"/>
        <v>1931945.4383413531</v>
      </c>
      <c r="D359" s="8">
        <f t="shared" si="43"/>
        <v>304522.8997185558</v>
      </c>
      <c r="E359" s="8">
        <f t="shared" si="45"/>
        <v>2938344</v>
      </c>
      <c r="F359" s="8">
        <f>B359-E359-D359</f>
        <v>22859182.478372574</v>
      </c>
      <c r="G359" s="8">
        <f t="shared" si="42"/>
        <v>9143672.9913490303</v>
      </c>
      <c r="H359" s="8">
        <f t="shared" si="39"/>
        <v>14721908.04868219</v>
      </c>
      <c r="K359" s="16">
        <v>2.564E-2</v>
      </c>
    </row>
    <row r="360" spans="1:12">
      <c r="A360" s="7">
        <v>29</v>
      </c>
      <c r="B360" s="8">
        <f t="shared" si="40"/>
        <v>26624090.365652952</v>
      </c>
      <c r="C360" s="8">
        <f t="shared" si="41"/>
        <v>2028542.7102584206</v>
      </c>
      <c r="D360" s="8">
        <f t="shared" si="43"/>
        <v>207925.62780148815</v>
      </c>
      <c r="E360" s="8">
        <f t="shared" si="45"/>
        <v>2938344</v>
      </c>
      <c r="F360" s="8">
        <f t="shared" si="44"/>
        <v>23477820.737851463</v>
      </c>
      <c r="G360" s="8">
        <f t="shared" si="42"/>
        <v>9391128.2951405849</v>
      </c>
      <c r="H360" s="8">
        <f t="shared" si="39"/>
        <v>14996493.732452458</v>
      </c>
      <c r="K360" s="16">
        <v>2.564E-2</v>
      </c>
    </row>
    <row r="361" spans="1:12">
      <c r="A361" s="7">
        <v>30</v>
      </c>
      <c r="B361" s="8">
        <f>$C108</f>
        <v>61536572.172966011</v>
      </c>
      <c r="C361" s="8">
        <f t="shared" si="41"/>
        <v>2129969.8457713421</v>
      </c>
      <c r="D361" s="8">
        <f t="shared" si="43"/>
        <v>106498.49228856713</v>
      </c>
      <c r="E361" s="8">
        <f t="shared" si="45"/>
        <v>1469172</v>
      </c>
      <c r="F361" s="8">
        <f>B361-E361-D361-E362</f>
        <v>31924011.680677444</v>
      </c>
      <c r="G361" s="8">
        <f t="shared" si="42"/>
        <v>12769604.672270978</v>
      </c>
      <c r="H361" s="8">
        <f t="shared" si="39"/>
        <v>46530499.162635125</v>
      </c>
      <c r="K361" s="16">
        <f>K360/2</f>
        <v>1.282E-2</v>
      </c>
    </row>
    <row r="362" spans="1:12">
      <c r="D362" s="6" t="s">
        <v>68</v>
      </c>
      <c r="E362" s="8">
        <f>-B331-SUM(E332:E361)</f>
        <v>28036890</v>
      </c>
    </row>
    <row r="363" spans="1:12">
      <c r="D363" s="8"/>
      <c r="G363" s="10" t="s">
        <v>69</v>
      </c>
      <c r="H363" s="8">
        <f>NPV(F113,H332:H361)+H331</f>
        <v>89564520.291528732</v>
      </c>
    </row>
    <row r="364" spans="1:12">
      <c r="G364" s="10" t="s">
        <v>70</v>
      </c>
      <c r="H364" s="14">
        <f>IRR(H331:H361)</f>
        <v>0.12455624664336651</v>
      </c>
      <c r="J364" s="14"/>
    </row>
    <row r="365" spans="1:12">
      <c r="G365" s="8"/>
      <c r="H365" s="15"/>
      <c r="J365" s="14"/>
    </row>
    <row r="366" spans="1:12" ht="18">
      <c r="A366" s="13" t="s">
        <v>79</v>
      </c>
    </row>
    <row r="367" spans="1:12">
      <c r="A367" s="6" t="s">
        <v>55</v>
      </c>
      <c r="B367" s="6" t="s">
        <v>61</v>
      </c>
      <c r="C367" s="6" t="s">
        <v>62</v>
      </c>
      <c r="D367" s="6" t="s">
        <v>63</v>
      </c>
      <c r="E367" s="6" t="s">
        <v>64</v>
      </c>
      <c r="F367" s="6" t="s">
        <v>65</v>
      </c>
      <c r="G367" s="6" t="s">
        <v>66</v>
      </c>
      <c r="H367" s="6" t="s">
        <v>67</v>
      </c>
      <c r="L367" s="6" t="s">
        <v>76</v>
      </c>
    </row>
    <row r="368" spans="1:12">
      <c r="A368" s="7">
        <v>0</v>
      </c>
      <c r="B368" s="8">
        <f>$C78</f>
        <v>-114600000</v>
      </c>
      <c r="C368" s="8">
        <f>-'Step 2 - WACC'!B6</f>
        <v>-34380000</v>
      </c>
      <c r="D368" s="8">
        <v>0</v>
      </c>
      <c r="E368" s="8">
        <v>0</v>
      </c>
      <c r="H368" s="8">
        <f t="shared" ref="H368:H398" si="46">B368-C368-D368-G368</f>
        <v>-80220000</v>
      </c>
    </row>
    <row r="369" spans="1:12">
      <c r="A369" s="7">
        <v>1</v>
      </c>
      <c r="B369" s="8">
        <f t="shared" ref="B369:B397" si="47">$C79</f>
        <v>15292200</v>
      </c>
      <c r="C369" s="8">
        <v>0</v>
      </c>
      <c r="D369" s="8">
        <v>0</v>
      </c>
      <c r="E369" s="8">
        <f t="shared" ref="E369:E398" si="48">$L369*-$B$368</f>
        <v>2820306</v>
      </c>
      <c r="F369" s="8">
        <f>B369-D369-E369</f>
        <v>12471894</v>
      </c>
      <c r="G369" s="8">
        <f t="shared" ref="G369:G398" si="49">F369*$F$112</f>
        <v>4988757.6000000006</v>
      </c>
      <c r="H369" s="8">
        <f t="shared" si="46"/>
        <v>10303442.399999999</v>
      </c>
      <c r="L369" s="16">
        <v>2.461E-2</v>
      </c>
    </row>
    <row r="370" spans="1:12">
      <c r="A370" s="7">
        <v>2</v>
      </c>
      <c r="B370" s="8">
        <f t="shared" si="47"/>
        <v>15598044</v>
      </c>
      <c r="C370" s="8">
        <v>0</v>
      </c>
      <c r="D370" s="8">
        <v>0</v>
      </c>
      <c r="E370" s="8">
        <f t="shared" si="48"/>
        <v>2938344</v>
      </c>
      <c r="F370" s="8">
        <f>B370-D370-E370</f>
        <v>12659700</v>
      </c>
      <c r="G370" s="8">
        <f t="shared" si="49"/>
        <v>5063880</v>
      </c>
      <c r="H370" s="8">
        <f t="shared" si="46"/>
        <v>10534164</v>
      </c>
      <c r="L370" s="16">
        <v>2.564E-2</v>
      </c>
    </row>
    <row r="371" spans="1:12">
      <c r="A371" s="7">
        <v>3</v>
      </c>
      <c r="B371" s="8">
        <f t="shared" si="47"/>
        <v>15910004.880000001</v>
      </c>
      <c r="C371" s="8">
        <v>0</v>
      </c>
      <c r="D371" s="8">
        <v>0</v>
      </c>
      <c r="E371" s="8">
        <f t="shared" si="48"/>
        <v>2938344</v>
      </c>
      <c r="F371" s="8">
        <f t="shared" ref="F371:F397" si="50">B371-D371-E371</f>
        <v>12971660.880000001</v>
      </c>
      <c r="G371" s="8">
        <f t="shared" si="49"/>
        <v>5188664.3520000009</v>
      </c>
      <c r="H371" s="8">
        <f t="shared" si="46"/>
        <v>10721340.528000001</v>
      </c>
      <c r="L371" s="16">
        <v>2.564E-2</v>
      </c>
    </row>
    <row r="372" spans="1:12">
      <c r="A372" s="7">
        <v>4</v>
      </c>
      <c r="B372" s="8">
        <f t="shared" si="47"/>
        <v>16228204.977600001</v>
      </c>
      <c r="C372" s="8">
        <v>0</v>
      </c>
      <c r="D372" s="8">
        <v>0</v>
      </c>
      <c r="E372" s="8">
        <f t="shared" si="48"/>
        <v>2938344</v>
      </c>
      <c r="F372" s="8">
        <f t="shared" si="50"/>
        <v>13289860.977600001</v>
      </c>
      <c r="G372" s="8">
        <f t="shared" si="49"/>
        <v>5315944.3910400011</v>
      </c>
      <c r="H372" s="8">
        <f t="shared" si="46"/>
        <v>10912260.58656</v>
      </c>
      <c r="L372" s="16">
        <v>2.564E-2</v>
      </c>
    </row>
    <row r="373" spans="1:12">
      <c r="A373" s="7">
        <v>5</v>
      </c>
      <c r="B373" s="8">
        <f t="shared" si="47"/>
        <v>16552769.077152001</v>
      </c>
      <c r="C373" s="8">
        <v>0</v>
      </c>
      <c r="D373" s="8">
        <v>0</v>
      </c>
      <c r="E373" s="8">
        <f t="shared" si="48"/>
        <v>2938344</v>
      </c>
      <c r="F373" s="8">
        <f t="shared" si="50"/>
        <v>13614425.077152001</v>
      </c>
      <c r="G373" s="8">
        <f t="shared" si="49"/>
        <v>5445770.0308608003</v>
      </c>
      <c r="H373" s="8">
        <f t="shared" si="46"/>
        <v>11106999.0462912</v>
      </c>
      <c r="L373" s="16">
        <v>2.564E-2</v>
      </c>
    </row>
    <row r="374" spans="1:12">
      <c r="A374" s="7">
        <v>6</v>
      </c>
      <c r="B374" s="8">
        <f t="shared" si="47"/>
        <v>16883824.458695043</v>
      </c>
      <c r="C374" s="8">
        <v>0</v>
      </c>
      <c r="D374" s="8">
        <v>0</v>
      </c>
      <c r="E374" s="8">
        <f t="shared" si="48"/>
        <v>2938344</v>
      </c>
      <c r="F374" s="8">
        <f t="shared" si="50"/>
        <v>13945480.458695043</v>
      </c>
      <c r="G374" s="8">
        <f t="shared" si="49"/>
        <v>5578192.1834780173</v>
      </c>
      <c r="H374" s="8">
        <f t="shared" si="46"/>
        <v>11305632.275217026</v>
      </c>
      <c r="L374" s="16">
        <v>2.564E-2</v>
      </c>
    </row>
    <row r="375" spans="1:12">
      <c r="A375" s="7">
        <v>7</v>
      </c>
      <c r="B375" s="8">
        <f t="shared" si="47"/>
        <v>17221500.947868943</v>
      </c>
      <c r="C375" s="8">
        <v>0</v>
      </c>
      <c r="D375" s="8">
        <v>0</v>
      </c>
      <c r="E375" s="8">
        <f t="shared" si="48"/>
        <v>2938344</v>
      </c>
      <c r="F375" s="8">
        <f t="shared" si="50"/>
        <v>14283156.947868943</v>
      </c>
      <c r="G375" s="8">
        <f t="shared" si="49"/>
        <v>5713262.7791475775</v>
      </c>
      <c r="H375" s="8">
        <f t="shared" si="46"/>
        <v>11508238.168721367</v>
      </c>
      <c r="L375" s="16">
        <v>2.564E-2</v>
      </c>
    </row>
    <row r="376" spans="1:12">
      <c r="A376" s="7">
        <v>8</v>
      </c>
      <c r="B376" s="8">
        <f t="shared" si="47"/>
        <v>17565930.966826323</v>
      </c>
      <c r="C376" s="8">
        <v>0</v>
      </c>
      <c r="D376" s="8">
        <v>0</v>
      </c>
      <c r="E376" s="8">
        <f t="shared" si="48"/>
        <v>2938344</v>
      </c>
      <c r="F376" s="8">
        <f t="shared" si="50"/>
        <v>14627586.966826323</v>
      </c>
      <c r="G376" s="8">
        <f t="shared" si="49"/>
        <v>5851034.7867305297</v>
      </c>
      <c r="H376" s="8">
        <f t="shared" si="46"/>
        <v>11714896.180095794</v>
      </c>
      <c r="L376" s="16">
        <v>2.564E-2</v>
      </c>
    </row>
    <row r="377" spans="1:12">
      <c r="A377" s="7">
        <v>9</v>
      </c>
      <c r="B377" s="8">
        <f t="shared" si="47"/>
        <v>17917249.58616285</v>
      </c>
      <c r="C377" s="8">
        <v>0</v>
      </c>
      <c r="D377" s="8">
        <v>0</v>
      </c>
      <c r="E377" s="8">
        <f t="shared" si="48"/>
        <v>2938344</v>
      </c>
      <c r="F377" s="8">
        <f t="shared" si="50"/>
        <v>14978905.58616285</v>
      </c>
      <c r="G377" s="8">
        <f t="shared" si="49"/>
        <v>5991562.2344651408</v>
      </c>
      <c r="H377" s="8">
        <f t="shared" si="46"/>
        <v>11925687.351697709</v>
      </c>
      <c r="L377" s="16">
        <v>2.564E-2</v>
      </c>
    </row>
    <row r="378" spans="1:12">
      <c r="A378" s="7">
        <v>10</v>
      </c>
      <c r="B378" s="8">
        <f t="shared" si="47"/>
        <v>18275594.577886108</v>
      </c>
      <c r="C378" s="8">
        <v>0</v>
      </c>
      <c r="D378" s="8">
        <v>0</v>
      </c>
      <c r="E378" s="8">
        <f t="shared" si="48"/>
        <v>2938344</v>
      </c>
      <c r="F378" s="8">
        <f t="shared" si="50"/>
        <v>15337250.577886108</v>
      </c>
      <c r="G378" s="8">
        <f t="shared" si="49"/>
        <v>6134900.2311544437</v>
      </c>
      <c r="H378" s="8">
        <f t="shared" si="46"/>
        <v>12140694.346731665</v>
      </c>
      <c r="L378" s="16">
        <v>2.564E-2</v>
      </c>
    </row>
    <row r="379" spans="1:12">
      <c r="A379" s="7">
        <v>11</v>
      </c>
      <c r="B379" s="8">
        <f t="shared" si="47"/>
        <v>18641106.469443832</v>
      </c>
      <c r="C379" s="8">
        <v>0</v>
      </c>
      <c r="D379" s="8">
        <v>0</v>
      </c>
      <c r="E379" s="8">
        <f t="shared" si="48"/>
        <v>2938344</v>
      </c>
      <c r="F379" s="8">
        <f t="shared" si="50"/>
        <v>15702762.469443832</v>
      </c>
      <c r="G379" s="8">
        <f t="shared" si="49"/>
        <v>6281104.987777533</v>
      </c>
      <c r="H379" s="8">
        <f t="shared" si="46"/>
        <v>12360001.481666299</v>
      </c>
      <c r="L379" s="16">
        <v>2.564E-2</v>
      </c>
    </row>
    <row r="380" spans="1:12">
      <c r="A380" s="7">
        <v>12</v>
      </c>
      <c r="B380" s="8">
        <f t="shared" si="47"/>
        <v>19013928.598832708</v>
      </c>
      <c r="C380" s="8">
        <v>0</v>
      </c>
      <c r="D380" s="8">
        <v>0</v>
      </c>
      <c r="E380" s="8">
        <f t="shared" si="48"/>
        <v>2938344</v>
      </c>
      <c r="F380" s="8">
        <f t="shared" si="50"/>
        <v>16075584.598832708</v>
      </c>
      <c r="G380" s="8">
        <f t="shared" si="49"/>
        <v>6430233.8395330831</v>
      </c>
      <c r="H380" s="8">
        <f t="shared" si="46"/>
        <v>12583694.759299625</v>
      </c>
      <c r="L380" s="16">
        <v>2.564E-2</v>
      </c>
    </row>
    <row r="381" spans="1:12">
      <c r="A381" s="7">
        <v>13</v>
      </c>
      <c r="B381" s="8">
        <f t="shared" si="47"/>
        <v>19394207.170809362</v>
      </c>
      <c r="C381" s="8">
        <v>0</v>
      </c>
      <c r="D381" s="8">
        <v>0</v>
      </c>
      <c r="E381" s="8">
        <f t="shared" si="48"/>
        <v>2938344</v>
      </c>
      <c r="F381" s="8">
        <f t="shared" si="50"/>
        <v>16455863.170809362</v>
      </c>
      <c r="G381" s="8">
        <f t="shared" si="49"/>
        <v>6582345.2683237456</v>
      </c>
      <c r="H381" s="8">
        <f t="shared" si="46"/>
        <v>12811861.902485617</v>
      </c>
      <c r="L381" s="16">
        <v>2.564E-2</v>
      </c>
    </row>
    <row r="382" spans="1:12">
      <c r="A382" s="7">
        <v>14</v>
      </c>
      <c r="B382" s="8">
        <f t="shared" si="47"/>
        <v>19782091.314225551</v>
      </c>
      <c r="C382" s="8">
        <v>0</v>
      </c>
      <c r="D382" s="8">
        <v>0</v>
      </c>
      <c r="E382" s="8">
        <f t="shared" si="48"/>
        <v>2938344</v>
      </c>
      <c r="F382" s="8">
        <f t="shared" si="50"/>
        <v>16843747.314225551</v>
      </c>
      <c r="G382" s="8">
        <f t="shared" si="49"/>
        <v>6737498.9256902207</v>
      </c>
      <c r="H382" s="8">
        <f t="shared" si="46"/>
        <v>13044592.38853533</v>
      </c>
      <c r="L382" s="16">
        <v>2.564E-2</v>
      </c>
    </row>
    <row r="383" spans="1:12">
      <c r="A383" s="7">
        <v>15</v>
      </c>
      <c r="B383" s="8">
        <f t="shared" si="47"/>
        <v>20177733.140510064</v>
      </c>
      <c r="C383" s="8">
        <v>0</v>
      </c>
      <c r="D383" s="8">
        <v>0</v>
      </c>
      <c r="E383" s="8">
        <f t="shared" si="48"/>
        <v>2938344</v>
      </c>
      <c r="F383" s="8">
        <f t="shared" si="50"/>
        <v>17239389.140510064</v>
      </c>
      <c r="G383" s="8">
        <f t="shared" si="49"/>
        <v>6895755.6562040262</v>
      </c>
      <c r="H383" s="8">
        <f t="shared" si="46"/>
        <v>13281977.484306037</v>
      </c>
      <c r="L383" s="16">
        <v>2.564E-2</v>
      </c>
    </row>
    <row r="384" spans="1:12">
      <c r="A384" s="7">
        <v>16</v>
      </c>
      <c r="B384" s="8">
        <f t="shared" si="47"/>
        <v>20581287.803320266</v>
      </c>
      <c r="C384" s="8">
        <v>0</v>
      </c>
      <c r="D384" s="8">
        <v>0</v>
      </c>
      <c r="E384" s="8">
        <f t="shared" si="48"/>
        <v>2938344</v>
      </c>
      <c r="F384" s="8">
        <f t="shared" si="50"/>
        <v>17642943.803320266</v>
      </c>
      <c r="G384" s="8">
        <f t="shared" si="49"/>
        <v>7057177.5213281065</v>
      </c>
      <c r="H384" s="8">
        <f t="shared" si="46"/>
        <v>13524110.28199216</v>
      </c>
      <c r="L384" s="16">
        <v>2.564E-2</v>
      </c>
    </row>
    <row r="385" spans="1:12">
      <c r="A385" s="7">
        <v>17</v>
      </c>
      <c r="B385" s="8">
        <f t="shared" si="47"/>
        <v>20992913.559386671</v>
      </c>
      <c r="C385" s="8">
        <v>0</v>
      </c>
      <c r="D385" s="8">
        <v>0</v>
      </c>
      <c r="E385" s="8">
        <f t="shared" si="48"/>
        <v>2938344</v>
      </c>
      <c r="F385" s="8">
        <f t="shared" si="50"/>
        <v>18054569.559386671</v>
      </c>
      <c r="G385" s="8">
        <f t="shared" si="49"/>
        <v>7221827.8237546682</v>
      </c>
      <c r="H385" s="8">
        <f t="shared" si="46"/>
        <v>13771085.735632002</v>
      </c>
      <c r="L385" s="16">
        <v>2.564E-2</v>
      </c>
    </row>
    <row r="386" spans="1:12">
      <c r="A386" s="7">
        <v>18</v>
      </c>
      <c r="B386" s="8">
        <f t="shared" si="47"/>
        <v>21412771.830574404</v>
      </c>
      <c r="C386" s="8">
        <v>0</v>
      </c>
      <c r="D386" s="8">
        <v>0</v>
      </c>
      <c r="E386" s="8">
        <f t="shared" si="48"/>
        <v>2938344</v>
      </c>
      <c r="F386" s="8">
        <f t="shared" si="50"/>
        <v>18474427.830574404</v>
      </c>
      <c r="G386" s="8">
        <f t="shared" si="49"/>
        <v>7389771.1322297622</v>
      </c>
      <c r="H386" s="8">
        <f t="shared" si="46"/>
        <v>14023000.698344642</v>
      </c>
      <c r="L386" s="16">
        <v>2.564E-2</v>
      </c>
    </row>
    <row r="387" spans="1:12">
      <c r="A387" s="7">
        <v>19</v>
      </c>
      <c r="B387" s="8">
        <f t="shared" si="47"/>
        <v>21841027.267185893</v>
      </c>
      <c r="C387" s="8">
        <v>0</v>
      </c>
      <c r="D387" s="8">
        <v>0</v>
      </c>
      <c r="E387" s="8">
        <f t="shared" si="48"/>
        <v>2938344</v>
      </c>
      <c r="F387" s="8">
        <f t="shared" si="50"/>
        <v>18902683.267185893</v>
      </c>
      <c r="G387" s="8">
        <f t="shared" si="49"/>
        <v>7561073.3068743572</v>
      </c>
      <c r="H387" s="8">
        <f t="shared" si="46"/>
        <v>14279953.960311536</v>
      </c>
      <c r="L387" s="16">
        <v>2.564E-2</v>
      </c>
    </row>
    <row r="388" spans="1:12">
      <c r="A388" s="7">
        <v>20</v>
      </c>
      <c r="B388" s="8">
        <f t="shared" si="47"/>
        <v>22277847.812529612</v>
      </c>
      <c r="C388" s="8">
        <v>0</v>
      </c>
      <c r="D388" s="8">
        <v>0</v>
      </c>
      <c r="E388" s="8">
        <f t="shared" si="48"/>
        <v>2938344</v>
      </c>
      <c r="F388" s="8">
        <f t="shared" si="50"/>
        <v>19339503.812529612</v>
      </c>
      <c r="G388" s="8">
        <f t="shared" si="49"/>
        <v>7735801.5250118449</v>
      </c>
      <c r="H388" s="8">
        <f t="shared" si="46"/>
        <v>14542046.287517767</v>
      </c>
      <c r="L388" s="16">
        <v>2.564E-2</v>
      </c>
    </row>
    <row r="389" spans="1:12">
      <c r="A389" s="7">
        <v>21</v>
      </c>
      <c r="B389" s="8">
        <f t="shared" si="47"/>
        <v>22723404.768780205</v>
      </c>
      <c r="C389" s="8">
        <v>0</v>
      </c>
      <c r="D389" s="8">
        <v>0</v>
      </c>
      <c r="E389" s="8">
        <f t="shared" si="48"/>
        <v>2938344</v>
      </c>
      <c r="F389" s="8">
        <f t="shared" si="50"/>
        <v>19785060.768780205</v>
      </c>
      <c r="G389" s="8">
        <f t="shared" si="49"/>
        <v>7914024.3075120822</v>
      </c>
      <c r="H389" s="8">
        <f t="shared" si="46"/>
        <v>14809380.461268123</v>
      </c>
      <c r="L389" s="16">
        <v>2.564E-2</v>
      </c>
    </row>
    <row r="390" spans="1:12">
      <c r="A390" s="7">
        <v>22</v>
      </c>
      <c r="B390" s="8">
        <f t="shared" si="47"/>
        <v>23177872.86415581</v>
      </c>
      <c r="C390" s="8">
        <v>0</v>
      </c>
      <c r="D390" s="8">
        <v>0</v>
      </c>
      <c r="E390" s="8">
        <f t="shared" si="48"/>
        <v>2938344</v>
      </c>
      <c r="F390" s="8">
        <f t="shared" si="50"/>
        <v>20239528.86415581</v>
      </c>
      <c r="G390" s="8">
        <f t="shared" si="49"/>
        <v>8095811.5456623249</v>
      </c>
      <c r="H390" s="8">
        <f t="shared" si="46"/>
        <v>15082061.318493485</v>
      </c>
      <c r="L390" s="16">
        <v>2.564E-2</v>
      </c>
    </row>
    <row r="391" spans="1:12">
      <c r="A391" s="7">
        <v>23</v>
      </c>
      <c r="B391" s="8">
        <f t="shared" si="47"/>
        <v>23641430.321438927</v>
      </c>
      <c r="C391" s="8">
        <v>0</v>
      </c>
      <c r="D391" s="8">
        <v>0</v>
      </c>
      <c r="E391" s="8">
        <f t="shared" si="48"/>
        <v>2938344</v>
      </c>
      <c r="F391" s="8">
        <f t="shared" si="50"/>
        <v>20703086.321438927</v>
      </c>
      <c r="G391" s="8">
        <f t="shared" si="49"/>
        <v>8281234.5285755713</v>
      </c>
      <c r="H391" s="8">
        <f t="shared" si="46"/>
        <v>15360195.792863356</v>
      </c>
      <c r="L391" s="16">
        <v>2.564E-2</v>
      </c>
    </row>
    <row r="392" spans="1:12">
      <c r="A392" s="7">
        <v>24</v>
      </c>
      <c r="B392" s="8">
        <f t="shared" si="47"/>
        <v>24114258.927867707</v>
      </c>
      <c r="C392" s="8">
        <v>0</v>
      </c>
      <c r="D392" s="8">
        <v>0</v>
      </c>
      <c r="E392" s="8">
        <f t="shared" si="48"/>
        <v>2938344</v>
      </c>
      <c r="F392" s="8">
        <f t="shared" si="50"/>
        <v>21175914.927867707</v>
      </c>
      <c r="G392" s="8">
        <f t="shared" si="49"/>
        <v>8470365.9711470827</v>
      </c>
      <c r="H392" s="8">
        <f t="shared" si="46"/>
        <v>15643892.956720624</v>
      </c>
      <c r="L392" s="16">
        <v>2.564E-2</v>
      </c>
    </row>
    <row r="393" spans="1:12">
      <c r="A393" s="7">
        <v>25</v>
      </c>
      <c r="B393" s="8">
        <f t="shared" si="47"/>
        <v>24596544.106425062</v>
      </c>
      <c r="C393" s="8">
        <v>0</v>
      </c>
      <c r="D393" s="8">
        <v>0</v>
      </c>
      <c r="E393" s="8">
        <f t="shared" si="48"/>
        <v>2938344</v>
      </c>
      <c r="F393" s="8">
        <f t="shared" si="50"/>
        <v>21658200.106425062</v>
      </c>
      <c r="G393" s="8">
        <f t="shared" si="49"/>
        <v>8663280.0425700247</v>
      </c>
      <c r="H393" s="8">
        <f t="shared" si="46"/>
        <v>15933264.063855037</v>
      </c>
      <c r="L393" s="16">
        <v>2.564E-2</v>
      </c>
    </row>
    <row r="394" spans="1:12">
      <c r="A394" s="7">
        <v>26</v>
      </c>
      <c r="B394" s="8">
        <f t="shared" si="47"/>
        <v>25088474.988553565</v>
      </c>
      <c r="C394" s="8">
        <v>0</v>
      </c>
      <c r="D394" s="8">
        <v>0</v>
      </c>
      <c r="E394" s="8">
        <f t="shared" si="48"/>
        <v>2938344</v>
      </c>
      <c r="F394" s="8">
        <f t="shared" si="50"/>
        <v>22150130.988553565</v>
      </c>
      <c r="G394" s="8">
        <f t="shared" si="49"/>
        <v>8860052.3954214267</v>
      </c>
      <c r="H394" s="8">
        <f t="shared" si="46"/>
        <v>16228422.593132138</v>
      </c>
      <c r="L394" s="16">
        <v>2.564E-2</v>
      </c>
    </row>
    <row r="395" spans="1:12">
      <c r="A395" s="7">
        <v>27</v>
      </c>
      <c r="B395" s="8">
        <f t="shared" si="47"/>
        <v>25590244.488324638</v>
      </c>
      <c r="C395" s="8">
        <v>0</v>
      </c>
      <c r="D395" s="8">
        <v>0</v>
      </c>
      <c r="E395" s="8">
        <f t="shared" si="48"/>
        <v>2938344</v>
      </c>
      <c r="F395" s="8">
        <f>B395-D395-E395</f>
        <v>22651900.488324638</v>
      </c>
      <c r="G395" s="8">
        <f t="shared" si="49"/>
        <v>9060760.1953298561</v>
      </c>
      <c r="H395" s="8">
        <f t="shared" si="46"/>
        <v>16529484.292994782</v>
      </c>
      <c r="L395" s="16">
        <v>2.564E-2</v>
      </c>
    </row>
    <row r="396" spans="1:12">
      <c r="A396" s="7">
        <v>28</v>
      </c>
      <c r="B396" s="8">
        <f t="shared" si="47"/>
        <v>26102049.37809113</v>
      </c>
      <c r="C396" s="8">
        <v>0</v>
      </c>
      <c r="D396" s="8">
        <v>0</v>
      </c>
      <c r="E396" s="8">
        <f t="shared" si="48"/>
        <v>2938344</v>
      </c>
      <c r="F396" s="8">
        <f t="shared" si="50"/>
        <v>23163705.37809113</v>
      </c>
      <c r="G396" s="8">
        <f t="shared" si="49"/>
        <v>9265482.1512364522</v>
      </c>
      <c r="H396" s="8">
        <f t="shared" si="46"/>
        <v>16836567.226854678</v>
      </c>
      <c r="L396" s="16">
        <v>2.564E-2</v>
      </c>
    </row>
    <row r="397" spans="1:12">
      <c r="A397" s="7">
        <v>29</v>
      </c>
      <c r="B397" s="8">
        <f t="shared" si="47"/>
        <v>26624090.365652952</v>
      </c>
      <c r="C397" s="8">
        <v>0</v>
      </c>
      <c r="D397" s="8">
        <v>0</v>
      </c>
      <c r="E397" s="8">
        <f t="shared" si="48"/>
        <v>2938344</v>
      </c>
      <c r="F397" s="8">
        <f t="shared" si="50"/>
        <v>23685746.365652952</v>
      </c>
      <c r="G397" s="8">
        <f t="shared" si="49"/>
        <v>9474298.5462611821</v>
      </c>
      <c r="H397" s="8">
        <f t="shared" si="46"/>
        <v>17149791.819391772</v>
      </c>
      <c r="L397" s="16">
        <v>2.564E-2</v>
      </c>
    </row>
    <row r="398" spans="1:12">
      <c r="A398" s="7">
        <v>30</v>
      </c>
      <c r="B398" s="8">
        <f>$C108</f>
        <v>61536572.172966011</v>
      </c>
      <c r="C398" s="8">
        <f>-C368</f>
        <v>34380000</v>
      </c>
      <c r="D398" s="8">
        <f>FV(5%,30,0,C368)-C398</f>
        <v>114208378.85767978</v>
      </c>
      <c r="E398" s="8">
        <f t="shared" si="48"/>
        <v>1469172</v>
      </c>
      <c r="F398" s="8">
        <f>B398-D398-E398-E399</f>
        <v>-82177868.684713781</v>
      </c>
      <c r="G398" s="8">
        <f t="shared" si="49"/>
        <v>-32871147.473885514</v>
      </c>
      <c r="H398" s="8">
        <f t="shared" si="46"/>
        <v>-54180659.210828267</v>
      </c>
      <c r="L398" s="16">
        <f>L397/2</f>
        <v>1.282E-2</v>
      </c>
    </row>
    <row r="399" spans="1:12">
      <c r="D399" s="7" t="s">
        <v>68</v>
      </c>
      <c r="E399" s="8">
        <f>-B368-SUM(E369:E398)</f>
        <v>28036890</v>
      </c>
    </row>
    <row r="400" spans="1:12">
      <c r="G400" s="10" t="s">
        <v>69</v>
      </c>
      <c r="H400" s="8">
        <f>NPV(F113,H369:H398)+H368</f>
        <v>93271878.126257271</v>
      </c>
    </row>
    <row r="401" spans="7:8">
      <c r="G401" s="10" t="s">
        <v>70</v>
      </c>
      <c r="H401" s="14">
        <f>IRR(H368:H398)</f>
        <v>0.14054692731382978</v>
      </c>
    </row>
    <row r="402" spans="7:8">
      <c r="G402" s="8"/>
    </row>
    <row r="403" spans="7:8">
      <c r="G403" s="8"/>
    </row>
    <row r="404" spans="7:8">
      <c r="G404" s="8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40" workbookViewId="0">
      <selection activeCell="G77" sqref="G77"/>
    </sheetView>
  </sheetViews>
  <sheetFormatPr baseColWidth="10" defaultColWidth="8.83203125" defaultRowHeight="14" x14ac:dyDescent="0"/>
  <cols>
    <col min="1" max="1" width="24.6640625" style="1" customWidth="1"/>
    <col min="2" max="2" width="16.83203125" style="1" customWidth="1"/>
    <col min="3" max="3" width="16.5" style="1" customWidth="1"/>
    <col min="4" max="4" width="16.5" style="1" bestFit="1" customWidth="1"/>
    <col min="5" max="5" width="8.83203125" style="1"/>
    <col min="6" max="6" width="23.83203125" style="1" customWidth="1"/>
    <col min="7" max="7" width="17" style="1" customWidth="1"/>
    <col min="8" max="8" width="18.1640625" style="1" bestFit="1" customWidth="1"/>
    <col min="9" max="9" width="19" style="1" customWidth="1"/>
    <col min="10" max="10" width="8.83203125" style="1"/>
    <col min="11" max="11" width="12.5" style="1" customWidth="1"/>
    <col min="12" max="12" width="20.5" style="1" customWidth="1"/>
    <col min="13" max="13" width="11.33203125" style="1" bestFit="1" customWidth="1"/>
    <col min="14" max="16384" width="8.83203125" style="1"/>
  </cols>
  <sheetData>
    <row r="1" spans="1:13">
      <c r="A1" s="4" t="s">
        <v>86</v>
      </c>
      <c r="B1" s="4"/>
      <c r="C1" s="4"/>
      <c r="D1" s="4"/>
      <c r="F1" s="4" t="s">
        <v>87</v>
      </c>
      <c r="G1" s="4"/>
      <c r="H1" s="4"/>
      <c r="I1" s="4"/>
    </row>
    <row r="2" spans="1:13">
      <c r="A2" s="4" t="s">
        <v>88</v>
      </c>
      <c r="B2" s="4" t="s">
        <v>62</v>
      </c>
      <c r="C2" s="4" t="s">
        <v>63</v>
      </c>
      <c r="D2" s="4" t="s">
        <v>89</v>
      </c>
      <c r="F2" s="4" t="s">
        <v>88</v>
      </c>
      <c r="G2" s="4" t="s">
        <v>62</v>
      </c>
      <c r="H2" s="4" t="s">
        <v>63</v>
      </c>
      <c r="I2" s="4" t="s">
        <v>89</v>
      </c>
    </row>
    <row r="3" spans="1:13">
      <c r="A3" s="1">
        <v>0</v>
      </c>
      <c r="B3" s="2">
        <f>-'Step 1,3, and 4 '!C116</f>
        <v>34380000</v>
      </c>
      <c r="D3" s="2">
        <f>B3</f>
        <v>34380000</v>
      </c>
      <c r="F3" s="1">
        <v>0</v>
      </c>
      <c r="G3" s="2">
        <f>B3</f>
        <v>34380000</v>
      </c>
      <c r="I3" s="2">
        <f>$G3+$H3</f>
        <v>34380000</v>
      </c>
    </row>
    <row r="4" spans="1:13">
      <c r="A4" s="1">
        <v>1</v>
      </c>
      <c r="B4" s="2">
        <f>PPMT($M$7,A4,30,$B$3)</f>
        <v>-492366.70314793143</v>
      </c>
      <c r="C4" s="2">
        <f>IPMT($M$7,A4,30,$B$3)</f>
        <v>-1818181.0909090911</v>
      </c>
      <c r="D4" s="2">
        <f>C4+B4</f>
        <v>-2310547.7940570223</v>
      </c>
      <c r="F4" s="1">
        <v>1</v>
      </c>
      <c r="G4" s="2">
        <v>0</v>
      </c>
      <c r="H4" s="2">
        <f>G4</f>
        <v>0</v>
      </c>
      <c r="I4" s="2">
        <f t="shared" ref="I4:I32" si="0">$G4+$H4</f>
        <v>0</v>
      </c>
    </row>
    <row r="5" spans="1:13">
      <c r="A5" s="1">
        <v>2</v>
      </c>
      <c r="B5" s="2">
        <f>PPMT($M$7,A5,30,$B$3)</f>
        <v>-518405.44164289412</v>
      </c>
      <c r="C5" s="2">
        <f t="shared" ref="C5:C33" si="1">IPMT($M$7,A5,30,$B$3)</f>
        <v>-1792142.3524141281</v>
      </c>
      <c r="D5" s="2">
        <f t="shared" ref="D5:D33" si="2">C5+B5</f>
        <v>-2310547.7940570223</v>
      </c>
      <c r="F5" s="1">
        <v>2</v>
      </c>
      <c r="G5" s="2">
        <v>0</v>
      </c>
      <c r="H5" s="2">
        <f t="shared" ref="H5:H32" si="3">G5</f>
        <v>0</v>
      </c>
      <c r="I5" s="2">
        <f t="shared" si="0"/>
        <v>0</v>
      </c>
      <c r="L5" s="4" t="s">
        <v>90</v>
      </c>
      <c r="M5" s="5">
        <f>'Step 2 - WACC'!B25</f>
        <v>5.2884848484848486E-2</v>
      </c>
    </row>
    <row r="6" spans="1:13">
      <c r="A6" s="1">
        <v>3</v>
      </c>
      <c r="B6" s="2">
        <f>PPMT($M$7,A6,30,$B$3)</f>
        <v>-545821.23487789964</v>
      </c>
      <c r="C6" s="2">
        <f>IPMT($M$7,A6,30,$B$3)</f>
        <v>-1764726.559179123</v>
      </c>
      <c r="D6" s="2">
        <f>C6+B6</f>
        <v>-2310547.7940570228</v>
      </c>
      <c r="F6" s="1">
        <v>3</v>
      </c>
      <c r="G6" s="2">
        <v>0</v>
      </c>
      <c r="H6" s="2">
        <f t="shared" si="3"/>
        <v>0</v>
      </c>
      <c r="I6" s="2">
        <f t="shared" si="0"/>
        <v>0</v>
      </c>
      <c r="L6" s="4"/>
    </row>
    <row r="7" spans="1:13">
      <c r="A7" s="1">
        <v>4</v>
      </c>
      <c r="B7" s="2">
        <f t="shared" ref="B7:B33" si="4">PPMT($M$7,A7,30,$B$3)</f>
        <v>-574686.90818423033</v>
      </c>
      <c r="C7" s="2">
        <f t="shared" si="1"/>
        <v>-1735860.8858727922</v>
      </c>
      <c r="D7" s="2">
        <f>C7+B7</f>
        <v>-2310547.7940570228</v>
      </c>
      <c r="F7" s="1">
        <v>4</v>
      </c>
      <c r="G7" s="2">
        <v>0</v>
      </c>
      <c r="H7" s="2">
        <f t="shared" si="3"/>
        <v>0</v>
      </c>
      <c r="I7" s="2">
        <f t="shared" si="0"/>
        <v>0</v>
      </c>
      <c r="L7" s="4" t="s">
        <v>9</v>
      </c>
      <c r="M7" s="5">
        <f>M5</f>
        <v>5.2884848484848486E-2</v>
      </c>
    </row>
    <row r="8" spans="1:13">
      <c r="A8" s="1">
        <v>5</v>
      </c>
      <c r="B8" s="2">
        <f t="shared" si="4"/>
        <v>-605079.13824977935</v>
      </c>
      <c r="C8" s="2">
        <f>IPMT($M$7,A8,30,$B$3)</f>
        <v>-1705468.655807243</v>
      </c>
      <c r="D8" s="2">
        <f t="shared" si="2"/>
        <v>-2310547.7940570223</v>
      </c>
      <c r="F8" s="1">
        <v>5</v>
      </c>
      <c r="G8" s="2">
        <v>0</v>
      </c>
      <c r="H8" s="2">
        <f t="shared" si="3"/>
        <v>0</v>
      </c>
      <c r="I8" s="2">
        <f t="shared" si="0"/>
        <v>0</v>
      </c>
    </row>
    <row r="9" spans="1:13">
      <c r="A9" s="1">
        <v>6</v>
      </c>
      <c r="B9" s="2">
        <f t="shared" si="4"/>
        <v>-637078.65679746156</v>
      </c>
      <c r="C9" s="2">
        <f t="shared" si="1"/>
        <v>-1673469.1372595611</v>
      </c>
      <c r="D9" s="2">
        <f t="shared" si="2"/>
        <v>-2310547.7940570228</v>
      </c>
      <c r="F9" s="1">
        <v>6</v>
      </c>
      <c r="G9" s="2">
        <v>0</v>
      </c>
      <c r="H9" s="2">
        <f t="shared" si="3"/>
        <v>0</v>
      </c>
      <c r="I9" s="2">
        <f t="shared" si="0"/>
        <v>0</v>
      </c>
    </row>
    <row r="10" spans="1:13">
      <c r="A10" s="1">
        <v>7</v>
      </c>
      <c r="B10" s="2">
        <f t="shared" si="4"/>
        <v>-670770.46503512608</v>
      </c>
      <c r="C10" s="2">
        <f t="shared" si="1"/>
        <v>-1639777.3290218965</v>
      </c>
      <c r="D10" s="2">
        <f t="shared" si="2"/>
        <v>-2310547.7940570228</v>
      </c>
      <c r="F10" s="1">
        <v>7</v>
      </c>
      <c r="G10" s="2">
        <v>0</v>
      </c>
      <c r="H10" s="2">
        <f t="shared" si="3"/>
        <v>0</v>
      </c>
      <c r="I10" s="2">
        <f t="shared" si="0"/>
        <v>0</v>
      </c>
    </row>
    <row r="11" spans="1:13">
      <c r="A11" s="1">
        <v>8</v>
      </c>
      <c r="B11" s="2">
        <f t="shared" si="4"/>
        <v>-706244.05944662017</v>
      </c>
      <c r="C11" s="2">
        <f t="shared" si="1"/>
        <v>-1604303.7346104023</v>
      </c>
      <c r="D11" s="2">
        <f t="shared" si="2"/>
        <v>-2310547.7940570223</v>
      </c>
      <c r="F11" s="1">
        <v>8</v>
      </c>
      <c r="G11" s="2">
        <v>0</v>
      </c>
      <c r="H11" s="2">
        <f t="shared" si="3"/>
        <v>0</v>
      </c>
      <c r="I11" s="2">
        <f t="shared" si="0"/>
        <v>0</v>
      </c>
    </row>
    <row r="12" spans="1:13">
      <c r="A12" s="1">
        <v>9</v>
      </c>
      <c r="B12" s="2">
        <f t="shared" si="4"/>
        <v>-743593.66952377895</v>
      </c>
      <c r="C12" s="2">
        <f t="shared" si="1"/>
        <v>-1566954.1245332435</v>
      </c>
      <c r="D12" s="2">
        <f t="shared" si="2"/>
        <v>-2310547.7940570223</v>
      </c>
      <c r="F12" s="1">
        <v>9</v>
      </c>
      <c r="G12" s="2">
        <v>0</v>
      </c>
      <c r="H12" s="2">
        <f t="shared" si="3"/>
        <v>0</v>
      </c>
      <c r="I12" s="2">
        <f t="shared" si="0"/>
        <v>0</v>
      </c>
    </row>
    <row r="13" spans="1:13">
      <c r="A13" s="1">
        <v>10</v>
      </c>
      <c r="B13" s="2">
        <f t="shared" si="4"/>
        <v>-782918.50807083643</v>
      </c>
      <c r="C13" s="2">
        <f t="shared" si="1"/>
        <v>-1527629.285986186</v>
      </c>
      <c r="D13" s="2">
        <f t="shared" si="2"/>
        <v>-2310547.7940570223</v>
      </c>
      <c r="F13" s="1">
        <v>10</v>
      </c>
      <c r="G13" s="2">
        <v>0</v>
      </c>
      <c r="H13" s="2">
        <f t="shared" si="3"/>
        <v>0</v>
      </c>
      <c r="I13" s="2">
        <f t="shared" si="0"/>
        <v>0</v>
      </c>
    </row>
    <row r="14" spans="1:13">
      <c r="A14" s="1">
        <v>11</v>
      </c>
      <c r="B14" s="2">
        <f t="shared" si="4"/>
        <v>-824323.03474614641</v>
      </c>
      <c r="C14" s="2">
        <f t="shared" si="1"/>
        <v>-1486224.759310876</v>
      </c>
      <c r="D14" s="2">
        <f t="shared" si="2"/>
        <v>-2310547.7940570223</v>
      </c>
      <c r="F14" s="1">
        <v>11</v>
      </c>
      <c r="G14" s="2">
        <v>0</v>
      </c>
      <c r="H14" s="2">
        <f t="shared" si="3"/>
        <v>0</v>
      </c>
      <c r="I14" s="2">
        <f t="shared" si="0"/>
        <v>0</v>
      </c>
    </row>
    <row r="15" spans="1:13">
      <c r="A15" s="1">
        <v>12</v>
      </c>
      <c r="B15" s="2">
        <f t="shared" si="4"/>
        <v>-867917.23354126676</v>
      </c>
      <c r="C15" s="2">
        <f t="shared" si="1"/>
        <v>-1442630.5605157556</v>
      </c>
      <c r="D15" s="2">
        <f t="shared" si="2"/>
        <v>-2310547.7940570223</v>
      </c>
      <c r="F15" s="1">
        <v>12</v>
      </c>
      <c r="G15" s="2">
        <v>0</v>
      </c>
      <c r="H15" s="2">
        <f t="shared" si="3"/>
        <v>0</v>
      </c>
      <c r="I15" s="2">
        <f t="shared" si="0"/>
        <v>0</v>
      </c>
    </row>
    <row r="16" spans="1:13">
      <c r="A16" s="1">
        <v>13</v>
      </c>
      <c r="B16" s="2">
        <f t="shared" si="4"/>
        <v>-913816.90493448568</v>
      </c>
      <c r="C16" s="2">
        <f t="shared" si="1"/>
        <v>-1396730.8891225371</v>
      </c>
      <c r="D16" s="2">
        <f t="shared" si="2"/>
        <v>-2310547.7940570228</v>
      </c>
      <c r="F16" s="1">
        <v>13</v>
      </c>
      <c r="G16" s="2">
        <v>0</v>
      </c>
      <c r="H16" s="2">
        <f t="shared" si="3"/>
        <v>0</v>
      </c>
      <c r="I16" s="2">
        <f t="shared" si="0"/>
        <v>0</v>
      </c>
    </row>
    <row r="17" spans="1:9">
      <c r="A17" s="1">
        <v>14</v>
      </c>
      <c r="B17" s="2">
        <f t="shared" si="4"/>
        <v>-962143.97349483892</v>
      </c>
      <c r="C17" s="2">
        <f t="shared" si="1"/>
        <v>-1348403.8205621836</v>
      </c>
      <c r="D17" s="2">
        <f t="shared" si="2"/>
        <v>-2310547.7940570228</v>
      </c>
      <c r="F17" s="1">
        <v>14</v>
      </c>
      <c r="G17" s="2">
        <v>0</v>
      </c>
      <c r="H17" s="2">
        <f t="shared" si="3"/>
        <v>0</v>
      </c>
      <c r="I17" s="2">
        <f t="shared" si="0"/>
        <v>0</v>
      </c>
    </row>
    <row r="18" spans="1:9">
      <c r="A18" s="1">
        <v>15</v>
      </c>
      <c r="B18" s="2">
        <f t="shared" si="4"/>
        <v>-1013026.8117537238</v>
      </c>
      <c r="C18" s="2">
        <f t="shared" si="1"/>
        <v>-1297520.982303299</v>
      </c>
      <c r="D18" s="2">
        <f t="shared" si="2"/>
        <v>-2310547.7940570228</v>
      </c>
      <c r="F18" s="1">
        <v>15</v>
      </c>
      <c r="G18" s="2">
        <v>0</v>
      </c>
      <c r="H18" s="2">
        <f t="shared" si="3"/>
        <v>0</v>
      </c>
      <c r="I18" s="2">
        <f t="shared" si="0"/>
        <v>0</v>
      </c>
    </row>
    <row r="19" spans="1:9">
      <c r="A19" s="1">
        <v>16</v>
      </c>
      <c r="B19" s="2">
        <f t="shared" si="4"/>
        <v>-1066600.5812044085</v>
      </c>
      <c r="C19" s="2">
        <f t="shared" si="1"/>
        <v>-1243947.212852614</v>
      </c>
      <c r="D19" s="2">
        <f t="shared" si="2"/>
        <v>-2310547.7940570228</v>
      </c>
      <c r="F19" s="1">
        <v>16</v>
      </c>
      <c r="G19" s="2">
        <v>0</v>
      </c>
      <c r="H19" s="2">
        <f t="shared" si="3"/>
        <v>0</v>
      </c>
      <c r="I19" s="2">
        <f t="shared" si="0"/>
        <v>0</v>
      </c>
    </row>
    <row r="20" spans="1:9">
      <c r="A20" s="1">
        <v>17</v>
      </c>
      <c r="B20" s="2">
        <f t="shared" si="4"/>
        <v>-1123007.591335255</v>
      </c>
      <c r="C20" s="2">
        <f t="shared" si="1"/>
        <v>-1187540.2027217678</v>
      </c>
      <c r="D20" s="2">
        <f t="shared" si="2"/>
        <v>-2310547.7940570228</v>
      </c>
      <c r="F20" s="1">
        <v>17</v>
      </c>
      <c r="G20" s="2">
        <v>0</v>
      </c>
      <c r="H20" s="2">
        <f t="shared" si="3"/>
        <v>0</v>
      </c>
      <c r="I20" s="2">
        <f t="shared" si="0"/>
        <v>0</v>
      </c>
    </row>
    <row r="21" spans="1:9">
      <c r="A21" s="1">
        <v>18</v>
      </c>
      <c r="B21" s="2">
        <f t="shared" si="4"/>
        <v>-1182397.6776503546</v>
      </c>
      <c r="C21" s="2">
        <f t="shared" si="1"/>
        <v>-1128150.1164066682</v>
      </c>
      <c r="D21" s="2">
        <f t="shared" si="2"/>
        <v>-2310547.7940570228</v>
      </c>
      <c r="F21" s="1">
        <v>18</v>
      </c>
      <c r="G21" s="2">
        <v>0</v>
      </c>
      <c r="H21" s="2">
        <f t="shared" si="3"/>
        <v>0</v>
      </c>
      <c r="I21" s="2">
        <f t="shared" si="0"/>
        <v>0</v>
      </c>
    </row>
    <row r="22" spans="1:9">
      <c r="A22" s="1">
        <v>19</v>
      </c>
      <c r="B22" s="2">
        <f t="shared" si="4"/>
        <v>-1244928.5996817301</v>
      </c>
      <c r="C22" s="2">
        <f t="shared" si="1"/>
        <v>-1065619.1943752924</v>
      </c>
      <c r="D22" s="2">
        <f t="shared" si="2"/>
        <v>-2310547.7940570228</v>
      </c>
      <c r="F22" s="1">
        <v>19</v>
      </c>
      <c r="G22" s="2">
        <v>0</v>
      </c>
      <c r="H22" s="2">
        <f t="shared" si="3"/>
        <v>0</v>
      </c>
      <c r="I22" s="2">
        <f t="shared" si="0"/>
        <v>0</v>
      </c>
    </row>
    <row r="23" spans="1:9">
      <c r="A23" s="1">
        <v>20</v>
      </c>
      <c r="B23" s="2">
        <f t="shared" si="4"/>
        <v>-1310766.4600503531</v>
      </c>
      <c r="C23" s="2">
        <f t="shared" si="1"/>
        <v>-999781.33400666923</v>
      </c>
      <c r="D23" s="2">
        <f t="shared" si="2"/>
        <v>-2310547.7940570223</v>
      </c>
      <c r="F23" s="1">
        <v>20</v>
      </c>
      <c r="G23" s="2">
        <v>0</v>
      </c>
      <c r="H23" s="2">
        <f t="shared" si="3"/>
        <v>0</v>
      </c>
      <c r="I23" s="2">
        <f t="shared" si="0"/>
        <v>0</v>
      </c>
    </row>
    <row r="24" spans="1:9">
      <c r="A24" s="1">
        <v>21</v>
      </c>
      <c r="B24" s="2">
        <f t="shared" si="4"/>
        <v>-1380086.1456891373</v>
      </c>
      <c r="C24" s="2">
        <f t="shared" si="1"/>
        <v>-930461.64836788538</v>
      </c>
      <c r="D24" s="2">
        <f t="shared" si="2"/>
        <v>-2310547.7940570228</v>
      </c>
      <c r="F24" s="1">
        <v>21</v>
      </c>
      <c r="G24" s="2">
        <v>0</v>
      </c>
      <c r="H24" s="2">
        <f t="shared" si="3"/>
        <v>0</v>
      </c>
      <c r="I24" s="2">
        <f t="shared" si="0"/>
        <v>0</v>
      </c>
    </row>
    <row r="25" spans="1:9">
      <c r="A25" s="1">
        <v>22</v>
      </c>
      <c r="B25" s="2">
        <f t="shared" si="4"/>
        <v>-1453071.7923999459</v>
      </c>
      <c r="C25" s="2">
        <f t="shared" si="1"/>
        <v>-857476.00165707665</v>
      </c>
      <c r="D25" s="2">
        <f t="shared" si="2"/>
        <v>-2310547.7940570228</v>
      </c>
      <c r="F25" s="1">
        <v>22</v>
      </c>
      <c r="G25" s="2">
        <v>0</v>
      </c>
      <c r="H25" s="2">
        <f t="shared" si="3"/>
        <v>0</v>
      </c>
      <c r="I25" s="2">
        <f t="shared" si="0"/>
        <v>0</v>
      </c>
    </row>
    <row r="26" spans="1:9">
      <c r="A26" s="1">
        <v>23</v>
      </c>
      <c r="B26" s="2">
        <f t="shared" si="4"/>
        <v>-1529917.2739786243</v>
      </c>
      <c r="C26" s="2">
        <f t="shared" si="1"/>
        <v>-780630.52007839829</v>
      </c>
      <c r="D26" s="2">
        <f t="shared" si="2"/>
        <v>-2310547.7940570228</v>
      </c>
      <c r="F26" s="1">
        <v>23</v>
      </c>
      <c r="G26" s="2">
        <v>0</v>
      </c>
      <c r="H26" s="2">
        <f t="shared" si="3"/>
        <v>0</v>
      </c>
      <c r="I26" s="2">
        <f t="shared" si="0"/>
        <v>0</v>
      </c>
    </row>
    <row r="27" spans="1:9">
      <c r="A27" s="1">
        <v>24</v>
      </c>
      <c r="B27" s="2">
        <f t="shared" si="4"/>
        <v>-1610826.7172073361</v>
      </c>
      <c r="C27" s="2">
        <f t="shared" si="1"/>
        <v>-699721.07684968621</v>
      </c>
      <c r="D27" s="2">
        <f t="shared" si="2"/>
        <v>-2310547.7940570223</v>
      </c>
      <c r="F27" s="1">
        <v>24</v>
      </c>
      <c r="G27" s="2">
        <v>0</v>
      </c>
      <c r="H27" s="2">
        <f t="shared" si="3"/>
        <v>0</v>
      </c>
      <c r="I27" s="2">
        <f t="shared" si="0"/>
        <v>0</v>
      </c>
    </row>
    <row r="28" spans="1:9">
      <c r="A28" s="1">
        <v>25</v>
      </c>
      <c r="B28" s="2">
        <f t="shared" si="4"/>
        <v>-1696015.0440821918</v>
      </c>
      <c r="C28" s="2">
        <f t="shared" si="1"/>
        <v>-614532.74997483043</v>
      </c>
      <c r="D28" s="2">
        <f t="shared" si="2"/>
        <v>-2310547.7940570223</v>
      </c>
      <c r="F28" s="1">
        <v>25</v>
      </c>
      <c r="G28" s="2">
        <v>0</v>
      </c>
      <c r="H28" s="2">
        <f t="shared" si="3"/>
        <v>0</v>
      </c>
      <c r="I28" s="2">
        <f t="shared" si="0"/>
        <v>0</v>
      </c>
    </row>
    <row r="29" spans="1:9">
      <c r="A29" s="1">
        <v>26</v>
      </c>
      <c r="B29" s="2">
        <f t="shared" si="4"/>
        <v>-1785708.5427165024</v>
      </c>
      <c r="C29" s="2">
        <f t="shared" si="1"/>
        <v>-524839.2513405201</v>
      </c>
      <c r="D29" s="2">
        <f t="shared" si="2"/>
        <v>-2310547.7940570228</v>
      </c>
      <c r="F29" s="1">
        <v>26</v>
      </c>
      <c r="G29" s="2">
        <v>0</v>
      </c>
      <c r="H29" s="2">
        <f t="shared" si="3"/>
        <v>0</v>
      </c>
      <c r="I29" s="2">
        <f t="shared" si="0"/>
        <v>0</v>
      </c>
    </row>
    <row r="30" spans="1:9">
      <c r="A30" s="1">
        <v>27</v>
      </c>
      <c r="B30" s="2">
        <f t="shared" si="4"/>
        <v>-1880145.4684361643</v>
      </c>
      <c r="C30" s="2">
        <f t="shared" si="1"/>
        <v>-430402.32562085823</v>
      </c>
      <c r="D30" s="2">
        <f t="shared" si="2"/>
        <v>-2310547.7940570228</v>
      </c>
      <c r="F30" s="1">
        <v>27</v>
      </c>
      <c r="G30" s="2">
        <v>0</v>
      </c>
      <c r="H30" s="2">
        <f t="shared" si="3"/>
        <v>0</v>
      </c>
      <c r="I30" s="2">
        <f t="shared" si="0"/>
        <v>0</v>
      </c>
    </row>
    <row r="31" spans="1:9">
      <c r="A31" s="1">
        <v>28</v>
      </c>
      <c r="B31" s="2">
        <f t="shared" si="4"/>
        <v>-1979576.6766638851</v>
      </c>
      <c r="C31" s="2">
        <f t="shared" si="1"/>
        <v>-330971.11739313725</v>
      </c>
      <c r="D31" s="2">
        <f t="shared" si="2"/>
        <v>-2310547.7940570223</v>
      </c>
      <c r="F31" s="1">
        <v>28</v>
      </c>
      <c r="G31" s="2">
        <v>0</v>
      </c>
      <c r="H31" s="2">
        <f t="shared" si="3"/>
        <v>0</v>
      </c>
      <c r="I31" s="2">
        <f t="shared" si="0"/>
        <v>0</v>
      </c>
    </row>
    <row r="32" spans="1:9">
      <c r="A32" s="1">
        <v>29</v>
      </c>
      <c r="B32" s="2">
        <f t="shared" si="4"/>
        <v>-2084266.2892733945</v>
      </c>
      <c r="C32" s="2">
        <f t="shared" si="1"/>
        <v>-226281.50478362772</v>
      </c>
      <c r="D32" s="2">
        <f t="shared" si="2"/>
        <v>-2310547.7940570223</v>
      </c>
      <c r="F32" s="1">
        <v>29</v>
      </c>
      <c r="G32" s="2">
        <v>0</v>
      </c>
      <c r="H32" s="2">
        <f t="shared" si="3"/>
        <v>0</v>
      </c>
      <c r="I32" s="2">
        <f t="shared" si="0"/>
        <v>0</v>
      </c>
    </row>
    <row r="33" spans="1:10">
      <c r="A33" s="1">
        <v>30</v>
      </c>
      <c r="B33" s="2">
        <f t="shared" si="4"/>
        <v>-2194492.3961836956</v>
      </c>
      <c r="C33" s="2">
        <f t="shared" si="1"/>
        <v>-116055.39787332685</v>
      </c>
      <c r="D33" s="2">
        <f t="shared" si="2"/>
        <v>-2310547.7940570223</v>
      </c>
      <c r="F33" s="1">
        <v>30</v>
      </c>
      <c r="G33" s="2">
        <f>-G3</f>
        <v>-34380000</v>
      </c>
      <c r="H33" s="2">
        <f>FV(M7,30,0,G3)-G33</f>
        <v>-126956322.40321067</v>
      </c>
      <c r="I33" s="2">
        <f>$G33+$H33</f>
        <v>-161336322.40321067</v>
      </c>
    </row>
    <row r="36" spans="1:10">
      <c r="C36" s="4" t="s">
        <v>69</v>
      </c>
      <c r="D36" s="2">
        <f>NPV(M5,D4:D33)+D3</f>
        <v>0</v>
      </c>
      <c r="G36" s="2"/>
      <c r="H36" s="4" t="s">
        <v>69</v>
      </c>
      <c r="I36" s="2">
        <f>NPV(M5,I4:I33)+I3</f>
        <v>0</v>
      </c>
    </row>
    <row r="41" spans="1:10">
      <c r="B41" s="4" t="s">
        <v>9</v>
      </c>
      <c r="C41" s="4" t="s">
        <v>91</v>
      </c>
      <c r="D41" s="4" t="s">
        <v>87</v>
      </c>
    </row>
    <row r="42" spans="1:10">
      <c r="B42" s="20">
        <v>0</v>
      </c>
      <c r="C42" s="2">
        <v>17327991.77</v>
      </c>
      <c r="D42" s="3">
        <v>27053786</v>
      </c>
    </row>
    <row r="43" spans="1:10">
      <c r="B43" s="20">
        <v>0.01</v>
      </c>
      <c r="C43" s="2">
        <v>14558005.640000001</v>
      </c>
      <c r="D43" s="2">
        <v>24505370.609999999</v>
      </c>
    </row>
    <row r="44" spans="1:10">
      <c r="B44" s="20">
        <v>0.02</v>
      </c>
      <c r="C44" s="2">
        <v>11538874.73</v>
      </c>
      <c r="D44" s="2">
        <v>21109577.670000002</v>
      </c>
    </row>
    <row r="45" spans="1:10">
      <c r="B45" s="20">
        <v>0.03</v>
      </c>
      <c r="C45" s="2">
        <v>8280575.1100000003</v>
      </c>
      <c r="D45" s="2">
        <v>16597356.060000001</v>
      </c>
      <c r="H45" s="20"/>
      <c r="I45" s="2"/>
      <c r="J45" s="3"/>
    </row>
    <row r="46" spans="1:10">
      <c r="B46" s="20">
        <v>0.04</v>
      </c>
      <c r="C46" s="2">
        <v>4796420.21</v>
      </c>
      <c r="D46" s="2">
        <v>10618176.23</v>
      </c>
      <c r="H46" s="20"/>
      <c r="I46" s="2"/>
      <c r="J46" s="2"/>
    </row>
    <row r="47" spans="1:10">
      <c r="B47" s="20">
        <v>0.05</v>
      </c>
      <c r="C47" s="2">
        <v>1102271.81</v>
      </c>
      <c r="D47" s="2">
        <v>2716525.9</v>
      </c>
      <c r="H47" s="20"/>
      <c r="I47" s="2"/>
      <c r="J47" s="2"/>
    </row>
    <row r="48" spans="1:10">
      <c r="B48" s="20">
        <v>0.06</v>
      </c>
      <c r="C48" s="2">
        <v>-2784295.1</v>
      </c>
      <c r="D48" s="2">
        <v>-7698044.5899999999</v>
      </c>
      <c r="H48" s="20"/>
      <c r="I48" s="2"/>
      <c r="J48" s="2"/>
    </row>
    <row r="49" spans="2:10">
      <c r="B49" s="20">
        <v>7.0000000000000007E-2</v>
      </c>
      <c r="C49" s="2">
        <v>-6844800.4800000004</v>
      </c>
      <c r="D49" s="2">
        <v>-21389008.34</v>
      </c>
      <c r="H49" s="20"/>
      <c r="I49" s="2"/>
      <c r="J49" s="2"/>
    </row>
    <row r="50" spans="2:10">
      <c r="B50" s="20">
        <v>0.08</v>
      </c>
      <c r="C50" s="2">
        <v>-11060583.76</v>
      </c>
      <c r="D50" s="2">
        <v>-39341176.289999999</v>
      </c>
      <c r="H50" s="20"/>
      <c r="I50" s="2"/>
      <c r="J50" s="2"/>
    </row>
    <row r="51" spans="2:10">
      <c r="B51" s="20">
        <v>0.09</v>
      </c>
      <c r="C51" s="2">
        <v>-15413407.949999999</v>
      </c>
      <c r="D51" s="2">
        <v>-62821849.780000001</v>
      </c>
      <c r="H51" s="20"/>
      <c r="I51" s="2"/>
      <c r="J51" s="2"/>
    </row>
    <row r="52" spans="2:10">
      <c r="B52" s="20">
        <v>0.1</v>
      </c>
      <c r="C52" s="2">
        <v>-19885926.43</v>
      </c>
      <c r="D52" s="2">
        <v>-93458052.609999999</v>
      </c>
      <c r="H52" s="20"/>
      <c r="I52" s="2"/>
      <c r="J52" s="2"/>
    </row>
    <row r="53" spans="2:10">
      <c r="B53" s="20"/>
      <c r="H53" s="20"/>
      <c r="I53" s="2"/>
      <c r="J53" s="2"/>
    </row>
    <row r="54" spans="2:10">
      <c r="B54" s="20"/>
      <c r="H54" s="20"/>
      <c r="I54" s="2"/>
      <c r="J54" s="2"/>
    </row>
    <row r="55" spans="2:10">
      <c r="B55" s="20"/>
      <c r="H55" s="20"/>
      <c r="I55" s="2"/>
      <c r="J55" s="2"/>
    </row>
    <row r="56" spans="2:10">
      <c r="B56" s="20"/>
      <c r="H56" s="20"/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1"/>
  <sheetViews>
    <sheetView tabSelected="1" workbookViewId="0">
      <selection activeCell="K21" sqref="K21"/>
    </sheetView>
  </sheetViews>
  <sheetFormatPr baseColWidth="10" defaultColWidth="8.83203125" defaultRowHeight="14" x14ac:dyDescent="0"/>
  <cols>
    <col min="1" max="1" width="22.83203125" style="7" customWidth="1"/>
    <col min="2" max="2" width="20.5" style="7" customWidth="1"/>
    <col min="3" max="3" width="23.33203125" style="7" customWidth="1"/>
    <col min="4" max="4" width="21.5" style="7" customWidth="1"/>
    <col min="5" max="5" width="26" style="7" customWidth="1"/>
    <col min="6" max="16384" width="8.83203125" style="7"/>
  </cols>
  <sheetData>
    <row r="4" spans="1:5" ht="20">
      <c r="A4" s="33" t="s">
        <v>102</v>
      </c>
    </row>
    <row r="7" spans="1:5" ht="21">
      <c r="A7" s="34" t="s">
        <v>80</v>
      </c>
    </row>
    <row r="10" spans="1:5" ht="18">
      <c r="B10" s="13" t="s">
        <v>81</v>
      </c>
      <c r="C10" s="13" t="s">
        <v>82</v>
      </c>
      <c r="D10" s="13" t="s">
        <v>83</v>
      </c>
      <c r="E10" s="13" t="s">
        <v>84</v>
      </c>
    </row>
    <row r="11" spans="1:5" ht="18">
      <c r="A11" s="13" t="s">
        <v>85</v>
      </c>
      <c r="B11" s="35">
        <f>'Step 1,3, and 4 '!H147</f>
        <v>53910478.12657541</v>
      </c>
      <c r="C11" s="35">
        <f>'Step 1,3, and 4 '!H182</f>
        <v>57617835.96130389</v>
      </c>
      <c r="D11" s="35">
        <f>'Step 1,3, and 4 '!H290</f>
        <v>54773062.437872112</v>
      </c>
      <c r="E11" s="35">
        <f>'Step 1,3, and 4 '!H326</f>
        <v>58480420.272600681</v>
      </c>
    </row>
    <row r="12" spans="1:5" ht="18">
      <c r="A12" s="13" t="s">
        <v>105</v>
      </c>
      <c r="B12" s="35">
        <f>'Step 1,3, and 4 '!H218</f>
        <v>88701935.980232</v>
      </c>
      <c r="C12" s="35">
        <f>'Step 1,3, and 4 '!H254</f>
        <v>92409293.81496051</v>
      </c>
      <c r="D12" s="35">
        <f>'Step 1,3, and 4 '!H363</f>
        <v>89564520.291528732</v>
      </c>
      <c r="E12" s="35">
        <f>'Step 1,3, and 4 '!H400</f>
        <v>93271878.126257271</v>
      </c>
    </row>
    <row r="18" spans="1:5" ht="21">
      <c r="A18" s="34" t="s">
        <v>70</v>
      </c>
    </row>
    <row r="19" spans="1:5" ht="18">
      <c r="B19" s="13" t="s">
        <v>81</v>
      </c>
      <c r="C19" s="13" t="s">
        <v>82</v>
      </c>
      <c r="D19" s="13" t="s">
        <v>83</v>
      </c>
      <c r="E19" s="13" t="s">
        <v>84</v>
      </c>
    </row>
    <row r="20" spans="1:5" ht="18">
      <c r="A20" s="13" t="s">
        <v>104</v>
      </c>
      <c r="B20" s="29">
        <f>'Step 1,3, and 4 '!H148</f>
        <v>0.10366370354619048</v>
      </c>
      <c r="C20" s="29">
        <f>'Step 1,3, and 4 '!H183</f>
        <v>0.12003180336922514</v>
      </c>
      <c r="D20" s="29">
        <f>'Step 1,3, and 4 '!H291</f>
        <v>0.10478731353037696</v>
      </c>
      <c r="E20" s="29">
        <f>'Step 1,3, and 4 '!H327</f>
        <v>0.12131552182214822</v>
      </c>
    </row>
    <row r="21" spans="1:5" ht="18">
      <c r="A21" s="13" t="s">
        <v>105</v>
      </c>
      <c r="B21" s="29">
        <f>'Step 1,3, and 4 '!H219</f>
        <v>0.12351602237844328</v>
      </c>
      <c r="C21" s="29">
        <f>'Step 1,3, and 4 '!H255</f>
        <v>0.13940588071653148</v>
      </c>
      <c r="D21" s="29">
        <f>'Step 1,3, and 4 '!H364</f>
        <v>0.12455624664336651</v>
      </c>
      <c r="E21" s="29">
        <f>'Step 1,3, and 4 '!H401</f>
        <v>0.14054692731382978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Step 1 - Regression</vt:lpstr>
      <vt:lpstr>Step 2 - WACC</vt:lpstr>
      <vt:lpstr>Step 1,3, and 4 </vt:lpstr>
      <vt:lpstr>Step 3- plan-3 vs plan-4</vt:lpstr>
      <vt:lpstr>Step 4 summary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Samria</cp:lastModifiedBy>
  <cp:revision/>
  <cp:lastPrinted>2019-06-17T23:21:37Z</cp:lastPrinted>
  <dcterms:created xsi:type="dcterms:W3CDTF">2019-06-13T21:30:39Z</dcterms:created>
  <dcterms:modified xsi:type="dcterms:W3CDTF">2019-06-17T23:44:53Z</dcterms:modified>
  <cp:category/>
  <cp:contentStatus/>
</cp:coreProperties>
</file>