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style16.xml" ContentType="application/vnd.ms-office.chartstyle+xml"/>
  <Override PartName="/xl/charts/chart16.xml" ContentType="application/vnd.openxmlformats-officedocument.drawingml.chart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olors14.xml" ContentType="application/vnd.ms-office.chartcolorstyle+xml"/>
  <Override PartName="/xl/drawings/drawing5.xml" ContentType="application/vnd.openxmlformats-officedocument.drawing+xml"/>
  <Override PartName="/xl/charts/colors12.xml" ContentType="application/vnd.ms-office.chartcolorstyle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hart12.xml" ContentType="application/vnd.openxmlformats-officedocument.drawingml.chart+xml"/>
  <Override PartName="/xl/charts/style12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olors11.xml" ContentType="application/vnd.ms-office.chartcolorsty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style4.xml" ContentType="application/vnd.ms-office.chart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olors7.xml" ContentType="application/vnd.ms-office.chartcolorstyle+xml"/>
  <Override PartName="/xl/charts/colors4.xml" ContentType="application/vnd.ms-office.chartcolorstyle+xml"/>
  <Override PartName="/xl/charts/style7.xml" ContentType="application/vnd.ms-office.chartstyle+xml"/>
  <Override PartName="/xl/charts/style5.xml" ContentType="application/vnd.ms-office.chart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5.xml" ContentType="application/vnd.ms-office.chartcolorstyle+xml"/>
  <Override PartName="/xl/charts/colors6.xml" ContentType="application/vnd.ms-office.chartcolorstyle+xml"/>
  <Override PartName="/xl/charts/chart7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8730" tabRatio="874" activeTab="3"/>
  </bookViews>
  <sheets>
    <sheet name="KPI Matrix" sheetId="10" r:id="rId1"/>
    <sheet name="KPIs Tracking-Dev-Sch Phase" sheetId="11" r:id="rId2"/>
    <sheet name="KPIs Tracking-Exec-M&amp;C Phase" sheetId="6" r:id="rId3"/>
    <sheet name="KPIs Dashboard-Project" sheetId="7" r:id="rId4"/>
    <sheet name="KPIs Dashboard-Area-Comb-Sample" sheetId="9" r:id="rId5"/>
    <sheet name="KPIs Dashboard-Area-Comb-Sa (2" sheetId="12" r:id="rId6"/>
  </sheets>
  <definedNames>
    <definedName name="_xlnm._FilterDatabase" localSheetId="1" hidden="1">'KPIs Tracking-Dev-Sch Phase'!$B$7:$R$16</definedName>
    <definedName name="_xlnm._FilterDatabase" localSheetId="2" hidden="1">'KPIs Tracking-Exec-M&amp;C Phase'!$B$7:$AG$29</definedName>
    <definedName name="_xlnm.Print_Area" localSheetId="0">'KPI Matrix'!$A$1:$K$25</definedName>
    <definedName name="_xlnm.Print_Area" localSheetId="5">'KPIs Dashboard-Area-Comb-Sa (2'!$A$1:$AY$159</definedName>
    <definedName name="_xlnm.Print_Area" localSheetId="4">'KPIs Dashboard-Area-Comb-Sample'!$A$1:$AY$159</definedName>
    <definedName name="_xlnm.Print_Area" localSheetId="3">'KPIs Dashboard-Project'!$A$1:$AS$187</definedName>
    <definedName name="_xlnm.Print_Area" localSheetId="1">'KPIs Tracking-Dev-Sch Phase'!$A$1:$X$42</definedName>
    <definedName name="_xlnm.Print_Area" localSheetId="2">'KPIs Tracking-Exec-M&amp;C Phase'!$A$1:$AD$94</definedName>
    <definedName name="_xlnm.Print_Titles" localSheetId="0">'KPI Matrix'!$2:$4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11" l="1"/>
  <c r="V16" i="11"/>
  <c r="V20" i="11"/>
  <c r="R10" i="11"/>
  <c r="V10" i="11" s="1"/>
  <c r="R8" i="11"/>
  <c r="V8" i="11" s="1"/>
  <c r="AA8" i="6"/>
  <c r="AA27" i="6"/>
  <c r="AA48" i="6"/>
  <c r="AP29" i="6" l="1"/>
  <c r="AO29" i="6"/>
  <c r="AP20" i="6"/>
  <c r="AO20" i="6"/>
  <c r="M8" i="6" l="1"/>
  <c r="N8" i="6" s="1"/>
  <c r="R20" i="11"/>
  <c r="P20" i="11"/>
  <c r="N20" i="11"/>
  <c r="N25" i="11"/>
  <c r="N10" i="11"/>
  <c r="N8" i="11"/>
  <c r="N14" i="11"/>
  <c r="N12" i="11"/>
  <c r="N23" i="11"/>
  <c r="N18" i="11"/>
  <c r="N16" i="11"/>
  <c r="P25" i="11"/>
  <c r="P23" i="11"/>
  <c r="P18" i="11"/>
  <c r="P16" i="11"/>
  <c r="P14" i="11"/>
  <c r="P12" i="11"/>
  <c r="P10" i="11"/>
  <c r="P8" i="11"/>
  <c r="CA46" i="6" l="1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R45" i="6"/>
  <c r="M45" i="6"/>
  <c r="R44" i="6"/>
  <c r="S44" i="6" s="1"/>
  <c r="AA44" i="6" s="1"/>
  <c r="M44" i="6"/>
  <c r="N44" i="6" s="1"/>
  <c r="O44" i="6" s="1"/>
  <c r="P44" i="6" s="1"/>
  <c r="J12" i="10"/>
  <c r="M17" i="6"/>
  <c r="Y44" i="6" l="1"/>
  <c r="U44" i="6"/>
  <c r="V44" i="6" s="1"/>
  <c r="T44" i="6"/>
  <c r="X44" i="6"/>
  <c r="AA46" i="6" s="1"/>
  <c r="S8" i="11"/>
  <c r="S10" i="11"/>
  <c r="S25" i="11"/>
  <c r="S23" i="11"/>
  <c r="S22" i="11"/>
  <c r="S21" i="11"/>
  <c r="S12" i="11"/>
  <c r="S14" i="11"/>
  <c r="S16" i="11"/>
  <c r="S18" i="11"/>
  <c r="R17" i="6"/>
  <c r="R11" i="6"/>
  <c r="M11" i="6"/>
  <c r="N11" i="6" s="1"/>
  <c r="R42" i="6"/>
  <c r="M42" i="6"/>
  <c r="R39" i="6"/>
  <c r="M39" i="6"/>
  <c r="R36" i="6"/>
  <c r="M36" i="6"/>
  <c r="R33" i="6"/>
  <c r="M33" i="6"/>
  <c r="R30" i="6"/>
  <c r="M30" i="6"/>
  <c r="R27" i="6"/>
  <c r="M27" i="6"/>
  <c r="R24" i="6"/>
  <c r="M24" i="6"/>
  <c r="R21" i="6"/>
  <c r="M21" i="6"/>
  <c r="R18" i="6"/>
  <c r="M18" i="6"/>
  <c r="R15" i="6"/>
  <c r="M15" i="6"/>
  <c r="R12" i="6"/>
  <c r="M12" i="6"/>
  <c r="R9" i="6"/>
  <c r="M9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AF10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AF13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AF16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AF19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AF22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AF25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AF28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AF31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AZ40" i="6"/>
  <c r="BV40" i="6"/>
  <c r="AG40" i="6"/>
  <c r="M38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AF43" i="6"/>
  <c r="R41" i="6"/>
  <c r="R38" i="6"/>
  <c r="S38" i="6" s="1"/>
  <c r="AA38" i="6" s="1"/>
  <c r="R35" i="6"/>
  <c r="R32" i="6"/>
  <c r="M35" i="6"/>
  <c r="N35" i="6" s="1"/>
  <c r="M26" i="6"/>
  <c r="R26" i="6"/>
  <c r="R23" i="6"/>
  <c r="R14" i="6"/>
  <c r="S14" i="6" s="1"/>
  <c r="R8" i="6"/>
  <c r="X8" i="6" s="1"/>
  <c r="AA10" i="6" s="1"/>
  <c r="J23" i="11"/>
  <c r="X35" i="6" l="1"/>
  <c r="AA37" i="6" s="1"/>
  <c r="S35" i="6"/>
  <c r="AA35" i="6" s="1"/>
  <c r="X32" i="6"/>
  <c r="AA34" i="6" s="1"/>
  <c r="S32" i="6"/>
  <c r="AA32" i="6" s="1"/>
  <c r="X41" i="6"/>
  <c r="AA43" i="6" s="1"/>
  <c r="S41" i="6"/>
  <c r="AA41" i="6" s="1"/>
  <c r="T23" i="6"/>
  <c r="U14" i="6"/>
  <c r="V14" i="6" s="1"/>
  <c r="AA14" i="6"/>
  <c r="T11" i="6"/>
  <c r="X11" i="6"/>
  <c r="AA13" i="6" s="1"/>
  <c r="S11" i="6"/>
  <c r="X38" i="6"/>
  <c r="AA40" i="6" s="1"/>
  <c r="Y35" i="6"/>
  <c r="X26" i="6"/>
  <c r="AA28" i="6" s="1"/>
  <c r="Y8" i="6"/>
  <c r="S8" i="6"/>
  <c r="U8" i="11"/>
  <c r="T8" i="11"/>
  <c r="Y17" i="6"/>
  <c r="T17" i="6"/>
  <c r="T35" i="6"/>
  <c r="Y11" i="6"/>
  <c r="T8" i="6"/>
  <c r="T26" i="6"/>
  <c r="T32" i="6"/>
  <c r="T41" i="6"/>
  <c r="T14" i="6"/>
  <c r="T38" i="6"/>
  <c r="BC40" i="6"/>
  <c r="AP40" i="6"/>
  <c r="AH40" i="6"/>
  <c r="BX40" i="6"/>
  <c r="BK40" i="6"/>
  <c r="Y38" i="6"/>
  <c r="BS40" i="6"/>
  <c r="AX40" i="6"/>
  <c r="X17" i="6"/>
  <c r="AA19" i="6" s="1"/>
  <c r="BP40" i="6"/>
  <c r="AU40" i="6"/>
  <c r="Y26" i="6"/>
  <c r="BN40" i="6"/>
  <c r="AR40" i="6"/>
  <c r="BH40" i="6"/>
  <c r="AM40" i="6"/>
  <c r="CA40" i="6"/>
  <c r="BF40" i="6"/>
  <c r="AJ40" i="6"/>
  <c r="AF40" i="6"/>
  <c r="BT40" i="6"/>
  <c r="BL40" i="6"/>
  <c r="BD40" i="6"/>
  <c r="AV40" i="6"/>
  <c r="AN40" i="6"/>
  <c r="BZ40" i="6"/>
  <c r="BR40" i="6"/>
  <c r="BJ40" i="6"/>
  <c r="BB40" i="6"/>
  <c r="AT40" i="6"/>
  <c r="AL40" i="6"/>
  <c r="BY40" i="6"/>
  <c r="BQ40" i="6"/>
  <c r="BI40" i="6"/>
  <c r="BA40" i="6"/>
  <c r="AS40" i="6"/>
  <c r="AK40" i="6"/>
  <c r="BW40" i="6"/>
  <c r="BO40" i="6"/>
  <c r="BG40" i="6"/>
  <c r="AY40" i="6"/>
  <c r="AQ40" i="6"/>
  <c r="AI40" i="6"/>
  <c r="BU40" i="6"/>
  <c r="BM40" i="6"/>
  <c r="BE40" i="6"/>
  <c r="AW40" i="6"/>
  <c r="AO40" i="6"/>
  <c r="U41" i="6"/>
  <c r="V41" i="6" s="1"/>
  <c r="M23" i="6"/>
  <c r="X23" i="6" s="1"/>
  <c r="AA25" i="6" s="1"/>
  <c r="M14" i="6"/>
  <c r="Y14" i="6" s="1"/>
  <c r="M41" i="6"/>
  <c r="O8" i="6"/>
  <c r="P8" i="6" s="1"/>
  <c r="M32" i="6"/>
  <c r="N32" i="6" s="1"/>
  <c r="S23" i="6"/>
  <c r="O11" i="6"/>
  <c r="P11" i="6" s="1"/>
  <c r="U32" i="6" l="1"/>
  <c r="V32" i="6" s="1"/>
  <c r="U8" i="6"/>
  <c r="V8" i="6" s="1"/>
  <c r="U23" i="6"/>
  <c r="V23" i="6" s="1"/>
  <c r="AA23" i="6"/>
  <c r="U11" i="6"/>
  <c r="V11" i="6" s="1"/>
  <c r="AA11" i="6"/>
  <c r="Y41" i="6"/>
  <c r="Y32" i="6"/>
  <c r="X14" i="6"/>
  <c r="AA16" i="6" s="1"/>
  <c r="N41" i="6"/>
  <c r="O41" i="6" s="1"/>
  <c r="P41" i="6" s="1"/>
  <c r="O32" i="6"/>
  <c r="P32" i="6" s="1"/>
  <c r="N23" i="6"/>
  <c r="O23" i="6" s="1"/>
  <c r="P23" i="6" s="1"/>
  <c r="Y23" i="6"/>
  <c r="S17" i="6"/>
  <c r="N17" i="6"/>
  <c r="O17" i="6" s="1"/>
  <c r="P17" i="6" s="1"/>
  <c r="R18" i="11"/>
  <c r="U17" i="6" l="1"/>
  <c r="V17" i="6" s="1"/>
  <c r="AA17" i="6"/>
  <c r="U18" i="11"/>
  <c r="T18" i="11"/>
  <c r="U38" i="6"/>
  <c r="V38" i="6" s="1"/>
  <c r="N38" i="6"/>
  <c r="O38" i="6" s="1"/>
  <c r="P38" i="6" s="1"/>
  <c r="U35" i="6"/>
  <c r="V35" i="6" s="1"/>
  <c r="O35" i="6"/>
  <c r="P35" i="6" s="1"/>
  <c r="S26" i="6"/>
  <c r="N26" i="6"/>
  <c r="O26" i="6" s="1"/>
  <c r="P26" i="6" s="1"/>
  <c r="N14" i="6"/>
  <c r="O14" i="6" s="1"/>
  <c r="P14" i="6" s="1"/>
  <c r="U26" i="6" l="1"/>
  <c r="V26" i="6" s="1"/>
  <c r="AA26" i="6"/>
  <c r="R29" i="6"/>
  <c r="M29" i="6"/>
  <c r="R20" i="6"/>
  <c r="M20" i="6"/>
  <c r="R14" i="11"/>
  <c r="V14" i="11" s="1"/>
  <c r="R12" i="11"/>
  <c r="V12" i="11" s="1"/>
  <c r="R25" i="11"/>
  <c r="V25" i="11" s="1"/>
  <c r="R23" i="11"/>
  <c r="V23" i="11" s="1"/>
  <c r="R16" i="11"/>
  <c r="U25" i="11" l="1"/>
  <c r="T25" i="11"/>
  <c r="U10" i="11"/>
  <c r="T10" i="11"/>
  <c r="U12" i="11"/>
  <c r="T12" i="11"/>
  <c r="U16" i="11"/>
  <c r="T16" i="11"/>
  <c r="T14" i="11"/>
  <c r="U14" i="11"/>
  <c r="U20" i="11"/>
  <c r="T20" i="11"/>
  <c r="T23" i="11"/>
  <c r="U23" i="11"/>
  <c r="N29" i="6"/>
  <c r="O29" i="6" s="1"/>
  <c r="P29" i="6" s="1"/>
  <c r="S29" i="6"/>
  <c r="T29" i="6"/>
  <c r="Y29" i="6"/>
  <c r="N20" i="6"/>
  <c r="O20" i="6" s="1"/>
  <c r="P20" i="6" s="1"/>
  <c r="Y20" i="6"/>
  <c r="T20" i="6"/>
  <c r="X20" i="6"/>
  <c r="AA22" i="6" s="1"/>
  <c r="X29" i="6"/>
  <c r="AA31" i="6" s="1"/>
  <c r="S20" i="6"/>
  <c r="U29" i="6" l="1"/>
  <c r="V29" i="6" s="1"/>
  <c r="AA29" i="6"/>
  <c r="U20" i="6"/>
  <c r="V20" i="6" s="1"/>
  <c r="V48" i="6" s="1"/>
  <c r="AA20" i="6"/>
  <c r="T28" i="11"/>
  <c r="U28" i="11"/>
  <c r="P48" i="6"/>
  <c r="U48" i="6"/>
  <c r="O48" i="6"/>
  <c r="Q28" i="11" l="1"/>
  <c r="R28" i="11" s="1"/>
  <c r="R48" i="6"/>
  <c r="S48" i="6" s="1"/>
  <c r="M48" i="6"/>
  <c r="X48" i="6" l="1"/>
  <c r="N48" i="6"/>
  <c r="Y48" i="6" s="1"/>
</calcChain>
</file>

<file path=xl/sharedStrings.xml><?xml version="1.0" encoding="utf-8"?>
<sst xmlns="http://schemas.openxmlformats.org/spreadsheetml/2006/main" count="561" uniqueCount="222">
  <si>
    <t>No.</t>
  </si>
  <si>
    <t>Key Result Area</t>
  </si>
  <si>
    <t>Weight</t>
  </si>
  <si>
    <t>Target</t>
  </si>
  <si>
    <t>Actual</t>
  </si>
  <si>
    <t>Owner</t>
  </si>
  <si>
    <t>Key Performance Indicator</t>
  </si>
  <si>
    <t>Process 
Ref.</t>
  </si>
  <si>
    <t>Measurement Method of Results of KRA</t>
  </si>
  <si>
    <t>Measure</t>
  </si>
  <si>
    <t>Calculation Method</t>
  </si>
  <si>
    <t>Revision</t>
  </si>
  <si>
    <t>Code</t>
  </si>
  <si>
    <t>Date</t>
  </si>
  <si>
    <t>Status</t>
  </si>
  <si>
    <t>Plan</t>
  </si>
  <si>
    <t>Overall Target</t>
  </si>
  <si>
    <t>Summary</t>
  </si>
  <si>
    <t>Key Performance Indicator
KPI</t>
  </si>
  <si>
    <t>Summary of KPIs</t>
  </si>
  <si>
    <t>Descriptive summary &amp; Action Plan</t>
  </si>
  <si>
    <t>ABC Project</t>
  </si>
  <si>
    <t>Monitoring &amp; Controlling Phase</t>
  </si>
  <si>
    <t>Project:</t>
  </si>
  <si>
    <t>Date:</t>
  </si>
  <si>
    <t>ABC - Verdun</t>
  </si>
  <si>
    <t>Trendlines</t>
  </si>
  <si>
    <t>Dpt-Area:</t>
  </si>
  <si>
    <t>Value</t>
  </si>
  <si>
    <t>Trend</t>
  </si>
  <si>
    <t>Status Per Project</t>
  </si>
  <si>
    <t>Project 2</t>
  </si>
  <si>
    <t>Project 3</t>
  </si>
  <si>
    <t>Summary of All KPIs</t>
  </si>
  <si>
    <t>Notes</t>
  </si>
  <si>
    <t>KPIs Matrix - Time Management</t>
  </si>
  <si>
    <t>KPIs.TM.</t>
  </si>
  <si>
    <t>KPI-TM-01</t>
  </si>
  <si>
    <t>Planning Engineer</t>
  </si>
  <si>
    <t>Tender Planning Package</t>
  </si>
  <si>
    <t>Captured Risk</t>
  </si>
  <si>
    <t>KPI-TM-02</t>
  </si>
  <si>
    <t>Quantity Surveyor / Project level</t>
  </si>
  <si>
    <t>Quantities Breakdown in accordance with the Agreed WBS</t>
  </si>
  <si>
    <t>Date of issuance of the Quantities Breakdown Report</t>
  </si>
  <si>
    <t>KPI-TM-03</t>
  </si>
  <si>
    <t>Project Master Schedule 
(Works Programme)</t>
  </si>
  <si>
    <t>Level of Accepted Risk</t>
  </si>
  <si>
    <t>KPI-TM-04</t>
  </si>
  <si>
    <t xml:space="preserve">Levelness of Resources </t>
  </si>
  <si>
    <t>KPI-TM-05</t>
  </si>
  <si>
    <t>Level of Development of the Programme</t>
  </si>
  <si>
    <t>KPI-TM-06</t>
  </si>
  <si>
    <t>Count of all Programme Activities</t>
  </si>
  <si>
    <t>KPI-TM-07</t>
  </si>
  <si>
    <t>Schedule Logic</t>
  </si>
  <si>
    <t>Number of Open Ended Activities</t>
  </si>
  <si>
    <t>Count of Open Ended Activities</t>
  </si>
  <si>
    <t>KPI-TM-08</t>
  </si>
  <si>
    <t>KPI-TM-09</t>
  </si>
  <si>
    <t>Project Manager</t>
  </si>
  <si>
    <t>Timely Completion of Milestones</t>
  </si>
  <si>
    <t>Time of Completion</t>
  </si>
  <si>
    <t>KPI-TM-10</t>
  </si>
  <si>
    <t xml:space="preserve">Maintaining the Time  Related High Risks to the Same level as per the Accepted levels at Project Initiation </t>
  </si>
  <si>
    <t>Number of Critical Paths (Avoid Draining the Schedule Floats)</t>
  </si>
  <si>
    <t>KPI-TM-11</t>
  </si>
  <si>
    <t>Timely Execution of Works</t>
  </si>
  <si>
    <t>Earned Value of Executed Works</t>
  </si>
  <si>
    <t>KPI-TM-12</t>
  </si>
  <si>
    <t>Impacted Schedule</t>
  </si>
  <si>
    <t>Correctness of Impacted Schedule</t>
  </si>
  <si>
    <t>% Approval on Submitted Impacted Schedule</t>
  </si>
  <si>
    <t>KPI-TM-13</t>
  </si>
  <si>
    <t>Number of Completed Activities</t>
  </si>
  <si>
    <t>KPI-TM-14</t>
  </si>
  <si>
    <t>Timely Detecting of Constraints During Planning Phase / ProjectManagement's Understaing of Project Needs</t>
  </si>
  <si>
    <t>Correctness of Execution Constraints Action Plan</t>
  </si>
  <si>
    <t>KPI-TM-15</t>
  </si>
  <si>
    <t>Timely Resolvement of Constraints During Planning Phase / Project Managemnets Ability to Resolve Problems</t>
  </si>
  <si>
    <t>Ability of Project Management to Resolve Constraints in a Timely manner to avoid disruption of Works</t>
  </si>
  <si>
    <t>KPI-TM-16</t>
  </si>
  <si>
    <t xml:space="preserve">Production </t>
  </si>
  <si>
    <t>KPI-TM-17</t>
  </si>
  <si>
    <t>PMO</t>
  </si>
  <si>
    <t>Project Control Tools</t>
  </si>
  <si>
    <t>To be Developed Under the Management &amp; Controls Process</t>
  </si>
  <si>
    <t>Rev-A</t>
  </si>
  <si>
    <t>Rev-B</t>
  </si>
  <si>
    <t>KPIs Tracking Sheet - Time Management</t>
  </si>
  <si>
    <t>Phase:</t>
  </si>
  <si>
    <t>Final Schedule</t>
  </si>
  <si>
    <t>Develop the Schedule Phase</t>
  </si>
  <si>
    <t>Reasons for Deviation</t>
  </si>
  <si>
    <t>General Remarks</t>
  </si>
  <si>
    <t>Overall KPIs Score</t>
  </si>
  <si>
    <t>Phase</t>
  </si>
  <si>
    <t>Reasons for Deviation 
&amp;/or
decrease in trend</t>
  </si>
  <si>
    <t>Actions required for next month</t>
  </si>
  <si>
    <r>
      <rPr>
        <b/>
        <sz val="16"/>
        <rFont val="Calibri"/>
        <family val="2"/>
        <scheme val="minor"/>
      </rPr>
      <t>Target</t>
    </r>
    <r>
      <rPr>
        <sz val="16"/>
        <rFont val="Calibri"/>
        <family val="2"/>
        <scheme val="minor"/>
      </rPr>
      <t xml:space="preserve">
lower limit</t>
    </r>
  </si>
  <si>
    <r>
      <rPr>
        <b/>
        <sz val="16"/>
        <rFont val="Calibri"/>
        <family val="2"/>
        <scheme val="minor"/>
      </rPr>
      <t>Target</t>
    </r>
    <r>
      <rPr>
        <sz val="16"/>
        <rFont val="Calibri"/>
        <family val="2"/>
        <scheme val="minor"/>
      </rPr>
      <t xml:space="preserve">
upper limit</t>
    </r>
  </si>
  <si>
    <t>KPIs Dashboard &amp; Monthly Summary - Time Management</t>
  </si>
  <si>
    <t>KPI-TM-05A</t>
  </si>
  <si>
    <t>KPI-TM-09A</t>
  </si>
  <si>
    <t>Process.TM.Dev-Sch.</t>
  </si>
  <si>
    <t>Process.TM.Exc&amp;Ctrl-Schl.</t>
  </si>
  <si>
    <t>Process.TM.LP.</t>
  </si>
  <si>
    <t>Process.TM.Dev-Sch.
Process.TM.Exc&amp;Ctrl-Schl.</t>
  </si>
  <si>
    <r>
      <t xml:space="preserve">(Count of Critical Activities)  
</t>
    </r>
    <r>
      <rPr>
        <sz val="22"/>
        <color theme="1"/>
        <rFont val="Calibri"/>
        <family val="2"/>
        <scheme val="minor"/>
      </rPr>
      <t>÷</t>
    </r>
    <r>
      <rPr>
        <sz val="14"/>
        <color theme="1"/>
        <rFont val="Calibri"/>
        <family val="2"/>
        <scheme val="minor"/>
      </rPr>
      <t xml:space="preserve"> 
(Count of all Programme Activities)</t>
    </r>
  </si>
  <si>
    <r>
      <t xml:space="preserve">(Number of Activities with Duration &gt; 30 Days)
</t>
    </r>
    <r>
      <rPr>
        <sz val="22"/>
        <color theme="1"/>
        <rFont val="Calibri"/>
        <family val="2"/>
        <scheme val="minor"/>
      </rPr>
      <t xml:space="preserve">÷
</t>
    </r>
    <r>
      <rPr>
        <sz val="14"/>
        <color theme="1"/>
        <rFont val="Calibri"/>
        <family val="2"/>
        <scheme val="minor"/>
      </rPr>
      <t>(Count of all Programme Activities)</t>
    </r>
  </si>
  <si>
    <r>
      <t xml:space="preserve">(Count of Activities with Total Float &lt; or = 10)
</t>
    </r>
    <r>
      <rPr>
        <sz val="22"/>
        <color theme="1"/>
        <rFont val="Calibri"/>
        <family val="2"/>
      </rPr>
      <t>÷</t>
    </r>
    <r>
      <rPr>
        <sz val="14"/>
        <color theme="1"/>
        <rFont val="Calibri"/>
        <family val="2"/>
        <scheme val="minor"/>
      </rPr>
      <t xml:space="preserve"> 
(Count of all Programme Activities)</t>
    </r>
  </si>
  <si>
    <t>Count of Activities without a Predecessor or Successor 
(Excluding Start &amp; End)</t>
  </si>
  <si>
    <r>
      <t xml:space="preserve">(Count of Critical Activities)  
</t>
    </r>
    <r>
      <rPr>
        <sz val="22"/>
        <color theme="1"/>
        <rFont val="Calibri"/>
        <family val="2"/>
        <scheme val="minor"/>
      </rPr>
      <t xml:space="preserve">÷
</t>
    </r>
    <r>
      <rPr>
        <sz val="14"/>
        <color theme="1"/>
        <rFont val="Calibri"/>
        <family val="2"/>
        <scheme val="minor"/>
      </rPr>
      <t>(Count of all Programme Activities)</t>
    </r>
  </si>
  <si>
    <r>
      <t xml:space="preserve">(Count of Activities with Total Float &lt; or = 10)
</t>
    </r>
    <r>
      <rPr>
        <sz val="22"/>
        <color theme="1"/>
        <rFont val="Calibri"/>
        <family val="2"/>
      </rPr>
      <t xml:space="preserve">÷
</t>
    </r>
    <r>
      <rPr>
        <sz val="14"/>
        <color theme="1"/>
        <rFont val="Calibri"/>
        <family val="2"/>
        <scheme val="minor"/>
      </rPr>
      <t>(Count of all Programme Activities)</t>
    </r>
  </si>
  <si>
    <r>
      <t xml:space="preserve">(Count  of Critical Paths in Latest Update)
</t>
    </r>
    <r>
      <rPr>
        <sz val="22"/>
        <color theme="1"/>
        <rFont val="Calibri"/>
        <family val="2"/>
        <scheme val="minor"/>
      </rPr>
      <t>÷</t>
    </r>
    <r>
      <rPr>
        <sz val="14"/>
        <color theme="1"/>
        <rFont val="Calibri"/>
        <family val="2"/>
        <scheme val="minor"/>
      </rPr>
      <t xml:space="preserve">
(Count  of Critical Paths in Base Line Schedule)</t>
    </r>
  </si>
  <si>
    <r>
      <t xml:space="preserve">EV
</t>
    </r>
    <r>
      <rPr>
        <sz val="22"/>
        <color theme="1"/>
        <rFont val="Calibri"/>
        <family val="2"/>
        <scheme val="minor"/>
      </rPr>
      <t xml:space="preserve">÷
</t>
    </r>
    <r>
      <rPr>
        <sz val="14"/>
        <color theme="1"/>
        <rFont val="Calibri"/>
        <family val="2"/>
        <scheme val="minor"/>
      </rPr>
      <t>PV</t>
    </r>
  </si>
  <si>
    <r>
      <t xml:space="preserve">(Count  of Impacted Schedule Submittals Approved)
</t>
    </r>
    <r>
      <rPr>
        <sz val="22"/>
        <color theme="1"/>
        <rFont val="Calibri"/>
        <family val="2"/>
        <scheme val="minor"/>
      </rPr>
      <t>÷</t>
    </r>
    <r>
      <rPr>
        <sz val="14"/>
        <color theme="1"/>
        <rFont val="Calibri"/>
        <family val="2"/>
        <scheme val="minor"/>
      </rPr>
      <t xml:space="preserve"> 
(Count  of Impacted Schedule Submittals submitted)</t>
    </r>
  </si>
  <si>
    <r>
      <t xml:space="preserve">(Count of Listed Constraints detected during the War Meeting of the Relevant Period) 
</t>
    </r>
    <r>
      <rPr>
        <sz val="22"/>
        <color theme="1"/>
        <rFont val="Calibri"/>
        <family val="2"/>
        <scheme val="minor"/>
      </rPr>
      <t xml:space="preserve">÷
</t>
    </r>
    <r>
      <rPr>
        <sz val="14"/>
        <color theme="1"/>
        <rFont val="Calibri"/>
        <family val="2"/>
        <scheme val="minor"/>
      </rPr>
      <t xml:space="preserve">(Count of relevant Total Actual Constraints included in the Risk Register after completion of the planned Works for the same period) </t>
    </r>
  </si>
  <si>
    <r>
      <t xml:space="preserve">(Count of resolved Constraints detected during the War Meeting of the Relevant Period)
</t>
    </r>
    <r>
      <rPr>
        <sz val="22"/>
        <color theme="1"/>
        <rFont val="Calibri"/>
        <family val="2"/>
        <scheme val="minor"/>
      </rPr>
      <t xml:space="preserve">÷
</t>
    </r>
    <r>
      <rPr>
        <sz val="14"/>
        <color theme="1"/>
        <rFont val="Calibri"/>
        <family val="2"/>
        <scheme val="minor"/>
      </rPr>
      <t xml:space="preserve">(Count of Listed Constraints detected during the War Meeting of the Relevant Period) </t>
    </r>
  </si>
  <si>
    <t>Results of all projects combined</t>
  </si>
  <si>
    <t>Production Rates</t>
  </si>
  <si>
    <r>
      <t xml:space="preserve">(Actual Production Rates)
</t>
    </r>
    <r>
      <rPr>
        <sz val="22"/>
        <rFont val="Calibri"/>
        <family val="2"/>
        <scheme val="minor"/>
      </rPr>
      <t xml:space="preserve">÷
</t>
    </r>
    <r>
      <rPr>
        <sz val="14"/>
        <rFont val="Calibri"/>
        <family val="2"/>
        <scheme val="minor"/>
      </rPr>
      <t>(Target Production Rates)</t>
    </r>
  </si>
  <si>
    <t xml:space="preserve">Phase: </t>
  </si>
  <si>
    <t>Execution and Monitoring &amp; Controlling</t>
  </si>
  <si>
    <r>
      <t xml:space="preserve">Process.TM.Dev-Sch.
</t>
    </r>
    <r>
      <rPr>
        <sz val="14"/>
        <color rgb="FFFF0000"/>
        <rFont val="Calibri"/>
        <family val="2"/>
        <scheme val="minor"/>
      </rPr>
      <t>Risk Mgmt Process</t>
    </r>
  </si>
  <si>
    <r>
      <t xml:space="preserve">Process.TM.Dev-Sch.
</t>
    </r>
    <r>
      <rPr>
        <sz val="14"/>
        <color rgb="FFFF0000"/>
        <rFont val="Calibri"/>
        <family val="2"/>
        <scheme val="minor"/>
      </rPr>
      <t>Intergration Management Process</t>
    </r>
  </si>
  <si>
    <t>Level of Risk</t>
  </si>
  <si>
    <t>Efficiency &amp; Accuracy</t>
  </si>
  <si>
    <t>&lt;15% to 25%</t>
  </si>
  <si>
    <r>
      <t xml:space="preserve"> (Actual Date) - (Planned Date)
</t>
    </r>
    <r>
      <rPr>
        <sz val="14"/>
        <color rgb="FFFF0000"/>
        <rFont val="Calibri"/>
        <family val="2"/>
        <scheme val="minor"/>
      </rPr>
      <t>To be Developed Under the Relevant Process (e.g. integration mgmt)</t>
    </r>
  </si>
  <si>
    <r>
      <t xml:space="preserve">Target
</t>
    </r>
    <r>
      <rPr>
        <sz val="16"/>
        <rFont val="Calibri"/>
        <family val="2"/>
        <scheme val="minor"/>
      </rPr>
      <t>Upper limit</t>
    </r>
  </si>
  <si>
    <r>
      <t xml:space="preserve">Target
</t>
    </r>
    <r>
      <rPr>
        <sz val="16"/>
        <rFont val="Calibri"/>
        <family val="2"/>
        <scheme val="minor"/>
      </rPr>
      <t>lower limit</t>
    </r>
  </si>
  <si>
    <t>Previous
Month</t>
  </si>
  <si>
    <t>Latest
Month</t>
  </si>
  <si>
    <r>
      <rPr>
        <b/>
        <sz val="14"/>
        <color theme="1"/>
        <rFont val="Calibri"/>
        <family val="2"/>
        <scheme val="minor"/>
      </rPr>
      <t>Constraints resolution ratio</t>
    </r>
    <r>
      <rPr>
        <sz val="14"/>
        <color theme="1"/>
        <rFont val="Calibri"/>
        <family val="2"/>
        <scheme val="minor"/>
      </rPr>
      <t xml:space="preserve">
Number of Resolved constraints
Vs
Actual Number of Constraints</t>
    </r>
  </si>
  <si>
    <r>
      <rPr>
        <b/>
        <sz val="14"/>
        <rFont val="Calibri"/>
        <family val="2"/>
        <scheme val="minor"/>
      </rPr>
      <t>Production Rates Achievement</t>
    </r>
    <r>
      <rPr>
        <sz val="14"/>
        <rFont val="Calibri"/>
        <family val="2"/>
        <scheme val="minor"/>
      </rPr>
      <t xml:space="preserve">
Actual Production Rates
Vs
Target Production Rates</t>
    </r>
  </si>
  <si>
    <r>
      <rPr>
        <b/>
        <sz val="14"/>
        <color theme="1"/>
        <rFont val="Calibri"/>
        <family val="2"/>
        <scheme val="minor"/>
      </rPr>
      <t xml:space="preserve">Ratio of actual number of critical paths Vs. baseline
</t>
    </r>
    <r>
      <rPr>
        <sz val="14"/>
        <color theme="1"/>
        <rFont val="Calibri"/>
        <family val="2"/>
        <scheme val="minor"/>
      </rPr>
      <t>in Latest Update
Vs
in Base Line</t>
    </r>
  </si>
  <si>
    <r>
      <rPr>
        <b/>
        <sz val="14"/>
        <color theme="1"/>
        <rFont val="Calibri"/>
        <family val="2"/>
        <scheme val="minor"/>
      </rPr>
      <t>Schedule Perfomance Index - SPI</t>
    </r>
    <r>
      <rPr>
        <sz val="14"/>
        <color theme="1"/>
        <rFont val="Calibri"/>
        <family val="2"/>
        <scheme val="minor"/>
      </rPr>
      <t xml:space="preserve">
Earned Value 
Vs
Planned Value</t>
    </r>
  </si>
  <si>
    <r>
      <rPr>
        <b/>
        <sz val="14"/>
        <color theme="1"/>
        <rFont val="Calibri"/>
        <family val="2"/>
        <scheme val="minor"/>
      </rPr>
      <t xml:space="preserve">Constraints identification ratio
</t>
    </r>
    <r>
      <rPr>
        <sz val="14"/>
        <color theme="1"/>
        <rFont val="Calibri"/>
        <family val="2"/>
        <scheme val="minor"/>
      </rPr>
      <t xml:space="preserve">Identified During Planning
Vs
Total Actual Constrains </t>
    </r>
  </si>
  <si>
    <t>Efficiency &amp; Accuracy of applied project control tools</t>
  </si>
  <si>
    <r>
      <rPr>
        <b/>
        <sz val="14"/>
        <color theme="1"/>
        <rFont val="Calibri"/>
        <family val="2"/>
        <scheme val="minor"/>
      </rPr>
      <t xml:space="preserve">Accuracy of Risk identification
</t>
    </r>
    <r>
      <rPr>
        <sz val="14"/>
        <color theme="1"/>
        <rFont val="Calibri"/>
        <family val="2"/>
        <scheme val="minor"/>
      </rPr>
      <t>Risk captured at Tendering phase
Vs
Actual Risk after schedule development</t>
    </r>
  </si>
  <si>
    <t>Float (In Days)</t>
  </si>
  <si>
    <r>
      <t xml:space="preserve">Critical Activities Ratio
</t>
    </r>
    <r>
      <rPr>
        <sz val="14"/>
        <color theme="1"/>
        <rFont val="Calibri"/>
        <family val="2"/>
        <scheme val="minor"/>
      </rPr>
      <t>(Total Float = 0) 
% of Overall number of Activities</t>
    </r>
  </si>
  <si>
    <r>
      <rPr>
        <b/>
        <sz val="14"/>
        <color theme="1"/>
        <rFont val="Calibri"/>
        <family val="2"/>
        <scheme val="minor"/>
      </rPr>
      <t xml:space="preserve">Near Critical Activities ratio
</t>
    </r>
    <r>
      <rPr>
        <sz val="14"/>
        <color theme="1"/>
        <rFont val="Calibri"/>
        <family val="2"/>
        <scheme val="minor"/>
      </rPr>
      <t>(Total Float &lt; or = 10)
% of Overall number of Activities</t>
    </r>
  </si>
  <si>
    <r>
      <rPr>
        <b/>
        <sz val="14"/>
        <color theme="1"/>
        <rFont val="Calibri"/>
        <family val="2"/>
        <scheme val="minor"/>
      </rPr>
      <t xml:space="preserve">Critical Activities Ratio
</t>
    </r>
    <r>
      <rPr>
        <sz val="14"/>
        <color theme="1"/>
        <rFont val="Calibri"/>
        <family val="2"/>
        <scheme val="minor"/>
      </rPr>
      <t>(Total Float = 0)
% of Overall number of Activities</t>
    </r>
  </si>
  <si>
    <r>
      <rPr>
        <b/>
        <sz val="14"/>
        <color theme="1"/>
        <rFont val="Calibri"/>
        <family val="2"/>
        <scheme val="minor"/>
      </rPr>
      <t>Near Critical Activities Ratio</t>
    </r>
    <r>
      <rPr>
        <sz val="14"/>
        <color theme="1"/>
        <rFont val="Calibri"/>
        <family val="2"/>
        <scheme val="minor"/>
      </rPr>
      <t xml:space="preserve">
(Total Float &lt; or = 10)
% of Overall number of Activities</t>
    </r>
  </si>
  <si>
    <r>
      <rPr>
        <b/>
        <sz val="14"/>
        <color theme="1"/>
        <rFont val="Calibri"/>
        <family val="2"/>
        <scheme val="minor"/>
      </rPr>
      <t xml:space="preserve">Timely completion of Quantities BD
</t>
    </r>
    <r>
      <rPr>
        <sz val="14"/>
        <color theme="1"/>
        <rFont val="Calibri"/>
        <family val="2"/>
        <scheme val="minor"/>
      </rPr>
      <t xml:space="preserve">Actual date Vs Planned Date of issuance of the Quantities BD as agreed during the Internal Kickoff Meeting and set in the Project charter </t>
    </r>
  </si>
  <si>
    <r>
      <t xml:space="preserve">Ratio of </t>
    </r>
    <r>
      <rPr>
        <b/>
        <u/>
        <sz val="14"/>
        <color theme="1"/>
        <rFont val="Calibri"/>
        <family val="2"/>
        <scheme val="minor"/>
      </rPr>
      <t>Concrete Construction Activities</t>
    </r>
    <r>
      <rPr>
        <b/>
        <sz val="14"/>
        <color theme="1"/>
        <rFont val="Calibri"/>
        <family val="2"/>
        <scheme val="minor"/>
      </rPr>
      <t xml:space="preserve"> with Duration Greater than 30 Days</t>
    </r>
  </si>
  <si>
    <r>
      <t xml:space="preserve">Ratio of </t>
    </r>
    <r>
      <rPr>
        <b/>
        <u/>
        <sz val="14"/>
        <color theme="1"/>
        <rFont val="Calibri"/>
        <family val="2"/>
        <scheme val="minor"/>
      </rPr>
      <t>Finishing Construction Activities</t>
    </r>
    <r>
      <rPr>
        <b/>
        <sz val="14"/>
        <color theme="1"/>
        <rFont val="Calibri"/>
        <family val="2"/>
        <scheme val="minor"/>
      </rPr>
      <t xml:space="preserve"> with Duration Greater than 30 Days</t>
    </r>
  </si>
  <si>
    <t>Total number of Activities</t>
  </si>
  <si>
    <r>
      <rPr>
        <b/>
        <sz val="14"/>
        <color theme="1"/>
        <rFont val="Calibri"/>
        <family val="2"/>
        <scheme val="minor"/>
      </rPr>
      <t xml:space="preserve">Number of Activities without a Predecessor or Successor
</t>
    </r>
    <r>
      <rPr>
        <sz val="14"/>
        <color theme="1"/>
        <rFont val="Calibri"/>
        <family val="2"/>
        <scheme val="minor"/>
      </rPr>
      <t>(Excluding Start &amp; End)</t>
    </r>
  </si>
  <si>
    <r>
      <rPr>
        <b/>
        <sz val="14"/>
        <color theme="1"/>
        <rFont val="Calibri"/>
        <family val="2"/>
        <scheme val="minor"/>
      </rPr>
      <t xml:space="preserve">Float - Interim completion
</t>
    </r>
    <r>
      <rPr>
        <sz val="14"/>
        <color theme="1"/>
        <rFont val="Calibri"/>
        <family val="2"/>
        <scheme val="minor"/>
      </rPr>
      <t>for Internal &amp; Contractual Milestones</t>
    </r>
  </si>
  <si>
    <r>
      <rPr>
        <b/>
        <sz val="14"/>
        <color theme="1"/>
        <rFont val="Calibri"/>
        <family val="2"/>
        <scheme val="minor"/>
      </rPr>
      <t xml:space="preserve">Float - Project completion
</t>
    </r>
    <r>
      <rPr>
        <sz val="14"/>
        <color theme="1"/>
        <rFont val="Calibri"/>
        <family val="2"/>
        <scheme val="minor"/>
      </rPr>
      <t>for Internal &amp; Contractual Milestones</t>
    </r>
  </si>
  <si>
    <t>Comparison</t>
  </si>
  <si>
    <t>Dev.
from target</t>
  </si>
  <si>
    <t>Dev.
From 
prev. week</t>
  </si>
  <si>
    <t>&lt; 8% to 10%</t>
  </si>
  <si>
    <t>&lt; 20%</t>
  </si>
  <si>
    <t>&gt;= 0</t>
  </si>
  <si>
    <t>&lt; 1.1</t>
  </si>
  <si>
    <t>&gt;=90%</t>
  </si>
  <si>
    <t>&gt; =1</t>
  </si>
  <si>
    <t>&gt;=1</t>
  </si>
  <si>
    <t>Dev.*</t>
  </si>
  <si>
    <t>* Deviation from Target</t>
  </si>
  <si>
    <r>
      <rPr>
        <sz val="14"/>
        <rFont val="Calibri"/>
        <family val="2"/>
        <scheme val="minor"/>
      </rPr>
      <t>(Count of identified risks at Tendering Phase)  
-
(Count of identified Risks at Developping the schedule phase)</t>
    </r>
    <r>
      <rPr>
        <sz val="14"/>
        <color rgb="FFFF0000"/>
        <rFont val="Calibri"/>
        <family val="2"/>
        <scheme val="minor"/>
      </rPr>
      <t xml:space="preserve">
To be Developed further Under the Risk Management Process</t>
    </r>
  </si>
  <si>
    <t>KPIs Historical Data - Time Management</t>
  </si>
  <si>
    <t>Weighted 
Score</t>
  </si>
  <si>
    <t>Factor</t>
  </si>
  <si>
    <t>&lt;=0</t>
  </si>
  <si>
    <t>&lt;= 8% to 10%</t>
  </si>
  <si>
    <t>&lt;= 20%</t>
  </si>
  <si>
    <t>&lt;= 5%</t>
  </si>
  <si>
    <t>betweeen
3,000
&amp;
7,000 (Current project sizes)</t>
  </si>
  <si>
    <t>Weighted
score</t>
  </si>
  <si>
    <t>factor</t>
  </si>
  <si>
    <t>(Count  of Critical Paths in Latest Update)
÷
(Count  of Critical Paths in Base Line Schedule)</t>
  </si>
  <si>
    <t>EV
÷
PV</t>
  </si>
  <si>
    <t>(Count  of Impacted Schedule Submittals Approved)
÷ 
(Count  of Impacted Schedule Submittals submitted)</t>
  </si>
  <si>
    <t xml:space="preserve">(Count of Listed Constraints detected during the War Meeting of the Relevant Period) 
÷
(Count of relevant Total Actual Constraints included in the Risk Register after completion of the planned Works for the same period) </t>
  </si>
  <si>
    <t xml:space="preserve">(Count of resolved Constraints detected during the War Meeting of the Relevant Period)
÷
(Count of Listed Constraints detected during the War Meeting of the Relevant Period) </t>
  </si>
  <si>
    <t>KPI-TM-18</t>
  </si>
  <si>
    <r>
      <rPr>
        <b/>
        <sz val="14"/>
        <color theme="1"/>
        <rFont val="Calibri"/>
        <family val="2"/>
        <scheme val="minor"/>
      </rPr>
      <t>Float - Interim completion</t>
    </r>
    <r>
      <rPr>
        <sz val="14"/>
        <color theme="1"/>
        <rFont val="Calibri"/>
        <family val="2"/>
        <scheme val="minor"/>
      </rPr>
      <t xml:space="preserve">
for Internal &amp; Contractual Milestones</t>
    </r>
  </si>
  <si>
    <r>
      <rPr>
        <b/>
        <sz val="14"/>
        <color theme="1"/>
        <rFont val="Calibri"/>
        <family val="2"/>
        <scheme val="minor"/>
      </rPr>
      <t>Float - Project completion</t>
    </r>
    <r>
      <rPr>
        <sz val="14"/>
        <color theme="1"/>
        <rFont val="Calibri"/>
        <family val="2"/>
        <scheme val="minor"/>
      </rPr>
      <t xml:space="preserve">
for Internal &amp; Contractual Milestones</t>
    </r>
  </si>
  <si>
    <r>
      <rPr>
        <b/>
        <sz val="14"/>
        <color theme="1"/>
        <rFont val="Calibri"/>
        <family val="2"/>
        <scheme val="minor"/>
      </rPr>
      <t>Ratio of actual number of critical paths Vs. baseline</t>
    </r>
    <r>
      <rPr>
        <sz val="14"/>
        <color theme="1"/>
        <rFont val="Calibri"/>
        <family val="2"/>
        <scheme val="minor"/>
      </rPr>
      <t xml:space="preserve">
in Latest Update
Vs
in Base Line</t>
    </r>
  </si>
  <si>
    <r>
      <rPr>
        <b/>
        <sz val="14"/>
        <color theme="1"/>
        <rFont val="Calibri"/>
        <family val="2"/>
        <scheme val="minor"/>
      </rPr>
      <t>Planned Activities Completion Ratio</t>
    </r>
    <r>
      <rPr>
        <sz val="14"/>
        <color theme="1"/>
        <rFont val="Calibri"/>
        <family val="2"/>
        <scheme val="minor"/>
      </rPr>
      <t xml:space="preserve">
Number of Completed Activities
Vs 
Number of Planned Activities</t>
    </r>
  </si>
  <si>
    <r>
      <rPr>
        <b/>
        <sz val="14"/>
        <color theme="1"/>
        <rFont val="Calibri"/>
        <family val="2"/>
        <scheme val="minor"/>
      </rPr>
      <t>Constraints identification ratio</t>
    </r>
    <r>
      <rPr>
        <sz val="14"/>
        <color theme="1"/>
        <rFont val="Calibri"/>
        <family val="2"/>
        <scheme val="minor"/>
      </rPr>
      <t xml:space="preserve">
Identified During Planning
Vs
Total Actual Constrains </t>
    </r>
  </si>
  <si>
    <t>(Actual Production Rates)
÷
(Target Production Rates)</t>
  </si>
  <si>
    <t>&gt;= 1</t>
  </si>
  <si>
    <t>Project Manager
CM
Section Eng.</t>
  </si>
  <si>
    <t>CM
Section Eng.
Site Eng.</t>
  </si>
  <si>
    <t>CM
Section Eng.
Site Eng.
Foreman</t>
  </si>
  <si>
    <t>Section Eng.
Site Eng.
Foreman</t>
  </si>
  <si>
    <r>
      <rPr>
        <b/>
        <sz val="14"/>
        <color theme="1"/>
        <rFont val="Calibri"/>
        <family val="2"/>
        <scheme val="minor"/>
      </rPr>
      <t xml:space="preserve">Ratio of </t>
    </r>
    <r>
      <rPr>
        <b/>
        <u/>
        <sz val="14"/>
        <color theme="1"/>
        <rFont val="Calibri"/>
        <family val="2"/>
        <scheme val="minor"/>
      </rPr>
      <t>Finishing Construction Activities</t>
    </r>
    <r>
      <rPr>
        <b/>
        <sz val="14"/>
        <color theme="1"/>
        <rFont val="Calibri"/>
        <family val="2"/>
        <scheme val="minor"/>
      </rPr>
      <t xml:space="preserve"> with Duration Greater than 30 Days</t>
    </r>
  </si>
  <si>
    <r>
      <rPr>
        <b/>
        <sz val="14"/>
        <color theme="1"/>
        <rFont val="Calibri"/>
        <family val="2"/>
        <scheme val="minor"/>
      </rPr>
      <t xml:space="preserve">Ratio of </t>
    </r>
    <r>
      <rPr>
        <b/>
        <u/>
        <sz val="14"/>
        <color theme="1"/>
        <rFont val="Calibri"/>
        <family val="2"/>
        <scheme val="minor"/>
      </rPr>
      <t>Concrete Construction Activities</t>
    </r>
    <r>
      <rPr>
        <b/>
        <sz val="14"/>
        <color theme="1"/>
        <rFont val="Calibri"/>
        <family val="2"/>
        <scheme val="minor"/>
      </rPr>
      <t xml:space="preserve"> with Duration Greater than 30 Days</t>
    </r>
  </si>
  <si>
    <t>&lt; 15% to 25%</t>
  </si>
  <si>
    <r>
      <rPr>
        <b/>
        <sz val="14"/>
        <color theme="1"/>
        <rFont val="Calibri"/>
        <family val="2"/>
        <scheme val="minor"/>
      </rPr>
      <t>Production Rates Achievement ratio</t>
    </r>
    <r>
      <rPr>
        <sz val="14"/>
        <color theme="1"/>
        <rFont val="Calibri"/>
        <family val="2"/>
        <scheme val="minor"/>
      </rPr>
      <t xml:space="preserve">
Actual Production Rates
Vs
Target Production Rates</t>
    </r>
  </si>
  <si>
    <t>Efficiency &amp; Accuracy of applied project control tools - Time Management</t>
  </si>
  <si>
    <t>Customer Satisfaction</t>
  </si>
  <si>
    <t>Customer Satisfaction - Time</t>
  </si>
  <si>
    <t>To be Developed Under the Stakeholders Management Process</t>
  </si>
  <si>
    <t>&gt;= 80%</t>
  </si>
  <si>
    <t>(Cumulative Count of Completed Activities till this period)
÷ 
((Cumulative Count of Planned Activities till this period)
(PPC= Percent of Promises Completed could be used )</t>
  </si>
  <si>
    <t>Customer Satisfaction ratio - Time</t>
  </si>
  <si>
    <t>Month:</t>
  </si>
  <si>
    <t>Planning-Lebanon</t>
  </si>
  <si>
    <t>Rev01</t>
  </si>
  <si>
    <t>Approved</t>
  </si>
  <si>
    <r>
      <rPr>
        <b/>
        <sz val="14"/>
        <rFont val="Calibri"/>
        <family val="2"/>
        <scheme val="minor"/>
      </rPr>
      <t>Planned Activities Completion Ratio</t>
    </r>
    <r>
      <rPr>
        <sz val="14"/>
        <rFont val="Calibri"/>
        <family val="2"/>
        <scheme val="minor"/>
      </rPr>
      <t xml:space="preserve">
Number of Completed Activities</t>
    </r>
    <r>
      <rPr>
        <b/>
        <sz val="14"/>
        <rFont val="Calibri"/>
        <family val="2"/>
        <scheme val="minor"/>
      </rPr>
      <t xml:space="preserve">
</t>
    </r>
    <r>
      <rPr>
        <sz val="14"/>
        <rFont val="Calibri"/>
        <family val="2"/>
        <scheme val="minor"/>
      </rPr>
      <t>Vs 
Number of Planned Activities</t>
    </r>
  </si>
  <si>
    <r>
      <rPr>
        <sz val="14"/>
        <rFont val="Calibri"/>
        <family val="2"/>
        <scheme val="minor"/>
      </rPr>
      <t>(Count of Completed activities)
÷ 
(Count of Planned Activities)</t>
    </r>
    <r>
      <rPr>
        <sz val="12"/>
        <rFont val="Calibri"/>
        <family val="2"/>
        <scheme val="minor"/>
      </rPr>
      <t xml:space="preserve">
</t>
    </r>
    <r>
      <rPr>
        <sz val="14"/>
        <rFont val="Calibri"/>
        <family val="2"/>
        <scheme val="minor"/>
      </rPr>
      <t>(Refer to the Last Planner System)</t>
    </r>
  </si>
  <si>
    <r>
      <t xml:space="preserve">Remarks
</t>
    </r>
    <r>
      <rPr>
        <i/>
        <sz val="16"/>
        <color theme="0"/>
        <rFont val="Calibri"/>
        <family val="2"/>
        <scheme val="minor"/>
      </rPr>
      <t>Automatically generated based on KPIs scores</t>
    </r>
  </si>
  <si>
    <r>
      <rPr>
        <b/>
        <sz val="14"/>
        <color theme="1"/>
        <rFont val="Calibri"/>
        <family val="2"/>
        <scheme val="minor"/>
      </rPr>
      <t>Schedule Performance Index - SPI</t>
    </r>
    <r>
      <rPr>
        <sz val="14"/>
        <color theme="1"/>
        <rFont val="Calibri"/>
        <family val="2"/>
        <scheme val="minor"/>
      </rPr>
      <t xml:space="preserve">
Earned Value 
Vs
Planned Value</t>
    </r>
  </si>
  <si>
    <t>Timely Detecting of Constraints During Planning Phase / Project Management's Understating of Project Needs</t>
  </si>
  <si>
    <t>Key Trend lines</t>
  </si>
  <si>
    <t>Timely Resolution of Constraints During Planning Phase / Project Management's Ability to Resolve Problems</t>
  </si>
  <si>
    <r>
      <t xml:space="preserve">Process.TM.Dev-Sch.
</t>
    </r>
    <r>
      <rPr>
        <sz val="14"/>
        <color rgb="FFFF0000"/>
        <rFont val="Calibri"/>
        <family val="2"/>
        <scheme val="minor"/>
      </rPr>
      <t>Risk Mgmt. Process</t>
    </r>
  </si>
  <si>
    <r>
      <rPr>
        <sz val="14"/>
        <rFont val="Calibri"/>
        <family val="2"/>
        <scheme val="minor"/>
      </rPr>
      <t>(Count of identified risks at Tendering Phase)  
-
(Count of identified Risks at Developing the schedule phase)</t>
    </r>
    <r>
      <rPr>
        <sz val="14"/>
        <color rgb="FFFF0000"/>
        <rFont val="Calibri"/>
        <family val="2"/>
        <scheme val="minor"/>
      </rPr>
      <t xml:space="preserve">
To be Developed further Under the Risk Management Process</t>
    </r>
  </si>
  <si>
    <r>
      <t xml:space="preserve">Process.TM.Dev-Sch.
</t>
    </r>
    <r>
      <rPr>
        <sz val="14"/>
        <color rgb="FFFF0000"/>
        <rFont val="Calibri"/>
        <family val="2"/>
        <scheme val="minor"/>
      </rPr>
      <t>Integration Management Process</t>
    </r>
  </si>
  <si>
    <r>
      <t xml:space="preserve"> (Actual Date) - (Planned Date)
</t>
    </r>
    <r>
      <rPr>
        <sz val="14"/>
        <color rgb="FFFF0000"/>
        <rFont val="Calibri"/>
        <family val="2"/>
        <scheme val="minor"/>
      </rPr>
      <t>To be Developed Under the Relevant Process (e.g. integration mgmt.)</t>
    </r>
  </si>
  <si>
    <t>between
3,000
&amp;
7,000 (Current project sizes)</t>
  </si>
  <si>
    <t>Planning Engineer
PM</t>
  </si>
  <si>
    <t>Execution and Monitoring &amp; Controlling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</si>
</sst>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.0"/>
    <numFmt numFmtId="167" formatCode="_(* #,##0.0000_);_(* \(#,##0.0000\);_(* &quot;-&quot;??_);_(@_)"/>
    <numFmt numFmtId="168" formatCode="\+General;\-General;0;@"/>
    <numFmt numFmtId="169" formatCode="\+0%;\-0%;0%"/>
    <numFmt numFmtId="170" formatCode="[$-409]mmm\-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8"/>
      <color theme="4" tint="0.79998168889431442"/>
      <name val="Calibri"/>
      <family val="2"/>
      <scheme val="minor"/>
    </font>
    <font>
      <sz val="24"/>
      <name val="Calibri"/>
      <family val="2"/>
      <scheme val="minor"/>
    </font>
    <font>
      <sz val="18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9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theme="1" tint="0.499984740745262"/>
      </top>
      <bottom/>
      <diagonal/>
    </border>
    <border>
      <left style="medium">
        <color theme="0"/>
      </left>
      <right style="thick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medium">
        <color theme="0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0">
    <xf numFmtId="0" fontId="0" fillId="0" borderId="0" xfId="0"/>
    <xf numFmtId="0" fontId="7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4" borderId="5" xfId="0" applyFont="1" applyFill="1" applyBorder="1" applyAlignment="1">
      <alignment horizontal="center" vertical="center"/>
    </xf>
    <xf numFmtId="15" fontId="7" fillId="4" borderId="5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2" fillId="11" borderId="6" xfId="0" applyFont="1" applyFill="1" applyBorder="1" applyAlignment="1">
      <alignment horizontal="center" vertical="center"/>
    </xf>
    <xf numFmtId="1" fontId="11" fillId="7" borderId="6" xfId="1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4" fillId="0" borderId="0" xfId="0" applyFont="1"/>
    <xf numFmtId="0" fontId="15" fillId="0" borderId="0" xfId="0" applyFont="1"/>
    <xf numFmtId="0" fontId="0" fillId="0" borderId="20" xfId="0" applyBorder="1"/>
    <xf numFmtId="0" fontId="0" fillId="0" borderId="19" xfId="0" applyBorder="1"/>
    <xf numFmtId="0" fontId="0" fillId="0" borderId="16" xfId="0" applyBorder="1"/>
    <xf numFmtId="0" fontId="0" fillId="0" borderId="21" xfId="0" applyBorder="1"/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3" fillId="11" borderId="6" xfId="0" applyFont="1" applyFill="1" applyBorder="1" applyAlignment="1">
      <alignment horizontal="center" vertical="center"/>
    </xf>
    <xf numFmtId="9" fontId="3" fillId="11" borderId="6" xfId="1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wrapText="1"/>
    </xf>
    <xf numFmtId="0" fontId="12" fillId="0" borderId="0" xfId="0" applyFont="1"/>
    <xf numFmtId="0" fontId="13" fillId="12" borderId="0" xfId="0" applyFont="1" applyFill="1" applyBorder="1" applyAlignment="1">
      <alignment vertical="center"/>
    </xf>
    <xf numFmtId="9" fontId="11" fillId="7" borderId="6" xfId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center"/>
    </xf>
    <xf numFmtId="0" fontId="7" fillId="4" borderId="0" xfId="0" applyFont="1" applyFill="1" applyBorder="1"/>
    <xf numFmtId="0" fontId="7" fillId="4" borderId="10" xfId="0" applyFont="1" applyFill="1" applyBorder="1"/>
    <xf numFmtId="0" fontId="6" fillId="0" borderId="0" xfId="0" applyFont="1" applyAlignment="1">
      <alignment vertical="center"/>
    </xf>
    <xf numFmtId="0" fontId="8" fillId="4" borderId="10" xfId="0" applyFont="1" applyFill="1" applyBorder="1" applyAlignment="1">
      <alignment vertical="center"/>
    </xf>
    <xf numFmtId="0" fontId="12" fillId="7" borderId="6" xfId="0" applyFont="1" applyFill="1" applyBorder="1" applyAlignment="1">
      <alignment horizontal="center" vertical="center"/>
    </xf>
    <xf numFmtId="1" fontId="11" fillId="13" borderId="6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10" borderId="16" xfId="0" applyFont="1" applyFill="1" applyBorder="1" applyAlignment="1">
      <alignment horizontal="center" vertical="center" wrapText="1"/>
    </xf>
    <xf numFmtId="1" fontId="11" fillId="11" borderId="48" xfId="1" applyNumberFormat="1" applyFont="1" applyFill="1" applyBorder="1" applyAlignment="1">
      <alignment horizontal="right" vertical="center"/>
    </xf>
    <xf numFmtId="1" fontId="11" fillId="13" borderId="32" xfId="1" applyNumberFormat="1" applyFont="1" applyFill="1" applyBorder="1" applyAlignment="1">
      <alignment horizontal="right" vertical="center"/>
    </xf>
    <xf numFmtId="9" fontId="11" fillId="13" borderId="32" xfId="1" applyFont="1" applyFill="1" applyBorder="1" applyAlignment="1">
      <alignment horizontal="right" vertical="center"/>
    </xf>
    <xf numFmtId="165" fontId="11" fillId="13" borderId="32" xfId="2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Border="1" applyAlignment="1">
      <alignment horizontal="center" vertical="center"/>
    </xf>
    <xf numFmtId="0" fontId="22" fillId="0" borderId="0" xfId="0" applyFont="1"/>
    <xf numFmtId="9" fontId="11" fillId="13" borderId="42" xfId="1" applyFont="1" applyFill="1" applyBorder="1" applyAlignment="1">
      <alignment horizontal="right" vertical="center"/>
    </xf>
    <xf numFmtId="0" fontId="3" fillId="10" borderId="32" xfId="0" applyFont="1" applyFill="1" applyBorder="1" applyAlignment="1">
      <alignment horizontal="center" vertical="center" wrapText="1"/>
    </xf>
    <xf numFmtId="1" fontId="11" fillId="11" borderId="32" xfId="1" applyNumberFormat="1" applyFont="1" applyFill="1" applyBorder="1" applyAlignment="1">
      <alignment horizontal="right" vertical="center"/>
    </xf>
    <xf numFmtId="0" fontId="0" fillId="10" borderId="32" xfId="0" applyFill="1" applyBorder="1" applyAlignment="1"/>
    <xf numFmtId="0" fontId="0" fillId="10" borderId="42" xfId="0" applyFill="1" applyBorder="1" applyAlignment="1"/>
    <xf numFmtId="0" fontId="3" fillId="10" borderId="42" xfId="0" applyFont="1" applyFill="1" applyBorder="1" applyAlignment="1">
      <alignment horizontal="center" vertical="center" wrapText="1"/>
    </xf>
    <xf numFmtId="9" fontId="5" fillId="13" borderId="46" xfId="1" applyFont="1" applyFill="1" applyBorder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5" fillId="13" borderId="46" xfId="0" applyFont="1" applyFill="1" applyBorder="1" applyAlignment="1">
      <alignment horizontal="center" vertical="center"/>
    </xf>
    <xf numFmtId="0" fontId="5" fillId="13" borderId="4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5" fillId="13" borderId="32" xfId="1" applyFont="1" applyFill="1" applyBorder="1" applyAlignment="1">
      <alignment horizontal="left" vertical="center"/>
    </xf>
    <xf numFmtId="17" fontId="8" fillId="5" borderId="8" xfId="0" applyNumberFormat="1" applyFont="1" applyFill="1" applyBorder="1" applyAlignment="1">
      <alignment horizontal="center" textRotation="90"/>
    </xf>
    <xf numFmtId="17" fontId="8" fillId="5" borderId="6" xfId="0" applyNumberFormat="1" applyFont="1" applyFill="1" applyBorder="1" applyAlignment="1">
      <alignment horizontal="center" textRotation="90"/>
    </xf>
    <xf numFmtId="9" fontId="11" fillId="13" borderId="6" xfId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 wrapText="1"/>
    </xf>
    <xf numFmtId="1" fontId="11" fillId="13" borderId="14" xfId="1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166" fontId="11" fillId="13" borderId="6" xfId="1" applyNumberFormat="1" applyFont="1" applyFill="1" applyBorder="1" applyAlignment="1">
      <alignment horizontal="center" vertical="center"/>
    </xf>
    <xf numFmtId="2" fontId="3" fillId="11" borderId="6" xfId="0" applyNumberFormat="1" applyFont="1" applyFill="1" applyBorder="1" applyAlignment="1">
      <alignment horizontal="center" vertical="center"/>
    </xf>
    <xf numFmtId="166" fontId="10" fillId="11" borderId="6" xfId="1" applyNumberFormat="1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9" fontId="12" fillId="13" borderId="46" xfId="1" applyFont="1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10" borderId="32" xfId="0" applyFont="1" applyFill="1" applyBorder="1" applyAlignment="1">
      <alignment horizontal="left" vertical="center"/>
    </xf>
    <xf numFmtId="0" fontId="0" fillId="10" borderId="42" xfId="0" applyFill="1" applyBorder="1" applyAlignment="1">
      <alignment horizontal="left" vertical="center"/>
    </xf>
    <xf numFmtId="0" fontId="0" fillId="10" borderId="42" xfId="0" applyFill="1" applyBorder="1" applyAlignment="1">
      <alignment horizontal="center" vertical="center"/>
    </xf>
    <xf numFmtId="1" fontId="11" fillId="13" borderId="6" xfId="1" applyNumberFormat="1" applyFont="1" applyFill="1" applyBorder="1" applyAlignment="1">
      <alignment horizontal="center" vertical="center" wrapText="1"/>
    </xf>
    <xf numFmtId="1" fontId="11" fillId="13" borderId="14" xfId="1" applyNumberFormat="1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10" borderId="32" xfId="0" applyFill="1" applyBorder="1" applyAlignment="1">
      <alignment horizontal="left"/>
    </xf>
    <xf numFmtId="0" fontId="17" fillId="11" borderId="20" xfId="0" applyFont="1" applyFill="1" applyBorder="1" applyAlignment="1">
      <alignment horizontal="center" vertical="center"/>
    </xf>
    <xf numFmtId="1" fontId="13" fillId="13" borderId="49" xfId="1" applyNumberFormat="1" applyFont="1" applyFill="1" applyBorder="1" applyAlignment="1">
      <alignment horizontal="center" vertical="center" wrapText="1"/>
    </xf>
    <xf numFmtId="0" fontId="17" fillId="11" borderId="32" xfId="0" applyFont="1" applyFill="1" applyBorder="1" applyAlignment="1">
      <alignment horizontal="center" vertical="center"/>
    </xf>
    <xf numFmtId="1" fontId="13" fillId="13" borderId="32" xfId="1" applyNumberFormat="1" applyFont="1" applyFill="1" applyBorder="1" applyAlignment="1">
      <alignment horizontal="center" vertical="center" wrapText="1"/>
    </xf>
    <xf numFmtId="0" fontId="10" fillId="11" borderId="32" xfId="0" applyFont="1" applyFill="1" applyBorder="1" applyAlignment="1">
      <alignment horizontal="center" vertical="center" wrapText="1"/>
    </xf>
    <xf numFmtId="0" fontId="10" fillId="13" borderId="32" xfId="0" applyFont="1" applyFill="1" applyBorder="1" applyAlignment="1">
      <alignment horizontal="center" vertical="center" wrapText="1"/>
    </xf>
    <xf numFmtId="9" fontId="10" fillId="11" borderId="32" xfId="0" applyNumberFormat="1" applyFont="1" applyFill="1" applyBorder="1" applyAlignment="1">
      <alignment horizontal="center" vertical="center" wrapText="1"/>
    </xf>
    <xf numFmtId="0" fontId="26" fillId="10" borderId="8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1" fontId="11" fillId="8" borderId="6" xfId="1" applyNumberFormat="1" applyFont="1" applyFill="1" applyBorder="1" applyAlignment="1">
      <alignment horizontal="center" vertical="center"/>
    </xf>
    <xf numFmtId="166" fontId="11" fillId="8" borderId="6" xfId="1" applyNumberFormat="1" applyFont="1" applyFill="1" applyBorder="1" applyAlignment="1">
      <alignment horizontal="center" vertical="center"/>
    </xf>
    <xf numFmtId="9" fontId="11" fillId="8" borderId="6" xfId="1" applyFont="1" applyFill="1" applyBorder="1" applyAlignment="1">
      <alignment horizontal="center" vertical="center"/>
    </xf>
    <xf numFmtId="2" fontId="11" fillId="8" borderId="6" xfId="1" applyNumberFormat="1" applyFont="1" applyFill="1" applyBorder="1" applyAlignment="1">
      <alignment horizontal="center" vertical="center"/>
    </xf>
    <xf numFmtId="9" fontId="3" fillId="7" borderId="6" xfId="1" applyFont="1" applyFill="1" applyBorder="1" applyAlignment="1">
      <alignment horizontal="center" vertical="center"/>
    </xf>
    <xf numFmtId="9" fontId="3" fillId="13" borderId="6" xfId="1" applyFont="1" applyFill="1" applyBorder="1" applyAlignment="1">
      <alignment horizontal="center" vertical="center"/>
    </xf>
    <xf numFmtId="167" fontId="3" fillId="7" borderId="6" xfId="2" applyNumberFormat="1" applyFont="1" applyFill="1" applyBorder="1" applyAlignment="1">
      <alignment horizontal="center" vertical="center"/>
    </xf>
    <xf numFmtId="166" fontId="3" fillId="13" borderId="6" xfId="2" applyNumberFormat="1" applyFont="1" applyFill="1" applyBorder="1" applyAlignment="1">
      <alignment horizontal="center" vertical="center"/>
    </xf>
    <xf numFmtId="1" fontId="3" fillId="13" borderId="6" xfId="2" applyNumberFormat="1" applyFont="1" applyFill="1" applyBorder="1" applyAlignment="1">
      <alignment horizontal="center" vertical="center"/>
    </xf>
    <xf numFmtId="166" fontId="11" fillId="7" borderId="6" xfId="1" applyNumberFormat="1" applyFont="1" applyFill="1" applyBorder="1" applyAlignment="1">
      <alignment horizontal="center" vertical="center"/>
    </xf>
    <xf numFmtId="2" fontId="11" fillId="7" borderId="6" xfId="1" applyNumberFormat="1" applyFont="1" applyFill="1" applyBorder="1" applyAlignment="1">
      <alignment horizontal="center" vertical="center"/>
    </xf>
    <xf numFmtId="0" fontId="14" fillId="10" borderId="32" xfId="0" applyFont="1" applyFill="1" applyBorder="1" applyAlignment="1">
      <alignment horizontal="left" vertical="center"/>
    </xf>
    <xf numFmtId="0" fontId="14" fillId="10" borderId="32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wrapText="1"/>
    </xf>
    <xf numFmtId="9" fontId="14" fillId="13" borderId="46" xfId="1" applyFont="1" applyFill="1" applyBorder="1" applyAlignment="1">
      <alignment horizontal="center" vertical="center"/>
    </xf>
    <xf numFmtId="0" fontId="14" fillId="8" borderId="49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30" fillId="10" borderId="6" xfId="0" applyFont="1" applyFill="1" applyBorder="1" applyAlignment="1">
      <alignment horizontal="center" wrapText="1"/>
    </xf>
    <xf numFmtId="1" fontId="11" fillId="11" borderId="40" xfId="1" applyNumberFormat="1" applyFont="1" applyFill="1" applyBorder="1" applyAlignment="1">
      <alignment horizontal="right" vertical="center"/>
    </xf>
    <xf numFmtId="1" fontId="11" fillId="13" borderId="49" xfId="1" applyNumberFormat="1" applyFont="1" applyFill="1" applyBorder="1" applyAlignment="1">
      <alignment horizontal="right" vertical="center"/>
    </xf>
    <xf numFmtId="1" fontId="11" fillId="11" borderId="66" xfId="1" applyNumberFormat="1" applyFont="1" applyFill="1" applyBorder="1" applyAlignment="1">
      <alignment horizontal="right" vertical="center"/>
    </xf>
    <xf numFmtId="9" fontId="11" fillId="13" borderId="49" xfId="1" applyFont="1" applyFill="1" applyBorder="1" applyAlignment="1">
      <alignment horizontal="right" vertical="center"/>
    </xf>
    <xf numFmtId="9" fontId="11" fillId="13" borderId="34" xfId="1" applyFont="1" applyFill="1" applyBorder="1" applyAlignment="1">
      <alignment horizontal="right" vertical="center"/>
    </xf>
    <xf numFmtId="165" fontId="11" fillId="11" borderId="49" xfId="2" applyNumberFormat="1" applyFont="1" applyFill="1" applyBorder="1" applyAlignment="1">
      <alignment horizontal="right" vertical="center"/>
    </xf>
    <xf numFmtId="165" fontId="11" fillId="13" borderId="49" xfId="2" applyNumberFormat="1" applyFont="1" applyFill="1" applyBorder="1" applyAlignment="1">
      <alignment horizontal="right" vertical="center"/>
    </xf>
    <xf numFmtId="1" fontId="11" fillId="11" borderId="49" xfId="1" applyNumberFormat="1" applyFont="1" applyFill="1" applyBorder="1" applyAlignment="1">
      <alignment horizontal="right" vertical="center"/>
    </xf>
    <xf numFmtId="0" fontId="14" fillId="10" borderId="33" xfId="0" applyFont="1" applyFill="1" applyBorder="1" applyAlignment="1"/>
    <xf numFmtId="0" fontId="16" fillId="4" borderId="49" xfId="0" applyFont="1" applyFill="1" applyBorder="1" applyAlignment="1">
      <alignment vertical="center"/>
    </xf>
    <xf numFmtId="0" fontId="12" fillId="8" borderId="0" xfId="0" applyFont="1" applyFill="1" applyBorder="1"/>
    <xf numFmtId="0" fontId="12" fillId="8" borderId="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right" vertical="center"/>
    </xf>
    <xf numFmtId="0" fontId="12" fillId="8" borderId="0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left" vertical="center"/>
    </xf>
    <xf numFmtId="0" fontId="12" fillId="10" borderId="33" xfId="0" applyFont="1" applyFill="1" applyBorder="1" applyAlignment="1">
      <alignment horizontal="left"/>
    </xf>
    <xf numFmtId="0" fontId="8" fillId="10" borderId="47" xfId="0" applyFont="1" applyFill="1" applyBorder="1" applyAlignment="1">
      <alignment horizontal="center" wrapText="1"/>
    </xf>
    <xf numFmtId="0" fontId="8" fillId="10" borderId="51" xfId="0" applyFont="1" applyFill="1" applyBorder="1" applyAlignment="1">
      <alignment horizontal="center" wrapText="1"/>
    </xf>
    <xf numFmtId="0" fontId="8" fillId="10" borderId="33" xfId="0" applyFont="1" applyFill="1" applyBorder="1" applyAlignment="1">
      <alignment horizontal="center" wrapText="1"/>
    </xf>
    <xf numFmtId="0" fontId="0" fillId="10" borderId="43" xfId="0" applyFill="1" applyBorder="1" applyAlignment="1">
      <alignment horizontal="left" vertical="center"/>
    </xf>
    <xf numFmtId="1" fontId="14" fillId="10" borderId="32" xfId="0" applyNumberFormat="1" applyFont="1" applyFill="1" applyBorder="1" applyAlignment="1">
      <alignment horizontal="left" vertical="center"/>
    </xf>
    <xf numFmtId="0" fontId="8" fillId="10" borderId="23" xfId="0" applyFont="1" applyFill="1" applyBorder="1" applyAlignment="1">
      <alignment horizontal="center" wrapText="1"/>
    </xf>
    <xf numFmtId="0" fontId="11" fillId="10" borderId="20" xfId="0" applyFont="1" applyFill="1" applyBorder="1" applyAlignment="1">
      <alignment horizontal="center" vertical="center" wrapText="1"/>
    </xf>
    <xf numFmtId="9" fontId="12" fillId="8" borderId="46" xfId="1" applyFont="1" applyFill="1" applyBorder="1" applyAlignment="1">
      <alignment horizontal="left" vertical="center"/>
    </xf>
    <xf numFmtId="9" fontId="14" fillId="8" borderId="46" xfId="1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center" vertical="center" wrapText="1"/>
    </xf>
    <xf numFmtId="0" fontId="31" fillId="7" borderId="51" xfId="0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center"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31" fillId="7" borderId="33" xfId="0" applyFont="1" applyFill="1" applyBorder="1" applyAlignment="1">
      <alignment horizontal="center" vertical="center" wrapText="1"/>
    </xf>
    <xf numFmtId="0" fontId="31" fillId="7" borderId="43" xfId="0" applyFont="1" applyFill="1" applyBorder="1" applyAlignment="1">
      <alignment horizontal="center" vertical="center" wrapText="1"/>
    </xf>
    <xf numFmtId="168" fontId="11" fillId="10" borderId="33" xfId="1" applyNumberFormat="1" applyFont="1" applyFill="1" applyBorder="1" applyAlignment="1">
      <alignment vertical="center"/>
    </xf>
    <xf numFmtId="0" fontId="9" fillId="4" borderId="46" xfId="0" applyFont="1" applyFill="1" applyBorder="1" applyAlignment="1">
      <alignment vertical="center" wrapText="1"/>
    </xf>
    <xf numFmtId="0" fontId="9" fillId="4" borderId="50" xfId="0" applyFont="1" applyFill="1" applyBorder="1" applyAlignment="1">
      <alignment vertical="center" wrapText="1"/>
    </xf>
    <xf numFmtId="0" fontId="2" fillId="2" borderId="67" xfId="0" applyFont="1" applyFill="1" applyBorder="1" applyAlignment="1">
      <alignment horizontal="center" vertical="center"/>
    </xf>
    <xf numFmtId="0" fontId="2" fillId="2" borderId="68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9" fontId="0" fillId="3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left" vertical="center" wrapText="1"/>
    </xf>
    <xf numFmtId="9" fontId="12" fillId="8" borderId="46" xfId="1" applyFont="1" applyFill="1" applyBorder="1" applyAlignment="1">
      <alignment horizontal="center" vertical="center"/>
    </xf>
    <xf numFmtId="170" fontId="8" fillId="4" borderId="0" xfId="0" applyNumberFormat="1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9" fontId="3" fillId="11" borderId="6" xfId="0" applyNumberFormat="1" applyFont="1" applyFill="1" applyBorder="1" applyAlignment="1">
      <alignment horizontal="center" vertical="center"/>
    </xf>
    <xf numFmtId="17" fontId="8" fillId="15" borderId="6" xfId="0" applyNumberFormat="1" applyFont="1" applyFill="1" applyBorder="1" applyAlignment="1">
      <alignment horizontal="center" textRotation="90"/>
    </xf>
    <xf numFmtId="9" fontId="11" fillId="11" borderId="48" xfId="1" applyFon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left" vertical="center"/>
    </xf>
    <xf numFmtId="0" fontId="0" fillId="0" borderId="7" xfId="0" applyBorder="1"/>
    <xf numFmtId="0" fontId="0" fillId="0" borderId="73" xfId="0" applyBorder="1"/>
    <xf numFmtId="0" fontId="0" fillId="0" borderId="8" xfId="0" applyBorder="1"/>
    <xf numFmtId="168" fontId="11" fillId="8" borderId="39" xfId="1" applyNumberFormat="1" applyFont="1" applyFill="1" applyBorder="1" applyAlignment="1">
      <alignment horizontal="left" vertical="center"/>
    </xf>
    <xf numFmtId="1" fontId="29" fillId="10" borderId="32" xfId="2" applyNumberFormat="1" applyFont="1" applyFill="1" applyBorder="1" applyAlignment="1">
      <alignment horizontal="center" vertical="center"/>
    </xf>
    <xf numFmtId="168" fontId="11" fillId="8" borderId="41" xfId="1" applyNumberFormat="1" applyFont="1" applyFill="1" applyBorder="1" applyAlignment="1">
      <alignment horizontal="left" vertical="center"/>
    </xf>
    <xf numFmtId="164" fontId="13" fillId="12" borderId="35" xfId="0" applyNumberFormat="1" applyFont="1" applyFill="1" applyBorder="1" applyAlignment="1">
      <alignment vertical="center"/>
    </xf>
    <xf numFmtId="164" fontId="13" fillId="12" borderId="35" xfId="0" applyNumberFormat="1" applyFont="1" applyFill="1" applyBorder="1" applyAlignment="1">
      <alignment horizontal="center" vertical="center"/>
    </xf>
    <xf numFmtId="164" fontId="13" fillId="12" borderId="35" xfId="0" applyNumberFormat="1" applyFont="1" applyFill="1" applyBorder="1" applyAlignment="1">
      <alignment horizontal="left" vertical="center"/>
    </xf>
    <xf numFmtId="0" fontId="32" fillId="10" borderId="8" xfId="0" applyFont="1" applyFill="1" applyBorder="1" applyAlignment="1">
      <alignment horizontal="center" vertical="center" wrapText="1"/>
    </xf>
    <xf numFmtId="164" fontId="13" fillId="12" borderId="0" xfId="0" applyNumberFormat="1" applyFont="1" applyFill="1" applyBorder="1" applyAlignment="1">
      <alignment vertical="center"/>
    </xf>
    <xf numFmtId="164" fontId="13" fillId="12" borderId="41" xfId="0" applyNumberFormat="1" applyFont="1" applyFill="1" applyBorder="1" applyAlignment="1">
      <alignment vertical="center"/>
    </xf>
    <xf numFmtId="0" fontId="17" fillId="0" borderId="0" xfId="0" applyFont="1"/>
    <xf numFmtId="164" fontId="13" fillId="12" borderId="38" xfId="0" applyNumberFormat="1" applyFont="1" applyFill="1" applyBorder="1" applyAlignment="1">
      <alignment vertical="center"/>
    </xf>
    <xf numFmtId="0" fontId="13" fillId="12" borderId="34" xfId="0" applyFont="1" applyFill="1" applyBorder="1" applyAlignment="1">
      <alignment vertical="center"/>
    </xf>
    <xf numFmtId="0" fontId="13" fillId="12" borderId="35" xfId="0" applyFont="1" applyFill="1" applyBorder="1" applyAlignment="1">
      <alignment vertical="center"/>
    </xf>
    <xf numFmtId="0" fontId="13" fillId="12" borderId="40" xfId="0" applyFont="1" applyFill="1" applyBorder="1" applyAlignment="1">
      <alignment vertical="center"/>
    </xf>
    <xf numFmtId="0" fontId="12" fillId="10" borderId="49" xfId="0" applyFont="1" applyFill="1" applyBorder="1" applyAlignment="1">
      <alignment horizontal="left" vertical="center"/>
    </xf>
    <xf numFmtId="169" fontId="19" fillId="8" borderId="35" xfId="1" applyNumberFormat="1" applyFont="1" applyFill="1" applyBorder="1" applyAlignment="1">
      <alignment horizontal="left" vertical="center"/>
    </xf>
    <xf numFmtId="0" fontId="0" fillId="10" borderId="34" xfId="0" applyFill="1" applyBorder="1" applyAlignment="1">
      <alignment horizontal="left" vertical="center"/>
    </xf>
    <xf numFmtId="0" fontId="0" fillId="10" borderId="36" xfId="0" applyFill="1" applyBorder="1" applyAlignment="1"/>
    <xf numFmtId="0" fontId="30" fillId="10" borderId="7" xfId="0" applyFont="1" applyFill="1" applyBorder="1" applyAlignment="1">
      <alignment horizontal="center" wrapText="1"/>
    </xf>
    <xf numFmtId="0" fontId="11" fillId="7" borderId="76" xfId="0" applyFont="1" applyFill="1" applyBorder="1" applyAlignment="1">
      <alignment horizontal="center" vertical="center" wrapText="1"/>
    </xf>
    <xf numFmtId="0" fontId="11" fillId="7" borderId="77" xfId="0" applyFont="1" applyFill="1" applyBorder="1" applyAlignment="1">
      <alignment horizontal="center" vertical="center" wrapText="1"/>
    </xf>
    <xf numFmtId="169" fontId="34" fillId="8" borderId="31" xfId="1" applyNumberFormat="1" applyFont="1" applyFill="1" applyBorder="1" applyAlignment="1">
      <alignment horizontal="left" vertical="center"/>
    </xf>
    <xf numFmtId="0" fontId="34" fillId="10" borderId="6" xfId="0" applyFont="1" applyFill="1" applyBorder="1" applyAlignment="1">
      <alignment horizontal="left" vertical="center"/>
    </xf>
    <xf numFmtId="169" fontId="34" fillId="8" borderId="14" xfId="1" applyNumberFormat="1" applyFont="1" applyFill="1" applyBorder="1" applyAlignment="1">
      <alignment horizontal="left" vertical="center" wrapText="1"/>
    </xf>
    <xf numFmtId="169" fontId="34" fillId="8" borderId="31" xfId="1" applyNumberFormat="1" applyFont="1" applyFill="1" applyBorder="1" applyAlignment="1">
      <alignment horizontal="left" vertical="center" wrapText="1"/>
    </xf>
    <xf numFmtId="169" fontId="34" fillId="8" borderId="15" xfId="1" applyNumberFormat="1" applyFont="1" applyFill="1" applyBorder="1" applyAlignment="1">
      <alignment horizontal="left" vertical="center" wrapText="1"/>
    </xf>
    <xf numFmtId="0" fontId="8" fillId="10" borderId="7" xfId="0" applyFont="1" applyFill="1" applyBorder="1" applyAlignment="1">
      <alignment horizontal="center" wrapText="1"/>
    </xf>
    <xf numFmtId="164" fontId="13" fillId="12" borderId="0" xfId="0" applyNumberFormat="1" applyFont="1" applyFill="1" applyBorder="1" applyAlignment="1">
      <alignment horizontal="center" vertical="center"/>
    </xf>
    <xf numFmtId="164" fontId="13" fillId="12" borderId="19" xfId="0" applyNumberFormat="1" applyFont="1" applyFill="1" applyBorder="1" applyAlignment="1">
      <alignment horizontal="center" vertical="center"/>
    </xf>
    <xf numFmtId="164" fontId="13" fillId="12" borderId="16" xfId="0" applyNumberFormat="1" applyFont="1" applyFill="1" applyBorder="1" applyAlignment="1">
      <alignment horizontal="center" vertical="center"/>
    </xf>
    <xf numFmtId="164" fontId="13" fillId="12" borderId="21" xfId="0" applyNumberFormat="1" applyFont="1" applyFill="1" applyBorder="1" applyAlignment="1">
      <alignment horizontal="center" vertical="center"/>
    </xf>
    <xf numFmtId="164" fontId="13" fillId="12" borderId="17" xfId="0" applyNumberFormat="1" applyFont="1" applyFill="1" applyBorder="1" applyAlignment="1">
      <alignment horizontal="center" vertical="center"/>
    </xf>
    <xf numFmtId="164" fontId="13" fillId="12" borderId="22" xfId="0" applyNumberFormat="1" applyFont="1" applyFill="1" applyBorder="1" applyAlignment="1">
      <alignment horizontal="center" vertical="center"/>
    </xf>
    <xf numFmtId="164" fontId="13" fillId="12" borderId="23" xfId="0" applyNumberFormat="1" applyFont="1" applyFill="1" applyBorder="1" applyAlignment="1">
      <alignment horizontal="center" vertical="center"/>
    </xf>
    <xf numFmtId="164" fontId="13" fillId="12" borderId="18" xfId="0" applyNumberFormat="1" applyFont="1" applyFill="1" applyBorder="1" applyAlignment="1">
      <alignment horizontal="center" vertical="center"/>
    </xf>
    <xf numFmtId="0" fontId="35" fillId="10" borderId="31" xfId="0" applyFont="1" applyFill="1" applyBorder="1" applyAlignment="1">
      <alignment horizontal="left" vertical="center"/>
    </xf>
    <xf numFmtId="0" fontId="18" fillId="7" borderId="73" xfId="0" applyFont="1" applyFill="1" applyBorder="1" applyAlignment="1">
      <alignment vertical="center"/>
    </xf>
    <xf numFmtId="0" fontId="18" fillId="7" borderId="8" xfId="0" applyFont="1" applyFill="1" applyBorder="1" applyAlignment="1">
      <alignment vertical="center"/>
    </xf>
    <xf numFmtId="0" fontId="39" fillId="11" borderId="0" xfId="0" applyFont="1" applyFill="1" applyBorder="1" applyAlignment="1">
      <alignment horizontal="center" vertical="center" wrapText="1"/>
    </xf>
    <xf numFmtId="0" fontId="39" fillId="10" borderId="50" xfId="0" applyFont="1" applyFill="1" applyBorder="1" applyAlignment="1">
      <alignment wrapText="1"/>
    </xf>
    <xf numFmtId="0" fontId="40" fillId="4" borderId="20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 wrapText="1"/>
    </xf>
    <xf numFmtId="0" fontId="0" fillId="10" borderId="84" xfId="0" applyFill="1" applyBorder="1" applyAlignment="1"/>
    <xf numFmtId="0" fontId="39" fillId="10" borderId="85" xfId="0" applyFont="1" applyFill="1" applyBorder="1" applyAlignment="1">
      <alignment wrapText="1"/>
    </xf>
    <xf numFmtId="0" fontId="20" fillId="13" borderId="86" xfId="0" applyFont="1" applyFill="1" applyBorder="1" applyAlignment="1">
      <alignment horizontal="left" vertical="center"/>
    </xf>
    <xf numFmtId="0" fontId="39" fillId="11" borderId="85" xfId="0" applyFont="1" applyFill="1" applyBorder="1" applyAlignment="1">
      <alignment horizontal="center" vertical="center" wrapText="1"/>
    </xf>
    <xf numFmtId="0" fontId="0" fillId="10" borderId="81" xfId="0" applyFill="1" applyBorder="1" applyAlignment="1"/>
    <xf numFmtId="0" fontId="0" fillId="10" borderId="69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center" vertical="center"/>
    </xf>
    <xf numFmtId="0" fontId="0" fillId="8" borderId="21" xfId="0" applyFill="1" applyBorder="1"/>
    <xf numFmtId="0" fontId="3" fillId="8" borderId="17" xfId="0" applyFont="1" applyFill="1" applyBorder="1" applyAlignment="1">
      <alignment horizontal="center" vertical="center" wrapText="1"/>
    </xf>
    <xf numFmtId="0" fontId="0" fillId="8" borderId="22" xfId="0" applyFill="1" applyBorder="1"/>
    <xf numFmtId="0" fontId="0" fillId="8" borderId="23" xfId="0" applyFill="1" applyBorder="1"/>
    <xf numFmtId="0" fontId="0" fillId="8" borderId="23" xfId="0" applyFill="1" applyBorder="1" applyAlignment="1">
      <alignment horizontal="center"/>
    </xf>
    <xf numFmtId="0" fontId="0" fillId="8" borderId="23" xfId="0" applyFill="1" applyBorder="1" applyAlignment="1">
      <alignment horizontal="right" vertical="center"/>
    </xf>
    <xf numFmtId="0" fontId="0" fillId="8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left" vertical="center"/>
    </xf>
    <xf numFmtId="0" fontId="3" fillId="8" borderId="23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vertical="center"/>
    </xf>
    <xf numFmtId="0" fontId="36" fillId="10" borderId="32" xfId="0" applyFont="1" applyFill="1" applyBorder="1" applyAlignment="1">
      <alignment horizontal="left"/>
    </xf>
    <xf numFmtId="0" fontId="34" fillId="10" borderId="32" xfId="0" applyFont="1" applyFill="1" applyBorder="1" applyAlignment="1">
      <alignment horizontal="left" wrapText="1"/>
    </xf>
    <xf numFmtId="0" fontId="34" fillId="13" borderId="50" xfId="0" applyFont="1" applyFill="1" applyBorder="1" applyAlignment="1">
      <alignment horizontal="left" vertical="center" wrapText="1"/>
    </xf>
    <xf numFmtId="0" fontId="40" fillId="4" borderId="87" xfId="0" applyFont="1" applyFill="1" applyBorder="1" applyAlignment="1">
      <alignment vertical="center"/>
    </xf>
    <xf numFmtId="0" fontId="9" fillId="4" borderId="88" xfId="0" applyFont="1" applyFill="1" applyBorder="1" applyAlignment="1">
      <alignment vertical="center"/>
    </xf>
    <xf numFmtId="0" fontId="9" fillId="4" borderId="89" xfId="0" applyFont="1" applyFill="1" applyBorder="1" applyAlignment="1">
      <alignment vertical="center"/>
    </xf>
    <xf numFmtId="0" fontId="13" fillId="12" borderId="64" xfId="0" applyFont="1" applyFill="1" applyBorder="1" applyAlignment="1">
      <alignment vertical="center"/>
    </xf>
    <xf numFmtId="0" fontId="13" fillId="12" borderId="17" xfId="0" applyFont="1" applyFill="1" applyBorder="1" applyAlignment="1">
      <alignment vertical="center"/>
    </xf>
    <xf numFmtId="0" fontId="3" fillId="10" borderId="85" xfId="0" applyFont="1" applyFill="1" applyBorder="1" applyAlignment="1"/>
    <xf numFmtId="0" fontId="3" fillId="13" borderId="90" xfId="0" applyFont="1" applyFill="1" applyBorder="1" applyAlignment="1">
      <alignment horizontal="center" vertical="center"/>
    </xf>
    <xf numFmtId="0" fontId="12" fillId="8" borderId="21" xfId="0" applyFont="1" applyFill="1" applyBorder="1"/>
    <xf numFmtId="0" fontId="12" fillId="8" borderId="17" xfId="0" applyFont="1" applyFill="1" applyBorder="1" applyAlignment="1">
      <alignment horizontal="center" vertical="center"/>
    </xf>
    <xf numFmtId="0" fontId="12" fillId="8" borderId="22" xfId="0" applyFont="1" applyFill="1" applyBorder="1"/>
    <xf numFmtId="0" fontId="12" fillId="8" borderId="23" xfId="0" applyFont="1" applyFill="1" applyBorder="1"/>
    <xf numFmtId="0" fontId="12" fillId="8" borderId="23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right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43" fillId="12" borderId="79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0" xfId="0" applyFont="1" applyFill="1" applyBorder="1" applyAlignment="1">
      <alignment horizontal="left" vertical="center"/>
    </xf>
    <xf numFmtId="0" fontId="41" fillId="12" borderId="41" xfId="0" applyFont="1" applyFill="1" applyBorder="1" applyAlignment="1">
      <alignment horizontal="left" vertical="center"/>
    </xf>
    <xf numFmtId="0" fontId="41" fillId="12" borderId="75" xfId="0" applyFont="1" applyFill="1" applyBorder="1" applyAlignment="1">
      <alignment horizontal="left" vertical="center"/>
    </xf>
    <xf numFmtId="0" fontId="43" fillId="12" borderId="21" xfId="0" applyFont="1" applyFill="1" applyBorder="1" applyAlignment="1">
      <alignment horizontal="left" vertical="center"/>
    </xf>
    <xf numFmtId="0" fontId="41" fillId="12" borderId="0" xfId="0" applyFont="1" applyFill="1" applyBorder="1" applyAlignment="1">
      <alignment vertical="center"/>
    </xf>
    <xf numFmtId="0" fontId="41" fillId="12" borderId="0" xfId="0" applyFont="1" applyFill="1" applyBorder="1" applyAlignment="1">
      <alignment horizontal="center" vertical="center"/>
    </xf>
    <xf numFmtId="17" fontId="41" fillId="12" borderId="0" xfId="0" applyNumberFormat="1" applyFont="1" applyFill="1" applyBorder="1" applyAlignment="1">
      <alignment vertical="center"/>
    </xf>
    <xf numFmtId="0" fontId="41" fillId="12" borderId="56" xfId="0" applyFont="1" applyFill="1" applyBorder="1" applyAlignment="1">
      <alignment vertical="center"/>
    </xf>
    <xf numFmtId="0" fontId="42" fillId="12" borderId="0" xfId="0" applyFont="1" applyFill="1" applyBorder="1" applyAlignment="1">
      <alignment vertical="center"/>
    </xf>
    <xf numFmtId="0" fontId="42" fillId="12" borderId="0" xfId="0" applyFont="1" applyFill="1" applyBorder="1" applyAlignment="1">
      <alignment horizontal="center" vertical="center"/>
    </xf>
    <xf numFmtId="17" fontId="42" fillId="12" borderId="0" xfId="0" applyNumberFormat="1" applyFont="1" applyFill="1" applyBorder="1" applyAlignment="1">
      <alignment vertical="center"/>
    </xf>
    <xf numFmtId="0" fontId="42" fillId="12" borderId="56" xfId="0" applyFont="1" applyFill="1" applyBorder="1" applyAlignment="1">
      <alignment vertical="center"/>
    </xf>
    <xf numFmtId="17" fontId="41" fillId="12" borderId="0" xfId="0" applyNumberFormat="1" applyFont="1" applyFill="1" applyBorder="1" applyAlignment="1">
      <alignment horizontal="center" vertical="center"/>
    </xf>
    <xf numFmtId="0" fontId="41" fillId="12" borderId="56" xfId="0" applyFont="1" applyFill="1" applyBorder="1" applyAlignment="1">
      <alignment horizontal="center" vertical="center"/>
    </xf>
    <xf numFmtId="0" fontId="7" fillId="4" borderId="7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left" vertical="center"/>
    </xf>
    <xf numFmtId="0" fontId="33" fillId="4" borderId="28" xfId="0" applyFont="1" applyFill="1" applyBorder="1" applyAlignment="1">
      <alignment horizontal="left" vertical="center"/>
    </xf>
    <xf numFmtId="0" fontId="33" fillId="4" borderId="2" xfId="0" applyFont="1" applyFill="1" applyBorder="1" applyAlignment="1">
      <alignment horizontal="left" vertical="center"/>
    </xf>
    <xf numFmtId="0" fontId="33" fillId="4" borderId="29" xfId="0" applyFont="1" applyFill="1" applyBorder="1" applyAlignment="1">
      <alignment horizontal="left" vertical="center"/>
    </xf>
    <xf numFmtId="0" fontId="33" fillId="4" borderId="30" xfId="0" applyFont="1" applyFill="1" applyBorder="1" applyAlignment="1">
      <alignment horizontal="left" vertical="center"/>
    </xf>
    <xf numFmtId="0" fontId="33" fillId="4" borderId="4" xfId="0" applyFont="1" applyFill="1" applyBorder="1" applyAlignment="1">
      <alignment horizontal="left" vertical="center"/>
    </xf>
    <xf numFmtId="1" fontId="34" fillId="8" borderId="36" xfId="1" applyNumberFormat="1" applyFont="1" applyFill="1" applyBorder="1" applyAlignment="1">
      <alignment horizontal="left" vertical="center" wrapText="1"/>
    </xf>
    <xf numFmtId="1" fontId="34" fillId="8" borderId="39" xfId="1" applyNumberFormat="1" applyFont="1" applyFill="1" applyBorder="1" applyAlignment="1">
      <alignment horizontal="left" vertical="center" wrapText="1"/>
    </xf>
    <xf numFmtId="1" fontId="34" fillId="8" borderId="50" xfId="1" applyNumberFormat="1" applyFont="1" applyFill="1" applyBorder="1" applyAlignment="1">
      <alignment horizontal="left" vertical="center" wrapText="1"/>
    </xf>
    <xf numFmtId="0" fontId="20" fillId="7" borderId="86" xfId="0" applyFont="1" applyFill="1" applyBorder="1" applyAlignment="1">
      <alignment horizontal="left" vertical="center"/>
    </xf>
    <xf numFmtId="0" fontId="20" fillId="7" borderId="46" xfId="0" applyFont="1" applyFill="1" applyBorder="1" applyAlignment="1">
      <alignment horizontal="left" vertical="center"/>
    </xf>
    <xf numFmtId="0" fontId="20" fillId="7" borderId="90" xfId="0" applyFont="1" applyFill="1" applyBorder="1" applyAlignment="1">
      <alignment horizontal="left" vertical="center"/>
    </xf>
    <xf numFmtId="1" fontId="29" fillId="10" borderId="42" xfId="2" applyNumberFormat="1" applyFont="1" applyFill="1" applyBorder="1" applyAlignment="1">
      <alignment horizontal="center" vertical="center"/>
    </xf>
    <xf numFmtId="1" fontId="29" fillId="10" borderId="33" xfId="2" applyNumberFormat="1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left" vertical="center"/>
    </xf>
    <xf numFmtId="0" fontId="3" fillId="8" borderId="83" xfId="0" applyFont="1" applyFill="1" applyBorder="1" applyAlignment="1">
      <alignment horizontal="left" vertical="center"/>
    </xf>
    <xf numFmtId="0" fontId="3" fillId="8" borderId="42" xfId="0" applyFont="1" applyFill="1" applyBorder="1" applyAlignment="1">
      <alignment horizontal="left" vertical="center" wrapText="1"/>
    </xf>
    <xf numFmtId="0" fontId="3" fillId="8" borderId="33" xfId="0" applyFont="1" applyFill="1" applyBorder="1" applyAlignment="1">
      <alignment horizontal="left" vertical="center" wrapText="1"/>
    </xf>
    <xf numFmtId="0" fontId="22" fillId="8" borderId="42" xfId="0" applyFont="1" applyFill="1" applyBorder="1" applyAlignment="1">
      <alignment horizontal="left" vertical="center" wrapText="1"/>
    </xf>
    <xf numFmtId="0" fontId="22" fillId="8" borderId="33" xfId="0" applyFont="1" applyFill="1" applyBorder="1" applyAlignment="1">
      <alignment horizontal="left" vertical="center" wrapText="1"/>
    </xf>
    <xf numFmtId="0" fontId="3" fillId="8" borderId="34" xfId="0" applyFont="1" applyFill="1" applyBorder="1" applyAlignment="1">
      <alignment horizontal="left" vertical="center"/>
    </xf>
    <xf numFmtId="0" fontId="3" fillId="8" borderId="37" xfId="0" applyFont="1" applyFill="1" applyBorder="1" applyAlignment="1">
      <alignment horizontal="left" vertical="center"/>
    </xf>
    <xf numFmtId="1" fontId="29" fillId="10" borderId="43" xfId="2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5" fillId="8" borderId="42" xfId="0" applyFont="1" applyFill="1" applyBorder="1" applyAlignment="1">
      <alignment horizontal="left" vertical="center" wrapText="1"/>
    </xf>
    <xf numFmtId="0" fontId="25" fillId="8" borderId="33" xfId="0" applyFont="1" applyFill="1" applyBorder="1" applyAlignment="1">
      <alignment horizontal="left" vertical="center" wrapText="1"/>
    </xf>
    <xf numFmtId="0" fontId="43" fillId="12" borderId="0" xfId="0" applyFont="1" applyFill="1" applyBorder="1" applyAlignment="1">
      <alignment horizontal="left" vertical="center"/>
    </xf>
    <xf numFmtId="0" fontId="43" fillId="12" borderId="41" xfId="0" applyFont="1" applyFill="1" applyBorder="1" applyAlignment="1">
      <alignment horizontal="left" vertical="center"/>
    </xf>
    <xf numFmtId="164" fontId="41" fillId="12" borderId="38" xfId="0" applyNumberFormat="1" applyFont="1" applyFill="1" applyBorder="1" applyAlignment="1">
      <alignment horizontal="left" vertical="center"/>
    </xf>
    <xf numFmtId="164" fontId="41" fillId="12" borderId="39" xfId="0" applyNumberFormat="1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5" borderId="45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/>
    </xf>
    <xf numFmtId="0" fontId="8" fillId="5" borderId="45" xfId="0" applyFont="1" applyFill="1" applyBorder="1" applyAlignment="1">
      <alignment horizontal="center" vertical="center"/>
    </xf>
    <xf numFmtId="0" fontId="8" fillId="14" borderId="44" xfId="0" applyFont="1" applyFill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14" borderId="44" xfId="0" applyFont="1" applyFill="1" applyBorder="1" applyAlignment="1">
      <alignment horizontal="center" vertical="center" wrapText="1"/>
    </xf>
    <xf numFmtId="0" fontId="8" fillId="14" borderId="45" xfId="0" applyFont="1" applyFill="1" applyBorder="1" applyAlignment="1">
      <alignment horizontal="center" vertical="center" wrapText="1"/>
    </xf>
    <xf numFmtId="0" fontId="3" fillId="8" borderId="42" xfId="0" applyFont="1" applyFill="1" applyBorder="1" applyAlignment="1">
      <alignment horizontal="left" vertical="center"/>
    </xf>
    <xf numFmtId="0" fontId="3" fillId="8" borderId="33" xfId="0" applyFont="1" applyFill="1" applyBorder="1" applyAlignment="1">
      <alignment horizontal="left" vertical="center"/>
    </xf>
    <xf numFmtId="0" fontId="3" fillId="8" borderId="43" xfId="0" applyFont="1" applyFill="1" applyBorder="1" applyAlignment="1">
      <alignment horizontal="left" vertical="center" wrapText="1"/>
    </xf>
    <xf numFmtId="0" fontId="3" fillId="8" borderId="82" xfId="0" applyFont="1" applyFill="1" applyBorder="1" applyAlignment="1">
      <alignment horizontal="left" vertical="center"/>
    </xf>
    <xf numFmtId="0" fontId="3" fillId="8" borderId="43" xfId="0" applyFont="1" applyFill="1" applyBorder="1" applyAlignment="1">
      <alignment horizontal="left" vertical="center"/>
    </xf>
    <xf numFmtId="0" fontId="22" fillId="8" borderId="43" xfId="0" applyFont="1" applyFill="1" applyBorder="1" applyAlignment="1">
      <alignment horizontal="left" vertical="center" wrapText="1"/>
    </xf>
    <xf numFmtId="1" fontId="10" fillId="11" borderId="64" xfId="1" applyNumberFormat="1" applyFont="1" applyFill="1" applyBorder="1" applyAlignment="1">
      <alignment horizontal="center" vertical="center"/>
    </xf>
    <xf numFmtId="1" fontId="10" fillId="11" borderId="62" xfId="1" applyNumberFormat="1" applyFont="1" applyFill="1" applyBorder="1" applyAlignment="1">
      <alignment horizontal="center" vertical="center"/>
    </xf>
    <xf numFmtId="1" fontId="10" fillId="11" borderId="69" xfId="1" applyNumberFormat="1" applyFont="1" applyFill="1" applyBorder="1" applyAlignment="1">
      <alignment horizontal="center" vertical="center"/>
    </xf>
    <xf numFmtId="1" fontId="10" fillId="11" borderId="71" xfId="1" applyNumberFormat="1" applyFont="1" applyFill="1" applyBorder="1" applyAlignment="1">
      <alignment horizontal="center" vertical="center"/>
    </xf>
    <xf numFmtId="1" fontId="10" fillId="11" borderId="90" xfId="1" applyNumberFormat="1" applyFont="1" applyFill="1" applyBorder="1" applyAlignment="1">
      <alignment horizontal="center" vertical="center"/>
    </xf>
    <xf numFmtId="1" fontId="28" fillId="8" borderId="34" xfId="1" applyNumberFormat="1" applyFont="1" applyFill="1" applyBorder="1" applyAlignment="1">
      <alignment horizontal="center" vertical="center"/>
    </xf>
    <xf numFmtId="1" fontId="28" fillId="8" borderId="37" xfId="1" applyNumberFormat="1" applyFont="1" applyFill="1" applyBorder="1" applyAlignment="1">
      <alignment horizontal="center" vertical="center"/>
    </xf>
    <xf numFmtId="1" fontId="28" fillId="8" borderId="40" xfId="1" applyNumberFormat="1" applyFont="1" applyFill="1" applyBorder="1" applyAlignment="1">
      <alignment horizontal="center" vertical="center"/>
    </xf>
    <xf numFmtId="9" fontId="3" fillId="8" borderId="34" xfId="0" applyNumberFormat="1" applyFont="1" applyFill="1" applyBorder="1" applyAlignment="1">
      <alignment horizontal="left" vertical="center"/>
    </xf>
    <xf numFmtId="9" fontId="3" fillId="8" borderId="37" xfId="0" applyNumberFormat="1" applyFont="1" applyFill="1" applyBorder="1" applyAlignment="1">
      <alignment horizontal="left" vertical="center"/>
    </xf>
    <xf numFmtId="168" fontId="11" fillId="8" borderId="36" xfId="1" applyNumberFormat="1" applyFont="1" applyFill="1" applyBorder="1" applyAlignment="1">
      <alignment horizontal="left" vertical="center"/>
    </xf>
    <xf numFmtId="168" fontId="11" fillId="8" borderId="39" xfId="1" applyNumberFormat="1" applyFont="1" applyFill="1" applyBorder="1" applyAlignment="1">
      <alignment horizontal="left" vertical="center"/>
    </xf>
    <xf numFmtId="169" fontId="11" fillId="8" borderId="36" xfId="1" applyNumberFormat="1" applyFont="1" applyFill="1" applyBorder="1" applyAlignment="1">
      <alignment horizontal="left" vertical="center"/>
    </xf>
    <xf numFmtId="169" fontId="11" fillId="8" borderId="39" xfId="1" applyNumberFormat="1" applyFont="1" applyFill="1" applyBorder="1" applyAlignment="1">
      <alignment horizontal="left" vertical="center"/>
    </xf>
    <xf numFmtId="169" fontId="11" fillId="8" borderId="41" xfId="1" applyNumberFormat="1" applyFont="1" applyFill="1" applyBorder="1" applyAlignment="1">
      <alignment horizontal="left" vertical="center"/>
    </xf>
    <xf numFmtId="0" fontId="8" fillId="5" borderId="64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21" fillId="5" borderId="32" xfId="0" applyFont="1" applyFill="1" applyBorder="1" applyAlignment="1">
      <alignment horizontal="center" vertical="center" wrapText="1"/>
    </xf>
    <xf numFmtId="0" fontId="30" fillId="10" borderId="34" xfId="0" applyFont="1" applyFill="1" applyBorder="1" applyAlignment="1">
      <alignment horizontal="center" vertical="center" wrapText="1"/>
    </xf>
    <xf numFmtId="0" fontId="30" fillId="10" borderId="37" xfId="0" applyFont="1" applyFill="1" applyBorder="1" applyAlignment="1">
      <alignment horizontal="center" vertical="center" wrapText="1"/>
    </xf>
    <xf numFmtId="0" fontId="3" fillId="10" borderId="48" xfId="0" applyFont="1" applyFill="1" applyBorder="1" applyAlignment="1">
      <alignment horizontal="center" vertical="center" wrapText="1"/>
    </xf>
    <xf numFmtId="0" fontId="3" fillId="10" borderId="43" xfId="0" applyFont="1" applyFill="1" applyBorder="1" applyAlignment="1">
      <alignment horizontal="center" vertical="center" wrapText="1"/>
    </xf>
    <xf numFmtId="0" fontId="3" fillId="10" borderId="51" xfId="0" applyFont="1" applyFill="1" applyBorder="1" applyAlignment="1">
      <alignment horizontal="center" vertical="center" wrapText="1"/>
    </xf>
    <xf numFmtId="0" fontId="3" fillId="10" borderId="66" xfId="0" applyFont="1" applyFill="1" applyBorder="1" applyAlignment="1">
      <alignment horizontal="center" vertical="center" wrapText="1"/>
    </xf>
    <xf numFmtId="0" fontId="3" fillId="10" borderId="40" xfId="0" applyFont="1" applyFill="1" applyBorder="1" applyAlignment="1">
      <alignment horizontal="center" vertical="center" wrapText="1"/>
    </xf>
    <xf numFmtId="0" fontId="3" fillId="10" borderId="78" xfId="0" applyFont="1" applyFill="1" applyBorder="1" applyAlignment="1">
      <alignment horizontal="center" vertical="center" wrapText="1"/>
    </xf>
    <xf numFmtId="169" fontId="11" fillId="8" borderId="35" xfId="1" applyNumberFormat="1" applyFont="1" applyFill="1" applyBorder="1" applyAlignment="1">
      <alignment horizontal="left" vertical="center"/>
    </xf>
    <xf numFmtId="169" fontId="11" fillId="8" borderId="0" xfId="1" applyNumberFormat="1" applyFont="1" applyFill="1" applyBorder="1" applyAlignment="1">
      <alignment horizontal="left" vertical="center"/>
    </xf>
    <xf numFmtId="169" fontId="11" fillId="8" borderId="38" xfId="1" applyNumberFormat="1" applyFont="1" applyFill="1" applyBorder="1" applyAlignment="1">
      <alignment horizontal="left" vertical="center"/>
    </xf>
    <xf numFmtId="0" fontId="39" fillId="11" borderId="16" xfId="0" applyFont="1" applyFill="1" applyBorder="1" applyAlignment="1">
      <alignment horizontal="center" vertical="center" wrapText="1"/>
    </xf>
    <xf numFmtId="0" fontId="39" fillId="11" borderId="17" xfId="0" applyFont="1" applyFill="1" applyBorder="1" applyAlignment="1">
      <alignment horizontal="center" vertical="center" wrapText="1"/>
    </xf>
    <xf numFmtId="0" fontId="39" fillId="11" borderId="14" xfId="0" applyFont="1" applyFill="1" applyBorder="1" applyAlignment="1">
      <alignment horizontal="center" vertical="center" wrapText="1"/>
    </xf>
    <xf numFmtId="0" fontId="39" fillId="11" borderId="31" xfId="0" applyFont="1" applyFill="1" applyBorder="1" applyAlignment="1">
      <alignment horizontal="center" vertical="center" wrapText="1"/>
    </xf>
    <xf numFmtId="1" fontId="11" fillId="8" borderId="14" xfId="1" applyNumberFormat="1" applyFont="1" applyFill="1" applyBorder="1" applyAlignment="1">
      <alignment horizontal="left" vertical="center"/>
    </xf>
    <xf numFmtId="1" fontId="11" fillId="8" borderId="31" xfId="1" applyNumberFormat="1" applyFont="1" applyFill="1" applyBorder="1" applyAlignment="1">
      <alignment horizontal="left" vertical="center"/>
    </xf>
    <xf numFmtId="1" fontId="11" fillId="8" borderId="15" xfId="1" applyNumberFormat="1" applyFont="1" applyFill="1" applyBorder="1" applyAlignment="1">
      <alignment horizontal="left" vertical="center"/>
    </xf>
    <xf numFmtId="1" fontId="29" fillId="10" borderId="32" xfId="2" applyNumberFormat="1" applyFont="1" applyFill="1" applyBorder="1" applyAlignment="1">
      <alignment horizontal="center" vertical="center"/>
    </xf>
    <xf numFmtId="1" fontId="28" fillId="8" borderId="20" xfId="1" applyNumberFormat="1" applyFont="1" applyFill="1" applyBorder="1" applyAlignment="1">
      <alignment horizontal="left" vertical="center"/>
    </xf>
    <xf numFmtId="1" fontId="28" fillId="8" borderId="21" xfId="1" applyNumberFormat="1" applyFont="1" applyFill="1" applyBorder="1" applyAlignment="1">
      <alignment horizontal="left" vertical="center"/>
    </xf>
    <xf numFmtId="1" fontId="28" fillId="8" borderId="22" xfId="1" applyNumberFormat="1" applyFont="1" applyFill="1" applyBorder="1" applyAlignment="1">
      <alignment horizontal="left" vertical="center"/>
    </xf>
    <xf numFmtId="0" fontId="25" fillId="8" borderId="43" xfId="0" applyFont="1" applyFill="1" applyBorder="1" applyAlignment="1">
      <alignment horizontal="left" vertical="center" wrapText="1"/>
    </xf>
    <xf numFmtId="9" fontId="25" fillId="8" borderId="69" xfId="0" applyNumberFormat="1" applyFont="1" applyFill="1" applyBorder="1" applyAlignment="1">
      <alignment horizontal="left" vertical="center"/>
    </xf>
    <xf numFmtId="9" fontId="25" fillId="8" borderId="70" xfId="0" applyNumberFormat="1" applyFont="1" applyFill="1" applyBorder="1" applyAlignment="1">
      <alignment horizontal="left" vertical="center"/>
    </xf>
    <xf numFmtId="9" fontId="25" fillId="8" borderId="71" xfId="0" applyNumberFormat="1" applyFont="1" applyFill="1" applyBorder="1" applyAlignment="1">
      <alignment horizontal="left" vertical="center"/>
    </xf>
    <xf numFmtId="0" fontId="43" fillId="12" borderId="35" xfId="0" applyFont="1" applyFill="1" applyBorder="1" applyAlignment="1">
      <alignment horizontal="left" vertical="center"/>
    </xf>
    <xf numFmtId="0" fontId="43" fillId="12" borderId="36" xfId="0" applyFont="1" applyFill="1" applyBorder="1" applyAlignment="1">
      <alignment horizontal="left" vertical="center"/>
    </xf>
    <xf numFmtId="0" fontId="3" fillId="8" borderId="69" xfId="0" applyFont="1" applyFill="1" applyBorder="1" applyAlignment="1">
      <alignment horizontal="left" vertical="center"/>
    </xf>
    <xf numFmtId="0" fontId="3" fillId="8" borderId="70" xfId="0" applyFont="1" applyFill="1" applyBorder="1" applyAlignment="1">
      <alignment horizontal="left" vertical="center"/>
    </xf>
    <xf numFmtId="0" fontId="3" fillId="8" borderId="71" xfId="0" applyFont="1" applyFill="1" applyBorder="1" applyAlignment="1">
      <alignment horizontal="left" vertical="center"/>
    </xf>
    <xf numFmtId="9" fontId="3" fillId="8" borderId="69" xfId="0" applyNumberFormat="1" applyFont="1" applyFill="1" applyBorder="1" applyAlignment="1">
      <alignment horizontal="left" vertical="center"/>
    </xf>
    <xf numFmtId="9" fontId="3" fillId="8" borderId="70" xfId="0" applyNumberFormat="1" applyFont="1" applyFill="1" applyBorder="1" applyAlignment="1">
      <alignment horizontal="left" vertical="center"/>
    </xf>
    <xf numFmtId="9" fontId="3" fillId="8" borderId="71" xfId="0" applyNumberFormat="1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39" fillId="11" borderId="64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39" fillId="11" borderId="44" xfId="0" applyFont="1" applyFill="1" applyBorder="1" applyAlignment="1">
      <alignment horizontal="center" vertical="center" wrapText="1"/>
    </xf>
    <xf numFmtId="0" fontId="39" fillId="11" borderId="15" xfId="0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8" fillId="5" borderId="74" xfId="0" applyFont="1" applyFill="1" applyBorder="1" applyAlignment="1">
      <alignment horizontal="center" vertical="center" wrapText="1"/>
    </xf>
    <xf numFmtId="0" fontId="10" fillId="8" borderId="69" xfId="0" applyFont="1" applyFill="1" applyBorder="1" applyAlignment="1">
      <alignment horizontal="left" vertical="center"/>
    </xf>
    <xf numFmtId="0" fontId="10" fillId="8" borderId="70" xfId="0" applyFont="1" applyFill="1" applyBorder="1" applyAlignment="1">
      <alignment horizontal="left" vertical="center"/>
    </xf>
    <xf numFmtId="0" fontId="10" fillId="8" borderId="71" xfId="0" applyFont="1" applyFill="1" applyBorder="1" applyAlignment="1">
      <alignment horizontal="left" vertical="center"/>
    </xf>
    <xf numFmtId="0" fontId="10" fillId="8" borderId="42" xfId="0" applyFont="1" applyFill="1" applyBorder="1" applyAlignment="1">
      <alignment horizontal="left" vertical="center" wrapText="1"/>
    </xf>
    <xf numFmtId="0" fontId="10" fillId="8" borderId="43" xfId="0" applyFont="1" applyFill="1" applyBorder="1" applyAlignment="1">
      <alignment horizontal="left" vertical="center" wrapText="1"/>
    </xf>
    <xf numFmtId="0" fontId="10" fillId="8" borderId="33" xfId="0" applyFont="1" applyFill="1" applyBorder="1" applyAlignment="1">
      <alignment horizontal="left" vertical="center" wrapText="1"/>
    </xf>
    <xf numFmtId="0" fontId="37" fillId="8" borderId="42" xfId="0" applyFont="1" applyFill="1" applyBorder="1" applyAlignment="1">
      <alignment horizontal="left" vertical="center" wrapText="1"/>
    </xf>
    <xf numFmtId="0" fontId="10" fillId="8" borderId="81" xfId="0" applyFont="1" applyFill="1" applyBorder="1" applyAlignment="1">
      <alignment horizontal="left" vertical="center"/>
    </xf>
    <xf numFmtId="0" fontId="10" fillId="8" borderId="82" xfId="0" applyFont="1" applyFill="1" applyBorder="1" applyAlignment="1">
      <alignment horizontal="left" vertical="center"/>
    </xf>
    <xf numFmtId="0" fontId="10" fillId="8" borderId="83" xfId="0" applyFont="1" applyFill="1" applyBorder="1" applyAlignment="1">
      <alignment horizontal="left" vertical="center"/>
    </xf>
    <xf numFmtId="0" fontId="10" fillId="8" borderId="42" xfId="0" applyFont="1" applyFill="1" applyBorder="1" applyAlignment="1">
      <alignment horizontal="left" vertical="center"/>
    </xf>
    <xf numFmtId="0" fontId="10" fillId="8" borderId="43" xfId="0" applyFont="1" applyFill="1" applyBorder="1" applyAlignment="1">
      <alignment horizontal="left" vertical="center"/>
    </xf>
    <xf numFmtId="0" fontId="10" fillId="8" borderId="33" xfId="0" applyFont="1" applyFill="1" applyBorder="1" applyAlignment="1">
      <alignment horizontal="left" vertical="center"/>
    </xf>
    <xf numFmtId="0" fontId="8" fillId="5" borderId="77" xfId="0" applyFont="1" applyFill="1" applyBorder="1" applyAlignment="1">
      <alignment horizontal="center" vertical="center" wrapText="1"/>
    </xf>
    <xf numFmtId="0" fontId="8" fillId="5" borderId="80" xfId="0" applyFont="1" applyFill="1" applyBorder="1" applyAlignment="1">
      <alignment horizontal="center" vertical="center" wrapText="1"/>
    </xf>
    <xf numFmtId="168" fontId="11" fillId="8" borderId="35" xfId="1" applyNumberFormat="1" applyFont="1" applyFill="1" applyBorder="1" applyAlignment="1">
      <alignment horizontal="left" vertical="center"/>
    </xf>
    <xf numFmtId="168" fontId="11" fillId="8" borderId="0" xfId="1" applyNumberFormat="1" applyFont="1" applyFill="1" applyBorder="1" applyAlignment="1">
      <alignment horizontal="left" vertical="center"/>
    </xf>
    <xf numFmtId="168" fontId="11" fillId="8" borderId="38" xfId="1" applyNumberFormat="1" applyFont="1" applyFill="1" applyBorder="1" applyAlignment="1">
      <alignment horizontal="left" vertical="center"/>
    </xf>
    <xf numFmtId="168" fontId="11" fillId="8" borderId="41" xfId="1" applyNumberFormat="1" applyFont="1" applyFill="1" applyBorder="1" applyAlignment="1">
      <alignment horizontal="left" vertical="center"/>
    </xf>
    <xf numFmtId="0" fontId="8" fillId="5" borderId="20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75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8" fillId="5" borderId="35" xfId="0" applyFont="1" applyFill="1" applyBorder="1" applyAlignment="1">
      <alignment horizontal="center" vertical="center" wrapText="1"/>
    </xf>
    <xf numFmtId="0" fontId="8" fillId="5" borderId="36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 wrapText="1"/>
    </xf>
    <xf numFmtId="17" fontId="27" fillId="5" borderId="63" xfId="0" applyNumberFormat="1" applyFont="1" applyFill="1" applyBorder="1" applyAlignment="1">
      <alignment horizontal="center" vertical="center" wrapText="1"/>
    </xf>
    <xf numFmtId="17" fontId="27" fillId="5" borderId="65" xfId="0" applyNumberFormat="1" applyFont="1" applyFill="1" applyBorder="1" applyAlignment="1">
      <alignment horizontal="center" vertical="center" wrapText="1"/>
    </xf>
    <xf numFmtId="17" fontId="27" fillId="5" borderId="60" xfId="0" applyNumberFormat="1" applyFont="1" applyFill="1" applyBorder="1" applyAlignment="1">
      <alignment horizontal="center" vertical="center" wrapText="1"/>
    </xf>
    <xf numFmtId="17" fontId="27" fillId="5" borderId="22" xfId="0" applyNumberFormat="1" applyFont="1" applyFill="1" applyBorder="1" applyAlignment="1">
      <alignment horizontal="center" vertical="center" wrapText="1"/>
    </xf>
    <xf numFmtId="17" fontId="27" fillId="5" borderId="23" xfId="0" applyNumberFormat="1" applyFont="1" applyFill="1" applyBorder="1" applyAlignment="1">
      <alignment horizontal="center" vertical="center" wrapText="1"/>
    </xf>
    <xf numFmtId="17" fontId="27" fillId="5" borderId="18" xfId="0" applyNumberFormat="1" applyFont="1" applyFill="1" applyBorder="1" applyAlignment="1">
      <alignment horizontal="center" vertical="center" wrapText="1"/>
    </xf>
    <xf numFmtId="164" fontId="41" fillId="12" borderId="0" xfId="0" applyNumberFormat="1" applyFont="1" applyFill="1" applyBorder="1" applyAlignment="1">
      <alignment horizontal="left" vertical="center"/>
    </xf>
    <xf numFmtId="0" fontId="9" fillId="9" borderId="55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0" fontId="9" fillId="9" borderId="56" xfId="0" applyFont="1" applyFill="1" applyBorder="1" applyAlignment="1">
      <alignment horizontal="center"/>
    </xf>
    <xf numFmtId="0" fontId="16" fillId="4" borderId="52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9" fillId="6" borderId="5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16" fillId="6" borderId="55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6" borderId="56" xfId="0" applyFont="1" applyFill="1" applyBorder="1" applyAlignment="1">
      <alignment horizontal="center" vertical="center"/>
    </xf>
    <xf numFmtId="0" fontId="42" fillId="12" borderId="0" xfId="0" applyFont="1" applyFill="1" applyBorder="1" applyAlignment="1">
      <alignment horizontal="left" vertical="center"/>
    </xf>
    <xf numFmtId="0" fontId="42" fillId="12" borderId="55" xfId="0" applyFont="1" applyFill="1" applyBorder="1" applyAlignment="1">
      <alignment horizontal="left" vertical="center"/>
    </xf>
    <xf numFmtId="0" fontId="41" fillId="12" borderId="55" xfId="0" applyFont="1" applyFill="1" applyBorder="1" applyAlignment="1">
      <alignment horizontal="left" vertical="center"/>
    </xf>
    <xf numFmtId="0" fontId="41" fillId="12" borderId="0" xfId="0" applyFont="1" applyFill="1" applyBorder="1" applyAlignment="1">
      <alignment horizontal="left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6" fillId="4" borderId="26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164" fontId="8" fillId="4" borderId="0" xfId="0" applyNumberFormat="1" applyFont="1" applyFill="1" applyBorder="1" applyAlignment="1">
      <alignment horizontal="left" vertical="center"/>
    </xf>
    <xf numFmtId="170" fontId="8" fillId="4" borderId="0" xfId="0" applyNumberFormat="1" applyFont="1" applyFill="1" applyBorder="1" applyAlignment="1">
      <alignment horizontal="left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"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FFCCCC"/>
      <color rgb="FFF4D9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Total Float - Project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11164950535027E-2"/>
          <c:y val="0.25358469614375129"/>
          <c:w val="0.93080678376741366"/>
          <c:h val="0.593116252776095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'KPIs Tracking-Exec-M&amp;C Phase'!$K$21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Phase'!$AF$21:$CA$21</c:f>
            </c:numRef>
          </c:val>
          <c:extLst>
            <c:ext xmlns:c16="http://schemas.microsoft.com/office/drawing/2014/chart" uri="{C3380CC4-5D6E-409C-BE32-E72D297353CC}">
              <c16:uniqueId val="{00000000-1ED2-407A-91CA-99E62C73F5A4}"/>
            </c:ext>
          </c:extLst>
        </c:ser>
        <c:ser>
          <c:idx val="2"/>
          <c:order val="1"/>
          <c:tx>
            <c:strRef>
              <c:f>'KPIs Tracking-Exec-M&amp;C Phase'!$K$17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Phase'!$AF$17:$CA$17</c:f>
              <c:numCache>
                <c:formatCode>General</c:formatCode>
                <c:ptCount val="24"/>
                <c:pt idx="9">
                  <c:v>-12</c:v>
                </c:pt>
                <c:pt idx="10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2-407A-91CA-99E62C73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25536"/>
        <c:axId val="107027072"/>
      </c:barChart>
      <c:lineChart>
        <c:grouping val="standard"/>
        <c:varyColors val="0"/>
        <c:ser>
          <c:idx val="0"/>
          <c:order val="2"/>
          <c:tx>
            <c:strRef>
              <c:f>'KPIs Tracking-Exec-M&amp;C Phase'!$K$19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Phase'!$AF$19:$CA$19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2-407A-91CA-99E62C73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5536"/>
        <c:axId val="107027072"/>
      </c:lineChart>
      <c:dateAx>
        <c:axId val="107025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7072"/>
        <c:crosses val="autoZero"/>
        <c:auto val="1"/>
        <c:lblOffset val="100"/>
        <c:baseTimeUnit val="months"/>
      </c:dateAx>
      <c:valAx>
        <c:axId val="10702707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5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Customer Satisfaction ratio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Phase'!$K$44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Phase'!$AF$44:$CA$44</c:f>
              <c:numCache>
                <c:formatCode>0%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AAB-4BAA-94AC-6CE688C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81664"/>
        <c:axId val="107683200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Phase'!$K$39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Phase'!$AF$39:$CA$39</c:f>
            </c:numRef>
          </c:val>
          <c:smooth val="0"/>
          <c:extLst>
            <c:ext xmlns:c16="http://schemas.microsoft.com/office/drawing/2014/chart" uri="{C3380CC4-5D6E-409C-BE32-E72D297353CC}">
              <c16:uniqueId val="{00000001-AAAB-4BAA-94AC-6CE688CE88DB}"/>
            </c:ext>
          </c:extLst>
        </c:ser>
        <c:ser>
          <c:idx val="2"/>
          <c:order val="2"/>
          <c:tx>
            <c:strRef>
              <c:f>'KPIs Tracking-Exec-M&amp;C Phase'!$K$46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Phase'!$AF$46:$CA$46</c:f>
              <c:numCache>
                <c:formatCode>0%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B-4BAA-94AC-6CE688CE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81664"/>
        <c:axId val="107683200"/>
      </c:lineChart>
      <c:dateAx>
        <c:axId val="107681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3200"/>
        <c:crosses val="autoZero"/>
        <c:auto val="1"/>
        <c:lblOffset val="100"/>
        <c:baseTimeUnit val="months"/>
      </c:dateAx>
      <c:valAx>
        <c:axId val="107683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66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Overall Project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Phase'!$AE$48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Phase'!$AF$48:$CA$48</c:f>
              <c:numCache>
                <c:formatCode>General</c:formatCode>
                <c:ptCount val="24"/>
                <c:pt idx="9" formatCode="0%">
                  <c:v>0.56999999999999995</c:v>
                </c:pt>
                <c:pt idx="10" formatCode="0%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949-B4B3-8FD8EAC6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1216"/>
        <c:axId val="107882752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0B80-4949-B4B3-8FD8EAC6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1216"/>
        <c:axId val="107882752"/>
      </c:lineChart>
      <c:dateAx>
        <c:axId val="1078812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2752"/>
        <c:crosses val="autoZero"/>
        <c:auto val="1"/>
        <c:lblOffset val="100"/>
        <c:baseTimeUnit val="months"/>
      </c:dateAx>
      <c:valAx>
        <c:axId val="10788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21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Critical Activities &amp; Near Critical Activities Ratios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Critical Activities Ratio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Phase'!$AF$8:$CA$8</c:f>
              <c:numCache>
                <c:formatCode>0%</c:formatCode>
                <c:ptCount val="24"/>
                <c:pt idx="9">
                  <c:v>0.20080000000000001</c:v>
                </c:pt>
                <c:pt idx="10">
                  <c:v>0.2727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3-4F6A-942A-F508C2B4F3A9}"/>
            </c:ext>
          </c:extLst>
        </c:ser>
        <c:ser>
          <c:idx val="3"/>
          <c:order val="3"/>
          <c:tx>
            <c:v>Near Critical Activities Ratio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Phase'!$AF$11:$CA$11</c:f>
              <c:numCache>
                <c:formatCode>0%</c:formatCode>
                <c:ptCount val="24"/>
                <c:pt idx="9">
                  <c:v>0.19400000000000001</c:v>
                </c:pt>
                <c:pt idx="10">
                  <c:v>0.14299999999999999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3-4F6A-942A-F508C2B4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5120"/>
        <c:axId val="107366656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Phase'!$K$27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Phase'!$AF$27:$CA$27</c:f>
            </c:numRef>
          </c:val>
          <c:smooth val="0"/>
          <c:extLst>
            <c:ext xmlns:c16="http://schemas.microsoft.com/office/drawing/2014/chart" uri="{C3380CC4-5D6E-409C-BE32-E72D297353CC}">
              <c16:uniqueId val="{00000002-E153-4F6A-942A-F508C2B4F3A9}"/>
            </c:ext>
          </c:extLst>
        </c:ser>
        <c:ser>
          <c:idx val="2"/>
          <c:order val="2"/>
          <c:tx>
            <c:strRef>
              <c:f>'KPIs Tracking-Exec-M&amp;C Phase'!$K$10</c:f>
              <c:strCache>
                <c:ptCount val="1"/>
                <c:pt idx="0">
                  <c:v>Target
upper limit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Phase'!$AF$10:$CA$10</c:f>
              <c:numCache>
                <c:formatCode>0%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3-4F6A-942A-F508C2B4F3A9}"/>
            </c:ext>
          </c:extLst>
        </c:ser>
        <c:ser>
          <c:idx val="4"/>
          <c:order val="4"/>
          <c:tx>
            <c:strRef>
              <c:f>'KPIs Tracking-Exec-M&amp;C Phase'!$K$13</c:f>
              <c:strCache>
                <c:ptCount val="1"/>
                <c:pt idx="0">
                  <c:v>Target
upper limit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Phase'!$AF$13:$CA$13</c:f>
              <c:numCache>
                <c:formatCode>0%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53-4F6A-942A-F508C2B4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5120"/>
        <c:axId val="107366656"/>
      </c:lineChart>
      <c:dateAx>
        <c:axId val="107365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656"/>
        <c:crosses val="autoZero"/>
        <c:auto val="1"/>
        <c:lblOffset val="100"/>
        <c:baseTimeUnit val="months"/>
      </c:dateAx>
      <c:valAx>
        <c:axId val="1073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12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2.0372133528659127E-3"/>
          <c:y val="0.10270844269466317"/>
          <c:w val="0.99491100062459203"/>
          <c:h val="0.15418635170603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Overall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Phase'!$K$35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Phase'!$AF$35:$CA$35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F3C-485E-A87D-270B3DA4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03744"/>
        <c:axId val="107105280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BF3C-485E-A87D-270B3DA49CF9}"/>
            </c:ext>
          </c:extLst>
        </c:ser>
        <c:ser>
          <c:idx val="2"/>
          <c:order val="2"/>
          <c:tx>
            <c:strRef>
              <c:f>'KPIs Tracking-Exec-M&amp;C Phase'!$K$37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Phase'!$AF$37:$CA$37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C-485E-A87D-270B3DA4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3744"/>
        <c:axId val="107105280"/>
      </c:lineChart>
      <c:dateAx>
        <c:axId val="1071037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5280"/>
        <c:crosses val="autoZero"/>
        <c:auto val="1"/>
        <c:lblOffset val="100"/>
        <c:baseTimeUnit val="months"/>
      </c:dateAx>
      <c:valAx>
        <c:axId val="107105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374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Overall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Phase'!$K$35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Phase'!$AF$35:$CA$35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D51-43A1-939D-BC3EE04E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3600"/>
        <c:axId val="107915136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FD51-43A1-939D-BC3EE04ED658}"/>
            </c:ext>
          </c:extLst>
        </c:ser>
        <c:ser>
          <c:idx val="2"/>
          <c:order val="2"/>
          <c:tx>
            <c:strRef>
              <c:f>'KPIs Tracking-Exec-M&amp;C Phase'!$K$37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Phase'!$AF$37:$CA$37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1-43A1-939D-BC3EE04E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3600"/>
        <c:axId val="107915136"/>
      </c:lineChart>
      <c:dateAx>
        <c:axId val="107913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5136"/>
        <c:crosses val="autoZero"/>
        <c:auto val="1"/>
        <c:lblOffset val="100"/>
        <c:baseTimeUnit val="months"/>
      </c:dateAx>
      <c:valAx>
        <c:axId val="107915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60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Overall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Phase'!$K$35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Phase'!$AF$35:$CA$35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A8A-4317-B948-5A2A1992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03744"/>
        <c:axId val="107105280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6A8A-4317-B948-5A2A1992C8D4}"/>
            </c:ext>
          </c:extLst>
        </c:ser>
        <c:ser>
          <c:idx val="2"/>
          <c:order val="2"/>
          <c:tx>
            <c:strRef>
              <c:f>'KPIs Tracking-Exec-M&amp;C Phase'!$K$37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Phase'!$AF$37:$CA$37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A-4317-B948-5A2A1992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03744"/>
        <c:axId val="107105280"/>
      </c:lineChart>
      <c:dateAx>
        <c:axId val="1071037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5280"/>
        <c:crosses val="autoZero"/>
        <c:auto val="1"/>
        <c:lblOffset val="100"/>
        <c:baseTimeUnit val="months"/>
      </c:dateAx>
      <c:valAx>
        <c:axId val="107105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374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Overall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Phase'!$K$35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Phase'!$AF$35:$CA$35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D03-438E-94FA-C342C5C4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13600"/>
        <c:axId val="107915136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0D03-438E-94FA-C342C5C42C1D}"/>
            </c:ext>
          </c:extLst>
        </c:ser>
        <c:ser>
          <c:idx val="2"/>
          <c:order val="2"/>
          <c:tx>
            <c:strRef>
              <c:f>'KPIs Tracking-Exec-M&amp;C Phase'!$K$37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Phase'!$AF$37:$CA$37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3-438E-94FA-C342C5C42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3600"/>
        <c:axId val="107915136"/>
      </c:lineChart>
      <c:dateAx>
        <c:axId val="1079136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5136"/>
        <c:crosses val="autoZero"/>
        <c:auto val="1"/>
        <c:lblOffset val="100"/>
        <c:baseTimeUnit val="months"/>
      </c:dateAx>
      <c:valAx>
        <c:axId val="107915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360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Overall Project Time Management KPIs Score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99675906562479E-2"/>
          <c:y val="0.21020270543105188"/>
          <c:w val="0.91920221288736137"/>
          <c:h val="0.63701110438118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Phase'!$AE$48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Phase'!$AF$48:$CA$48</c:f>
              <c:numCache>
                <c:formatCode>General</c:formatCode>
                <c:ptCount val="24"/>
                <c:pt idx="9" formatCode="0%">
                  <c:v>0.56999999999999995</c:v>
                </c:pt>
                <c:pt idx="10" formatCode="0%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0-4EEA-B65B-F487EC9C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81216"/>
        <c:axId val="107882752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A720-4EEA-B65B-F487EC9C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1216"/>
        <c:axId val="107882752"/>
      </c:lineChart>
      <c:dateAx>
        <c:axId val="1078812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2752"/>
        <c:crosses val="autoZero"/>
        <c:auto val="1"/>
        <c:lblOffset val="100"/>
        <c:baseTimeUnit val="months"/>
      </c:dateAx>
      <c:valAx>
        <c:axId val="107882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121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Schedule Performance Index - SPI</a:t>
            </a:r>
            <a:r>
              <a:rPr lang="en-US" sz="2800" b="1" baseline="0"/>
              <a:t> (EV/PV)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7318796688878E-2"/>
          <c:y val="0.25358469614375129"/>
          <c:w val="0.92656062992125998"/>
          <c:h val="0.58747526751463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Phase'!$AF$23:$CA$23</c:f>
              <c:numCache>
                <c:formatCode>General</c:formatCode>
                <c:ptCount val="24"/>
                <c:pt idx="9">
                  <c:v>1.38</c:v>
                </c:pt>
                <c:pt idx="1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4-4C73-8AE1-338F1A48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5120"/>
        <c:axId val="107366656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Phase'!$K$27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Phase'!$AF$27:$CA$27</c:f>
            </c:numRef>
          </c:val>
          <c:smooth val="0"/>
          <c:extLst>
            <c:ext xmlns:c16="http://schemas.microsoft.com/office/drawing/2014/chart" uri="{C3380CC4-5D6E-409C-BE32-E72D297353CC}">
              <c16:uniqueId val="{00000001-0734-4C73-8AE1-338F1A48DBBE}"/>
            </c:ext>
          </c:extLst>
        </c:ser>
        <c:ser>
          <c:idx val="2"/>
          <c:order val="2"/>
          <c:tx>
            <c:strRef>
              <c:f>'KPIs Tracking-Exec-M&amp;C Phase'!$K$25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Phase'!$AF$25:$CA$25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4-4C73-8AE1-338F1A48D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5120"/>
        <c:axId val="107366656"/>
      </c:lineChart>
      <c:dateAx>
        <c:axId val="107365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656"/>
        <c:crosses val="autoZero"/>
        <c:auto val="1"/>
        <c:lblOffset val="100"/>
        <c:baseTimeUnit val="months"/>
      </c:dateAx>
      <c:valAx>
        <c:axId val="1073666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12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Float - Project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'KPIs Tracking-Exec-M&amp;C Phase'!$K$21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Phase'!$AF$21:$CA$21</c:f>
            </c:numRef>
          </c:val>
          <c:extLst>
            <c:ext xmlns:c16="http://schemas.microsoft.com/office/drawing/2014/chart" uri="{C3380CC4-5D6E-409C-BE32-E72D297353CC}">
              <c16:uniqueId val="{00000001-892A-434D-A662-86F72CCB9818}"/>
            </c:ext>
          </c:extLst>
        </c:ser>
        <c:ser>
          <c:idx val="2"/>
          <c:order val="1"/>
          <c:tx>
            <c:strRef>
              <c:f>'KPIs Tracking-Exec-M&amp;C Phase'!$K$17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Phase'!$AF$17:$CA$17</c:f>
              <c:numCache>
                <c:formatCode>General</c:formatCode>
                <c:ptCount val="24"/>
                <c:pt idx="9">
                  <c:v>-12</c:v>
                </c:pt>
                <c:pt idx="10">
                  <c:v>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A-434D-A662-86F72CCB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25536"/>
        <c:axId val="107027072"/>
      </c:barChart>
      <c:lineChart>
        <c:grouping val="standard"/>
        <c:varyColors val="0"/>
        <c:ser>
          <c:idx val="0"/>
          <c:order val="2"/>
          <c:tx>
            <c:strRef>
              <c:f>'KPIs Tracking-Exec-M&amp;C Phase'!$K$19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Phase'!$AF$19:$CA$19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2-4E2C-A921-843F38926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5536"/>
        <c:axId val="107027072"/>
      </c:lineChart>
      <c:dateAx>
        <c:axId val="107025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7072"/>
        <c:crosses val="autoZero"/>
        <c:auto val="1"/>
        <c:lblOffset val="100"/>
        <c:baseTimeUnit val="months"/>
      </c:dateAx>
      <c:valAx>
        <c:axId val="107027072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B05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53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Ratio of actual number of critical paths Vs.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'KPIs Tracking-Exec-M&amp;C Phase'!$K$24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Phase'!$AF$24:$CA$24</c:f>
            </c:numRef>
          </c:val>
          <c:extLst>
            <c:ext xmlns:c16="http://schemas.microsoft.com/office/drawing/2014/chart" uri="{C3380CC4-5D6E-409C-BE32-E72D297353CC}">
              <c16:uniqueId val="{00000001-79BA-4DC7-A70D-E19CC37D6DCA}"/>
            </c:ext>
          </c:extLst>
        </c:ser>
        <c:ser>
          <c:idx val="2"/>
          <c:order val="1"/>
          <c:tx>
            <c:strRef>
              <c:f>'KPIs Tracking-Exec-M&amp;C Phase'!$AE$20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Phase'!$AF$20:$CA$20</c:f>
              <c:numCache>
                <c:formatCode>General</c:formatCode>
                <c:ptCount val="24"/>
                <c:pt idx="9" formatCode="0.00">
                  <c:v>0.91666666666666663</c:v>
                </c:pt>
                <c:pt idx="10" formatCode="0.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A-4DC7-A70D-E19CC37D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54592"/>
        <c:axId val="107056128"/>
      </c:barChart>
      <c:lineChart>
        <c:grouping val="standard"/>
        <c:varyColors val="0"/>
        <c:ser>
          <c:idx val="0"/>
          <c:order val="2"/>
          <c:tx>
            <c:strRef>
              <c:f>'KPIs Tracking-Exec-M&amp;C Phase'!$K$22</c:f>
              <c:strCache>
                <c:ptCount val="1"/>
                <c:pt idx="0">
                  <c:v>Target
upper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Phase'!$AF$22:$CA$22</c:f>
              <c:numCache>
                <c:formatCode>0.0</c:formatCode>
                <c:ptCount val="24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DAA-AC84-924CEE02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54592"/>
        <c:axId val="107056128"/>
      </c:lineChart>
      <c:catAx>
        <c:axId val="1070545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6128"/>
        <c:crosses val="autoZero"/>
        <c:auto val="1"/>
        <c:lblAlgn val="ctr"/>
        <c:lblOffset val="100"/>
        <c:noMultiLvlLbl val="1"/>
      </c:catAx>
      <c:valAx>
        <c:axId val="107056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59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Schedule Perfomance Index - SPI</a:t>
            </a:r>
            <a:r>
              <a:rPr lang="en-US" sz="2000" b="1" baseline="0"/>
              <a:t> (EV/PV)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Phase'!$AF$23:$CA$23</c:f>
              <c:numCache>
                <c:formatCode>General</c:formatCode>
                <c:ptCount val="24"/>
                <c:pt idx="9">
                  <c:v>1.38</c:v>
                </c:pt>
                <c:pt idx="1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1-41C7-93FB-F6207FC5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5120"/>
        <c:axId val="107366656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Phase'!$K$27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Phase'!$AF$27:$CA$27</c:f>
            </c:numRef>
          </c:val>
          <c:smooth val="0"/>
          <c:extLst>
            <c:ext xmlns:c16="http://schemas.microsoft.com/office/drawing/2014/chart" uri="{C3380CC4-5D6E-409C-BE32-E72D297353CC}">
              <c16:uniqueId val="{00000001-7521-41C7-93FB-F6207FC5926C}"/>
            </c:ext>
          </c:extLst>
        </c:ser>
        <c:ser>
          <c:idx val="2"/>
          <c:order val="2"/>
          <c:tx>
            <c:strRef>
              <c:f>'KPIs Tracking-Exec-M&amp;C Phase'!$K$25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Phase'!$AF$25:$CA$25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21-41C7-93FB-F6207FC5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5120"/>
        <c:axId val="107366656"/>
      </c:lineChart>
      <c:dateAx>
        <c:axId val="1073651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6656"/>
        <c:crosses val="autoZero"/>
        <c:auto val="1"/>
        <c:lblOffset val="100"/>
        <c:baseTimeUnit val="months"/>
      </c:dateAx>
      <c:valAx>
        <c:axId val="1073666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6512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Planned Activities Completion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'KPIs Tracking-Exec-M&amp;C Phase'!$K$30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Phase'!$AF$30:$CA$30</c:f>
            </c:numRef>
          </c:val>
          <c:extLst>
            <c:ext xmlns:c16="http://schemas.microsoft.com/office/drawing/2014/chart" uri="{C3380CC4-5D6E-409C-BE32-E72D297353CC}">
              <c16:uniqueId val="{00000001-3B4D-4BF8-9B79-0CD53D33828D}"/>
            </c:ext>
          </c:extLst>
        </c:ser>
        <c:ser>
          <c:idx val="2"/>
          <c:order val="1"/>
          <c:tx>
            <c:strRef>
              <c:f>'KPIs Tracking-Exec-M&amp;C Phase'!$K$29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Phase'!$AF$29:$CA$29</c:f>
              <c:numCache>
                <c:formatCode>General</c:formatCode>
                <c:ptCount val="24"/>
                <c:pt idx="9">
                  <c:v>0.92250922509225097</c:v>
                </c:pt>
                <c:pt idx="10" formatCode="0.00">
                  <c:v>0.90196078431372551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D-4BF8-9B79-0CD53D33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10560"/>
        <c:axId val="107412096"/>
      </c:barChart>
      <c:lineChart>
        <c:grouping val="standard"/>
        <c:varyColors val="0"/>
        <c:ser>
          <c:idx val="0"/>
          <c:order val="2"/>
          <c:tx>
            <c:strRef>
              <c:f>'KPIs Tracking-Exec-M&amp;C Phase'!$K$31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Phase'!$AF$31:$CA$31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6-46A0-A3EB-D23A4D4F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0560"/>
        <c:axId val="107412096"/>
      </c:lineChart>
      <c:dateAx>
        <c:axId val="107410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2096"/>
        <c:crosses val="autoZero"/>
        <c:auto val="1"/>
        <c:lblOffset val="100"/>
        <c:baseTimeUnit val="months"/>
      </c:dateAx>
      <c:valAx>
        <c:axId val="10741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0560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Constraints identification &amp; Constraints Resolution </a:t>
            </a:r>
            <a:r>
              <a:rPr lang="en-US" sz="2000" b="1" baseline="0"/>
              <a:t> </a:t>
            </a:r>
            <a:r>
              <a:rPr lang="en-US" sz="2000" b="1"/>
              <a:t>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Phase'!$AE$32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Phase'!$AF$32:$CA$32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FED-4333-AB3E-8981E4AE4792}"/>
            </c:ext>
          </c:extLst>
        </c:ser>
        <c:ser>
          <c:idx val="3"/>
          <c:order val="2"/>
          <c:tx>
            <c:strRef>
              <c:f>'KPIs Tracking-Exec-M&amp;C Phase'!$AE$35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'KPIs Tracking-Exec-M&amp;C Phase'!$AF$35:$CA$35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FA8-41BF-9A53-FD8D29D2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15904"/>
        <c:axId val="107517440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Phase'!$K$33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Phase'!$AF$33:$CA$33</c:f>
            </c:numRef>
          </c:val>
          <c:smooth val="0"/>
          <c:extLst>
            <c:ext xmlns:c16="http://schemas.microsoft.com/office/drawing/2014/chart" uri="{C3380CC4-5D6E-409C-BE32-E72D297353CC}">
              <c16:uniqueId val="{00000001-9FED-4333-AB3E-8981E4AE4792}"/>
            </c:ext>
          </c:extLst>
        </c:ser>
        <c:ser>
          <c:idx val="4"/>
          <c:order val="3"/>
          <c:tx>
            <c:strRef>
              <c:f>'KPIs Tracking-Exec-M&amp;C Phase'!$K$37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'KPIs Tracking-Exec-M&amp;C Phase'!$AF$37:$CA$37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8-41BF-9A53-FD8D29D21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15904"/>
        <c:axId val="107517440"/>
      </c:lineChart>
      <c:dateAx>
        <c:axId val="1075159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7440"/>
        <c:crosses val="autoZero"/>
        <c:auto val="1"/>
        <c:lblOffset val="100"/>
        <c:baseTimeUnit val="months"/>
      </c:dateAx>
      <c:valAx>
        <c:axId val="10751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1590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Production Rates Achievement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'KPIs Tracking-Exec-M&amp;C Phase'!$K$38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Phase'!$AF$38:$CA$38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0ED-4ADF-9973-077F8501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59552"/>
        <c:axId val="107581824"/>
      </c:barChart>
      <c:lineChart>
        <c:grouping val="standard"/>
        <c:varyColors val="0"/>
        <c:ser>
          <c:idx val="1"/>
          <c:order val="1"/>
          <c:tx>
            <c:strRef>
              <c:f>'KPIs Tracking-Exec-M&amp;C Phase'!$K$36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Phase'!$AF$36:$CA$36</c:f>
            </c:numRef>
          </c:val>
          <c:smooth val="0"/>
          <c:extLst>
            <c:ext xmlns:c16="http://schemas.microsoft.com/office/drawing/2014/chart" uri="{C3380CC4-5D6E-409C-BE32-E72D297353CC}">
              <c16:uniqueId val="{00000001-30ED-4ADF-9973-077F8501010C}"/>
            </c:ext>
          </c:extLst>
        </c:ser>
        <c:ser>
          <c:idx val="2"/>
          <c:order val="2"/>
          <c:tx>
            <c:strRef>
              <c:f>'KPIs Tracking-Exec-M&amp;C Phase'!$K$40</c:f>
              <c:strCache>
                <c:ptCount val="1"/>
                <c:pt idx="0">
                  <c:v>Target
lower limit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'KPIs Tracking-Exec-M&amp;C Phase'!$AF$7:$CA$7</c:f>
              <c:numCache>
                <c:formatCode>mmm\-yy</c:formatCode>
                <c:ptCount val="2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</c:numCache>
            </c:numRef>
          </c:cat>
          <c:val>
            <c:numRef>
              <c:f>'KPIs Tracking-Exec-M&amp;C Phase'!$AF$40:$CA$40</c:f>
              <c:numCache>
                <c:formatCode>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D-4ADF-9973-077F8501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59552"/>
        <c:axId val="107581824"/>
      </c:lineChart>
      <c:dateAx>
        <c:axId val="1075595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1824"/>
        <c:crosses val="autoZero"/>
        <c:auto val="1"/>
        <c:lblOffset val="100"/>
        <c:baseTimeUnit val="months"/>
      </c:dateAx>
      <c:valAx>
        <c:axId val="10758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55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</xdr:row>
          <xdr:rowOff>66675</xdr:rowOff>
        </xdr:from>
        <xdr:to>
          <xdr:col>9</xdr:col>
          <xdr:colOff>1057275</xdr:colOff>
          <xdr:row>2</xdr:row>
          <xdr:rowOff>314325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3886200</xdr:colOff>
      <xdr:row>1</xdr:row>
      <xdr:rowOff>122584</xdr:rowOff>
    </xdr:from>
    <xdr:to>
      <xdr:col>22</xdr:col>
      <xdr:colOff>4914900</xdr:colOff>
      <xdr:row>1</xdr:row>
      <xdr:rowOff>655984</xdr:rowOff>
    </xdr:to>
    <xdr:pic>
      <xdr:nvPicPr>
        <xdr:cNvPr id="2" name="Picture 1" descr="C:\Users\ralph.azar\Desktop\Ralph Documents - External\1- Analysis &amp; Definition\Collected Forms &amp; reports\logos\MAN logo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1" r="4713"/>
        <a:stretch/>
      </xdr:blipFill>
      <xdr:spPr bwMode="auto">
        <a:xfrm>
          <a:off x="33248048" y="313084"/>
          <a:ext cx="1028700" cy="533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51</xdr:row>
      <xdr:rowOff>14287</xdr:rowOff>
    </xdr:from>
    <xdr:to>
      <xdr:col>7</xdr:col>
      <xdr:colOff>4048125</xdr:colOff>
      <xdr:row>77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2805112</xdr:colOff>
      <xdr:row>51</xdr:row>
      <xdr:rowOff>14287</xdr:rowOff>
    </xdr:from>
    <xdr:to>
      <xdr:col>28</xdr:col>
      <xdr:colOff>3486149</xdr:colOff>
      <xdr:row>77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326231</xdr:colOff>
      <xdr:row>51</xdr:row>
      <xdr:rowOff>14287</xdr:rowOff>
    </xdr:from>
    <xdr:to>
      <xdr:col>26</xdr:col>
      <xdr:colOff>1826419</xdr:colOff>
      <xdr:row>77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2500313</xdr:colOff>
      <xdr:row>1</xdr:row>
      <xdr:rowOff>166688</xdr:rowOff>
    </xdr:from>
    <xdr:to>
      <xdr:col>28</xdr:col>
      <xdr:colOff>3529013</xdr:colOff>
      <xdr:row>1</xdr:row>
      <xdr:rowOff>700088</xdr:rowOff>
    </xdr:to>
    <xdr:pic>
      <xdr:nvPicPr>
        <xdr:cNvPr id="5" name="Picture 4" descr="C:\Users\ralph.azar\Desktop\Ralph Documents - External\1- Analysis &amp; Definition\Collected Forms &amp; reports\logos\MAN logo.jpg"/>
        <xdr:cNvPicPr/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81" r="4713"/>
        <a:stretch/>
      </xdr:blipFill>
      <xdr:spPr bwMode="auto">
        <a:xfrm>
          <a:off x="38695313" y="357188"/>
          <a:ext cx="1028700" cy="5334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13095</xdr:colOff>
      <xdr:row>8</xdr:row>
      <xdr:rowOff>120471</xdr:rowOff>
    </xdr:from>
    <xdr:to>
      <xdr:col>22</xdr:col>
      <xdr:colOff>13095</xdr:colOff>
      <xdr:row>32</xdr:row>
      <xdr:rowOff>120471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34924</xdr:colOff>
      <xdr:row>42</xdr:row>
      <xdr:rowOff>146875</xdr:rowOff>
    </xdr:from>
    <xdr:to>
      <xdr:col>43</xdr:col>
      <xdr:colOff>34924</xdr:colOff>
      <xdr:row>66</xdr:row>
      <xdr:rowOff>146875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34924</xdr:colOff>
      <xdr:row>8</xdr:row>
      <xdr:rowOff>120471</xdr:rowOff>
    </xdr:from>
    <xdr:to>
      <xdr:col>43</xdr:col>
      <xdr:colOff>34924</xdr:colOff>
      <xdr:row>32</xdr:row>
      <xdr:rowOff>120471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13095</xdr:colOff>
      <xdr:row>76</xdr:row>
      <xdr:rowOff>140710</xdr:rowOff>
    </xdr:from>
    <xdr:to>
      <xdr:col>22</xdr:col>
      <xdr:colOff>13095</xdr:colOff>
      <xdr:row>100</xdr:row>
      <xdr:rowOff>140710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83124</xdr:colOff>
      <xdr:row>151</xdr:row>
      <xdr:rowOff>1413</xdr:rowOff>
    </xdr:from>
    <xdr:to>
      <xdr:col>33</xdr:col>
      <xdr:colOff>407408</xdr:colOff>
      <xdr:row>167</xdr:row>
      <xdr:rowOff>306213</xdr:rowOff>
    </xdr:to>
    <xdr:sp macro="" textlink="">
      <xdr:nvSpPr>
        <xdr:cNvPr id="21" name="Pentagon 20"/>
        <xdr:cNvSpPr/>
      </xdr:nvSpPr>
      <xdr:spPr>
        <a:xfrm>
          <a:off x="13722924" y="30367113"/>
          <a:ext cx="6420284" cy="6400800"/>
        </a:xfrm>
        <a:prstGeom prst="homePlat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 Completed Works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&amp; Successes:</a:t>
          </a:r>
        </a:p>
      </xdr:txBody>
    </xdr:sp>
    <xdr:clientData/>
  </xdr:twoCellAnchor>
  <xdr:twoCellAnchor>
    <xdr:from>
      <xdr:col>33</xdr:col>
      <xdr:colOff>568683</xdr:colOff>
      <xdr:row>151</xdr:row>
      <xdr:rowOff>1413</xdr:rowOff>
    </xdr:from>
    <xdr:to>
      <xdr:col>43</xdr:col>
      <xdr:colOff>425808</xdr:colOff>
      <xdr:row>167</xdr:row>
      <xdr:rowOff>306213</xdr:rowOff>
    </xdr:to>
    <xdr:sp macro="" textlink="">
      <xdr:nvSpPr>
        <xdr:cNvPr id="25" name="Rectangle 24"/>
        <xdr:cNvSpPr/>
      </xdr:nvSpPr>
      <xdr:spPr>
        <a:xfrm>
          <a:off x="19094808" y="30290913"/>
          <a:ext cx="5572125" cy="6400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Plan:</a:t>
          </a:r>
        </a:p>
      </xdr:txBody>
    </xdr:sp>
    <xdr:clientData/>
  </xdr:twoCellAnchor>
  <xdr:twoCellAnchor>
    <xdr:from>
      <xdr:col>23</xdr:col>
      <xdr:colOff>83124</xdr:colOff>
      <xdr:row>168</xdr:row>
      <xdr:rowOff>284136</xdr:rowOff>
    </xdr:from>
    <xdr:to>
      <xdr:col>33</xdr:col>
      <xdr:colOff>407408</xdr:colOff>
      <xdr:row>185</xdr:row>
      <xdr:rowOff>207936</xdr:rowOff>
    </xdr:to>
    <xdr:sp macro="" textlink="">
      <xdr:nvSpPr>
        <xdr:cNvPr id="27" name="Pentagon 26"/>
        <xdr:cNvSpPr/>
      </xdr:nvSpPr>
      <xdr:spPr>
        <a:xfrm>
          <a:off x="13722924" y="37126836"/>
          <a:ext cx="6420284" cy="6400800"/>
        </a:xfrm>
        <a:prstGeom prst="homePlate">
          <a:avLst/>
        </a:prstGeom>
        <a:solidFill>
          <a:srgbClr val="F4D9D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Critical Notes, deviations &amp; learnings :</a:t>
          </a:r>
        </a:p>
      </xdr:txBody>
    </xdr:sp>
    <xdr:clientData/>
  </xdr:twoCellAnchor>
  <xdr:twoCellAnchor>
    <xdr:from>
      <xdr:col>33</xdr:col>
      <xdr:colOff>568683</xdr:colOff>
      <xdr:row>168</xdr:row>
      <xdr:rowOff>284136</xdr:rowOff>
    </xdr:from>
    <xdr:to>
      <xdr:col>43</xdr:col>
      <xdr:colOff>425808</xdr:colOff>
      <xdr:row>185</xdr:row>
      <xdr:rowOff>207936</xdr:rowOff>
    </xdr:to>
    <xdr:sp macro="" textlink="">
      <xdr:nvSpPr>
        <xdr:cNvPr id="28" name="Rectangle 27"/>
        <xdr:cNvSpPr/>
      </xdr:nvSpPr>
      <xdr:spPr>
        <a:xfrm>
          <a:off x="19094808" y="37050636"/>
          <a:ext cx="5572125" cy="6400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Corrective</a:t>
          </a:r>
          <a:r>
            <a:rPr lang="en-US" sz="1600" b="1" u="sng" baseline="0">
              <a:solidFill>
                <a:sysClr val="windowText" lastClr="000000"/>
              </a:solidFill>
            </a:rPr>
            <a:t> &amp; preventive Action List:</a:t>
          </a:r>
          <a:endParaRPr lang="en-US" sz="16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34924</xdr:colOff>
      <xdr:row>76</xdr:row>
      <xdr:rowOff>140710</xdr:rowOff>
    </xdr:from>
    <xdr:to>
      <xdr:col>43</xdr:col>
      <xdr:colOff>34924</xdr:colOff>
      <xdr:row>100</xdr:row>
      <xdr:rowOff>140710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13095</xdr:colOff>
      <xdr:row>110</xdr:row>
      <xdr:rowOff>140710</xdr:rowOff>
    </xdr:from>
    <xdr:to>
      <xdr:col>22</xdr:col>
      <xdr:colOff>13095</xdr:colOff>
      <xdr:row>134</xdr:row>
      <xdr:rowOff>140710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34924</xdr:colOff>
      <xdr:row>110</xdr:row>
      <xdr:rowOff>140710</xdr:rowOff>
    </xdr:from>
    <xdr:to>
      <xdr:col>43</xdr:col>
      <xdr:colOff>34924</xdr:colOff>
      <xdr:row>134</xdr:row>
      <xdr:rowOff>140710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-1</xdr:colOff>
      <xdr:row>150</xdr:row>
      <xdr:rowOff>95250</xdr:rowOff>
    </xdr:from>
    <xdr:to>
      <xdr:col>22</xdr:col>
      <xdr:colOff>-1</xdr:colOff>
      <xdr:row>162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13095</xdr:colOff>
      <xdr:row>42</xdr:row>
      <xdr:rowOff>146875</xdr:rowOff>
    </xdr:from>
    <xdr:to>
      <xdr:col>22</xdr:col>
      <xdr:colOff>13095</xdr:colOff>
      <xdr:row>66</xdr:row>
      <xdr:rowOff>146875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350040</xdr:colOff>
      <xdr:row>172</xdr:row>
      <xdr:rowOff>316797</xdr:rowOff>
    </xdr:from>
    <xdr:to>
      <xdr:col>15</xdr:col>
      <xdr:colOff>471459</xdr:colOff>
      <xdr:row>174</xdr:row>
      <xdr:rowOff>337542</xdr:rowOff>
    </xdr:to>
    <xdr:sp macro="" textlink="">
      <xdr:nvSpPr>
        <xdr:cNvPr id="2" name="Rectangle 1"/>
        <xdr:cNvSpPr/>
      </xdr:nvSpPr>
      <xdr:spPr>
        <a:xfrm rot="19680443">
          <a:off x="4302915" y="38940672"/>
          <a:ext cx="5074419" cy="78274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ysClr val="windowText" lastClr="000000"/>
              </a:solidFill>
            </a:rPr>
            <a:t>Snapshot of the KPIs tracking sheet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83123</xdr:colOff>
      <xdr:row>112</xdr:row>
      <xdr:rowOff>372888</xdr:rowOff>
    </xdr:from>
    <xdr:to>
      <xdr:col>38</xdr:col>
      <xdr:colOff>92310</xdr:colOff>
      <xdr:row>124</xdr:row>
      <xdr:rowOff>296688</xdr:rowOff>
    </xdr:to>
    <xdr:sp macro="" textlink="">
      <xdr:nvSpPr>
        <xdr:cNvPr id="7" name="Pentagon 6"/>
        <xdr:cNvSpPr/>
      </xdr:nvSpPr>
      <xdr:spPr>
        <a:xfrm>
          <a:off x="14599223" y="25823688"/>
          <a:ext cx="6295687" cy="7048500"/>
        </a:xfrm>
        <a:prstGeom prst="homePlat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 Completed Works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&amp; Successes:</a:t>
          </a:r>
        </a:p>
      </xdr:txBody>
    </xdr:sp>
    <xdr:clientData/>
  </xdr:twoCellAnchor>
  <xdr:twoCellAnchor>
    <xdr:from>
      <xdr:col>38</xdr:col>
      <xdr:colOff>304800</xdr:colOff>
      <xdr:row>112</xdr:row>
      <xdr:rowOff>372888</xdr:rowOff>
    </xdr:from>
    <xdr:to>
      <xdr:col>49</xdr:col>
      <xdr:colOff>266700</xdr:colOff>
      <xdr:row>124</xdr:row>
      <xdr:rowOff>296688</xdr:rowOff>
    </xdr:to>
    <xdr:sp macro="" textlink="">
      <xdr:nvSpPr>
        <xdr:cNvPr id="8" name="Rectangle 7"/>
        <xdr:cNvSpPr/>
      </xdr:nvSpPr>
      <xdr:spPr>
        <a:xfrm>
          <a:off x="21107400" y="25823688"/>
          <a:ext cx="5448300" cy="7048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Plan:</a:t>
          </a:r>
        </a:p>
      </xdr:txBody>
    </xdr:sp>
    <xdr:clientData/>
  </xdr:twoCellAnchor>
  <xdr:twoCellAnchor>
    <xdr:from>
      <xdr:col>26</xdr:col>
      <xdr:colOff>83123</xdr:colOff>
      <xdr:row>124</xdr:row>
      <xdr:rowOff>665137</xdr:rowOff>
    </xdr:from>
    <xdr:to>
      <xdr:col>38</xdr:col>
      <xdr:colOff>92310</xdr:colOff>
      <xdr:row>154</xdr:row>
      <xdr:rowOff>112687</xdr:rowOff>
    </xdr:to>
    <xdr:sp macro="" textlink="">
      <xdr:nvSpPr>
        <xdr:cNvPr id="9" name="Pentagon 8"/>
        <xdr:cNvSpPr/>
      </xdr:nvSpPr>
      <xdr:spPr>
        <a:xfrm>
          <a:off x="14599223" y="33240637"/>
          <a:ext cx="6295687" cy="7334250"/>
        </a:xfrm>
        <a:prstGeom prst="homePlate">
          <a:avLst/>
        </a:prstGeom>
        <a:solidFill>
          <a:srgbClr val="F4D9D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Critical Notes, deviations &amp; learnings :</a:t>
          </a:r>
        </a:p>
      </xdr:txBody>
    </xdr:sp>
    <xdr:clientData/>
  </xdr:twoCellAnchor>
  <xdr:twoCellAnchor>
    <xdr:from>
      <xdr:col>38</xdr:col>
      <xdr:colOff>304800</xdr:colOff>
      <xdr:row>124</xdr:row>
      <xdr:rowOff>665137</xdr:rowOff>
    </xdr:from>
    <xdr:to>
      <xdr:col>49</xdr:col>
      <xdr:colOff>266700</xdr:colOff>
      <xdr:row>154</xdr:row>
      <xdr:rowOff>112687</xdr:rowOff>
    </xdr:to>
    <xdr:sp macro="" textlink="">
      <xdr:nvSpPr>
        <xdr:cNvPr id="10" name="Rectangle 9"/>
        <xdr:cNvSpPr/>
      </xdr:nvSpPr>
      <xdr:spPr>
        <a:xfrm>
          <a:off x="21107400" y="33240637"/>
          <a:ext cx="5448300" cy="73342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Corrective</a:t>
          </a:r>
          <a:r>
            <a:rPr lang="en-US" sz="1600" b="1" u="sng" baseline="0">
              <a:solidFill>
                <a:sysClr val="windowText" lastClr="000000"/>
              </a:solidFill>
            </a:rPr>
            <a:t> &amp; preventive Action List:</a:t>
          </a:r>
          <a:endParaRPr lang="en-US" sz="1600" b="1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161925</xdr:colOff>
      <xdr:row>33</xdr:row>
      <xdr:rowOff>157162</xdr:rowOff>
    </xdr:from>
    <xdr:to>
      <xdr:col>16</xdr:col>
      <xdr:colOff>226502</xdr:colOff>
      <xdr:row>80</xdr:row>
      <xdr:rowOff>185736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110662"/>
          <a:ext cx="8065577" cy="9363074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228601</xdr:colOff>
      <xdr:row>118</xdr:row>
      <xdr:rowOff>1170409</xdr:rowOff>
    </xdr:from>
    <xdr:to>
      <xdr:col>19</xdr:col>
      <xdr:colOff>495300</xdr:colOff>
      <xdr:row>156</xdr:row>
      <xdr:rowOff>69245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1" y="31193209"/>
          <a:ext cx="9410699" cy="1017643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112</xdr:row>
      <xdr:rowOff>266700</xdr:rowOff>
    </xdr:from>
    <xdr:to>
      <xdr:col>22</xdr:col>
      <xdr:colOff>457200</xdr:colOff>
      <xdr:row>118</xdr:row>
      <xdr:rowOff>723900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13</xdr:row>
      <xdr:rowOff>152400</xdr:rowOff>
    </xdr:from>
    <xdr:to>
      <xdr:col>16</xdr:col>
      <xdr:colOff>266700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83123</xdr:colOff>
      <xdr:row>112</xdr:row>
      <xdr:rowOff>372888</xdr:rowOff>
    </xdr:from>
    <xdr:to>
      <xdr:col>38</xdr:col>
      <xdr:colOff>92310</xdr:colOff>
      <xdr:row>124</xdr:row>
      <xdr:rowOff>296688</xdr:rowOff>
    </xdr:to>
    <xdr:sp macro="" textlink="">
      <xdr:nvSpPr>
        <xdr:cNvPr id="2" name="Pentagon 1"/>
        <xdr:cNvSpPr/>
      </xdr:nvSpPr>
      <xdr:spPr>
        <a:xfrm>
          <a:off x="14837348" y="25452213"/>
          <a:ext cx="6981487" cy="7010400"/>
        </a:xfrm>
        <a:prstGeom prst="homePlate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 Completed Works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&amp; Successes:</a:t>
          </a:r>
        </a:p>
      </xdr:txBody>
    </xdr:sp>
    <xdr:clientData/>
  </xdr:twoCellAnchor>
  <xdr:twoCellAnchor>
    <xdr:from>
      <xdr:col>38</xdr:col>
      <xdr:colOff>304800</xdr:colOff>
      <xdr:row>112</xdr:row>
      <xdr:rowOff>372888</xdr:rowOff>
    </xdr:from>
    <xdr:to>
      <xdr:col>49</xdr:col>
      <xdr:colOff>266700</xdr:colOff>
      <xdr:row>124</xdr:row>
      <xdr:rowOff>296688</xdr:rowOff>
    </xdr:to>
    <xdr:sp macro="" textlink="">
      <xdr:nvSpPr>
        <xdr:cNvPr id="3" name="Rectangle 2"/>
        <xdr:cNvSpPr/>
      </xdr:nvSpPr>
      <xdr:spPr>
        <a:xfrm>
          <a:off x="22031325" y="25452213"/>
          <a:ext cx="6124575" cy="7010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Plan:</a:t>
          </a:r>
        </a:p>
      </xdr:txBody>
    </xdr:sp>
    <xdr:clientData/>
  </xdr:twoCellAnchor>
  <xdr:twoCellAnchor>
    <xdr:from>
      <xdr:col>26</xdr:col>
      <xdr:colOff>83123</xdr:colOff>
      <xdr:row>124</xdr:row>
      <xdr:rowOff>665137</xdr:rowOff>
    </xdr:from>
    <xdr:to>
      <xdr:col>38</xdr:col>
      <xdr:colOff>92310</xdr:colOff>
      <xdr:row>154</xdr:row>
      <xdr:rowOff>112687</xdr:rowOff>
    </xdr:to>
    <xdr:sp macro="" textlink="">
      <xdr:nvSpPr>
        <xdr:cNvPr id="4" name="Pentagon 3"/>
        <xdr:cNvSpPr/>
      </xdr:nvSpPr>
      <xdr:spPr>
        <a:xfrm>
          <a:off x="14837348" y="32831062"/>
          <a:ext cx="6981487" cy="7324725"/>
        </a:xfrm>
        <a:prstGeom prst="homePlate">
          <a:avLst/>
        </a:prstGeom>
        <a:solidFill>
          <a:srgbClr val="F4D9D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Last month</a:t>
          </a:r>
          <a:br>
            <a:rPr lang="en-US" sz="1600" b="1" u="sng">
              <a:solidFill>
                <a:sysClr val="windowText" lastClr="000000"/>
              </a:solidFill>
            </a:rPr>
          </a:br>
          <a:r>
            <a:rPr lang="en-US" sz="1600" b="1" u="sng">
              <a:solidFill>
                <a:sysClr val="windowText" lastClr="000000"/>
              </a:solidFill>
            </a:rPr>
            <a:t>Critical Notes, deviations &amp; learnings :</a:t>
          </a:r>
        </a:p>
      </xdr:txBody>
    </xdr:sp>
    <xdr:clientData/>
  </xdr:twoCellAnchor>
  <xdr:twoCellAnchor>
    <xdr:from>
      <xdr:col>38</xdr:col>
      <xdr:colOff>304800</xdr:colOff>
      <xdr:row>124</xdr:row>
      <xdr:rowOff>665137</xdr:rowOff>
    </xdr:from>
    <xdr:to>
      <xdr:col>49</xdr:col>
      <xdr:colOff>266700</xdr:colOff>
      <xdr:row>154</xdr:row>
      <xdr:rowOff>112687</xdr:rowOff>
    </xdr:to>
    <xdr:sp macro="" textlink="">
      <xdr:nvSpPr>
        <xdr:cNvPr id="5" name="Rectangle 4"/>
        <xdr:cNvSpPr/>
      </xdr:nvSpPr>
      <xdr:spPr>
        <a:xfrm>
          <a:off x="22031325" y="32831062"/>
          <a:ext cx="6124575" cy="73247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u="sng">
              <a:solidFill>
                <a:sysClr val="windowText" lastClr="000000"/>
              </a:solidFill>
            </a:rPr>
            <a:t>Next Month Corrective</a:t>
          </a:r>
          <a:r>
            <a:rPr lang="en-US" sz="1600" b="1" u="sng" baseline="0">
              <a:solidFill>
                <a:sysClr val="windowText" lastClr="000000"/>
              </a:solidFill>
            </a:rPr>
            <a:t> &amp; preventive Action List:</a:t>
          </a:r>
          <a:endParaRPr lang="en-US" sz="1600" b="1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</xdr:col>
      <xdr:colOff>228601</xdr:colOff>
      <xdr:row>118</xdr:row>
      <xdr:rowOff>1170409</xdr:rowOff>
    </xdr:from>
    <xdr:to>
      <xdr:col>19</xdr:col>
      <xdr:colOff>495300</xdr:colOff>
      <xdr:row>156</xdr:row>
      <xdr:rowOff>69245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30335959"/>
          <a:ext cx="9563099" cy="1015738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112</xdr:row>
      <xdr:rowOff>266700</xdr:rowOff>
    </xdr:from>
    <xdr:to>
      <xdr:col>22</xdr:col>
      <xdr:colOff>457200</xdr:colOff>
      <xdr:row>118</xdr:row>
      <xdr:rowOff>723900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13</xdr:row>
      <xdr:rowOff>152400</xdr:rowOff>
    </xdr:from>
    <xdr:to>
      <xdr:col>16</xdr:col>
      <xdr:colOff>266700</xdr:colOff>
      <xdr:row>31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1:J25"/>
  <sheetViews>
    <sheetView showGridLines="0" zoomScale="40" zoomScaleNormal="40" zoomScaleSheetLayoutView="55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B2" sqref="B2:E3"/>
    </sheetView>
  </sheetViews>
  <sheetFormatPr defaultRowHeight="15" x14ac:dyDescent="0.25"/>
  <cols>
    <col min="1" max="1" width="3.42578125" customWidth="1"/>
    <col min="2" max="2" width="20.85546875" customWidth="1"/>
    <col min="3" max="3" width="24.140625" customWidth="1"/>
    <col min="4" max="4" width="18.28515625" customWidth="1"/>
    <col min="5" max="5" width="38.85546875" customWidth="1"/>
    <col min="6" max="6" width="51.28515625" customWidth="1"/>
    <col min="7" max="7" width="64.5703125" customWidth="1"/>
    <col min="8" max="8" width="82.7109375" customWidth="1"/>
    <col min="9" max="9" width="13.28515625" customWidth="1"/>
    <col min="10" max="10" width="17.42578125" customWidth="1"/>
    <col min="11" max="11" width="3.140625" customWidth="1"/>
  </cols>
  <sheetData>
    <row r="1" spans="2:10" ht="15.75" thickBot="1" x14ac:dyDescent="0.3"/>
    <row r="2" spans="2:10" s="2" customFormat="1" ht="15.75" customHeight="1" thickBot="1" x14ac:dyDescent="0.3">
      <c r="B2" s="283" t="s">
        <v>35</v>
      </c>
      <c r="C2" s="284"/>
      <c r="D2" s="284"/>
      <c r="E2" s="285"/>
      <c r="F2" s="1" t="s">
        <v>11</v>
      </c>
      <c r="G2" s="1" t="s">
        <v>12</v>
      </c>
      <c r="H2" s="1" t="s">
        <v>13</v>
      </c>
      <c r="I2" s="1" t="s">
        <v>14</v>
      </c>
      <c r="J2" s="281"/>
    </row>
    <row r="3" spans="2:10" s="2" customFormat="1" ht="30.75" customHeight="1" thickBot="1" x14ac:dyDescent="0.3">
      <c r="B3" s="286"/>
      <c r="C3" s="287"/>
      <c r="D3" s="287"/>
      <c r="E3" s="288"/>
      <c r="F3" s="1" t="s">
        <v>206</v>
      </c>
      <c r="G3" s="3" t="s">
        <v>36</v>
      </c>
      <c r="H3" s="4">
        <v>42359</v>
      </c>
      <c r="I3" s="5" t="s">
        <v>207</v>
      </c>
      <c r="J3" s="282"/>
    </row>
    <row r="4" spans="2:10" ht="38.25" thickBot="1" x14ac:dyDescent="0.3">
      <c r="B4" s="155" t="s">
        <v>0</v>
      </c>
      <c r="C4" s="156" t="s">
        <v>7</v>
      </c>
      <c r="D4" s="157" t="s">
        <v>5</v>
      </c>
      <c r="E4" s="157" t="s">
        <v>1</v>
      </c>
      <c r="F4" s="156" t="s">
        <v>8</v>
      </c>
      <c r="G4" s="157" t="s">
        <v>6</v>
      </c>
      <c r="H4" s="157" t="s">
        <v>10</v>
      </c>
      <c r="I4" s="156" t="s">
        <v>2</v>
      </c>
      <c r="J4" s="156" t="s">
        <v>3</v>
      </c>
    </row>
    <row r="5" spans="2:10" s="43" customFormat="1" ht="76.5" thickTop="1" thickBot="1" x14ac:dyDescent="0.3">
      <c r="B5" s="158" t="s">
        <v>37</v>
      </c>
      <c r="C5" s="159" t="s">
        <v>124</v>
      </c>
      <c r="D5" s="159" t="s">
        <v>38</v>
      </c>
      <c r="E5" s="159" t="s">
        <v>39</v>
      </c>
      <c r="F5" s="159" t="s">
        <v>40</v>
      </c>
      <c r="G5" s="159" t="s">
        <v>140</v>
      </c>
      <c r="H5" s="160" t="s">
        <v>165</v>
      </c>
      <c r="I5" s="160"/>
      <c r="J5" s="158" t="s">
        <v>169</v>
      </c>
    </row>
    <row r="6" spans="2:10" s="43" customFormat="1" ht="95.25" thickTop="1" thickBot="1" x14ac:dyDescent="0.3">
      <c r="B6" s="158" t="s">
        <v>41</v>
      </c>
      <c r="C6" s="159" t="s">
        <v>125</v>
      </c>
      <c r="D6" s="159" t="s">
        <v>42</v>
      </c>
      <c r="E6" s="159" t="s">
        <v>43</v>
      </c>
      <c r="F6" s="159" t="s">
        <v>44</v>
      </c>
      <c r="G6" s="159" t="s">
        <v>146</v>
      </c>
      <c r="H6" s="159" t="s">
        <v>129</v>
      </c>
      <c r="I6" s="160"/>
      <c r="J6" s="158" t="s">
        <v>169</v>
      </c>
    </row>
    <row r="7" spans="2:10" s="43" customFormat="1" ht="83.25" customHeight="1" thickTop="1" thickBot="1" x14ac:dyDescent="0.3">
      <c r="B7" s="158" t="s">
        <v>45</v>
      </c>
      <c r="C7" s="159" t="s">
        <v>107</v>
      </c>
      <c r="D7" s="159" t="s">
        <v>38</v>
      </c>
      <c r="E7" s="159" t="s">
        <v>46</v>
      </c>
      <c r="F7" s="159" t="s">
        <v>47</v>
      </c>
      <c r="G7" s="168" t="s">
        <v>142</v>
      </c>
      <c r="H7" s="159" t="s">
        <v>108</v>
      </c>
      <c r="I7" s="159"/>
      <c r="J7" s="159" t="s">
        <v>170</v>
      </c>
    </row>
    <row r="8" spans="2:10" s="43" customFormat="1" ht="78" customHeight="1" thickTop="1" thickBot="1" x14ac:dyDescent="0.3">
      <c r="B8" s="158" t="s">
        <v>48</v>
      </c>
      <c r="C8" s="158" t="s">
        <v>107</v>
      </c>
      <c r="D8" s="159" t="s">
        <v>38</v>
      </c>
      <c r="E8" s="159" t="s">
        <v>46</v>
      </c>
      <c r="F8" s="159" t="s">
        <v>49</v>
      </c>
      <c r="G8" s="159" t="s">
        <v>145</v>
      </c>
      <c r="H8" s="159" t="s">
        <v>110</v>
      </c>
      <c r="I8" s="159"/>
      <c r="J8" s="169" t="s">
        <v>171</v>
      </c>
    </row>
    <row r="9" spans="2:10" s="43" customFormat="1" ht="78" customHeight="1" thickTop="1" thickBot="1" x14ac:dyDescent="0.3">
      <c r="B9" s="161" t="s">
        <v>50</v>
      </c>
      <c r="C9" s="161" t="s">
        <v>104</v>
      </c>
      <c r="D9" s="162" t="s">
        <v>38</v>
      </c>
      <c r="E9" s="162" t="s">
        <v>46</v>
      </c>
      <c r="F9" s="162" t="s">
        <v>51</v>
      </c>
      <c r="G9" s="167" t="s">
        <v>194</v>
      </c>
      <c r="H9" s="162" t="s">
        <v>109</v>
      </c>
      <c r="I9" s="159"/>
      <c r="J9" s="163" t="s">
        <v>172</v>
      </c>
    </row>
    <row r="10" spans="2:10" s="43" customFormat="1" ht="78" customHeight="1" thickTop="1" thickBot="1" x14ac:dyDescent="0.3">
      <c r="B10" s="161" t="s">
        <v>102</v>
      </c>
      <c r="C10" s="161" t="s">
        <v>104</v>
      </c>
      <c r="D10" s="162" t="s">
        <v>38</v>
      </c>
      <c r="E10" s="162" t="s">
        <v>46</v>
      </c>
      <c r="F10" s="162" t="s">
        <v>51</v>
      </c>
      <c r="G10" s="167" t="s">
        <v>193</v>
      </c>
      <c r="H10" s="162" t="s">
        <v>109</v>
      </c>
      <c r="I10" s="159"/>
      <c r="J10" s="163" t="s">
        <v>195</v>
      </c>
    </row>
    <row r="11" spans="2:10" s="43" customFormat="1" ht="78" customHeight="1" thickTop="1" thickBot="1" x14ac:dyDescent="0.3">
      <c r="B11" s="161" t="s">
        <v>52</v>
      </c>
      <c r="C11" s="161" t="s">
        <v>104</v>
      </c>
      <c r="D11" s="162" t="s">
        <v>38</v>
      </c>
      <c r="E11" s="162" t="s">
        <v>46</v>
      </c>
      <c r="F11" s="162" t="s">
        <v>51</v>
      </c>
      <c r="G11" s="167" t="s">
        <v>149</v>
      </c>
      <c r="H11" s="162" t="s">
        <v>53</v>
      </c>
      <c r="I11" s="159"/>
      <c r="J11" s="163" t="s">
        <v>173</v>
      </c>
    </row>
    <row r="12" spans="2:10" s="43" customFormat="1" ht="144.75" customHeight="1" thickTop="1" thickBot="1" x14ac:dyDescent="0.3">
      <c r="B12" s="161" t="s">
        <v>54</v>
      </c>
      <c r="C12" s="161" t="s">
        <v>104</v>
      </c>
      <c r="D12" s="162" t="s">
        <v>38</v>
      </c>
      <c r="E12" s="162" t="s">
        <v>46</v>
      </c>
      <c r="F12" s="162" t="s">
        <v>55</v>
      </c>
      <c r="G12" s="167" t="s">
        <v>56</v>
      </c>
      <c r="H12" s="162" t="s">
        <v>57</v>
      </c>
      <c r="I12" s="159"/>
      <c r="J12" s="163">
        <f>0</f>
        <v>0</v>
      </c>
    </row>
    <row r="13" spans="2:10" s="43" customFormat="1" ht="120" customHeight="1" thickTop="1" thickBot="1" x14ac:dyDescent="0.3">
      <c r="B13" s="161" t="s">
        <v>58</v>
      </c>
      <c r="C13" s="161" t="s">
        <v>104</v>
      </c>
      <c r="D13" s="162" t="s">
        <v>38</v>
      </c>
      <c r="E13" s="162" t="s">
        <v>46</v>
      </c>
      <c r="F13" s="162" t="s">
        <v>55</v>
      </c>
      <c r="G13" s="162" t="s">
        <v>150</v>
      </c>
      <c r="H13" s="162" t="s">
        <v>111</v>
      </c>
      <c r="I13" s="159"/>
      <c r="J13" s="163">
        <v>0</v>
      </c>
    </row>
    <row r="14" spans="2:10" s="43" customFormat="1" ht="78" customHeight="1" thickTop="1" thickBot="1" x14ac:dyDescent="0.3">
      <c r="B14" s="161" t="s">
        <v>59</v>
      </c>
      <c r="C14" s="161" t="s">
        <v>105</v>
      </c>
      <c r="D14" s="162" t="s">
        <v>60</v>
      </c>
      <c r="E14" s="162" t="s">
        <v>61</v>
      </c>
      <c r="F14" s="162" t="s">
        <v>62</v>
      </c>
      <c r="G14" s="162" t="s">
        <v>182</v>
      </c>
      <c r="H14" s="162" t="s">
        <v>141</v>
      </c>
      <c r="I14" s="159"/>
      <c r="J14" s="164" t="s">
        <v>158</v>
      </c>
    </row>
    <row r="15" spans="2:10" s="43" customFormat="1" ht="119.25" customHeight="1" thickTop="1" thickBot="1" x14ac:dyDescent="0.3">
      <c r="B15" s="161" t="s">
        <v>103</v>
      </c>
      <c r="C15" s="161" t="s">
        <v>105</v>
      </c>
      <c r="D15" s="162" t="s">
        <v>60</v>
      </c>
      <c r="E15" s="162" t="s">
        <v>61</v>
      </c>
      <c r="F15" s="162" t="s">
        <v>62</v>
      </c>
      <c r="G15" s="162" t="s">
        <v>183</v>
      </c>
      <c r="H15" s="162" t="s">
        <v>141</v>
      </c>
      <c r="I15" s="159"/>
      <c r="J15" s="163" t="s">
        <v>158</v>
      </c>
    </row>
    <row r="16" spans="2:10" s="43" customFormat="1" ht="119.25" customHeight="1" thickTop="1" thickBot="1" x14ac:dyDescent="0.3">
      <c r="B16" s="161" t="s">
        <v>63</v>
      </c>
      <c r="C16" s="161" t="s">
        <v>105</v>
      </c>
      <c r="D16" s="162" t="s">
        <v>60</v>
      </c>
      <c r="E16" s="162" t="s">
        <v>64</v>
      </c>
      <c r="F16" s="162" t="s">
        <v>65</v>
      </c>
      <c r="G16" s="162" t="s">
        <v>184</v>
      </c>
      <c r="H16" s="162" t="s">
        <v>176</v>
      </c>
      <c r="I16" s="159"/>
      <c r="J16" s="165" t="s">
        <v>159</v>
      </c>
    </row>
    <row r="17" spans="2:10" s="43" customFormat="1" ht="119.25" customHeight="1" thickTop="1" thickBot="1" x14ac:dyDescent="0.3">
      <c r="B17" s="161" t="s">
        <v>66</v>
      </c>
      <c r="C17" s="161" t="s">
        <v>105</v>
      </c>
      <c r="D17" s="162" t="s">
        <v>60</v>
      </c>
      <c r="E17" s="162" t="s">
        <v>67</v>
      </c>
      <c r="F17" s="162" t="s">
        <v>68</v>
      </c>
      <c r="G17" s="162" t="s">
        <v>137</v>
      </c>
      <c r="H17" s="162" t="s">
        <v>177</v>
      </c>
      <c r="I17" s="159"/>
      <c r="J17" s="165" t="s">
        <v>161</v>
      </c>
    </row>
    <row r="18" spans="2:10" s="43" customFormat="1" ht="119.25" customHeight="1" thickTop="1" thickBot="1" x14ac:dyDescent="0.3">
      <c r="B18" s="161" t="s">
        <v>69</v>
      </c>
      <c r="C18" s="161" t="s">
        <v>105</v>
      </c>
      <c r="D18" s="162" t="s">
        <v>38</v>
      </c>
      <c r="E18" s="162" t="s">
        <v>70</v>
      </c>
      <c r="F18" s="162" t="s">
        <v>71</v>
      </c>
      <c r="G18" s="167" t="s">
        <v>72</v>
      </c>
      <c r="H18" s="162" t="s">
        <v>178</v>
      </c>
      <c r="I18" s="159"/>
      <c r="J18" s="165" t="s">
        <v>160</v>
      </c>
    </row>
    <row r="19" spans="2:10" s="43" customFormat="1" ht="119.25" customHeight="1" thickTop="1" thickBot="1" x14ac:dyDescent="0.3">
      <c r="B19" s="161" t="s">
        <v>73</v>
      </c>
      <c r="C19" s="161" t="s">
        <v>105</v>
      </c>
      <c r="D19" s="162" t="s">
        <v>190</v>
      </c>
      <c r="E19" s="162" t="s">
        <v>67</v>
      </c>
      <c r="F19" s="162" t="s">
        <v>74</v>
      </c>
      <c r="G19" s="162" t="s">
        <v>185</v>
      </c>
      <c r="H19" s="166" t="s">
        <v>202</v>
      </c>
      <c r="I19" s="159"/>
      <c r="J19" s="165" t="s">
        <v>162</v>
      </c>
    </row>
    <row r="20" spans="2:10" s="43" customFormat="1" ht="119.25" customHeight="1" thickTop="1" thickBot="1" x14ac:dyDescent="0.3">
      <c r="B20" s="161" t="s">
        <v>75</v>
      </c>
      <c r="C20" s="161" t="s">
        <v>106</v>
      </c>
      <c r="D20" s="162" t="s">
        <v>189</v>
      </c>
      <c r="E20" s="162" t="s">
        <v>76</v>
      </c>
      <c r="F20" s="162" t="s">
        <v>77</v>
      </c>
      <c r="G20" s="162" t="s">
        <v>186</v>
      </c>
      <c r="H20" s="162" t="s">
        <v>179</v>
      </c>
      <c r="I20" s="159"/>
      <c r="J20" s="164" t="s">
        <v>162</v>
      </c>
    </row>
    <row r="21" spans="2:10" s="43" customFormat="1" ht="119.25" customHeight="1" thickTop="1" thickBot="1" x14ac:dyDescent="0.3">
      <c r="B21" s="161" t="s">
        <v>78</v>
      </c>
      <c r="C21" s="161" t="s">
        <v>106</v>
      </c>
      <c r="D21" s="162" t="s">
        <v>191</v>
      </c>
      <c r="E21" s="162" t="s">
        <v>79</v>
      </c>
      <c r="F21" s="162" t="s">
        <v>80</v>
      </c>
      <c r="G21" s="162" t="s">
        <v>134</v>
      </c>
      <c r="H21" s="162" t="s">
        <v>180</v>
      </c>
      <c r="I21" s="159"/>
      <c r="J21" s="164" t="s">
        <v>162</v>
      </c>
    </row>
    <row r="22" spans="2:10" s="43" customFormat="1" ht="119.25" customHeight="1" thickTop="1" thickBot="1" x14ac:dyDescent="0.3">
      <c r="B22" s="161" t="s">
        <v>81</v>
      </c>
      <c r="C22" s="161" t="s">
        <v>106</v>
      </c>
      <c r="D22" s="162" t="s">
        <v>192</v>
      </c>
      <c r="E22" s="162" t="s">
        <v>82</v>
      </c>
      <c r="F22" s="162" t="s">
        <v>120</v>
      </c>
      <c r="G22" s="162" t="s">
        <v>196</v>
      </c>
      <c r="H22" s="162" t="s">
        <v>187</v>
      </c>
      <c r="I22" s="159"/>
      <c r="J22" s="164" t="s">
        <v>188</v>
      </c>
    </row>
    <row r="23" spans="2:10" s="43" customFormat="1" ht="119.25" customHeight="1" thickTop="1" thickBot="1" x14ac:dyDescent="0.3">
      <c r="B23" s="161" t="s">
        <v>83</v>
      </c>
      <c r="C23" s="161" t="s">
        <v>106</v>
      </c>
      <c r="D23" s="162" t="s">
        <v>84</v>
      </c>
      <c r="E23" s="162" t="s">
        <v>85</v>
      </c>
      <c r="F23" s="162" t="s">
        <v>127</v>
      </c>
      <c r="G23" s="167" t="s">
        <v>197</v>
      </c>
      <c r="H23" s="162" t="s">
        <v>86</v>
      </c>
      <c r="I23" s="159"/>
      <c r="J23" s="164" t="s">
        <v>201</v>
      </c>
    </row>
    <row r="24" spans="2:10" s="43" customFormat="1" ht="119.25" customHeight="1" thickTop="1" thickBot="1" x14ac:dyDescent="0.3">
      <c r="B24" s="161" t="s">
        <v>181</v>
      </c>
      <c r="C24" s="161" t="s">
        <v>105</v>
      </c>
      <c r="D24" s="162" t="s">
        <v>60</v>
      </c>
      <c r="E24" s="159" t="s">
        <v>46</v>
      </c>
      <c r="F24" s="162" t="s">
        <v>198</v>
      </c>
      <c r="G24" s="167" t="s">
        <v>199</v>
      </c>
      <c r="H24" s="170" t="s">
        <v>200</v>
      </c>
      <c r="I24" s="159"/>
      <c r="J24" s="164" t="s">
        <v>201</v>
      </c>
    </row>
    <row r="25" spans="2:10" ht="15.75" thickTop="1" x14ac:dyDescent="0.25"/>
  </sheetData>
  <mergeCells count="2">
    <mergeCell ref="J2:J3"/>
    <mergeCell ref="B2:E3"/>
  </mergeCells>
  <printOptions horizontalCentered="1"/>
  <pageMargins left="0.2" right="0.2" top="0.5" bottom="0.5" header="0.3" footer="0.3"/>
  <pageSetup paperSize="8" scale="60" fitToHeight="0" orientation="landscape" r:id="rId1"/>
  <rowBreaks count="1" manualBreakCount="1">
    <brk id="15" max="13" man="1"/>
  </rowBreaks>
  <drawing r:id="rId2"/>
  <legacyDrawing r:id="rId3"/>
  <oleObjects>
    <mc:AlternateContent xmlns:mc="http://schemas.openxmlformats.org/markup-compatibility/2006">
      <mc:Choice Requires="x14">
        <oleObject progId="Visio.Drawing.11" shapeId="6146" r:id="rId4">
          <objectPr defaultSize="0" autoPict="0" r:id="rId5">
            <anchor moveWithCells="1">
              <from>
                <xdr:col>9</xdr:col>
                <xdr:colOff>123825</xdr:colOff>
                <xdr:row>1</xdr:row>
                <xdr:rowOff>66675</xdr:rowOff>
              </from>
              <to>
                <xdr:col>9</xdr:col>
                <xdr:colOff>1057275</xdr:colOff>
                <xdr:row>2</xdr:row>
                <xdr:rowOff>314325</xdr:rowOff>
              </to>
            </anchor>
          </objectPr>
        </oleObject>
      </mc:Choice>
      <mc:Fallback>
        <oleObject progId="Visio.Drawing.11" shapeId="614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B2:X47"/>
  <sheetViews>
    <sheetView showGridLines="0" zoomScale="25" zoomScaleNormal="25" zoomScaleSheetLayoutView="40" workbookViewId="0">
      <pane ySplit="7" topLeftCell="A8" activePane="bottomLeft" state="frozen"/>
      <selection pane="bottomLeft" activeCell="B2" sqref="B2"/>
    </sheetView>
  </sheetViews>
  <sheetFormatPr defaultRowHeight="15" outlineLevelCol="1" x14ac:dyDescent="0.25"/>
  <cols>
    <col min="1" max="1" width="2" customWidth="1"/>
    <col min="2" max="2" width="17.7109375" customWidth="1"/>
    <col min="3" max="3" width="43.7109375" customWidth="1"/>
    <col min="4" max="4" width="18.28515625" customWidth="1"/>
    <col min="5" max="5" width="38.85546875" hidden="1" customWidth="1" outlineLevel="1"/>
    <col min="6" max="6" width="51.28515625" hidden="1" customWidth="1" outlineLevel="1"/>
    <col min="7" max="7" width="57.140625" customWidth="1" collapsed="1"/>
    <col min="8" max="8" width="76.85546875" customWidth="1"/>
    <col min="9" max="9" width="13.5703125" style="6" customWidth="1"/>
    <col min="10" max="10" width="17" customWidth="1"/>
    <col min="11" max="11" width="20.42578125" customWidth="1"/>
    <col min="12" max="12" width="1.7109375" customWidth="1"/>
    <col min="13" max="13" width="13.7109375" style="49" customWidth="1"/>
    <col min="14" max="14" width="13.7109375" style="7" customWidth="1"/>
    <col min="15" max="15" width="13.7109375" style="49" customWidth="1"/>
    <col min="16" max="16" width="13.7109375" style="7" customWidth="1"/>
    <col min="17" max="17" width="13.7109375" style="49" customWidth="1"/>
    <col min="18" max="19" width="13.7109375" style="7" customWidth="1"/>
    <col min="20" max="21" width="13.7109375" style="7" hidden="1" customWidth="1" outlineLevel="1"/>
    <col min="22" max="22" width="76.28515625" style="7" bestFit="1" customWidth="1" outlineLevel="1"/>
    <col min="23" max="23" width="75" style="7" customWidth="1"/>
    <col min="24" max="24" width="2.7109375" customWidth="1"/>
  </cols>
  <sheetData>
    <row r="2" spans="2:24" s="2" customFormat="1" ht="65.099999999999994" customHeight="1" x14ac:dyDescent="0.25">
      <c r="B2" s="250" t="s">
        <v>89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2"/>
    </row>
    <row r="3" spans="2:24" s="194" customFormat="1" ht="36" x14ac:dyDescent="0.35">
      <c r="B3" s="270" t="s">
        <v>23</v>
      </c>
      <c r="C3" s="310" t="s">
        <v>25</v>
      </c>
      <c r="D3" s="310"/>
      <c r="E3" s="310"/>
      <c r="F3" s="310"/>
      <c r="G3" s="311"/>
      <c r="H3" s="196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253"/>
    </row>
    <row r="4" spans="2:24" s="194" customFormat="1" ht="31.5" x14ac:dyDescent="0.35">
      <c r="B4" s="266" t="s">
        <v>90</v>
      </c>
      <c r="C4" s="267" t="s">
        <v>92</v>
      </c>
      <c r="D4" s="267"/>
      <c r="E4" s="267"/>
      <c r="F4" s="267"/>
      <c r="G4" s="268"/>
      <c r="H4" s="198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254"/>
    </row>
    <row r="5" spans="2:24" s="194" customFormat="1" ht="31.5" x14ac:dyDescent="0.35">
      <c r="B5" s="269" t="s">
        <v>24</v>
      </c>
      <c r="C5" s="312">
        <v>42359</v>
      </c>
      <c r="D5" s="312"/>
      <c r="E5" s="312"/>
      <c r="F5" s="312"/>
      <c r="G5" s="313"/>
      <c r="H5" s="198"/>
      <c r="I5" s="31"/>
      <c r="J5" s="31"/>
      <c r="K5" s="31"/>
      <c r="L5" s="146"/>
      <c r="M5" s="348" t="s">
        <v>87</v>
      </c>
      <c r="N5" s="348"/>
      <c r="O5" s="348" t="s">
        <v>88</v>
      </c>
      <c r="P5" s="348"/>
      <c r="Q5" s="349" t="s">
        <v>91</v>
      </c>
      <c r="R5" s="349"/>
      <c r="S5" s="349"/>
      <c r="T5" s="31"/>
      <c r="U5" s="31"/>
      <c r="V5" s="31"/>
      <c r="W5" s="254"/>
    </row>
    <row r="6" spans="2:24" s="38" customFormat="1" ht="44.25" customHeight="1" x14ac:dyDescent="0.25">
      <c r="B6" s="314" t="s">
        <v>0</v>
      </c>
      <c r="C6" s="306" t="s">
        <v>7</v>
      </c>
      <c r="D6" s="319" t="s">
        <v>5</v>
      </c>
      <c r="E6" s="321" t="s">
        <v>1</v>
      </c>
      <c r="F6" s="323" t="s">
        <v>8</v>
      </c>
      <c r="G6" s="306" t="s">
        <v>18</v>
      </c>
      <c r="H6" s="306" t="s">
        <v>10</v>
      </c>
      <c r="I6" s="317" t="s">
        <v>2</v>
      </c>
      <c r="J6" s="306" t="s">
        <v>16</v>
      </c>
      <c r="K6" s="306" t="s">
        <v>9</v>
      </c>
      <c r="L6" s="146"/>
      <c r="M6" s="348"/>
      <c r="N6" s="348"/>
      <c r="O6" s="348"/>
      <c r="P6" s="348"/>
      <c r="Q6" s="349"/>
      <c r="R6" s="349"/>
      <c r="S6" s="349"/>
      <c r="T6" s="350" t="s">
        <v>174</v>
      </c>
      <c r="U6" s="350" t="s">
        <v>175</v>
      </c>
      <c r="V6" s="346" t="s">
        <v>210</v>
      </c>
      <c r="W6" s="346" t="s">
        <v>93</v>
      </c>
      <c r="X6" s="42"/>
    </row>
    <row r="7" spans="2:24" s="43" customFormat="1" ht="21" x14ac:dyDescent="0.25">
      <c r="B7" s="315"/>
      <c r="C7" s="316"/>
      <c r="D7" s="320"/>
      <c r="E7" s="322"/>
      <c r="F7" s="324"/>
      <c r="G7" s="316"/>
      <c r="H7" s="316"/>
      <c r="I7" s="318"/>
      <c r="J7" s="316"/>
      <c r="K7" s="307"/>
      <c r="L7" s="146"/>
      <c r="M7" s="147" t="s">
        <v>28</v>
      </c>
      <c r="N7" s="148" t="s">
        <v>14</v>
      </c>
      <c r="O7" s="147" t="s">
        <v>28</v>
      </c>
      <c r="P7" s="149" t="s">
        <v>14</v>
      </c>
      <c r="Q7" s="150" t="s">
        <v>28</v>
      </c>
      <c r="R7" s="151" t="s">
        <v>14</v>
      </c>
      <c r="S7" s="151" t="s">
        <v>163</v>
      </c>
      <c r="T7" s="351"/>
      <c r="U7" s="351"/>
      <c r="V7" s="347"/>
      <c r="W7" s="347"/>
    </row>
    <row r="8" spans="2:24" s="43" customFormat="1" ht="60" customHeight="1" x14ac:dyDescent="0.25">
      <c r="B8" s="297" t="s">
        <v>37</v>
      </c>
      <c r="C8" s="299" t="s">
        <v>215</v>
      </c>
      <c r="D8" s="299" t="s">
        <v>38</v>
      </c>
      <c r="E8" s="299" t="s">
        <v>39</v>
      </c>
      <c r="F8" s="299" t="s">
        <v>40</v>
      </c>
      <c r="G8" s="299" t="s">
        <v>140</v>
      </c>
      <c r="H8" s="308" t="s">
        <v>216</v>
      </c>
      <c r="I8" s="308">
        <v>0</v>
      </c>
      <c r="J8" s="303" t="s">
        <v>169</v>
      </c>
      <c r="K8" s="93" t="s">
        <v>4</v>
      </c>
      <c r="L8" s="146"/>
      <c r="M8" s="45"/>
      <c r="N8" s="336" t="str">
        <f>IF(M8="","",IF(M8&lt;=M9,1,0))</f>
        <v/>
      </c>
      <c r="O8" s="45"/>
      <c r="P8" s="336" t="str">
        <f>IF(O8="","",IF(O8&lt;=O9,1,0))</f>
        <v/>
      </c>
      <c r="Q8" s="121"/>
      <c r="R8" s="336" t="str">
        <f>IF(Q8="","",IF(Q8&lt;=Q9,1,0))</f>
        <v/>
      </c>
      <c r="S8" s="341" t="str">
        <f>IF(ISBLANK(Q8),"",IFERROR(Q8-Q9,""))</f>
        <v/>
      </c>
      <c r="T8" s="295" t="str">
        <f>IFERROR(R8*I8,"")</f>
        <v/>
      </c>
      <c r="U8" s="295" t="str">
        <f>IF(R8&lt;&gt;"",I8,"")</f>
        <v/>
      </c>
      <c r="V8" s="289" t="str">
        <f>IF(R8=0,"The initial risk identification is not accurate","")</f>
        <v/>
      </c>
      <c r="W8" s="331"/>
    </row>
    <row r="9" spans="2:24" s="43" customFormat="1" ht="60" customHeight="1" x14ac:dyDescent="0.25">
      <c r="B9" s="298"/>
      <c r="C9" s="300"/>
      <c r="D9" s="300"/>
      <c r="E9" s="300"/>
      <c r="F9" s="300"/>
      <c r="G9" s="300"/>
      <c r="H9" s="309"/>
      <c r="I9" s="309"/>
      <c r="J9" s="304"/>
      <c r="K9" s="94" t="s">
        <v>130</v>
      </c>
      <c r="L9" s="146"/>
      <c r="M9" s="46">
        <v>0</v>
      </c>
      <c r="N9" s="337"/>
      <c r="O9" s="46">
        <v>0</v>
      </c>
      <c r="P9" s="337"/>
      <c r="Q9" s="122">
        <v>0</v>
      </c>
      <c r="R9" s="337"/>
      <c r="S9" s="342"/>
      <c r="T9" s="296"/>
      <c r="U9" s="296"/>
      <c r="V9" s="290"/>
      <c r="W9" s="332"/>
    </row>
    <row r="10" spans="2:24" s="43" customFormat="1" ht="60" customHeight="1" x14ac:dyDescent="0.25">
      <c r="B10" s="297" t="s">
        <v>41</v>
      </c>
      <c r="C10" s="299" t="s">
        <v>217</v>
      </c>
      <c r="D10" s="299" t="s">
        <v>42</v>
      </c>
      <c r="E10" s="299" t="s">
        <v>43</v>
      </c>
      <c r="F10" s="299" t="s">
        <v>44</v>
      </c>
      <c r="G10" s="299" t="s">
        <v>146</v>
      </c>
      <c r="H10" s="299" t="s">
        <v>218</v>
      </c>
      <c r="I10" s="308">
        <v>0</v>
      </c>
      <c r="J10" s="303" t="s">
        <v>169</v>
      </c>
      <c r="K10" s="93" t="s">
        <v>4</v>
      </c>
      <c r="L10" s="146"/>
      <c r="M10" s="45"/>
      <c r="N10" s="336" t="str">
        <f>IF(M10="","",IF(M10&lt;=M11,1,0))</f>
        <v/>
      </c>
      <c r="O10" s="45"/>
      <c r="P10" s="336" t="str">
        <f>IF(O10="","",IF(O10&lt;=O11,1,0))</f>
        <v/>
      </c>
      <c r="Q10" s="123"/>
      <c r="R10" s="336" t="str">
        <f>IF(Q10="","",IF(Q10&lt;=Q11,1,0))</f>
        <v/>
      </c>
      <c r="S10" s="341" t="str">
        <f>IF(ISBLANK(Q10),"",IFERROR(Q10-Q11,""))</f>
        <v/>
      </c>
      <c r="T10" s="295" t="str">
        <f t="shared" ref="T10:T25" si="0">IFERROR(R10*I10,"")</f>
        <v/>
      </c>
      <c r="U10" s="295" t="str">
        <f t="shared" ref="U10" si="1">IF(R10&lt;&gt;"",I10,"")</f>
        <v/>
      </c>
      <c r="V10" s="289" t="str">
        <f>IF(R10=0,"The Quantities Breakdown wasn’t completed ontime","")</f>
        <v/>
      </c>
      <c r="W10" s="333"/>
    </row>
    <row r="11" spans="2:24" s="43" customFormat="1" ht="60" customHeight="1" x14ac:dyDescent="0.25">
      <c r="B11" s="298"/>
      <c r="C11" s="300"/>
      <c r="D11" s="300"/>
      <c r="E11" s="300"/>
      <c r="F11" s="300"/>
      <c r="G11" s="300"/>
      <c r="H11" s="300"/>
      <c r="I11" s="309"/>
      <c r="J11" s="304"/>
      <c r="K11" s="94" t="s">
        <v>130</v>
      </c>
      <c r="L11" s="146"/>
      <c r="M11" s="46">
        <v>0</v>
      </c>
      <c r="N11" s="337"/>
      <c r="O11" s="46">
        <v>0</v>
      </c>
      <c r="P11" s="337"/>
      <c r="Q11" s="122">
        <v>0</v>
      </c>
      <c r="R11" s="337"/>
      <c r="S11" s="342"/>
      <c r="T11" s="296"/>
      <c r="U11" s="296"/>
      <c r="V11" s="290"/>
      <c r="W11" s="334"/>
    </row>
    <row r="12" spans="2:24" s="43" customFormat="1" ht="60" customHeight="1" x14ac:dyDescent="0.25">
      <c r="B12" s="297" t="s">
        <v>45</v>
      </c>
      <c r="C12" s="299" t="s">
        <v>107</v>
      </c>
      <c r="D12" s="299" t="s">
        <v>38</v>
      </c>
      <c r="E12" s="299" t="s">
        <v>46</v>
      </c>
      <c r="F12" s="299" t="s">
        <v>47</v>
      </c>
      <c r="G12" s="301" t="s">
        <v>142</v>
      </c>
      <c r="H12" s="299" t="s">
        <v>108</v>
      </c>
      <c r="I12" s="299">
        <v>1</v>
      </c>
      <c r="J12" s="303" t="s">
        <v>170</v>
      </c>
      <c r="K12" s="93" t="s">
        <v>4</v>
      </c>
      <c r="L12" s="146"/>
      <c r="M12" s="180"/>
      <c r="N12" s="336" t="str">
        <f>IF(M12="","",IF(M12&lt;=M13,1,0))</f>
        <v/>
      </c>
      <c r="O12" s="180"/>
      <c r="P12" s="336" t="str">
        <f>IF(O12="","",IF(O12&lt;=O13,1,0))</f>
        <v/>
      </c>
      <c r="Q12" s="180">
        <v>0.24</v>
      </c>
      <c r="R12" s="336">
        <f>IF(Q12="","",IF(Q12&lt;=Q13,1,0))</f>
        <v>0</v>
      </c>
      <c r="S12" s="343">
        <f>IF(ISBLANK(Q12),"",IFERROR((Q12-Q13)/Q13,""))</f>
        <v>1.3999999999999997</v>
      </c>
      <c r="T12" s="295">
        <f t="shared" si="0"/>
        <v>0</v>
      </c>
      <c r="U12" s="295">
        <f t="shared" ref="U12" si="2">IF(R12&lt;&gt;"",I12,"")</f>
        <v>1</v>
      </c>
      <c r="V12" s="289" t="str">
        <f>IF(R12=0,"There's a large number of Critical Activities","")</f>
        <v>There's a large number of Critical Activities</v>
      </c>
      <c r="W12" s="333"/>
    </row>
    <row r="13" spans="2:24" s="43" customFormat="1" ht="60" customHeight="1" x14ac:dyDescent="0.25">
      <c r="B13" s="298"/>
      <c r="C13" s="300"/>
      <c r="D13" s="300"/>
      <c r="E13" s="300"/>
      <c r="F13" s="300"/>
      <c r="G13" s="302"/>
      <c r="H13" s="300"/>
      <c r="I13" s="300"/>
      <c r="J13" s="304"/>
      <c r="K13" s="94" t="s">
        <v>130</v>
      </c>
      <c r="L13" s="146"/>
      <c r="M13" s="47">
        <v>0.1</v>
      </c>
      <c r="N13" s="337"/>
      <c r="O13" s="47">
        <v>0.1</v>
      </c>
      <c r="P13" s="337"/>
      <c r="Q13" s="124">
        <v>0.1</v>
      </c>
      <c r="R13" s="337"/>
      <c r="S13" s="344"/>
      <c r="T13" s="296"/>
      <c r="U13" s="296"/>
      <c r="V13" s="290"/>
      <c r="W13" s="334"/>
    </row>
    <row r="14" spans="2:24" s="43" customFormat="1" ht="60" customHeight="1" x14ac:dyDescent="0.25">
      <c r="B14" s="297" t="s">
        <v>48</v>
      </c>
      <c r="C14" s="299" t="s">
        <v>107</v>
      </c>
      <c r="D14" s="299" t="s">
        <v>38</v>
      </c>
      <c r="E14" s="299" t="s">
        <v>46</v>
      </c>
      <c r="F14" s="299" t="s">
        <v>49</v>
      </c>
      <c r="G14" s="299" t="s">
        <v>145</v>
      </c>
      <c r="H14" s="299" t="s">
        <v>110</v>
      </c>
      <c r="I14" s="299">
        <v>1</v>
      </c>
      <c r="J14" s="339" t="s">
        <v>171</v>
      </c>
      <c r="K14" s="93" t="s">
        <v>4</v>
      </c>
      <c r="L14" s="146"/>
      <c r="M14" s="180"/>
      <c r="N14" s="336" t="str">
        <f>IF(M14="","",IF(M14&lt;=M15,1,0))</f>
        <v/>
      </c>
      <c r="O14" s="180"/>
      <c r="P14" s="336" t="str">
        <f>IF(O14="","",IF(O14&lt;=O15,1,0))</f>
        <v/>
      </c>
      <c r="Q14" s="180">
        <v>0.13</v>
      </c>
      <c r="R14" s="336">
        <f>IF(Q14="","",IF(Q14&lt;=Q15,1,0))</f>
        <v>1</v>
      </c>
      <c r="S14" s="343">
        <f>IF(ISBLANK(Q14),"",IFERROR((Q14-Q15)/Q15,""))</f>
        <v>-0.35000000000000003</v>
      </c>
      <c r="T14" s="295">
        <f t="shared" si="0"/>
        <v>1</v>
      </c>
      <c r="U14" s="295">
        <f t="shared" ref="U14" si="3">IF(R14&lt;&gt;"",I14,"")</f>
        <v>1</v>
      </c>
      <c r="V14" s="289" t="str">
        <f>IF(R14=0,"There's a large number of Near Critical Activities","")</f>
        <v/>
      </c>
      <c r="W14" s="333"/>
    </row>
    <row r="15" spans="2:24" s="43" customFormat="1" ht="60" customHeight="1" x14ac:dyDescent="0.25">
      <c r="B15" s="298"/>
      <c r="C15" s="300"/>
      <c r="D15" s="300"/>
      <c r="E15" s="300"/>
      <c r="F15" s="300"/>
      <c r="G15" s="300"/>
      <c r="H15" s="300"/>
      <c r="I15" s="300"/>
      <c r="J15" s="340"/>
      <c r="K15" s="94" t="s">
        <v>130</v>
      </c>
      <c r="L15" s="146"/>
      <c r="M15" s="47">
        <v>0.2</v>
      </c>
      <c r="N15" s="337"/>
      <c r="O15" s="47">
        <v>0.2</v>
      </c>
      <c r="P15" s="337"/>
      <c r="Q15" s="124">
        <v>0.2</v>
      </c>
      <c r="R15" s="337"/>
      <c r="S15" s="344"/>
      <c r="T15" s="296"/>
      <c r="U15" s="296"/>
      <c r="V15" s="290"/>
      <c r="W15" s="334"/>
    </row>
    <row r="16" spans="2:24" s="43" customFormat="1" ht="60" customHeight="1" x14ac:dyDescent="0.25">
      <c r="B16" s="297" t="s">
        <v>50</v>
      </c>
      <c r="C16" s="325" t="s">
        <v>104</v>
      </c>
      <c r="D16" s="299" t="s">
        <v>38</v>
      </c>
      <c r="E16" s="299" t="s">
        <v>46</v>
      </c>
      <c r="F16" s="299" t="s">
        <v>51</v>
      </c>
      <c r="G16" s="301" t="s">
        <v>147</v>
      </c>
      <c r="H16" s="299" t="s">
        <v>109</v>
      </c>
      <c r="I16" s="299">
        <v>1</v>
      </c>
      <c r="J16" s="303" t="s">
        <v>172</v>
      </c>
      <c r="K16" s="93" t="s">
        <v>4</v>
      </c>
      <c r="L16" s="146"/>
      <c r="M16" s="180"/>
      <c r="N16" s="336" t="str">
        <f>IF(M16="","",IF(M16&lt;=M17,1,0))</f>
        <v/>
      </c>
      <c r="O16" s="180"/>
      <c r="P16" s="336" t="str">
        <f>IF(O16="","",IF(O16&lt;=O17,1,0))</f>
        <v/>
      </c>
      <c r="Q16" s="180">
        <v>0.18240000000000001</v>
      </c>
      <c r="R16" s="336">
        <f>IF(Q16="","",IF(Q16&lt;=Q17,1,0))</f>
        <v>0</v>
      </c>
      <c r="S16" s="343">
        <f>IF(ISBLANK(Q16),"",IFERROR((Q16-Q17)/Q17,""))</f>
        <v>2.6480000000000001</v>
      </c>
      <c r="T16" s="295">
        <f t="shared" si="0"/>
        <v>0</v>
      </c>
      <c r="U16" s="295">
        <f t="shared" ref="U16:U25" si="4">IF(R16&lt;&gt;"",I16,"")</f>
        <v>1</v>
      </c>
      <c r="V16" s="289" t="str">
        <f>IF(R16=0,"Concrete Construction Activities have long durations","")</f>
        <v>Concrete Construction Activities have long durations</v>
      </c>
      <c r="W16" s="333"/>
    </row>
    <row r="17" spans="2:23" s="43" customFormat="1" ht="60" customHeight="1" x14ac:dyDescent="0.25">
      <c r="B17" s="298"/>
      <c r="C17" s="326"/>
      <c r="D17" s="300"/>
      <c r="E17" s="300"/>
      <c r="F17" s="300"/>
      <c r="G17" s="302"/>
      <c r="H17" s="300"/>
      <c r="I17" s="300"/>
      <c r="J17" s="304"/>
      <c r="K17" s="94" t="s">
        <v>130</v>
      </c>
      <c r="L17" s="146"/>
      <c r="M17" s="55">
        <v>0.05</v>
      </c>
      <c r="N17" s="337"/>
      <c r="O17" s="55">
        <v>0.05</v>
      </c>
      <c r="P17" s="337"/>
      <c r="Q17" s="125">
        <v>0.05</v>
      </c>
      <c r="R17" s="337"/>
      <c r="S17" s="344"/>
      <c r="T17" s="296"/>
      <c r="U17" s="296"/>
      <c r="V17" s="290"/>
      <c r="W17" s="334"/>
    </row>
    <row r="18" spans="2:23" s="43" customFormat="1" ht="60" customHeight="1" x14ac:dyDescent="0.25">
      <c r="B18" s="297" t="s">
        <v>102</v>
      </c>
      <c r="C18" s="325" t="s">
        <v>104</v>
      </c>
      <c r="D18" s="299" t="s">
        <v>38</v>
      </c>
      <c r="E18" s="299" t="s">
        <v>46</v>
      </c>
      <c r="F18" s="299" t="s">
        <v>51</v>
      </c>
      <c r="G18" s="301" t="s">
        <v>148</v>
      </c>
      <c r="H18" s="299" t="s">
        <v>109</v>
      </c>
      <c r="I18" s="299">
        <v>1</v>
      </c>
      <c r="J18" s="303" t="s">
        <v>128</v>
      </c>
      <c r="K18" s="93" t="s">
        <v>4</v>
      </c>
      <c r="L18" s="146"/>
      <c r="M18" s="180"/>
      <c r="N18" s="336" t="str">
        <f>IF(M18="","",IF(M18&lt;=M19,1,0))</f>
        <v/>
      </c>
      <c r="O18" s="180"/>
      <c r="P18" s="336" t="str">
        <f>IF(O18="","",IF(O18&lt;=O19,1,0))</f>
        <v/>
      </c>
      <c r="Q18" s="180"/>
      <c r="R18" s="336" t="str">
        <f>IF(Q18="","",IF(Q18&lt;=Q19,1,0))</f>
        <v/>
      </c>
      <c r="S18" s="343" t="str">
        <f>IF(ISBLANK(Q18),"",IFERROR((Q18-Q19)/Q19,""))</f>
        <v/>
      </c>
      <c r="T18" s="295" t="str">
        <f>IFERROR(R18*I18,"")</f>
        <v/>
      </c>
      <c r="U18" s="295" t="str">
        <f t="shared" ref="U18" si="5">IF(R18&lt;&gt;"",I18,"")</f>
        <v/>
      </c>
      <c r="V18" s="289" t="str">
        <f>IF(R18=0,"Finishing Construction Activities have long durations","")</f>
        <v/>
      </c>
      <c r="W18" s="333"/>
    </row>
    <row r="19" spans="2:23" s="43" customFormat="1" ht="60" customHeight="1" x14ac:dyDescent="0.25">
      <c r="B19" s="298"/>
      <c r="C19" s="326"/>
      <c r="D19" s="300"/>
      <c r="E19" s="300"/>
      <c r="F19" s="300"/>
      <c r="G19" s="302"/>
      <c r="H19" s="300"/>
      <c r="I19" s="300"/>
      <c r="J19" s="304"/>
      <c r="K19" s="94" t="s">
        <v>130</v>
      </c>
      <c r="L19" s="146"/>
      <c r="M19" s="55">
        <v>0.25</v>
      </c>
      <c r="N19" s="338"/>
      <c r="O19" s="55">
        <v>0.25</v>
      </c>
      <c r="P19" s="338"/>
      <c r="Q19" s="125">
        <v>0.25</v>
      </c>
      <c r="R19" s="338"/>
      <c r="S19" s="345"/>
      <c r="T19" s="296"/>
      <c r="U19" s="296"/>
      <c r="V19" s="290"/>
      <c r="W19" s="334"/>
    </row>
    <row r="20" spans="2:23" s="43" customFormat="1" ht="60" customHeight="1" x14ac:dyDescent="0.25">
      <c r="B20" s="297" t="s">
        <v>52</v>
      </c>
      <c r="C20" s="325" t="s">
        <v>104</v>
      </c>
      <c r="D20" s="299" t="s">
        <v>38</v>
      </c>
      <c r="E20" s="299" t="s">
        <v>46</v>
      </c>
      <c r="F20" s="299" t="s">
        <v>51</v>
      </c>
      <c r="G20" s="301" t="s">
        <v>149</v>
      </c>
      <c r="H20" s="299" t="s">
        <v>53</v>
      </c>
      <c r="I20" s="299">
        <v>1</v>
      </c>
      <c r="J20" s="299" t="s">
        <v>219</v>
      </c>
      <c r="K20" s="95" t="s">
        <v>4</v>
      </c>
      <c r="L20" s="146"/>
      <c r="M20" s="126"/>
      <c r="N20" s="336" t="str">
        <f>IF(M20="","",IF(M20&gt;=M22,0,IF(M20&gt;=M21,1,0)))</f>
        <v/>
      </c>
      <c r="O20" s="126"/>
      <c r="P20" s="336" t="str">
        <f>IF(O20="","",IF(O20&gt;=O22,0,IF(O20&gt;=O21,1,0)))</f>
        <v/>
      </c>
      <c r="Q20" s="126">
        <v>4422</v>
      </c>
      <c r="R20" s="336">
        <f>IF(Q20="","",IF(Q20&gt;=Q22,0,IF(Q20&gt;=Q21,1,0)))</f>
        <v>1</v>
      </c>
      <c r="S20" s="135"/>
      <c r="T20" s="295">
        <f>IFERROR(R20*I20,"")</f>
        <v>1</v>
      </c>
      <c r="U20" s="295">
        <f t="shared" ref="U20" si="6">IF(R20&lt;&gt;"",I20,"")</f>
        <v>1</v>
      </c>
      <c r="V20" s="291" t="str">
        <f>IF(Q20&gt;Q22,"Large number of activities",IF(Q20&lt;Q21,"Limited number of activities",""))</f>
        <v/>
      </c>
      <c r="W20" s="335"/>
    </row>
    <row r="21" spans="2:23" s="43" customFormat="1" ht="60" customHeight="1" x14ac:dyDescent="0.25">
      <c r="B21" s="328"/>
      <c r="C21" s="329"/>
      <c r="D21" s="327"/>
      <c r="E21" s="327"/>
      <c r="F21" s="327"/>
      <c r="G21" s="330"/>
      <c r="H21" s="327"/>
      <c r="I21" s="327"/>
      <c r="J21" s="327"/>
      <c r="K21" s="96" t="s">
        <v>131</v>
      </c>
      <c r="L21" s="146"/>
      <c r="M21" s="48">
        <v>3000</v>
      </c>
      <c r="N21" s="338"/>
      <c r="O21" s="48">
        <v>3000</v>
      </c>
      <c r="P21" s="338"/>
      <c r="Q21" s="127">
        <v>3000</v>
      </c>
      <c r="R21" s="338"/>
      <c r="S21" s="187">
        <f>IF(ISBLANK(Q20),"",IFERROR(Q20-Q21,""))</f>
        <v>1422</v>
      </c>
      <c r="T21" s="305"/>
      <c r="U21" s="305"/>
      <c r="V21" s="291"/>
      <c r="W21" s="335"/>
    </row>
    <row r="22" spans="2:23" s="43" customFormat="1" ht="60" customHeight="1" x14ac:dyDescent="0.25">
      <c r="B22" s="298"/>
      <c r="C22" s="326"/>
      <c r="D22" s="300"/>
      <c r="E22" s="300"/>
      <c r="F22" s="300"/>
      <c r="G22" s="302"/>
      <c r="H22" s="300"/>
      <c r="I22" s="300"/>
      <c r="J22" s="300"/>
      <c r="K22" s="94" t="s">
        <v>130</v>
      </c>
      <c r="L22" s="146"/>
      <c r="M22" s="48">
        <v>7000</v>
      </c>
      <c r="N22" s="337"/>
      <c r="O22" s="48">
        <v>7000</v>
      </c>
      <c r="P22" s="337"/>
      <c r="Q22" s="127">
        <v>7000</v>
      </c>
      <c r="R22" s="337"/>
      <c r="S22" s="185">
        <f>IF(ISBLANK(Q20),"",IFERROR(Q20-Q22,""))</f>
        <v>-2578</v>
      </c>
      <c r="T22" s="296"/>
      <c r="U22" s="296"/>
      <c r="V22" s="291"/>
      <c r="W22" s="335"/>
    </row>
    <row r="23" spans="2:23" s="43" customFormat="1" ht="60" customHeight="1" x14ac:dyDescent="0.25">
      <c r="B23" s="297" t="s">
        <v>54</v>
      </c>
      <c r="C23" s="325" t="s">
        <v>104</v>
      </c>
      <c r="D23" s="299" t="s">
        <v>38</v>
      </c>
      <c r="E23" s="299" t="s">
        <v>46</v>
      </c>
      <c r="F23" s="299" t="s">
        <v>55</v>
      </c>
      <c r="G23" s="301" t="s">
        <v>56</v>
      </c>
      <c r="H23" s="299" t="s">
        <v>57</v>
      </c>
      <c r="I23" s="299">
        <v>1</v>
      </c>
      <c r="J23" s="325">
        <f>0</f>
        <v>0</v>
      </c>
      <c r="K23" s="95" t="s">
        <v>4</v>
      </c>
      <c r="L23" s="146"/>
      <c r="M23" s="57"/>
      <c r="N23" s="338" t="str">
        <f>IF(M23="","",IF(M23&lt;=M24,1,0))</f>
        <v/>
      </c>
      <c r="O23" s="57"/>
      <c r="P23" s="338" t="str">
        <f>IF(O23="","",IF(O23&lt;=O24,1,0))</f>
        <v/>
      </c>
      <c r="Q23" s="128"/>
      <c r="R23" s="338" t="str">
        <f>IF(Q23="","",IF(Q23&lt;=Q24,1,0))</f>
        <v/>
      </c>
      <c r="S23" s="341" t="str">
        <f>IF(ISBLANK(Q23),"",IFERROR(Q23-Q24,""))</f>
        <v/>
      </c>
      <c r="T23" s="295" t="str">
        <f t="shared" si="0"/>
        <v/>
      </c>
      <c r="U23" s="295" t="str">
        <f t="shared" si="4"/>
        <v/>
      </c>
      <c r="V23" s="289" t="str">
        <f>IF(R23=0,"There are open ended activities","")</f>
        <v/>
      </c>
      <c r="W23" s="333"/>
    </row>
    <row r="24" spans="2:23" s="43" customFormat="1" ht="60" customHeight="1" x14ac:dyDescent="0.25">
      <c r="B24" s="298"/>
      <c r="C24" s="326"/>
      <c r="D24" s="300"/>
      <c r="E24" s="300"/>
      <c r="F24" s="300"/>
      <c r="G24" s="302"/>
      <c r="H24" s="300"/>
      <c r="I24" s="300"/>
      <c r="J24" s="326"/>
      <c r="K24" s="94" t="s">
        <v>130</v>
      </c>
      <c r="L24" s="146"/>
      <c r="M24" s="46">
        <v>0</v>
      </c>
      <c r="N24" s="337"/>
      <c r="O24" s="46">
        <v>0</v>
      </c>
      <c r="P24" s="337"/>
      <c r="Q24" s="122">
        <v>0</v>
      </c>
      <c r="R24" s="337"/>
      <c r="S24" s="342"/>
      <c r="T24" s="296"/>
      <c r="U24" s="296"/>
      <c r="V24" s="290"/>
      <c r="W24" s="334"/>
    </row>
    <row r="25" spans="2:23" s="43" customFormat="1" ht="60" customHeight="1" x14ac:dyDescent="0.25">
      <c r="B25" s="297" t="s">
        <v>58</v>
      </c>
      <c r="C25" s="325" t="s">
        <v>104</v>
      </c>
      <c r="D25" s="299" t="s">
        <v>38</v>
      </c>
      <c r="E25" s="299" t="s">
        <v>46</v>
      </c>
      <c r="F25" s="299" t="s">
        <v>55</v>
      </c>
      <c r="G25" s="299" t="s">
        <v>150</v>
      </c>
      <c r="H25" s="299" t="s">
        <v>111</v>
      </c>
      <c r="I25" s="299">
        <v>1</v>
      </c>
      <c r="J25" s="325">
        <v>0</v>
      </c>
      <c r="K25" s="95" t="s">
        <v>4</v>
      </c>
      <c r="L25" s="146"/>
      <c r="M25" s="57"/>
      <c r="N25" s="336" t="str">
        <f>IF(M25="","",IF(M25&lt;=M26,1,0))</f>
        <v/>
      </c>
      <c r="O25" s="57"/>
      <c r="P25" s="336" t="str">
        <f>IF(O25="","",IF(O25&lt;=O26,1,0))</f>
        <v/>
      </c>
      <c r="Q25" s="128"/>
      <c r="R25" s="336" t="str">
        <f>IF(Q25="","",IF(Q25&lt;=Q26,1,0))</f>
        <v/>
      </c>
      <c r="S25" s="341" t="str">
        <f>IF(ISBLANK(Q25),"",IFERROR(Q25-Q26,""))</f>
        <v/>
      </c>
      <c r="T25" s="295" t="str">
        <f t="shared" si="0"/>
        <v/>
      </c>
      <c r="U25" s="295" t="str">
        <f t="shared" si="4"/>
        <v/>
      </c>
      <c r="V25" s="289" t="str">
        <f>IF(R25=0,"There are activities without a predecessor ot Successor","")</f>
        <v/>
      </c>
      <c r="W25" s="333"/>
    </row>
    <row r="26" spans="2:23" s="43" customFormat="1" ht="60" customHeight="1" x14ac:dyDescent="0.25">
      <c r="B26" s="298"/>
      <c r="C26" s="326"/>
      <c r="D26" s="300"/>
      <c r="E26" s="300"/>
      <c r="F26" s="300"/>
      <c r="G26" s="300"/>
      <c r="H26" s="300"/>
      <c r="I26" s="300"/>
      <c r="J26" s="326"/>
      <c r="K26" s="94" t="s">
        <v>130</v>
      </c>
      <c r="L26" s="146"/>
      <c r="M26" s="46">
        <v>0</v>
      </c>
      <c r="N26" s="337"/>
      <c r="O26" s="46">
        <v>0</v>
      </c>
      <c r="P26" s="337"/>
      <c r="Q26" s="122">
        <v>0</v>
      </c>
      <c r="R26" s="337"/>
      <c r="S26" s="342"/>
      <c r="T26" s="296"/>
      <c r="U26" s="296"/>
      <c r="V26" s="290"/>
      <c r="W26" s="334"/>
    </row>
    <row r="27" spans="2:23" ht="9.9499999999999993" customHeight="1" x14ac:dyDescent="0.5">
      <c r="B27" s="227"/>
      <c r="C27" s="58"/>
      <c r="D27" s="58"/>
      <c r="E27" s="58"/>
      <c r="F27" s="58"/>
      <c r="G27" s="58"/>
      <c r="H27" s="58"/>
      <c r="I27" s="58"/>
      <c r="J27" s="58"/>
      <c r="K27" s="58"/>
      <c r="L27" s="56"/>
      <c r="M27" s="58"/>
      <c r="N27" s="58"/>
      <c r="O27" s="58"/>
      <c r="P27" s="58"/>
      <c r="Q27" s="58"/>
      <c r="R27" s="129"/>
      <c r="S27" s="136"/>
      <c r="T27" s="136"/>
      <c r="U27" s="152"/>
      <c r="V27" s="248"/>
      <c r="W27" s="255"/>
    </row>
    <row r="28" spans="2:23" s="65" customFormat="1" ht="39.950000000000003" customHeight="1" x14ac:dyDescent="0.25">
      <c r="B28" s="229" t="s">
        <v>95</v>
      </c>
      <c r="C28" s="63"/>
      <c r="D28" s="63"/>
      <c r="E28" s="63"/>
      <c r="F28" s="63"/>
      <c r="G28" s="63"/>
      <c r="H28" s="63"/>
      <c r="I28" s="63"/>
      <c r="J28" s="63"/>
      <c r="K28" s="63"/>
      <c r="L28" s="64"/>
      <c r="M28" s="63"/>
      <c r="N28" s="63"/>
      <c r="O28" s="63"/>
      <c r="P28" s="61"/>
      <c r="Q28" s="66">
        <f>IFERROR(T28/U28,"")</f>
        <v>0.5</v>
      </c>
      <c r="R28" s="116">
        <f>Q28</f>
        <v>0.5</v>
      </c>
      <c r="S28" s="79"/>
      <c r="T28" s="186">
        <f>SUM(T8:T27)</f>
        <v>2</v>
      </c>
      <c r="U28" s="186">
        <f>SUM(U8:U27)</f>
        <v>4</v>
      </c>
      <c r="V28" s="249"/>
      <c r="W28" s="256"/>
    </row>
    <row r="29" spans="2:23" ht="9.9499999999999993" customHeight="1" x14ac:dyDescent="0.3">
      <c r="B29" s="227"/>
      <c r="C29" s="58"/>
      <c r="D29" s="58"/>
      <c r="E29" s="58"/>
      <c r="F29" s="58"/>
      <c r="G29" s="58"/>
      <c r="H29" s="58"/>
      <c r="I29" s="58"/>
      <c r="J29" s="58"/>
      <c r="K29" s="58"/>
      <c r="L29" s="56"/>
      <c r="M29" s="58"/>
      <c r="N29" s="58"/>
      <c r="O29" s="58"/>
      <c r="P29" s="58"/>
      <c r="Q29" s="58"/>
      <c r="R29" s="58"/>
      <c r="S29" s="92"/>
      <c r="T29" s="92"/>
      <c r="U29" s="92"/>
      <c r="V29" s="247"/>
      <c r="W29" s="255"/>
    </row>
    <row r="30" spans="2:23" ht="39.950000000000003" customHeight="1" x14ac:dyDescent="0.25">
      <c r="B30" s="292" t="s">
        <v>94</v>
      </c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4"/>
    </row>
    <row r="31" spans="2:23" s="30" customFormat="1" ht="21" x14ac:dyDescent="0.35">
      <c r="B31" s="257"/>
      <c r="C31" s="131"/>
      <c r="D31" s="131"/>
      <c r="E31" s="131"/>
      <c r="F31" s="131"/>
      <c r="G31" s="131"/>
      <c r="H31" s="131"/>
      <c r="I31" s="132"/>
      <c r="J31" s="131"/>
      <c r="K31" s="131"/>
      <c r="L31" s="131"/>
      <c r="M31" s="133"/>
      <c r="N31" s="134"/>
      <c r="O31" s="133"/>
      <c r="P31" s="134"/>
      <c r="Q31" s="133"/>
      <c r="R31" s="134"/>
      <c r="S31" s="134"/>
      <c r="T31" s="134"/>
      <c r="U31" s="134"/>
      <c r="V31" s="134"/>
      <c r="W31" s="258"/>
    </row>
    <row r="32" spans="2:23" s="30" customFormat="1" ht="21" x14ac:dyDescent="0.35">
      <c r="B32" s="257" t="s">
        <v>164</v>
      </c>
      <c r="C32" s="131"/>
      <c r="D32" s="131"/>
      <c r="E32" s="131"/>
      <c r="F32" s="131"/>
      <c r="G32" s="131"/>
      <c r="H32" s="131"/>
      <c r="I32" s="132"/>
      <c r="J32" s="131"/>
      <c r="K32" s="131"/>
      <c r="L32" s="131"/>
      <c r="M32" s="133"/>
      <c r="N32" s="134"/>
      <c r="O32" s="133"/>
      <c r="P32" s="134"/>
      <c r="Q32" s="133"/>
      <c r="R32" s="134"/>
      <c r="S32" s="134"/>
      <c r="T32" s="134"/>
      <c r="U32" s="134"/>
      <c r="V32" s="134"/>
      <c r="W32" s="258"/>
    </row>
    <row r="33" spans="2:23" s="30" customFormat="1" ht="21" x14ac:dyDescent="0.35">
      <c r="B33" s="257"/>
      <c r="C33" s="131"/>
      <c r="D33" s="131"/>
      <c r="E33" s="131"/>
      <c r="F33" s="131"/>
      <c r="G33" s="131"/>
      <c r="H33" s="131"/>
      <c r="I33" s="132"/>
      <c r="J33" s="131"/>
      <c r="K33" s="131"/>
      <c r="L33" s="131"/>
      <c r="M33" s="133"/>
      <c r="N33" s="134"/>
      <c r="O33" s="133"/>
      <c r="P33" s="134"/>
      <c r="Q33" s="133"/>
      <c r="R33" s="134"/>
      <c r="S33" s="134"/>
      <c r="T33" s="134"/>
      <c r="U33" s="134"/>
      <c r="V33" s="134"/>
      <c r="W33" s="258"/>
    </row>
    <row r="34" spans="2:23" s="30" customFormat="1" ht="21" x14ac:dyDescent="0.35">
      <c r="B34" s="257"/>
      <c r="C34" s="131"/>
      <c r="D34" s="131"/>
      <c r="E34" s="131"/>
      <c r="F34" s="131"/>
      <c r="G34" s="131"/>
      <c r="H34" s="131"/>
      <c r="I34" s="132"/>
      <c r="J34" s="131"/>
      <c r="K34" s="131"/>
      <c r="L34" s="131"/>
      <c r="M34" s="133"/>
      <c r="N34" s="134"/>
      <c r="O34" s="133"/>
      <c r="P34" s="134"/>
      <c r="Q34" s="133"/>
      <c r="R34" s="134"/>
      <c r="S34" s="134"/>
      <c r="T34" s="134"/>
      <c r="U34" s="134"/>
      <c r="V34" s="134"/>
      <c r="W34" s="258"/>
    </row>
    <row r="35" spans="2:23" s="30" customFormat="1" ht="21" x14ac:dyDescent="0.35">
      <c r="B35" s="257"/>
      <c r="C35" s="131"/>
      <c r="D35" s="131"/>
      <c r="E35" s="131"/>
      <c r="F35" s="131"/>
      <c r="G35" s="131"/>
      <c r="H35" s="131"/>
      <c r="I35" s="132"/>
      <c r="J35" s="131"/>
      <c r="K35" s="131"/>
      <c r="L35" s="131"/>
      <c r="M35" s="133"/>
      <c r="N35" s="134"/>
      <c r="O35" s="133"/>
      <c r="P35" s="134"/>
      <c r="Q35" s="133"/>
      <c r="R35" s="134"/>
      <c r="S35" s="134"/>
      <c r="T35" s="134"/>
      <c r="U35" s="134"/>
      <c r="V35" s="134"/>
      <c r="W35" s="258"/>
    </row>
    <row r="36" spans="2:23" s="30" customFormat="1" ht="21" x14ac:dyDescent="0.35">
      <c r="B36" s="257"/>
      <c r="C36" s="131"/>
      <c r="D36" s="131"/>
      <c r="E36" s="131"/>
      <c r="F36" s="131"/>
      <c r="G36" s="131"/>
      <c r="H36" s="131"/>
      <c r="I36" s="132"/>
      <c r="J36" s="131"/>
      <c r="K36" s="131"/>
      <c r="L36" s="131"/>
      <c r="M36" s="133"/>
      <c r="N36" s="134"/>
      <c r="O36" s="133"/>
      <c r="P36" s="134"/>
      <c r="Q36" s="133"/>
      <c r="R36" s="134"/>
      <c r="S36" s="134"/>
      <c r="T36" s="134"/>
      <c r="U36" s="134"/>
      <c r="V36" s="134"/>
      <c r="W36" s="258"/>
    </row>
    <row r="37" spans="2:23" s="30" customFormat="1" ht="21" x14ac:dyDescent="0.35">
      <c r="B37" s="257"/>
      <c r="C37" s="131"/>
      <c r="D37" s="131"/>
      <c r="E37" s="131"/>
      <c r="F37" s="131"/>
      <c r="G37" s="131"/>
      <c r="H37" s="131"/>
      <c r="I37" s="132"/>
      <c r="J37" s="131"/>
      <c r="K37" s="131"/>
      <c r="L37" s="131"/>
      <c r="M37" s="133"/>
      <c r="N37" s="134"/>
      <c r="O37" s="133"/>
      <c r="P37" s="134"/>
      <c r="Q37" s="133"/>
      <c r="R37" s="134"/>
      <c r="S37" s="134"/>
      <c r="T37" s="134"/>
      <c r="U37" s="134"/>
      <c r="V37" s="134"/>
      <c r="W37" s="258"/>
    </row>
    <row r="38" spans="2:23" s="30" customFormat="1" ht="21" x14ac:dyDescent="0.35">
      <c r="B38" s="257"/>
      <c r="C38" s="131"/>
      <c r="D38" s="131"/>
      <c r="E38" s="131"/>
      <c r="F38" s="131"/>
      <c r="G38" s="131"/>
      <c r="H38" s="131"/>
      <c r="I38" s="132"/>
      <c r="J38" s="131"/>
      <c r="K38" s="131"/>
      <c r="L38" s="131"/>
      <c r="M38" s="133"/>
      <c r="N38" s="134"/>
      <c r="O38" s="133"/>
      <c r="P38" s="134"/>
      <c r="Q38" s="133"/>
      <c r="R38" s="134"/>
      <c r="S38" s="134"/>
      <c r="T38" s="134"/>
      <c r="U38" s="134"/>
      <c r="V38" s="134"/>
      <c r="W38" s="258"/>
    </row>
    <row r="39" spans="2:23" s="30" customFormat="1" ht="21" x14ac:dyDescent="0.35">
      <c r="B39" s="257"/>
      <c r="C39" s="131"/>
      <c r="D39" s="131"/>
      <c r="E39" s="131"/>
      <c r="F39" s="131"/>
      <c r="G39" s="131"/>
      <c r="H39" s="131"/>
      <c r="I39" s="132"/>
      <c r="J39" s="131"/>
      <c r="K39" s="131"/>
      <c r="L39" s="131"/>
      <c r="M39" s="133"/>
      <c r="N39" s="134"/>
      <c r="O39" s="133"/>
      <c r="P39" s="134"/>
      <c r="Q39" s="133"/>
      <c r="R39" s="134"/>
      <c r="S39" s="134"/>
      <c r="T39" s="134"/>
      <c r="U39" s="134"/>
      <c r="V39" s="134"/>
      <c r="W39" s="258"/>
    </row>
    <row r="40" spans="2:23" s="30" customFormat="1" ht="21" x14ac:dyDescent="0.35">
      <c r="B40" s="257"/>
      <c r="C40" s="131"/>
      <c r="D40" s="131"/>
      <c r="E40" s="131"/>
      <c r="F40" s="131"/>
      <c r="G40" s="131"/>
      <c r="H40" s="131"/>
      <c r="I40" s="132"/>
      <c r="J40" s="131"/>
      <c r="K40" s="131"/>
      <c r="L40" s="131"/>
      <c r="M40" s="133"/>
      <c r="N40" s="134"/>
      <c r="O40" s="133"/>
      <c r="P40" s="134"/>
      <c r="Q40" s="133"/>
      <c r="R40" s="134"/>
      <c r="S40" s="134"/>
      <c r="T40" s="134"/>
      <c r="U40" s="134"/>
      <c r="V40" s="134"/>
      <c r="W40" s="258"/>
    </row>
    <row r="41" spans="2:23" s="30" customFormat="1" ht="21" x14ac:dyDescent="0.35">
      <c r="B41" s="259"/>
      <c r="C41" s="260"/>
      <c r="D41" s="260"/>
      <c r="E41" s="260"/>
      <c r="F41" s="260"/>
      <c r="G41" s="260"/>
      <c r="H41" s="260"/>
      <c r="I41" s="261"/>
      <c r="J41" s="260"/>
      <c r="K41" s="260"/>
      <c r="L41" s="260"/>
      <c r="M41" s="262"/>
      <c r="N41" s="263"/>
      <c r="O41" s="262"/>
      <c r="P41" s="263"/>
      <c r="Q41" s="262"/>
      <c r="R41" s="263"/>
      <c r="S41" s="263"/>
      <c r="T41" s="263"/>
      <c r="U41" s="263"/>
      <c r="V41" s="263"/>
      <c r="W41" s="264"/>
    </row>
    <row r="46" spans="2:23" hidden="1" x14ac:dyDescent="0.25">
      <c r="Q46" s="62">
        <v>1</v>
      </c>
    </row>
    <row r="47" spans="2:23" hidden="1" x14ac:dyDescent="0.25">
      <c r="Q47" s="62">
        <v>0</v>
      </c>
    </row>
  </sheetData>
  <mergeCells count="172">
    <mergeCell ref="V6:V7"/>
    <mergeCell ref="V8:V9"/>
    <mergeCell ref="V10:V11"/>
    <mergeCell ref="V12:V13"/>
    <mergeCell ref="V14:V15"/>
    <mergeCell ref="W23:W24"/>
    <mergeCell ref="N8:N9"/>
    <mergeCell ref="T8:T9"/>
    <mergeCell ref="T10:T11"/>
    <mergeCell ref="T12:T13"/>
    <mergeCell ref="T14:T15"/>
    <mergeCell ref="U8:U9"/>
    <mergeCell ref="W6:W7"/>
    <mergeCell ref="R16:R17"/>
    <mergeCell ref="R20:R22"/>
    <mergeCell ref="N16:N17"/>
    <mergeCell ref="P16:P17"/>
    <mergeCell ref="N23:N24"/>
    <mergeCell ref="P23:P24"/>
    <mergeCell ref="R23:R24"/>
    <mergeCell ref="N18:N19"/>
    <mergeCell ref="M5:N6"/>
    <mergeCell ref="O5:P6"/>
    <mergeCell ref="Q5:S6"/>
    <mergeCell ref="T6:T7"/>
    <mergeCell ref="U6:U7"/>
    <mergeCell ref="U10:U11"/>
    <mergeCell ref="U12:U13"/>
    <mergeCell ref="U14:U15"/>
    <mergeCell ref="S16:S17"/>
    <mergeCell ref="S18:S19"/>
    <mergeCell ref="S23:S24"/>
    <mergeCell ref="S25:S26"/>
    <mergeCell ref="P8:P9"/>
    <mergeCell ref="R8:R9"/>
    <mergeCell ref="N10:N11"/>
    <mergeCell ref="P18:P19"/>
    <mergeCell ref="P10:P11"/>
    <mergeCell ref="R10:R11"/>
    <mergeCell ref="W8:W9"/>
    <mergeCell ref="W10:W11"/>
    <mergeCell ref="W12:W13"/>
    <mergeCell ref="W14:W15"/>
    <mergeCell ref="W16:W17"/>
    <mergeCell ref="W20:W22"/>
    <mergeCell ref="R25:R26"/>
    <mergeCell ref="N12:N13"/>
    <mergeCell ref="P12:P13"/>
    <mergeCell ref="R12:R13"/>
    <mergeCell ref="N14:N15"/>
    <mergeCell ref="P14:P15"/>
    <mergeCell ref="R14:R15"/>
    <mergeCell ref="N20:N22"/>
    <mergeCell ref="P20:P22"/>
    <mergeCell ref="R18:R19"/>
    <mergeCell ref="W18:W19"/>
    <mergeCell ref="W25:W26"/>
    <mergeCell ref="P25:P26"/>
    <mergeCell ref="N25:N26"/>
    <mergeCell ref="S8:S9"/>
    <mergeCell ref="S10:S11"/>
    <mergeCell ref="S12:S13"/>
    <mergeCell ref="S14:S15"/>
    <mergeCell ref="G25:G26"/>
    <mergeCell ref="H25:H26"/>
    <mergeCell ref="I25:I26"/>
    <mergeCell ref="J25:J26"/>
    <mergeCell ref="B25:B26"/>
    <mergeCell ref="C25:C26"/>
    <mergeCell ref="D25:D26"/>
    <mergeCell ref="E25:E26"/>
    <mergeCell ref="F25:F26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I20:I22"/>
    <mergeCell ref="J20:J22"/>
    <mergeCell ref="B20:B22"/>
    <mergeCell ref="C20:C22"/>
    <mergeCell ref="D20:D22"/>
    <mergeCell ref="E20:E22"/>
    <mergeCell ref="F20:F22"/>
    <mergeCell ref="G20:G22"/>
    <mergeCell ref="H20:H22"/>
    <mergeCell ref="I10:I11"/>
    <mergeCell ref="J10:J11"/>
    <mergeCell ref="B10:B11"/>
    <mergeCell ref="C10:C11"/>
    <mergeCell ref="D10:D11"/>
    <mergeCell ref="E10:E11"/>
    <mergeCell ref="F10:F11"/>
    <mergeCell ref="I18:I19"/>
    <mergeCell ref="J18:J19"/>
    <mergeCell ref="G16:G17"/>
    <mergeCell ref="H16:H17"/>
    <mergeCell ref="I16:I17"/>
    <mergeCell ref="J16:J17"/>
    <mergeCell ref="G14:G15"/>
    <mergeCell ref="H14:H15"/>
    <mergeCell ref="B18:B19"/>
    <mergeCell ref="C18:C19"/>
    <mergeCell ref="D18:D19"/>
    <mergeCell ref="E18:E19"/>
    <mergeCell ref="F18:F19"/>
    <mergeCell ref="G18:G19"/>
    <mergeCell ref="I14:I15"/>
    <mergeCell ref="J14:J15"/>
    <mergeCell ref="C3:G3"/>
    <mergeCell ref="C5:G5"/>
    <mergeCell ref="B6:B7"/>
    <mergeCell ref="C6:C7"/>
    <mergeCell ref="G6:G7"/>
    <mergeCell ref="H6:H7"/>
    <mergeCell ref="I6:I7"/>
    <mergeCell ref="J6:J7"/>
    <mergeCell ref="D6:D7"/>
    <mergeCell ref="E6:E7"/>
    <mergeCell ref="F6:F7"/>
    <mergeCell ref="U23:U24"/>
    <mergeCell ref="B14:B15"/>
    <mergeCell ref="C14:C15"/>
    <mergeCell ref="D14:D15"/>
    <mergeCell ref="E14:E15"/>
    <mergeCell ref="F14:F15"/>
    <mergeCell ref="K6:K7"/>
    <mergeCell ref="B8:B9"/>
    <mergeCell ref="C8:C9"/>
    <mergeCell ref="D8:D9"/>
    <mergeCell ref="E8:E9"/>
    <mergeCell ref="F8:F9"/>
    <mergeCell ref="G8:G9"/>
    <mergeCell ref="H8:H9"/>
    <mergeCell ref="I8:I9"/>
    <mergeCell ref="B16:B17"/>
    <mergeCell ref="C16:C17"/>
    <mergeCell ref="D16:D17"/>
    <mergeCell ref="E16:E17"/>
    <mergeCell ref="F16:F17"/>
    <mergeCell ref="H18:H19"/>
    <mergeCell ref="J8:J9"/>
    <mergeCell ref="G10:G11"/>
    <mergeCell ref="H10:H11"/>
    <mergeCell ref="V16:V17"/>
    <mergeCell ref="V18:V19"/>
    <mergeCell ref="V20:V22"/>
    <mergeCell ref="V23:V24"/>
    <mergeCell ref="V25:V26"/>
    <mergeCell ref="B30:W30"/>
    <mergeCell ref="U25:U26"/>
    <mergeCell ref="B12:B13"/>
    <mergeCell ref="C12:C13"/>
    <mergeCell ref="D12:D13"/>
    <mergeCell ref="E12:E13"/>
    <mergeCell ref="F12:F13"/>
    <mergeCell ref="G12:G13"/>
    <mergeCell ref="H12:H13"/>
    <mergeCell ref="J12:J13"/>
    <mergeCell ref="I12:I13"/>
    <mergeCell ref="T16:T17"/>
    <mergeCell ref="T18:T19"/>
    <mergeCell ref="T20:T22"/>
    <mergeCell ref="T23:T24"/>
    <mergeCell ref="T25:T26"/>
    <mergeCell ref="U16:U17"/>
    <mergeCell ref="U18:U19"/>
    <mergeCell ref="U20:U22"/>
  </mergeCells>
  <conditionalFormatting sqref="R28:S28">
    <cfRule type="iconSet" priority="35">
      <iconSet showValue="0">
        <cfvo type="percent" val="0"/>
        <cfvo type="num" val="0.6"/>
        <cfvo type="num" val="0.8"/>
      </iconSet>
    </cfRule>
  </conditionalFormatting>
  <conditionalFormatting sqref="Q46:Q47 Q28">
    <cfRule type="dataBar" priority="3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{BD55122A-C946-4F76-9ADB-AF7BAAAEEDE3}</x14:id>
        </ext>
      </extLst>
    </cfRule>
  </conditionalFormatting>
  <printOptions horizontalCentered="1"/>
  <pageMargins left="0.3" right="0.3" top="0.25" bottom="0.25" header="0.3" footer="0.3"/>
  <pageSetup paperSize="8" scale="3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55122A-C946-4F76-9ADB-AF7BAAAEE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Q46:Q47 Q28</xm:sqref>
        </x14:conditionalFormatting>
        <x14:conditionalFormatting xmlns:xm="http://schemas.microsoft.com/office/excel/2006/main">
          <x14:cfRule type="iconSet" priority="90" id="{9B251FDD-44CE-43A4-9EA7-DC5CA236E0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W8</xm:sqref>
        </x14:conditionalFormatting>
        <x14:conditionalFormatting xmlns:xm="http://schemas.microsoft.com/office/excel/2006/main">
          <x14:cfRule type="iconSet" priority="89" id="{14C7A478-0AC3-4846-8082-FFAC001A516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W10</xm:sqref>
        </x14:conditionalFormatting>
        <x14:conditionalFormatting xmlns:xm="http://schemas.microsoft.com/office/excel/2006/main">
          <x14:cfRule type="iconSet" priority="88" id="{3FEC8B5E-7CE3-4903-AD28-C05A4D7650D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W12</xm:sqref>
        </x14:conditionalFormatting>
        <x14:conditionalFormatting xmlns:xm="http://schemas.microsoft.com/office/excel/2006/main">
          <x14:cfRule type="iconSet" priority="87" id="{DC7407C7-2A06-4DDF-BC12-1F23524C967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W14</xm:sqref>
        </x14:conditionalFormatting>
        <x14:conditionalFormatting xmlns:xm="http://schemas.microsoft.com/office/excel/2006/main">
          <x14:cfRule type="iconSet" priority="86" id="{74081818-C420-4DEC-A402-9E661C7AD22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W16</xm:sqref>
        </x14:conditionalFormatting>
        <x14:conditionalFormatting xmlns:xm="http://schemas.microsoft.com/office/excel/2006/main">
          <x14:cfRule type="iconSet" priority="85" id="{3A97BEA2-444F-48E8-B825-43191D2FAC6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W20</xm:sqref>
        </x14:conditionalFormatting>
        <x14:conditionalFormatting xmlns:xm="http://schemas.microsoft.com/office/excel/2006/main">
          <x14:cfRule type="iconSet" priority="84" id="{50CC4979-A3D1-4B7F-88CC-AB7BF18083E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W23</xm:sqref>
        </x14:conditionalFormatting>
        <x14:conditionalFormatting xmlns:xm="http://schemas.microsoft.com/office/excel/2006/main">
          <x14:cfRule type="iconSet" priority="83" id="{DCD275A6-DF35-4DD7-BBAF-B76ED8B0BD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W25</xm:sqref>
        </x14:conditionalFormatting>
        <x14:conditionalFormatting xmlns:xm="http://schemas.microsoft.com/office/excel/2006/main">
          <x14:cfRule type="iconSet" priority="57" id="{5070609D-E64D-4BA5-BF51-BD82DF4D2D7C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R8</xm:sqref>
        </x14:conditionalFormatting>
        <x14:conditionalFormatting xmlns:xm="http://schemas.microsoft.com/office/excel/2006/main">
          <x14:cfRule type="iconSet" priority="54" id="{15FFCC02-46AB-458F-BBAB-8C636E698DD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R10</xm:sqref>
        </x14:conditionalFormatting>
        <x14:conditionalFormatting xmlns:xm="http://schemas.microsoft.com/office/excel/2006/main">
          <x14:cfRule type="iconSet" priority="51" id="{8209B3D6-A631-4527-8BDE-CBD4C3CA290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R12</xm:sqref>
        </x14:conditionalFormatting>
        <x14:conditionalFormatting xmlns:xm="http://schemas.microsoft.com/office/excel/2006/main">
          <x14:cfRule type="iconSet" priority="48" id="{EF64FA96-2165-40DE-A9EC-66D150F2325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R14</xm:sqref>
        </x14:conditionalFormatting>
        <x14:conditionalFormatting xmlns:xm="http://schemas.microsoft.com/office/excel/2006/main">
          <x14:cfRule type="iconSet" priority="45" id="{9B479126-F5F3-423B-9641-11B9447F3340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R16</xm:sqref>
        </x14:conditionalFormatting>
        <x14:conditionalFormatting xmlns:xm="http://schemas.microsoft.com/office/excel/2006/main">
          <x14:cfRule type="iconSet" priority="42" id="{E35B8270-9F4B-4CC5-A430-B3672DA5284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R20</xm:sqref>
        </x14:conditionalFormatting>
        <x14:conditionalFormatting xmlns:xm="http://schemas.microsoft.com/office/excel/2006/main">
          <x14:cfRule type="iconSet" priority="39" id="{C0053905-3040-48A5-B8FC-499EB47DC345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R23</xm:sqref>
        </x14:conditionalFormatting>
        <x14:conditionalFormatting xmlns:xm="http://schemas.microsoft.com/office/excel/2006/main">
          <x14:cfRule type="iconSet" priority="36" id="{4D8A6DF1-AA4A-479B-9488-83895606015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R25</xm:sqref>
        </x14:conditionalFormatting>
        <x14:conditionalFormatting xmlns:xm="http://schemas.microsoft.com/office/excel/2006/main">
          <x14:cfRule type="iconSet" priority="33" id="{B9626F8F-86D6-4954-952D-837854D41A1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W18</xm:sqref>
        </x14:conditionalFormatting>
        <x14:conditionalFormatting xmlns:xm="http://schemas.microsoft.com/office/excel/2006/main">
          <x14:cfRule type="iconSet" priority="30" id="{1A3A95CA-FE7D-445F-9A56-1EC20CD48A26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R18</xm:sqref>
        </x14:conditionalFormatting>
        <x14:conditionalFormatting xmlns:xm="http://schemas.microsoft.com/office/excel/2006/main">
          <x14:cfRule type="iconSet" priority="28" id="{2560DB85-5493-43AE-980A-A26A69F7655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P8</xm:sqref>
        </x14:conditionalFormatting>
        <x14:conditionalFormatting xmlns:xm="http://schemas.microsoft.com/office/excel/2006/main">
          <x14:cfRule type="iconSet" priority="27" id="{71093F96-C5EF-4456-BBDD-F95A4D20473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P10</xm:sqref>
        </x14:conditionalFormatting>
        <x14:conditionalFormatting xmlns:xm="http://schemas.microsoft.com/office/excel/2006/main">
          <x14:cfRule type="iconSet" priority="26" id="{A5C26CE6-771A-40E0-9EFC-DE790223B18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P12</xm:sqref>
        </x14:conditionalFormatting>
        <x14:conditionalFormatting xmlns:xm="http://schemas.microsoft.com/office/excel/2006/main">
          <x14:cfRule type="iconSet" priority="25" id="{16CFF2BB-5B9D-4884-A8BD-B41554259CA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P14</xm:sqref>
        </x14:conditionalFormatting>
        <x14:conditionalFormatting xmlns:xm="http://schemas.microsoft.com/office/excel/2006/main">
          <x14:cfRule type="iconSet" priority="24" id="{AA8B3607-2EBC-4752-8062-958711DCC55C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P16</xm:sqref>
        </x14:conditionalFormatting>
        <x14:conditionalFormatting xmlns:xm="http://schemas.microsoft.com/office/excel/2006/main">
          <x14:cfRule type="iconSet" priority="23" id="{679214B4-F4E5-4F8A-A743-F28F1EDDE51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P20</xm:sqref>
        </x14:conditionalFormatting>
        <x14:conditionalFormatting xmlns:xm="http://schemas.microsoft.com/office/excel/2006/main">
          <x14:cfRule type="iconSet" priority="22" id="{10C3D7BF-482C-4602-A7F2-F2C8E9DEAEE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P23</xm:sqref>
        </x14:conditionalFormatting>
        <x14:conditionalFormatting xmlns:xm="http://schemas.microsoft.com/office/excel/2006/main">
          <x14:cfRule type="iconSet" priority="21" id="{B9862C1F-3194-4AAD-89A4-32D4B2502F3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P25</xm:sqref>
        </x14:conditionalFormatting>
        <x14:conditionalFormatting xmlns:xm="http://schemas.microsoft.com/office/excel/2006/main">
          <x14:cfRule type="iconSet" priority="20" id="{D4D913B4-16A0-406C-B5E3-E176F04C8430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P18</xm:sqref>
        </x14:conditionalFormatting>
        <x14:conditionalFormatting xmlns:xm="http://schemas.microsoft.com/office/excel/2006/main">
          <x14:cfRule type="iconSet" priority="19" id="{97AFDDF6-07AA-47E8-B5DF-882D18B5023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18" id="{7BC2E0F3-5709-4914-B7DC-1E57D142EB6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N10</xm:sqref>
        </x14:conditionalFormatting>
        <x14:conditionalFormatting xmlns:xm="http://schemas.microsoft.com/office/excel/2006/main">
          <x14:cfRule type="iconSet" priority="17" id="{248A2AD6-AEC0-4431-9920-D8F4F350F689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N12</xm:sqref>
        </x14:conditionalFormatting>
        <x14:conditionalFormatting xmlns:xm="http://schemas.microsoft.com/office/excel/2006/main">
          <x14:cfRule type="iconSet" priority="16" id="{61607C97-2FC7-4F98-AA7F-4BEAC00C20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N14</xm:sqref>
        </x14:conditionalFormatting>
        <x14:conditionalFormatting xmlns:xm="http://schemas.microsoft.com/office/excel/2006/main">
          <x14:cfRule type="iconSet" priority="15" id="{F7105E16-494E-4A14-A4FE-21F0317B1DD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N16</xm:sqref>
        </x14:conditionalFormatting>
        <x14:conditionalFormatting xmlns:xm="http://schemas.microsoft.com/office/excel/2006/main">
          <x14:cfRule type="iconSet" priority="14" id="{83E796AC-7BE0-471B-B65E-91DDDD82817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3" id="{5E974CA9-E6CA-44B1-BD40-3B4D3F9C8EF1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N23</xm:sqref>
        </x14:conditionalFormatting>
        <x14:conditionalFormatting xmlns:xm="http://schemas.microsoft.com/office/excel/2006/main">
          <x14:cfRule type="iconSet" priority="12" id="{A530F624-AEF7-4A43-8F8C-585884ABAEE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N25</xm:sqref>
        </x14:conditionalFormatting>
        <x14:conditionalFormatting xmlns:xm="http://schemas.microsoft.com/office/excel/2006/main">
          <x14:cfRule type="iconSet" priority="11" id="{7AE633F2-5B27-4E7D-AB47-58DB268D52F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N18</xm:sqref>
        </x14:conditionalFormatting>
        <x14:conditionalFormatting xmlns:xm="http://schemas.microsoft.com/office/excel/2006/main">
          <x14:cfRule type="iconSet" priority="10" id="{2803E14D-68D3-4C6C-8F81-6BAB0F14F66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V8 V10 V12 V14 V16 V18</xm:sqref>
        </x14:conditionalFormatting>
        <x14:conditionalFormatting xmlns:xm="http://schemas.microsoft.com/office/excel/2006/main">
          <x14:cfRule type="iconSet" priority="5" id="{A9036B88-5B50-4E3E-8243-6B940D1FC99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V20</xm:sqref>
        </x14:conditionalFormatting>
        <x14:conditionalFormatting xmlns:xm="http://schemas.microsoft.com/office/excel/2006/main">
          <x14:cfRule type="iconSet" priority="1" id="{4273D69B-0890-4A61-894B-78601768FE8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V23 V25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B2:CE93"/>
  <sheetViews>
    <sheetView showGridLines="0" zoomScale="25" zoomScaleNormal="25" zoomScaleSheetLayoutView="25" workbookViewId="0">
      <pane xSplit="8" ySplit="7" topLeftCell="I25" activePane="bottomRight" state="frozen"/>
      <selection pane="topRight" activeCell="I1" sqref="I1"/>
      <selection pane="bottomLeft" activeCell="A8" sqref="A8"/>
      <selection pane="bottomRight" activeCell="B2" sqref="B2"/>
    </sheetView>
  </sheetViews>
  <sheetFormatPr defaultRowHeight="15" outlineLevelCol="1" x14ac:dyDescent="0.25"/>
  <cols>
    <col min="1" max="1" width="2" customWidth="1"/>
    <col min="2" max="2" width="18.85546875" customWidth="1"/>
    <col min="3" max="3" width="34.42578125" customWidth="1"/>
    <col min="4" max="4" width="16.7109375" customWidth="1"/>
    <col min="5" max="5" width="38.85546875" hidden="1" customWidth="1" outlineLevel="1"/>
    <col min="6" max="6" width="51.28515625" hidden="1" customWidth="1" outlineLevel="1"/>
    <col min="7" max="7" width="58.85546875" customWidth="1" collapsed="1"/>
    <col min="8" max="8" width="68.140625" customWidth="1"/>
    <col min="9" max="9" width="13.5703125" style="6" customWidth="1"/>
    <col min="10" max="10" width="17" customWidth="1"/>
    <col min="11" max="11" width="19.140625" bestFit="1" customWidth="1"/>
    <col min="12" max="12" width="1.7109375" customWidth="1"/>
    <col min="13" max="14" width="15.7109375" style="7" customWidth="1"/>
    <col min="15" max="16" width="10.7109375" style="81" hidden="1" customWidth="1" outlineLevel="1"/>
    <col min="17" max="17" width="1.7109375" customWidth="1" collapsed="1"/>
    <col min="18" max="18" width="15.7109375" style="7" customWidth="1" collapsed="1"/>
    <col min="19" max="19" width="14.85546875" style="7" customWidth="1"/>
    <col min="20" max="20" width="15.7109375" style="81" customWidth="1"/>
    <col min="21" max="22" width="10.7109375" style="81" hidden="1" customWidth="1" outlineLevel="1"/>
    <col min="23" max="23" width="1.7109375" customWidth="1" collapsed="1"/>
    <col min="24" max="24" width="18" style="7" bestFit="1" customWidth="1"/>
    <col min="25" max="25" width="16.28515625" style="7" bestFit="1" customWidth="1"/>
    <col min="26" max="26" width="1.7109375" customWidth="1" collapsed="1"/>
    <col min="27" max="27" width="120.28515625" style="7" customWidth="1"/>
    <col min="28" max="29" width="54.85546875" customWidth="1"/>
    <col min="30" max="30" width="1.7109375" customWidth="1"/>
    <col min="31" max="31" width="12.7109375" customWidth="1"/>
    <col min="32" max="55" width="8.7109375" style="7" customWidth="1"/>
    <col min="56" max="79" width="8.7109375" style="7" hidden="1" customWidth="1" outlineLevel="1"/>
    <col min="80" max="80" width="3.42578125" customWidth="1" collapsed="1"/>
  </cols>
  <sheetData>
    <row r="2" spans="2:83" s="2" customFormat="1" ht="65.099999999999994" customHeight="1" x14ac:dyDescent="0.25">
      <c r="B2" s="225" t="s">
        <v>89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4"/>
      <c r="O2" s="78"/>
      <c r="P2" s="78"/>
      <c r="Q2" s="71"/>
      <c r="R2" s="71"/>
      <c r="S2" s="74"/>
      <c r="T2" s="78"/>
      <c r="U2" s="78"/>
      <c r="V2" s="78"/>
      <c r="W2" s="71"/>
      <c r="X2" s="74"/>
      <c r="Y2" s="74"/>
      <c r="Z2" s="71"/>
      <c r="AA2" s="74"/>
      <c r="AB2" s="71"/>
      <c r="AC2" s="226"/>
      <c r="AD2" s="100"/>
      <c r="AE2" s="130" t="s">
        <v>166</v>
      </c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4"/>
    </row>
    <row r="3" spans="2:83" s="194" customFormat="1" ht="36" x14ac:dyDescent="0.35">
      <c r="B3" s="265" t="s">
        <v>23</v>
      </c>
      <c r="C3" s="376" t="s">
        <v>25</v>
      </c>
      <c r="D3" s="376"/>
      <c r="E3" s="376"/>
      <c r="F3" s="376"/>
      <c r="G3" s="377"/>
      <c r="H3" s="188"/>
      <c r="I3" s="188"/>
      <c r="J3" s="188"/>
      <c r="K3" s="188"/>
      <c r="L3" s="188"/>
      <c r="M3" s="188"/>
      <c r="N3" s="189"/>
      <c r="O3" s="190"/>
      <c r="P3" s="190"/>
      <c r="Q3" s="188"/>
      <c r="R3" s="188"/>
      <c r="S3" s="189"/>
      <c r="T3" s="190"/>
      <c r="U3" s="190"/>
      <c r="V3" s="190"/>
      <c r="W3" s="188"/>
      <c r="X3" s="189"/>
      <c r="Y3" s="189"/>
      <c r="Z3" s="189"/>
      <c r="AA3" s="189"/>
      <c r="AB3" s="213"/>
      <c r="AC3" s="214"/>
      <c r="AD3" s="191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  <c r="BM3" s="192"/>
      <c r="BN3" s="192"/>
      <c r="BO3" s="192"/>
      <c r="BP3" s="192"/>
      <c r="BQ3" s="192"/>
      <c r="BR3" s="192"/>
      <c r="BS3" s="192"/>
      <c r="BT3" s="192"/>
      <c r="BU3" s="192"/>
      <c r="BV3" s="192"/>
      <c r="BW3" s="192"/>
      <c r="BX3" s="192"/>
      <c r="BY3" s="192"/>
      <c r="BZ3" s="192"/>
      <c r="CA3" s="193"/>
    </row>
    <row r="4" spans="2:83" s="194" customFormat="1" ht="31.5" x14ac:dyDescent="0.35">
      <c r="B4" s="266" t="s">
        <v>96</v>
      </c>
      <c r="C4" s="267" t="s">
        <v>221</v>
      </c>
      <c r="D4" s="267"/>
      <c r="E4" s="267"/>
      <c r="F4" s="267"/>
      <c r="G4" s="268"/>
      <c r="H4" s="192"/>
      <c r="I4" s="192"/>
      <c r="J4" s="192"/>
      <c r="K4" s="192"/>
      <c r="L4" s="137"/>
      <c r="M4" s="417" t="s">
        <v>132</v>
      </c>
      <c r="N4" s="418"/>
      <c r="O4" s="418"/>
      <c r="P4" s="419"/>
      <c r="Q4" s="137"/>
      <c r="R4" s="348" t="s">
        <v>133</v>
      </c>
      <c r="S4" s="348"/>
      <c r="T4" s="348"/>
      <c r="U4" s="348"/>
      <c r="V4" s="348"/>
      <c r="W4" s="142"/>
      <c r="X4" s="412" t="s">
        <v>153</v>
      </c>
      <c r="Y4" s="413"/>
      <c r="Z4" s="211"/>
      <c r="AA4" s="215"/>
      <c r="AB4" s="212"/>
      <c r="AC4" s="216"/>
      <c r="AD4" s="191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  <c r="BJ4" s="192"/>
      <c r="BK4" s="192"/>
      <c r="BL4" s="192"/>
      <c r="BM4" s="192"/>
      <c r="BN4" s="192"/>
      <c r="BO4" s="192"/>
      <c r="BP4" s="192"/>
      <c r="BQ4" s="192"/>
      <c r="BR4" s="192"/>
      <c r="BS4" s="192"/>
      <c r="BT4" s="192"/>
      <c r="BU4" s="192"/>
      <c r="BV4" s="192"/>
      <c r="BW4" s="192"/>
      <c r="BX4" s="192"/>
      <c r="BY4" s="192"/>
      <c r="BZ4" s="192"/>
      <c r="CA4" s="193"/>
    </row>
    <row r="5" spans="2:83" s="194" customFormat="1" ht="31.5" x14ac:dyDescent="0.35">
      <c r="B5" s="269" t="s">
        <v>24</v>
      </c>
      <c r="C5" s="312">
        <v>42359</v>
      </c>
      <c r="D5" s="312"/>
      <c r="E5" s="312"/>
      <c r="F5" s="312"/>
      <c r="G5" s="313"/>
      <c r="H5" s="195"/>
      <c r="I5" s="195"/>
      <c r="J5" s="195"/>
      <c r="K5" s="195"/>
      <c r="L5" s="138"/>
      <c r="M5" s="420"/>
      <c r="N5" s="421"/>
      <c r="O5" s="421"/>
      <c r="P5" s="422"/>
      <c r="Q5" s="138"/>
      <c r="R5" s="348"/>
      <c r="S5" s="348"/>
      <c r="T5" s="348"/>
      <c r="U5" s="348"/>
      <c r="V5" s="348"/>
      <c r="W5" s="142"/>
      <c r="X5" s="414"/>
      <c r="Y5" s="415"/>
      <c r="Z5" s="115"/>
      <c r="AA5" s="217"/>
      <c r="AB5" s="218"/>
      <c r="AC5" s="219"/>
      <c r="AD5" s="191"/>
      <c r="AE5" s="195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  <c r="BJ5" s="192"/>
      <c r="BK5" s="192"/>
      <c r="BL5" s="192"/>
      <c r="BM5" s="192"/>
      <c r="BN5" s="192"/>
      <c r="BO5" s="192"/>
      <c r="BP5" s="192"/>
      <c r="BQ5" s="192"/>
      <c r="BR5" s="192"/>
      <c r="BS5" s="192"/>
      <c r="BT5" s="192"/>
      <c r="BU5" s="192"/>
      <c r="BV5" s="192"/>
      <c r="BW5" s="192"/>
      <c r="BX5" s="192"/>
      <c r="BY5" s="192"/>
      <c r="BZ5" s="192"/>
      <c r="CA5" s="193"/>
    </row>
    <row r="6" spans="2:83" s="2" customFormat="1" ht="31.5" customHeight="1" x14ac:dyDescent="0.35">
      <c r="B6" s="306" t="s">
        <v>0</v>
      </c>
      <c r="C6" s="306" t="s">
        <v>7</v>
      </c>
      <c r="D6" s="319" t="s">
        <v>5</v>
      </c>
      <c r="E6" s="321" t="s">
        <v>1</v>
      </c>
      <c r="F6" s="323" t="s">
        <v>8</v>
      </c>
      <c r="G6" s="306" t="s">
        <v>18</v>
      </c>
      <c r="H6" s="306" t="s">
        <v>10</v>
      </c>
      <c r="I6" s="306" t="s">
        <v>2</v>
      </c>
      <c r="J6" s="306" t="s">
        <v>16</v>
      </c>
      <c r="K6" s="386" t="s">
        <v>9</v>
      </c>
      <c r="L6" s="139"/>
      <c r="M6" s="423">
        <v>42278</v>
      </c>
      <c r="N6" s="424"/>
      <c r="O6" s="424"/>
      <c r="P6" s="425"/>
      <c r="Q6" s="139"/>
      <c r="R6" s="426">
        <v>42309</v>
      </c>
      <c r="S6" s="427"/>
      <c r="T6" s="427"/>
      <c r="U6" s="427"/>
      <c r="V6" s="428"/>
      <c r="W6" s="115"/>
      <c r="X6" s="416"/>
      <c r="Y6" s="347"/>
      <c r="Z6" s="29"/>
      <c r="AA6" s="316" t="s">
        <v>210</v>
      </c>
      <c r="AB6" s="391" t="s">
        <v>97</v>
      </c>
      <c r="AC6" s="406" t="s">
        <v>98</v>
      </c>
      <c r="AD6" s="100"/>
      <c r="AE6" s="306" t="s">
        <v>9</v>
      </c>
      <c r="AF6" s="384" t="s">
        <v>22</v>
      </c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5"/>
      <c r="BO6" s="385"/>
      <c r="BP6" s="385"/>
      <c r="BQ6" s="385"/>
      <c r="BR6" s="385"/>
      <c r="BS6" s="385"/>
      <c r="BT6" s="385"/>
      <c r="BU6" s="385"/>
      <c r="BV6" s="385"/>
      <c r="BW6" s="385"/>
      <c r="BX6" s="385"/>
      <c r="BY6" s="385"/>
      <c r="BZ6" s="385"/>
      <c r="CA6" s="385"/>
      <c r="CE6" s="54"/>
    </row>
    <row r="7" spans="2:83" s="8" customFormat="1" ht="83.25" customHeight="1" x14ac:dyDescent="0.35">
      <c r="B7" s="316"/>
      <c r="C7" s="316"/>
      <c r="D7" s="320"/>
      <c r="E7" s="322"/>
      <c r="F7" s="324"/>
      <c r="G7" s="316"/>
      <c r="H7" s="316"/>
      <c r="I7" s="316"/>
      <c r="J7" s="316"/>
      <c r="K7" s="316"/>
      <c r="L7" s="29"/>
      <c r="M7" s="118" t="s">
        <v>28</v>
      </c>
      <c r="N7" s="118" t="s">
        <v>14</v>
      </c>
      <c r="O7" s="143" t="s">
        <v>167</v>
      </c>
      <c r="P7" s="143" t="s">
        <v>168</v>
      </c>
      <c r="Q7" s="29"/>
      <c r="R7" s="118" t="s">
        <v>28</v>
      </c>
      <c r="S7" s="119" t="s">
        <v>14</v>
      </c>
      <c r="T7" s="119" t="s">
        <v>154</v>
      </c>
      <c r="U7" s="143" t="s">
        <v>167</v>
      </c>
      <c r="V7" s="143" t="s">
        <v>168</v>
      </c>
      <c r="W7" s="203"/>
      <c r="X7" s="204" t="s">
        <v>29</v>
      </c>
      <c r="Y7" s="205" t="s">
        <v>155</v>
      </c>
      <c r="Z7" s="120"/>
      <c r="AA7" s="306"/>
      <c r="AB7" s="392"/>
      <c r="AC7" s="407"/>
      <c r="AD7" s="100">
        <v>1</v>
      </c>
      <c r="AE7" s="316"/>
      <c r="AF7" s="67">
        <v>42005</v>
      </c>
      <c r="AG7" s="68">
        <v>42036</v>
      </c>
      <c r="AH7" s="68">
        <v>42064</v>
      </c>
      <c r="AI7" s="68">
        <v>42095</v>
      </c>
      <c r="AJ7" s="68">
        <v>42125</v>
      </c>
      <c r="AK7" s="68">
        <v>42156</v>
      </c>
      <c r="AL7" s="68">
        <v>42186</v>
      </c>
      <c r="AM7" s="68">
        <v>42217</v>
      </c>
      <c r="AN7" s="68">
        <v>42248</v>
      </c>
      <c r="AO7" s="68">
        <v>42278</v>
      </c>
      <c r="AP7" s="68">
        <v>42309</v>
      </c>
      <c r="AQ7" s="68">
        <v>42339</v>
      </c>
      <c r="AR7" s="179">
        <v>42370</v>
      </c>
      <c r="AS7" s="179">
        <v>42401</v>
      </c>
      <c r="AT7" s="179">
        <v>42430</v>
      </c>
      <c r="AU7" s="179">
        <v>42461</v>
      </c>
      <c r="AV7" s="179">
        <v>42491</v>
      </c>
      <c r="AW7" s="179">
        <v>42522</v>
      </c>
      <c r="AX7" s="179">
        <v>42552</v>
      </c>
      <c r="AY7" s="179">
        <v>42583</v>
      </c>
      <c r="AZ7" s="179">
        <v>42614</v>
      </c>
      <c r="BA7" s="179">
        <v>42644</v>
      </c>
      <c r="BB7" s="179">
        <v>42675</v>
      </c>
      <c r="BC7" s="179">
        <v>42705</v>
      </c>
      <c r="BD7" s="68">
        <v>42736</v>
      </c>
      <c r="BE7" s="68">
        <v>42767</v>
      </c>
      <c r="BF7" s="68">
        <v>42795</v>
      </c>
      <c r="BG7" s="68">
        <v>42826</v>
      </c>
      <c r="BH7" s="68">
        <v>42856</v>
      </c>
      <c r="BI7" s="68">
        <v>42887</v>
      </c>
      <c r="BJ7" s="68">
        <v>42917</v>
      </c>
      <c r="BK7" s="68">
        <v>42948</v>
      </c>
      <c r="BL7" s="68">
        <v>42979</v>
      </c>
      <c r="BM7" s="68">
        <v>43009</v>
      </c>
      <c r="BN7" s="68">
        <v>43040</v>
      </c>
      <c r="BO7" s="68">
        <v>43070</v>
      </c>
      <c r="BP7" s="179">
        <v>43101</v>
      </c>
      <c r="BQ7" s="179">
        <v>43132</v>
      </c>
      <c r="BR7" s="179">
        <v>43160</v>
      </c>
      <c r="BS7" s="179">
        <v>43191</v>
      </c>
      <c r="BT7" s="179">
        <v>43221</v>
      </c>
      <c r="BU7" s="179">
        <v>43252</v>
      </c>
      <c r="BV7" s="179">
        <v>43282</v>
      </c>
      <c r="BW7" s="179">
        <v>43313</v>
      </c>
      <c r="BX7" s="179">
        <v>43344</v>
      </c>
      <c r="BY7" s="179">
        <v>43374</v>
      </c>
      <c r="BZ7" s="179">
        <v>43405</v>
      </c>
      <c r="CA7" s="179">
        <v>43435</v>
      </c>
      <c r="CE7" s="54"/>
    </row>
    <row r="8" spans="2:83" ht="39.75" customHeight="1" x14ac:dyDescent="0.3">
      <c r="B8" s="297" t="s">
        <v>45</v>
      </c>
      <c r="C8" s="299" t="s">
        <v>107</v>
      </c>
      <c r="D8" s="299" t="s">
        <v>220</v>
      </c>
      <c r="E8" s="299" t="s">
        <v>46</v>
      </c>
      <c r="F8" s="299" t="s">
        <v>126</v>
      </c>
      <c r="G8" s="299" t="s">
        <v>144</v>
      </c>
      <c r="H8" s="299" t="s">
        <v>112</v>
      </c>
      <c r="I8" s="299">
        <v>1</v>
      </c>
      <c r="J8" s="378" t="s">
        <v>156</v>
      </c>
      <c r="K8" s="101" t="s">
        <v>4</v>
      </c>
      <c r="L8" s="34"/>
      <c r="M8" s="104">
        <f>IF(ISBLANK(HLOOKUP($M$6,$AF$7:$CA$43,$AD8,FALSE)),"",HLOOKUP($M$6,$AF$7:$CA$43,$AD8,FALSE))</f>
        <v>0.20080000000000001</v>
      </c>
      <c r="N8" s="365">
        <f>IF(M8="","",IF(M8&lt;=M10,1,0))</f>
        <v>0</v>
      </c>
      <c r="O8" s="368">
        <f>IFERROR(N8*I8,"")</f>
        <v>0</v>
      </c>
      <c r="P8" s="368">
        <f>IF(O8&lt;&gt;"",I8,"")</f>
        <v>1</v>
      </c>
      <c r="Q8" s="34"/>
      <c r="R8" s="104">
        <f>IF(ISBLANK(HLOOKUP($R$6,$AF$7:$CA$43,$AD8,FALSE)),"",HLOOKUP($R$6,$AF$7:$CA$43,$AD8,FALSE))</f>
        <v>0.2727</v>
      </c>
      <c r="S8" s="369">
        <f>IF(R8="","",IF(R8&lt;=R10,1,0))</f>
        <v>0</v>
      </c>
      <c r="T8" s="343">
        <f>IFERROR((R8-R10)/R10,"")</f>
        <v>1.7269999999999999</v>
      </c>
      <c r="U8" s="368">
        <f>IFERROR(S8*I8,"")</f>
        <v>0</v>
      </c>
      <c r="V8" s="368">
        <f>IF(U8&lt;&gt;"",I8,"")</f>
        <v>1</v>
      </c>
      <c r="W8" s="352"/>
      <c r="X8" s="338">
        <f>IF(R8="","",IF(M8="","",IF(R8&lt;=M8,2,IF(R8=M8,1,IF(R8&gt;=M8,0)))))</f>
        <v>0</v>
      </c>
      <c r="Y8" s="359">
        <f>IF(R8="","",IF(M8="","",(R8-M8)/M8))</f>
        <v>0.3580677290836653</v>
      </c>
      <c r="Z8" s="355"/>
      <c r="AA8" s="208" t="str">
        <f>IF(S8=0,"Large Number of Critical Activities","")</f>
        <v>Large Number of Critical Activities</v>
      </c>
      <c r="AB8" s="387"/>
      <c r="AC8" s="389"/>
      <c r="AD8" s="100">
        <v>2</v>
      </c>
      <c r="AE8" s="9" t="s">
        <v>4</v>
      </c>
      <c r="AF8" s="178"/>
      <c r="AG8" s="178"/>
      <c r="AH8" s="178"/>
      <c r="AI8" s="178"/>
      <c r="AJ8" s="178"/>
      <c r="AK8" s="178"/>
      <c r="AL8" s="178"/>
      <c r="AM8" s="178"/>
      <c r="AN8" s="178"/>
      <c r="AO8" s="178">
        <v>0.20080000000000001</v>
      </c>
      <c r="AP8" s="178">
        <v>0.2727</v>
      </c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8"/>
      <c r="BB8" s="178"/>
      <c r="BC8" s="178"/>
      <c r="BD8" s="178"/>
      <c r="BE8" s="178"/>
      <c r="BF8" s="178"/>
      <c r="BG8" s="178"/>
      <c r="BH8" s="178"/>
      <c r="BI8" s="178"/>
      <c r="BJ8" s="178"/>
      <c r="BK8" s="178"/>
      <c r="BL8" s="178"/>
      <c r="BM8" s="178"/>
      <c r="BN8" s="178"/>
      <c r="BO8" s="178"/>
      <c r="BP8" s="178"/>
      <c r="BQ8" s="178"/>
      <c r="BR8" s="178"/>
      <c r="BS8" s="178"/>
      <c r="BT8" s="178"/>
      <c r="BU8" s="178"/>
      <c r="BV8" s="178"/>
      <c r="BW8" s="178"/>
      <c r="BX8" s="178"/>
      <c r="BY8" s="178"/>
      <c r="BZ8" s="178"/>
      <c r="CA8" s="178"/>
      <c r="CB8" s="8"/>
      <c r="CC8" s="8"/>
      <c r="CE8" s="54"/>
    </row>
    <row r="9" spans="2:83" ht="39.75" hidden="1" customHeight="1" x14ac:dyDescent="0.3">
      <c r="B9" s="328"/>
      <c r="C9" s="327"/>
      <c r="D9" s="327"/>
      <c r="E9" s="327"/>
      <c r="F9" s="327"/>
      <c r="G9" s="327"/>
      <c r="H9" s="327"/>
      <c r="I9" s="327"/>
      <c r="J9" s="379"/>
      <c r="K9" s="40" t="s">
        <v>15</v>
      </c>
      <c r="L9" s="34"/>
      <c r="M9" s="10" t="str">
        <f>IF(ISBLANK(HLOOKUP($M$6,$AF$7:$CA$43,$AD9,FALSE)),"",HLOOKUP($M$6,$AF$7:$CA$43,$AD9,FALSE))</f>
        <v/>
      </c>
      <c r="N9" s="366"/>
      <c r="O9" s="368"/>
      <c r="P9" s="368"/>
      <c r="Q9" s="34"/>
      <c r="R9" s="10" t="str">
        <f>IF(ISBLANK(HLOOKUP($R$6,$AF$7:$CA$43,$AD9,FALSE)),"",HLOOKUP($R$6,$AF$7:$CA$43,$AD9,FALSE))</f>
        <v/>
      </c>
      <c r="S9" s="370"/>
      <c r="T9" s="345"/>
      <c r="U9" s="368"/>
      <c r="V9" s="368"/>
      <c r="W9" s="353"/>
      <c r="X9" s="338"/>
      <c r="Y9" s="359"/>
      <c r="Z9" s="356"/>
      <c r="AA9" s="209"/>
      <c r="AB9" s="362"/>
      <c r="AC9" s="364"/>
      <c r="AD9" s="100">
        <v>3</v>
      </c>
      <c r="AE9" s="40" t="s">
        <v>15</v>
      </c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8"/>
      <c r="CC9" s="8"/>
      <c r="CE9" s="54"/>
    </row>
    <row r="10" spans="2:83" ht="39.75" customHeight="1" x14ac:dyDescent="0.3">
      <c r="B10" s="298"/>
      <c r="C10" s="300"/>
      <c r="D10" s="300"/>
      <c r="E10" s="300"/>
      <c r="F10" s="300"/>
      <c r="G10" s="300"/>
      <c r="H10" s="300"/>
      <c r="I10" s="300"/>
      <c r="J10" s="380"/>
      <c r="K10" s="85" t="s">
        <v>100</v>
      </c>
      <c r="L10" s="34"/>
      <c r="M10" s="69">
        <v>0.1</v>
      </c>
      <c r="N10" s="367"/>
      <c r="O10" s="368"/>
      <c r="P10" s="368"/>
      <c r="Q10" s="34"/>
      <c r="R10" s="69">
        <v>0.1</v>
      </c>
      <c r="S10" s="371"/>
      <c r="T10" s="344"/>
      <c r="U10" s="368"/>
      <c r="V10" s="368"/>
      <c r="W10" s="354"/>
      <c r="X10" s="337"/>
      <c r="Y10" s="360"/>
      <c r="Z10" s="357"/>
      <c r="AA10" s="209" t="str">
        <f>IF(X8=0,"The Number of Critical Activities has increased","")</f>
        <v>The Number of Critical Activities has increased</v>
      </c>
      <c r="AB10" s="388"/>
      <c r="AC10" s="390"/>
      <c r="AD10" s="100">
        <v>4</v>
      </c>
      <c r="AE10" s="41" t="s">
        <v>3</v>
      </c>
      <c r="AF10" s="107">
        <f>IF(ISBLANK($M10),"",$M10)</f>
        <v>0.1</v>
      </c>
      <c r="AG10" s="107">
        <f t="shared" ref="AG10:CA10" si="0">IF(ISBLANK($M10),"",$M10)</f>
        <v>0.1</v>
      </c>
      <c r="AH10" s="107">
        <f t="shared" si="0"/>
        <v>0.1</v>
      </c>
      <c r="AI10" s="107">
        <f t="shared" si="0"/>
        <v>0.1</v>
      </c>
      <c r="AJ10" s="107">
        <f t="shared" si="0"/>
        <v>0.1</v>
      </c>
      <c r="AK10" s="107">
        <f t="shared" si="0"/>
        <v>0.1</v>
      </c>
      <c r="AL10" s="107">
        <f t="shared" si="0"/>
        <v>0.1</v>
      </c>
      <c r="AM10" s="107">
        <f t="shared" si="0"/>
        <v>0.1</v>
      </c>
      <c r="AN10" s="107">
        <f t="shared" si="0"/>
        <v>0.1</v>
      </c>
      <c r="AO10" s="107">
        <f t="shared" si="0"/>
        <v>0.1</v>
      </c>
      <c r="AP10" s="107">
        <f t="shared" si="0"/>
        <v>0.1</v>
      </c>
      <c r="AQ10" s="107">
        <f t="shared" si="0"/>
        <v>0.1</v>
      </c>
      <c r="AR10" s="107">
        <f t="shared" si="0"/>
        <v>0.1</v>
      </c>
      <c r="AS10" s="107">
        <f t="shared" si="0"/>
        <v>0.1</v>
      </c>
      <c r="AT10" s="107">
        <f t="shared" si="0"/>
        <v>0.1</v>
      </c>
      <c r="AU10" s="107">
        <f t="shared" si="0"/>
        <v>0.1</v>
      </c>
      <c r="AV10" s="107">
        <f t="shared" si="0"/>
        <v>0.1</v>
      </c>
      <c r="AW10" s="107">
        <f t="shared" si="0"/>
        <v>0.1</v>
      </c>
      <c r="AX10" s="107">
        <f t="shared" si="0"/>
        <v>0.1</v>
      </c>
      <c r="AY10" s="107">
        <f t="shared" si="0"/>
        <v>0.1</v>
      </c>
      <c r="AZ10" s="107">
        <f t="shared" si="0"/>
        <v>0.1</v>
      </c>
      <c r="BA10" s="107">
        <f t="shared" si="0"/>
        <v>0.1</v>
      </c>
      <c r="BB10" s="107">
        <f t="shared" si="0"/>
        <v>0.1</v>
      </c>
      <c r="BC10" s="107">
        <f t="shared" si="0"/>
        <v>0.1</v>
      </c>
      <c r="BD10" s="107">
        <f t="shared" si="0"/>
        <v>0.1</v>
      </c>
      <c r="BE10" s="107">
        <f t="shared" si="0"/>
        <v>0.1</v>
      </c>
      <c r="BF10" s="107">
        <f t="shared" si="0"/>
        <v>0.1</v>
      </c>
      <c r="BG10" s="107">
        <f t="shared" si="0"/>
        <v>0.1</v>
      </c>
      <c r="BH10" s="107">
        <f t="shared" si="0"/>
        <v>0.1</v>
      </c>
      <c r="BI10" s="107">
        <f t="shared" si="0"/>
        <v>0.1</v>
      </c>
      <c r="BJ10" s="107">
        <f t="shared" si="0"/>
        <v>0.1</v>
      </c>
      <c r="BK10" s="107">
        <f t="shared" si="0"/>
        <v>0.1</v>
      </c>
      <c r="BL10" s="107">
        <f t="shared" si="0"/>
        <v>0.1</v>
      </c>
      <c r="BM10" s="107">
        <f t="shared" si="0"/>
        <v>0.1</v>
      </c>
      <c r="BN10" s="107">
        <f t="shared" si="0"/>
        <v>0.1</v>
      </c>
      <c r="BO10" s="107">
        <f t="shared" si="0"/>
        <v>0.1</v>
      </c>
      <c r="BP10" s="107">
        <f t="shared" si="0"/>
        <v>0.1</v>
      </c>
      <c r="BQ10" s="107">
        <f t="shared" si="0"/>
        <v>0.1</v>
      </c>
      <c r="BR10" s="107">
        <f t="shared" si="0"/>
        <v>0.1</v>
      </c>
      <c r="BS10" s="107">
        <f t="shared" si="0"/>
        <v>0.1</v>
      </c>
      <c r="BT10" s="107">
        <f t="shared" si="0"/>
        <v>0.1</v>
      </c>
      <c r="BU10" s="107">
        <f t="shared" si="0"/>
        <v>0.1</v>
      </c>
      <c r="BV10" s="107">
        <f t="shared" si="0"/>
        <v>0.1</v>
      </c>
      <c r="BW10" s="107">
        <f t="shared" si="0"/>
        <v>0.1</v>
      </c>
      <c r="BX10" s="107">
        <f t="shared" si="0"/>
        <v>0.1</v>
      </c>
      <c r="BY10" s="107">
        <f t="shared" si="0"/>
        <v>0.1</v>
      </c>
      <c r="BZ10" s="107">
        <f t="shared" si="0"/>
        <v>0.1</v>
      </c>
      <c r="CA10" s="107">
        <f t="shared" si="0"/>
        <v>0.1</v>
      </c>
      <c r="CB10" s="8"/>
      <c r="CC10" s="8"/>
      <c r="CE10" s="54"/>
    </row>
    <row r="11" spans="2:83" ht="39.75" customHeight="1" x14ac:dyDescent="0.3">
      <c r="B11" s="297" t="s">
        <v>48</v>
      </c>
      <c r="C11" s="299" t="s">
        <v>107</v>
      </c>
      <c r="D11" s="299" t="s">
        <v>220</v>
      </c>
      <c r="E11" s="299" t="s">
        <v>46</v>
      </c>
      <c r="F11" s="299" t="s">
        <v>49</v>
      </c>
      <c r="G11" s="299" t="s">
        <v>143</v>
      </c>
      <c r="H11" s="299" t="s">
        <v>113</v>
      </c>
      <c r="I11" s="299">
        <v>1</v>
      </c>
      <c r="J11" s="381" t="s">
        <v>157</v>
      </c>
      <c r="K11" s="101" t="s">
        <v>4</v>
      </c>
      <c r="L11" s="34"/>
      <c r="M11" s="104">
        <f>IF(ISBLANK(HLOOKUP($M$6,$AF$7:$CA$43,$AD11,FALSE)),"",HLOOKUP($M$6,$AF$7:$CA$43,$AD11,FALSE))</f>
        <v>0.19400000000000001</v>
      </c>
      <c r="N11" s="365">
        <f>IF(M11="","",IF(M11&lt;=M13,1,0))</f>
        <v>1</v>
      </c>
      <c r="O11" s="368">
        <f t="shared" ref="O11" si="1">IFERROR(N11*I11,"")</f>
        <v>1</v>
      </c>
      <c r="P11" s="368">
        <f t="shared" ref="P11" si="2">IF(O11&lt;&gt;"",I11,"")</f>
        <v>1</v>
      </c>
      <c r="Q11" s="34"/>
      <c r="R11" s="104">
        <f>IF(ISBLANK(HLOOKUP($R$6,$AF$7:$CA$43,$AD11,FALSE)),"",HLOOKUP($R$6,$AF$7:$CA$43,$AD11,FALSE))</f>
        <v>0.14299999999999999</v>
      </c>
      <c r="S11" s="369">
        <f>IF(R11="","",IF(R11&lt;=R13,1,0))</f>
        <v>1</v>
      </c>
      <c r="T11" s="343">
        <f>IFERROR((R11-R13)/R13,"")</f>
        <v>-0.28500000000000009</v>
      </c>
      <c r="U11" s="368">
        <f t="shared" ref="U11" si="3">IFERROR(S11*I11,"")</f>
        <v>1</v>
      </c>
      <c r="V11" s="368">
        <f t="shared" ref="V11" si="4">IF(U11&lt;&gt;"",I11,"")</f>
        <v>1</v>
      </c>
      <c r="W11" s="352"/>
      <c r="X11" s="336">
        <f>IF(R11="","",IF(M11="","",IF(R11&lt;=M11,2,IF(R11=M11,1,IF(R11&gt;M11,0)))))</f>
        <v>2</v>
      </c>
      <c r="Y11" s="358">
        <f>IF(R11="","",IF(M11="","",(R11-M11)/M11))</f>
        <v>-0.2628865979381444</v>
      </c>
      <c r="Z11" s="355"/>
      <c r="AA11" s="208" t="str">
        <f>IF(S11=0,"Large Number of Near Critical Activities","")</f>
        <v/>
      </c>
      <c r="AB11" s="387"/>
      <c r="AC11" s="389"/>
      <c r="AD11" s="100">
        <v>5</v>
      </c>
      <c r="AE11" s="9" t="s">
        <v>4</v>
      </c>
      <c r="AF11" s="178"/>
      <c r="AG11" s="178"/>
      <c r="AH11" s="178"/>
      <c r="AI11" s="178"/>
      <c r="AJ11" s="178"/>
      <c r="AK11" s="178"/>
      <c r="AL11" s="178"/>
      <c r="AM11" s="178"/>
      <c r="AN11" s="178"/>
      <c r="AO11" s="178">
        <v>0.19400000000000001</v>
      </c>
      <c r="AP11" s="178">
        <v>0.14299999999999999</v>
      </c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178"/>
      <c r="BO11" s="178"/>
      <c r="BP11" s="178"/>
      <c r="BQ11" s="178"/>
      <c r="BR11" s="178"/>
      <c r="BS11" s="178"/>
      <c r="BT11" s="178"/>
      <c r="BU11" s="178"/>
      <c r="BV11" s="178"/>
      <c r="BW11" s="178"/>
      <c r="BX11" s="178"/>
      <c r="BY11" s="178"/>
      <c r="BZ11" s="178"/>
      <c r="CA11" s="178"/>
      <c r="CB11" s="8"/>
      <c r="CC11" s="8"/>
      <c r="CE11" s="54"/>
    </row>
    <row r="12" spans="2:83" ht="39.75" hidden="1" customHeight="1" x14ac:dyDescent="0.3">
      <c r="B12" s="328"/>
      <c r="C12" s="327"/>
      <c r="D12" s="327"/>
      <c r="E12" s="327"/>
      <c r="F12" s="327"/>
      <c r="G12" s="327"/>
      <c r="H12" s="327"/>
      <c r="I12" s="327"/>
      <c r="J12" s="382"/>
      <c r="K12" s="40" t="s">
        <v>15</v>
      </c>
      <c r="L12" s="34"/>
      <c r="M12" s="10" t="str">
        <f>IF(ISBLANK(HLOOKUP($M$6,$AF$7:$CA$43,$AD12,FALSE)),"",HLOOKUP($M$6,$AF$7:$CA$43,$AD12,FALSE))</f>
        <v/>
      </c>
      <c r="N12" s="366"/>
      <c r="O12" s="368"/>
      <c r="P12" s="368"/>
      <c r="Q12" s="34"/>
      <c r="R12" s="10" t="str">
        <f>IF(ISBLANK(HLOOKUP($R$6,$AF$7:$CA$43,$AD12,FALSE)),"",HLOOKUP($R$6,$AF$7:$CA$43,$AD12,FALSE))</f>
        <v/>
      </c>
      <c r="S12" s="370"/>
      <c r="T12" s="345"/>
      <c r="U12" s="368"/>
      <c r="V12" s="368"/>
      <c r="W12" s="353"/>
      <c r="X12" s="338"/>
      <c r="Y12" s="359"/>
      <c r="Z12" s="356"/>
      <c r="AA12" s="209"/>
      <c r="AB12" s="362"/>
      <c r="AC12" s="364"/>
      <c r="AD12" s="100">
        <v>6</v>
      </c>
      <c r="AE12" s="40" t="s">
        <v>15</v>
      </c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8"/>
      <c r="CC12" s="8"/>
      <c r="CE12" s="54"/>
    </row>
    <row r="13" spans="2:83" ht="39.75" customHeight="1" x14ac:dyDescent="0.3">
      <c r="B13" s="298"/>
      <c r="C13" s="300"/>
      <c r="D13" s="300"/>
      <c r="E13" s="300"/>
      <c r="F13" s="300"/>
      <c r="G13" s="300"/>
      <c r="H13" s="300"/>
      <c r="I13" s="300"/>
      <c r="J13" s="383"/>
      <c r="K13" s="85" t="s">
        <v>100</v>
      </c>
      <c r="L13" s="34"/>
      <c r="M13" s="69">
        <v>0.2</v>
      </c>
      <c r="N13" s="367"/>
      <c r="O13" s="368"/>
      <c r="P13" s="368"/>
      <c r="Q13" s="34"/>
      <c r="R13" s="69">
        <v>0.2</v>
      </c>
      <c r="S13" s="371"/>
      <c r="T13" s="344"/>
      <c r="U13" s="368"/>
      <c r="V13" s="368"/>
      <c r="W13" s="354"/>
      <c r="X13" s="337"/>
      <c r="Y13" s="360"/>
      <c r="Z13" s="357"/>
      <c r="AA13" s="209" t="str">
        <f>IF(X11=0,"The Number of Near Critical Activities has increased","")</f>
        <v/>
      </c>
      <c r="AB13" s="388"/>
      <c r="AC13" s="390"/>
      <c r="AD13" s="100">
        <v>7</v>
      </c>
      <c r="AE13" s="41" t="s">
        <v>3</v>
      </c>
      <c r="AF13" s="107">
        <f>IF(ISBLANK($M13),"",$M13)</f>
        <v>0.2</v>
      </c>
      <c r="AG13" s="107">
        <f t="shared" ref="AG13:CA13" si="5">IF(ISBLANK($M13),"",$M13)</f>
        <v>0.2</v>
      </c>
      <c r="AH13" s="107">
        <f t="shared" si="5"/>
        <v>0.2</v>
      </c>
      <c r="AI13" s="107">
        <f t="shared" si="5"/>
        <v>0.2</v>
      </c>
      <c r="AJ13" s="107">
        <f t="shared" si="5"/>
        <v>0.2</v>
      </c>
      <c r="AK13" s="107">
        <f t="shared" si="5"/>
        <v>0.2</v>
      </c>
      <c r="AL13" s="107">
        <f t="shared" si="5"/>
        <v>0.2</v>
      </c>
      <c r="AM13" s="107">
        <f t="shared" si="5"/>
        <v>0.2</v>
      </c>
      <c r="AN13" s="107">
        <f t="shared" si="5"/>
        <v>0.2</v>
      </c>
      <c r="AO13" s="107">
        <f t="shared" si="5"/>
        <v>0.2</v>
      </c>
      <c r="AP13" s="107">
        <f t="shared" si="5"/>
        <v>0.2</v>
      </c>
      <c r="AQ13" s="107">
        <f t="shared" si="5"/>
        <v>0.2</v>
      </c>
      <c r="AR13" s="107">
        <f t="shared" si="5"/>
        <v>0.2</v>
      </c>
      <c r="AS13" s="107">
        <f t="shared" si="5"/>
        <v>0.2</v>
      </c>
      <c r="AT13" s="107">
        <f t="shared" si="5"/>
        <v>0.2</v>
      </c>
      <c r="AU13" s="107">
        <f t="shared" si="5"/>
        <v>0.2</v>
      </c>
      <c r="AV13" s="107">
        <f t="shared" si="5"/>
        <v>0.2</v>
      </c>
      <c r="AW13" s="107">
        <f t="shared" si="5"/>
        <v>0.2</v>
      </c>
      <c r="AX13" s="107">
        <f t="shared" si="5"/>
        <v>0.2</v>
      </c>
      <c r="AY13" s="107">
        <f t="shared" si="5"/>
        <v>0.2</v>
      </c>
      <c r="AZ13" s="107">
        <f t="shared" si="5"/>
        <v>0.2</v>
      </c>
      <c r="BA13" s="107">
        <f t="shared" si="5"/>
        <v>0.2</v>
      </c>
      <c r="BB13" s="107">
        <f t="shared" si="5"/>
        <v>0.2</v>
      </c>
      <c r="BC13" s="107">
        <f t="shared" si="5"/>
        <v>0.2</v>
      </c>
      <c r="BD13" s="107">
        <f t="shared" si="5"/>
        <v>0.2</v>
      </c>
      <c r="BE13" s="107">
        <f t="shared" si="5"/>
        <v>0.2</v>
      </c>
      <c r="BF13" s="107">
        <f t="shared" si="5"/>
        <v>0.2</v>
      </c>
      <c r="BG13" s="107">
        <f t="shared" si="5"/>
        <v>0.2</v>
      </c>
      <c r="BH13" s="107">
        <f t="shared" si="5"/>
        <v>0.2</v>
      </c>
      <c r="BI13" s="107">
        <f t="shared" si="5"/>
        <v>0.2</v>
      </c>
      <c r="BJ13" s="107">
        <f t="shared" si="5"/>
        <v>0.2</v>
      </c>
      <c r="BK13" s="107">
        <f t="shared" si="5"/>
        <v>0.2</v>
      </c>
      <c r="BL13" s="107">
        <f t="shared" si="5"/>
        <v>0.2</v>
      </c>
      <c r="BM13" s="107">
        <f t="shared" si="5"/>
        <v>0.2</v>
      </c>
      <c r="BN13" s="107">
        <f t="shared" si="5"/>
        <v>0.2</v>
      </c>
      <c r="BO13" s="107">
        <f t="shared" si="5"/>
        <v>0.2</v>
      </c>
      <c r="BP13" s="107">
        <f t="shared" si="5"/>
        <v>0.2</v>
      </c>
      <c r="BQ13" s="107">
        <f t="shared" si="5"/>
        <v>0.2</v>
      </c>
      <c r="BR13" s="107">
        <f t="shared" si="5"/>
        <v>0.2</v>
      </c>
      <c r="BS13" s="107">
        <f t="shared" si="5"/>
        <v>0.2</v>
      </c>
      <c r="BT13" s="107">
        <f t="shared" si="5"/>
        <v>0.2</v>
      </c>
      <c r="BU13" s="107">
        <f t="shared" si="5"/>
        <v>0.2</v>
      </c>
      <c r="BV13" s="107">
        <f t="shared" si="5"/>
        <v>0.2</v>
      </c>
      <c r="BW13" s="107">
        <f t="shared" si="5"/>
        <v>0.2</v>
      </c>
      <c r="BX13" s="107">
        <f t="shared" si="5"/>
        <v>0.2</v>
      </c>
      <c r="BY13" s="107">
        <f t="shared" si="5"/>
        <v>0.2</v>
      </c>
      <c r="BZ13" s="107">
        <f t="shared" si="5"/>
        <v>0.2</v>
      </c>
      <c r="CA13" s="107">
        <f t="shared" si="5"/>
        <v>0.2</v>
      </c>
      <c r="CB13" s="8"/>
      <c r="CC13" s="8"/>
      <c r="CE13" s="54"/>
    </row>
    <row r="14" spans="2:83" ht="39.75" customHeight="1" x14ac:dyDescent="0.3">
      <c r="B14" s="297" t="s">
        <v>59</v>
      </c>
      <c r="C14" s="325" t="s">
        <v>105</v>
      </c>
      <c r="D14" s="299" t="s">
        <v>60</v>
      </c>
      <c r="E14" s="299" t="s">
        <v>61</v>
      </c>
      <c r="F14" s="299" t="s">
        <v>62</v>
      </c>
      <c r="G14" s="299" t="s">
        <v>151</v>
      </c>
      <c r="H14" s="299" t="s">
        <v>141</v>
      </c>
      <c r="I14" s="299">
        <v>1</v>
      </c>
      <c r="J14" s="378" t="s">
        <v>158</v>
      </c>
      <c r="K14" s="101" t="s">
        <v>4</v>
      </c>
      <c r="L14" s="34"/>
      <c r="M14" s="102">
        <f>IF(ISBLANK(HLOOKUP($M$6,$AF$7:$CA$43,$AD14,FALSE)),"",HLOOKUP($M$6,$AF$7:$CA$43,$AD14,FALSE))</f>
        <v>18</v>
      </c>
      <c r="N14" s="365">
        <f>IF(M14="","",IF(M14&gt;=M16,1,0))</f>
        <v>1</v>
      </c>
      <c r="O14" s="368">
        <f t="shared" ref="O14" si="6">IFERROR(N14*I14,"")</f>
        <v>1</v>
      </c>
      <c r="P14" s="368">
        <f t="shared" ref="P14" si="7">IF(O14&lt;&gt;"",I14,"")</f>
        <v>1</v>
      </c>
      <c r="Q14" s="34"/>
      <c r="R14" s="102">
        <f>IF(ISBLANK(HLOOKUP($R$6,$AF$7:$CA$43,$AD14,FALSE)),"",HLOOKUP($R$6,$AF$7:$CA$43,$AD14,FALSE))</f>
        <v>-2</v>
      </c>
      <c r="S14" s="369">
        <f>IF(R14="","",IF(R14&gt;=R16,1,0))</f>
        <v>0</v>
      </c>
      <c r="T14" s="341">
        <f>IFERROR(R14-R16,"")</f>
        <v>-2</v>
      </c>
      <c r="U14" s="368">
        <f t="shared" ref="U14" si="8">IFERROR(S14*I14,"")</f>
        <v>0</v>
      </c>
      <c r="V14" s="368">
        <f t="shared" ref="V14" si="9">IF(U14&lt;&gt;"",I14,"")</f>
        <v>1</v>
      </c>
      <c r="W14" s="352"/>
      <c r="X14" s="336">
        <f>IF(R14="","",IF(M14="","",IF(R14&gt;M14,2,IF(R14=M14,1,IF(R14&lt;M14,0)))))</f>
        <v>0</v>
      </c>
      <c r="Y14" s="358">
        <f>IF(R14="","",IF(M14="","",(R14-M14)/M14))</f>
        <v>-1.1111111111111112</v>
      </c>
      <c r="Z14" s="352"/>
      <c r="AA14" s="208" t="str">
        <f>IF(S14=0,"Large Number of Near Critical Activities","")</f>
        <v>Large Number of Near Critical Activities</v>
      </c>
      <c r="AB14" s="387"/>
      <c r="AC14" s="389"/>
      <c r="AD14" s="100">
        <v>8</v>
      </c>
      <c r="AE14" s="9" t="s">
        <v>4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>
        <v>18</v>
      </c>
      <c r="AP14" s="27">
        <v>-2</v>
      </c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8"/>
      <c r="CC14" s="8"/>
      <c r="CE14" s="54"/>
    </row>
    <row r="15" spans="2:83" ht="39.75" hidden="1" customHeight="1" x14ac:dyDescent="0.3">
      <c r="B15" s="328"/>
      <c r="C15" s="329"/>
      <c r="D15" s="327"/>
      <c r="E15" s="327"/>
      <c r="F15" s="327"/>
      <c r="G15" s="327"/>
      <c r="H15" s="327"/>
      <c r="I15" s="327"/>
      <c r="J15" s="379"/>
      <c r="K15" s="40" t="s">
        <v>15</v>
      </c>
      <c r="L15" s="34"/>
      <c r="M15" s="10" t="str">
        <f>IF(ISBLANK(HLOOKUP($M$6,$AF$7:$CA$43,$AD15,FALSE)),"",HLOOKUP($M$6,$AF$7:$CA$43,$AD15,FALSE))</f>
        <v/>
      </c>
      <c r="N15" s="366"/>
      <c r="O15" s="368"/>
      <c r="P15" s="368"/>
      <c r="Q15" s="34"/>
      <c r="R15" s="10" t="str">
        <f>IF(ISBLANK(HLOOKUP($R$6,$AF$7:$CA$43,$AD15,FALSE)),"",HLOOKUP($R$6,$AF$7:$CA$43,$AD15,FALSE))</f>
        <v/>
      </c>
      <c r="S15" s="370"/>
      <c r="T15" s="411"/>
      <c r="U15" s="368"/>
      <c r="V15" s="368"/>
      <c r="W15" s="353"/>
      <c r="X15" s="338"/>
      <c r="Y15" s="359"/>
      <c r="Z15" s="353"/>
      <c r="AA15" s="209"/>
      <c r="AB15" s="362"/>
      <c r="AC15" s="364"/>
      <c r="AD15" s="100">
        <v>9</v>
      </c>
      <c r="AE15" s="40" t="s">
        <v>15</v>
      </c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8"/>
      <c r="CC15" s="8"/>
      <c r="CE15" s="54"/>
    </row>
    <row r="16" spans="2:83" ht="39.75" customHeight="1" x14ac:dyDescent="0.3">
      <c r="B16" s="298"/>
      <c r="C16" s="326"/>
      <c r="D16" s="300"/>
      <c r="E16" s="300"/>
      <c r="F16" s="300"/>
      <c r="G16" s="300"/>
      <c r="H16" s="300"/>
      <c r="I16" s="300"/>
      <c r="J16" s="380"/>
      <c r="K16" s="85" t="s">
        <v>99</v>
      </c>
      <c r="L16" s="34"/>
      <c r="M16" s="41">
        <v>0</v>
      </c>
      <c r="N16" s="367"/>
      <c r="O16" s="368"/>
      <c r="P16" s="368"/>
      <c r="Q16" s="34"/>
      <c r="R16" s="41">
        <v>0</v>
      </c>
      <c r="S16" s="371"/>
      <c r="T16" s="342"/>
      <c r="U16" s="368"/>
      <c r="V16" s="368"/>
      <c r="W16" s="354"/>
      <c r="X16" s="337"/>
      <c r="Y16" s="360"/>
      <c r="Z16" s="354"/>
      <c r="AA16" s="209" t="str">
        <f>IF(X14=0,"The Number of Near Critical Activities has increased","")</f>
        <v>The Number of Near Critical Activities has increased</v>
      </c>
      <c r="AB16" s="388"/>
      <c r="AC16" s="390"/>
      <c r="AD16" s="100">
        <v>10</v>
      </c>
      <c r="AE16" s="41" t="s">
        <v>3</v>
      </c>
      <c r="AF16" s="110">
        <f>IF(ISBLANK($M16),"",$M16)</f>
        <v>0</v>
      </c>
      <c r="AG16" s="110">
        <f t="shared" ref="AG16:CA16" si="10">IF(ISBLANK($M16),"",$M16)</f>
        <v>0</v>
      </c>
      <c r="AH16" s="110">
        <f t="shared" si="10"/>
        <v>0</v>
      </c>
      <c r="AI16" s="110">
        <f t="shared" si="10"/>
        <v>0</v>
      </c>
      <c r="AJ16" s="110">
        <f t="shared" si="10"/>
        <v>0</v>
      </c>
      <c r="AK16" s="110">
        <f t="shared" si="10"/>
        <v>0</v>
      </c>
      <c r="AL16" s="110">
        <f t="shared" si="10"/>
        <v>0</v>
      </c>
      <c r="AM16" s="110">
        <f t="shared" si="10"/>
        <v>0</v>
      </c>
      <c r="AN16" s="110">
        <f t="shared" si="10"/>
        <v>0</v>
      </c>
      <c r="AO16" s="110">
        <f t="shared" si="10"/>
        <v>0</v>
      </c>
      <c r="AP16" s="110">
        <f t="shared" si="10"/>
        <v>0</v>
      </c>
      <c r="AQ16" s="110">
        <f t="shared" si="10"/>
        <v>0</v>
      </c>
      <c r="AR16" s="110">
        <f t="shared" si="10"/>
        <v>0</v>
      </c>
      <c r="AS16" s="110">
        <f t="shared" si="10"/>
        <v>0</v>
      </c>
      <c r="AT16" s="110">
        <f t="shared" si="10"/>
        <v>0</v>
      </c>
      <c r="AU16" s="110">
        <f t="shared" si="10"/>
        <v>0</v>
      </c>
      <c r="AV16" s="110">
        <f t="shared" si="10"/>
        <v>0</v>
      </c>
      <c r="AW16" s="110">
        <f t="shared" si="10"/>
        <v>0</v>
      </c>
      <c r="AX16" s="110">
        <f t="shared" si="10"/>
        <v>0</v>
      </c>
      <c r="AY16" s="110">
        <f t="shared" si="10"/>
        <v>0</v>
      </c>
      <c r="AZ16" s="110">
        <f t="shared" si="10"/>
        <v>0</v>
      </c>
      <c r="BA16" s="110">
        <f t="shared" si="10"/>
        <v>0</v>
      </c>
      <c r="BB16" s="110">
        <f t="shared" si="10"/>
        <v>0</v>
      </c>
      <c r="BC16" s="110">
        <f t="shared" si="10"/>
        <v>0</v>
      </c>
      <c r="BD16" s="110">
        <f t="shared" si="10"/>
        <v>0</v>
      </c>
      <c r="BE16" s="110">
        <f t="shared" si="10"/>
        <v>0</v>
      </c>
      <c r="BF16" s="110">
        <f t="shared" si="10"/>
        <v>0</v>
      </c>
      <c r="BG16" s="110">
        <f t="shared" si="10"/>
        <v>0</v>
      </c>
      <c r="BH16" s="110">
        <f t="shared" si="10"/>
        <v>0</v>
      </c>
      <c r="BI16" s="110">
        <f t="shared" si="10"/>
        <v>0</v>
      </c>
      <c r="BJ16" s="110">
        <f t="shared" si="10"/>
        <v>0</v>
      </c>
      <c r="BK16" s="110">
        <f t="shared" si="10"/>
        <v>0</v>
      </c>
      <c r="BL16" s="110">
        <f t="shared" si="10"/>
        <v>0</v>
      </c>
      <c r="BM16" s="110">
        <f t="shared" si="10"/>
        <v>0</v>
      </c>
      <c r="BN16" s="110">
        <f t="shared" si="10"/>
        <v>0</v>
      </c>
      <c r="BO16" s="110">
        <f t="shared" si="10"/>
        <v>0</v>
      </c>
      <c r="BP16" s="110">
        <f t="shared" si="10"/>
        <v>0</v>
      </c>
      <c r="BQ16" s="110">
        <f t="shared" si="10"/>
        <v>0</v>
      </c>
      <c r="BR16" s="110">
        <f t="shared" si="10"/>
        <v>0</v>
      </c>
      <c r="BS16" s="110">
        <f t="shared" si="10"/>
        <v>0</v>
      </c>
      <c r="BT16" s="110">
        <f t="shared" si="10"/>
        <v>0</v>
      </c>
      <c r="BU16" s="110">
        <f t="shared" si="10"/>
        <v>0</v>
      </c>
      <c r="BV16" s="110">
        <f t="shared" si="10"/>
        <v>0</v>
      </c>
      <c r="BW16" s="110">
        <f t="shared" si="10"/>
        <v>0</v>
      </c>
      <c r="BX16" s="110">
        <f t="shared" si="10"/>
        <v>0</v>
      </c>
      <c r="BY16" s="110">
        <f t="shared" si="10"/>
        <v>0</v>
      </c>
      <c r="BZ16" s="110">
        <f t="shared" si="10"/>
        <v>0</v>
      </c>
      <c r="CA16" s="110">
        <f t="shared" si="10"/>
        <v>0</v>
      </c>
      <c r="CB16" s="8"/>
      <c r="CC16" s="8"/>
      <c r="CE16" s="54"/>
    </row>
    <row r="17" spans="2:83" ht="39.75" customHeight="1" x14ac:dyDescent="0.3">
      <c r="B17" s="297" t="s">
        <v>103</v>
      </c>
      <c r="C17" s="325" t="s">
        <v>105</v>
      </c>
      <c r="D17" s="299" t="s">
        <v>60</v>
      </c>
      <c r="E17" s="299" t="s">
        <v>61</v>
      </c>
      <c r="F17" s="299" t="s">
        <v>62</v>
      </c>
      <c r="G17" s="299" t="s">
        <v>152</v>
      </c>
      <c r="H17" s="299" t="s">
        <v>141</v>
      </c>
      <c r="I17" s="299">
        <v>1</v>
      </c>
      <c r="J17" s="378" t="s">
        <v>158</v>
      </c>
      <c r="K17" s="101" t="s">
        <v>4</v>
      </c>
      <c r="L17" s="34"/>
      <c r="M17" s="102">
        <f>IF(ISBLANK(HLOOKUP($M$6,$AF$7:$CA$43,$AD17,FALSE)),"",HLOOKUP($M$6,$AF$7:$CA$43,$AD17,FALSE))</f>
        <v>-12</v>
      </c>
      <c r="N17" s="365">
        <f>IF(M17="","",IF(M17&gt;=M19,1,0))</f>
        <v>0</v>
      </c>
      <c r="O17" s="368">
        <f t="shared" ref="O17" si="11">IFERROR(N17*I17,"")</f>
        <v>0</v>
      </c>
      <c r="P17" s="368">
        <f t="shared" ref="P17" si="12">IF(O17&lt;&gt;"",I17,"")</f>
        <v>1</v>
      </c>
      <c r="Q17" s="34"/>
      <c r="R17" s="102">
        <f>IF(ISBLANK(HLOOKUP($R$6,$AF$7:$CA$43,$AD17,FALSE)),"",HLOOKUP($R$6,$AF$7:$CA$43,$AD17,FALSE))</f>
        <v>-26</v>
      </c>
      <c r="S17" s="369">
        <f>IF(R17="","",IF(R17&gt;=R19,1,0))</f>
        <v>0</v>
      </c>
      <c r="T17" s="341">
        <f>IFERROR(R17-R19,"")</f>
        <v>-26</v>
      </c>
      <c r="U17" s="368">
        <f t="shared" ref="U17" si="13">IFERROR(S17*I17,"")</f>
        <v>0</v>
      </c>
      <c r="V17" s="368">
        <f t="shared" ref="V17" si="14">IF(U17&lt;&gt;"",I17,"")</f>
        <v>1</v>
      </c>
      <c r="W17" s="352"/>
      <c r="X17" s="336">
        <f>IF(R17="","",IF(M17="","",IF(R17&gt;M17,2,IF(R17=M17,1,IF(R17&lt;M17,0)))))</f>
        <v>0</v>
      </c>
      <c r="Y17" s="408">
        <f>IF(R17="","",IF(M17="","",(R17-M17)))</f>
        <v>-14</v>
      </c>
      <c r="Z17" s="352"/>
      <c r="AA17" s="208" t="str">
        <f>IF(S17=0,"The Project is in Delay","")</f>
        <v>The Project is in Delay</v>
      </c>
      <c r="AB17" s="387"/>
      <c r="AC17" s="389"/>
      <c r="AD17" s="100">
        <v>11</v>
      </c>
      <c r="AE17" s="9" t="s">
        <v>4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v>-12</v>
      </c>
      <c r="AP17" s="27">
        <v>-26</v>
      </c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8"/>
      <c r="CC17" s="8"/>
      <c r="CE17" s="54"/>
    </row>
    <row r="18" spans="2:83" ht="39.75" hidden="1" customHeight="1" x14ac:dyDescent="0.3">
      <c r="B18" s="328"/>
      <c r="C18" s="329"/>
      <c r="D18" s="327"/>
      <c r="E18" s="327"/>
      <c r="F18" s="327"/>
      <c r="G18" s="327"/>
      <c r="H18" s="327"/>
      <c r="I18" s="327"/>
      <c r="J18" s="379"/>
      <c r="K18" s="40" t="s">
        <v>15</v>
      </c>
      <c r="L18" s="34"/>
      <c r="M18" s="10" t="str">
        <f>IF(ISBLANK(HLOOKUP($M$6,$AF$7:$CA$43,$AD18,FALSE)),"",HLOOKUP($M$6,$AF$7:$CA$43,$AD18,FALSE))</f>
        <v/>
      </c>
      <c r="N18" s="366"/>
      <c r="O18" s="368"/>
      <c r="P18" s="368"/>
      <c r="Q18" s="34"/>
      <c r="R18" s="10" t="str">
        <f>IF(ISBLANK(HLOOKUP($R$6,$AF$7:$CA$43,$AD18,FALSE)),"",HLOOKUP($R$6,$AF$7:$CA$43,$AD18,FALSE))</f>
        <v/>
      </c>
      <c r="S18" s="370"/>
      <c r="T18" s="411"/>
      <c r="U18" s="368"/>
      <c r="V18" s="368"/>
      <c r="W18" s="353"/>
      <c r="X18" s="338"/>
      <c r="Y18" s="409"/>
      <c r="Z18" s="353"/>
      <c r="AA18" s="209"/>
      <c r="AB18" s="362"/>
      <c r="AC18" s="364"/>
      <c r="AD18" s="100">
        <v>12</v>
      </c>
      <c r="AE18" s="40" t="s">
        <v>15</v>
      </c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8"/>
      <c r="CC18" s="8"/>
      <c r="CE18" s="54"/>
    </row>
    <row r="19" spans="2:83" ht="39.75" customHeight="1" x14ac:dyDescent="0.3">
      <c r="B19" s="298"/>
      <c r="C19" s="326"/>
      <c r="D19" s="300"/>
      <c r="E19" s="300"/>
      <c r="F19" s="300"/>
      <c r="G19" s="300"/>
      <c r="H19" s="300"/>
      <c r="I19" s="300"/>
      <c r="J19" s="380"/>
      <c r="K19" s="85" t="s">
        <v>99</v>
      </c>
      <c r="L19" s="34"/>
      <c r="M19" s="41">
        <v>0</v>
      </c>
      <c r="N19" s="367"/>
      <c r="O19" s="368"/>
      <c r="P19" s="368"/>
      <c r="Q19" s="34"/>
      <c r="R19" s="41">
        <v>0</v>
      </c>
      <c r="S19" s="371"/>
      <c r="T19" s="342"/>
      <c r="U19" s="368"/>
      <c r="V19" s="368"/>
      <c r="W19" s="354"/>
      <c r="X19" s="337"/>
      <c r="Y19" s="410"/>
      <c r="Z19" s="354"/>
      <c r="AA19" s="209" t="str">
        <f>IF(X17=0,"The Overall Project Estimated duration has Increased","")</f>
        <v>The Overall Project Estimated duration has Increased</v>
      </c>
      <c r="AB19" s="388"/>
      <c r="AC19" s="390"/>
      <c r="AD19" s="100">
        <v>13</v>
      </c>
      <c r="AE19" s="41" t="s">
        <v>3</v>
      </c>
      <c r="AF19" s="110">
        <f>IF(ISBLANK($M19),"",$M19)</f>
        <v>0</v>
      </c>
      <c r="AG19" s="110">
        <f t="shared" ref="AG19:CA19" si="15">IF(ISBLANK($M19),"",$M19)</f>
        <v>0</v>
      </c>
      <c r="AH19" s="110">
        <f t="shared" si="15"/>
        <v>0</v>
      </c>
      <c r="AI19" s="110">
        <f t="shared" si="15"/>
        <v>0</v>
      </c>
      <c r="AJ19" s="110">
        <f t="shared" si="15"/>
        <v>0</v>
      </c>
      <c r="AK19" s="110">
        <f t="shared" si="15"/>
        <v>0</v>
      </c>
      <c r="AL19" s="110">
        <f t="shared" si="15"/>
        <v>0</v>
      </c>
      <c r="AM19" s="110">
        <f t="shared" si="15"/>
        <v>0</v>
      </c>
      <c r="AN19" s="110">
        <f t="shared" si="15"/>
        <v>0</v>
      </c>
      <c r="AO19" s="110">
        <f t="shared" si="15"/>
        <v>0</v>
      </c>
      <c r="AP19" s="110">
        <f t="shared" si="15"/>
        <v>0</v>
      </c>
      <c r="AQ19" s="110">
        <f t="shared" si="15"/>
        <v>0</v>
      </c>
      <c r="AR19" s="110">
        <f t="shared" si="15"/>
        <v>0</v>
      </c>
      <c r="AS19" s="110">
        <f t="shared" si="15"/>
        <v>0</v>
      </c>
      <c r="AT19" s="110">
        <f t="shared" si="15"/>
        <v>0</v>
      </c>
      <c r="AU19" s="110">
        <f t="shared" si="15"/>
        <v>0</v>
      </c>
      <c r="AV19" s="110">
        <f t="shared" si="15"/>
        <v>0</v>
      </c>
      <c r="AW19" s="110">
        <f t="shared" si="15"/>
        <v>0</v>
      </c>
      <c r="AX19" s="110">
        <f t="shared" si="15"/>
        <v>0</v>
      </c>
      <c r="AY19" s="110">
        <f t="shared" si="15"/>
        <v>0</v>
      </c>
      <c r="AZ19" s="110">
        <f t="shared" si="15"/>
        <v>0</v>
      </c>
      <c r="BA19" s="110">
        <f t="shared" si="15"/>
        <v>0</v>
      </c>
      <c r="BB19" s="110">
        <f t="shared" si="15"/>
        <v>0</v>
      </c>
      <c r="BC19" s="110">
        <f t="shared" si="15"/>
        <v>0</v>
      </c>
      <c r="BD19" s="110">
        <f t="shared" si="15"/>
        <v>0</v>
      </c>
      <c r="BE19" s="110">
        <f t="shared" si="15"/>
        <v>0</v>
      </c>
      <c r="BF19" s="110">
        <f t="shared" si="15"/>
        <v>0</v>
      </c>
      <c r="BG19" s="110">
        <f t="shared" si="15"/>
        <v>0</v>
      </c>
      <c r="BH19" s="110">
        <f t="shared" si="15"/>
        <v>0</v>
      </c>
      <c r="BI19" s="110">
        <f t="shared" si="15"/>
        <v>0</v>
      </c>
      <c r="BJ19" s="110">
        <f t="shared" si="15"/>
        <v>0</v>
      </c>
      <c r="BK19" s="110">
        <f t="shared" si="15"/>
        <v>0</v>
      </c>
      <c r="BL19" s="110">
        <f t="shared" si="15"/>
        <v>0</v>
      </c>
      <c r="BM19" s="110">
        <f t="shared" si="15"/>
        <v>0</v>
      </c>
      <c r="BN19" s="110">
        <f t="shared" si="15"/>
        <v>0</v>
      </c>
      <c r="BO19" s="110">
        <f t="shared" si="15"/>
        <v>0</v>
      </c>
      <c r="BP19" s="110">
        <f t="shared" si="15"/>
        <v>0</v>
      </c>
      <c r="BQ19" s="110">
        <f t="shared" si="15"/>
        <v>0</v>
      </c>
      <c r="BR19" s="110">
        <f t="shared" si="15"/>
        <v>0</v>
      </c>
      <c r="BS19" s="110">
        <f t="shared" si="15"/>
        <v>0</v>
      </c>
      <c r="BT19" s="110">
        <f t="shared" si="15"/>
        <v>0</v>
      </c>
      <c r="BU19" s="110">
        <f t="shared" si="15"/>
        <v>0</v>
      </c>
      <c r="BV19" s="110">
        <f t="shared" si="15"/>
        <v>0</v>
      </c>
      <c r="BW19" s="110">
        <f t="shared" si="15"/>
        <v>0</v>
      </c>
      <c r="BX19" s="110">
        <f t="shared" si="15"/>
        <v>0</v>
      </c>
      <c r="BY19" s="110">
        <f t="shared" si="15"/>
        <v>0</v>
      </c>
      <c r="BZ19" s="110">
        <f t="shared" si="15"/>
        <v>0</v>
      </c>
      <c r="CA19" s="110">
        <f t="shared" si="15"/>
        <v>0</v>
      </c>
      <c r="CB19" s="8"/>
      <c r="CC19" s="8"/>
      <c r="CE19" s="54"/>
    </row>
    <row r="20" spans="2:83" ht="39.75" customHeight="1" x14ac:dyDescent="0.3">
      <c r="B20" s="297" t="s">
        <v>63</v>
      </c>
      <c r="C20" s="325" t="s">
        <v>105</v>
      </c>
      <c r="D20" s="299" t="s">
        <v>60</v>
      </c>
      <c r="E20" s="299" t="s">
        <v>64</v>
      </c>
      <c r="F20" s="299" t="s">
        <v>65</v>
      </c>
      <c r="G20" s="299" t="s">
        <v>136</v>
      </c>
      <c r="H20" s="299" t="s">
        <v>114</v>
      </c>
      <c r="I20" s="299">
        <v>1</v>
      </c>
      <c r="J20" s="378" t="s">
        <v>159</v>
      </c>
      <c r="K20" s="101" t="s">
        <v>4</v>
      </c>
      <c r="L20" s="34"/>
      <c r="M20" s="103">
        <f>IF(ISBLANK(HLOOKUP($M$6,$AF$7:$CA$43,$AD20,FALSE)),"",HLOOKUP($M$6,$AF$7:$CA$43,$AD20,FALSE))</f>
        <v>0.91666666666666663</v>
      </c>
      <c r="N20" s="365">
        <f>IF(M20="","",IF(M20&lt;=M22,1,0))</f>
        <v>1</v>
      </c>
      <c r="O20" s="368">
        <f t="shared" ref="O20" si="16">IFERROR(N20*I20,"")</f>
        <v>1</v>
      </c>
      <c r="P20" s="368">
        <f t="shared" ref="P20" si="17">IF(O20&lt;&gt;"",I20,"")</f>
        <v>1</v>
      </c>
      <c r="Q20" s="34"/>
      <c r="R20" s="103">
        <f>IF(ISBLANK(HLOOKUP($R$6,$AF$7:$CA$43,$AD20,FALSE)),"",HLOOKUP($R$6,$AF$7:$CA$43,$AD20,FALSE))</f>
        <v>0.75</v>
      </c>
      <c r="S20" s="369">
        <f>IF(R20="","",IF(R20&lt;=R22,1,0))</f>
        <v>1</v>
      </c>
      <c r="T20" s="343">
        <f>IFERROR((R20-R22)/R22,"")</f>
        <v>-0.31818181818181823</v>
      </c>
      <c r="U20" s="368">
        <f t="shared" ref="U20" si="18">IFERROR(S20*I20,"")</f>
        <v>1</v>
      </c>
      <c r="V20" s="368">
        <f t="shared" ref="V20" si="19">IF(U20&lt;&gt;"",I20,"")</f>
        <v>1</v>
      </c>
      <c r="W20" s="352"/>
      <c r="X20" s="336">
        <f>IF(R20="","",IF(M20="","",IF(R20&lt;M20,2,IF(R20=M20,1,IF(R20&gt;M20,0)))))</f>
        <v>2</v>
      </c>
      <c r="Y20" s="358">
        <f>IF(R20="","",IF(M20="","",(R20-M20)/M20))</f>
        <v>-0.1818181818181818</v>
      </c>
      <c r="Z20" s="352"/>
      <c r="AA20" s="208" t="str">
        <f>IF(S20=0,"Large Number of Critical Paths","")</f>
        <v/>
      </c>
      <c r="AB20" s="361"/>
      <c r="AC20" s="363"/>
      <c r="AD20" s="100">
        <v>14</v>
      </c>
      <c r="AE20" s="9" t="s">
        <v>4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76">
        <f>11/12</f>
        <v>0.91666666666666663</v>
      </c>
      <c r="AP20" s="77">
        <f>9/12</f>
        <v>0.75</v>
      </c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8"/>
      <c r="CC20" s="8"/>
      <c r="CE20" s="54"/>
    </row>
    <row r="21" spans="2:83" ht="39.75" hidden="1" customHeight="1" x14ac:dyDescent="0.3">
      <c r="B21" s="328"/>
      <c r="C21" s="329"/>
      <c r="D21" s="327"/>
      <c r="E21" s="327"/>
      <c r="F21" s="327"/>
      <c r="G21" s="327"/>
      <c r="H21" s="327"/>
      <c r="I21" s="327"/>
      <c r="J21" s="379"/>
      <c r="K21" s="40" t="s">
        <v>15</v>
      </c>
      <c r="L21" s="34"/>
      <c r="M21" s="111" t="str">
        <f>IF(ISBLANK(HLOOKUP($M$6,$AF$7:$CA$43,$AD21,FALSE)),"",HLOOKUP($M$6,$AF$7:$CA$43,$AD21,FALSE))</f>
        <v/>
      </c>
      <c r="N21" s="366"/>
      <c r="O21" s="368"/>
      <c r="P21" s="368"/>
      <c r="Q21" s="34"/>
      <c r="R21" s="111" t="str">
        <f>IF(ISBLANK(HLOOKUP($R$6,$AF$7:$CA$43,$AD21,FALSE)),"",HLOOKUP($R$6,$AF$7:$CA$43,$AD21,FALSE))</f>
        <v/>
      </c>
      <c r="S21" s="370"/>
      <c r="T21" s="345"/>
      <c r="U21" s="368"/>
      <c r="V21" s="368"/>
      <c r="W21" s="353"/>
      <c r="X21" s="338"/>
      <c r="Y21" s="359"/>
      <c r="Z21" s="353"/>
      <c r="AA21" s="209"/>
      <c r="AB21" s="362"/>
      <c r="AC21" s="364"/>
      <c r="AD21" s="100">
        <v>15</v>
      </c>
      <c r="AE21" s="40" t="s">
        <v>15</v>
      </c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E21" s="54"/>
    </row>
    <row r="22" spans="2:83" ht="39.75" customHeight="1" x14ac:dyDescent="0.3">
      <c r="B22" s="298"/>
      <c r="C22" s="326"/>
      <c r="D22" s="300"/>
      <c r="E22" s="300"/>
      <c r="F22" s="300"/>
      <c r="G22" s="300"/>
      <c r="H22" s="300"/>
      <c r="I22" s="300"/>
      <c r="J22" s="380"/>
      <c r="K22" s="85" t="s">
        <v>100</v>
      </c>
      <c r="L22" s="34"/>
      <c r="M22" s="75">
        <v>1.1000000000000001</v>
      </c>
      <c r="N22" s="367"/>
      <c r="O22" s="368"/>
      <c r="P22" s="368"/>
      <c r="Q22" s="34"/>
      <c r="R22" s="75">
        <v>1.1000000000000001</v>
      </c>
      <c r="S22" s="371"/>
      <c r="T22" s="344"/>
      <c r="U22" s="368"/>
      <c r="V22" s="368"/>
      <c r="W22" s="354"/>
      <c r="X22" s="337"/>
      <c r="Y22" s="360"/>
      <c r="Z22" s="354"/>
      <c r="AA22" s="209" t="str">
        <f>IF(X20=0,"The Number of Critical Paths has increased","")</f>
        <v/>
      </c>
      <c r="AB22" s="388"/>
      <c r="AC22" s="390"/>
      <c r="AD22" s="100">
        <v>16</v>
      </c>
      <c r="AE22" s="41" t="s">
        <v>3</v>
      </c>
      <c r="AF22" s="109">
        <f>IF(ISBLANK($M22),"",$M22)</f>
        <v>1.1000000000000001</v>
      </c>
      <c r="AG22" s="109">
        <f t="shared" ref="AG22:CA22" si="20">IF(ISBLANK($M22),"",$M22)</f>
        <v>1.1000000000000001</v>
      </c>
      <c r="AH22" s="109">
        <f t="shared" si="20"/>
        <v>1.1000000000000001</v>
      </c>
      <c r="AI22" s="109">
        <f t="shared" si="20"/>
        <v>1.1000000000000001</v>
      </c>
      <c r="AJ22" s="109">
        <f t="shared" si="20"/>
        <v>1.1000000000000001</v>
      </c>
      <c r="AK22" s="109">
        <f t="shared" si="20"/>
        <v>1.1000000000000001</v>
      </c>
      <c r="AL22" s="109">
        <f t="shared" si="20"/>
        <v>1.1000000000000001</v>
      </c>
      <c r="AM22" s="109">
        <f t="shared" si="20"/>
        <v>1.1000000000000001</v>
      </c>
      <c r="AN22" s="109">
        <f t="shared" si="20"/>
        <v>1.1000000000000001</v>
      </c>
      <c r="AO22" s="109">
        <f t="shared" si="20"/>
        <v>1.1000000000000001</v>
      </c>
      <c r="AP22" s="109">
        <f t="shared" si="20"/>
        <v>1.1000000000000001</v>
      </c>
      <c r="AQ22" s="109">
        <f t="shared" si="20"/>
        <v>1.1000000000000001</v>
      </c>
      <c r="AR22" s="109">
        <f t="shared" si="20"/>
        <v>1.1000000000000001</v>
      </c>
      <c r="AS22" s="109">
        <f t="shared" si="20"/>
        <v>1.1000000000000001</v>
      </c>
      <c r="AT22" s="109">
        <f t="shared" si="20"/>
        <v>1.1000000000000001</v>
      </c>
      <c r="AU22" s="109">
        <f t="shared" si="20"/>
        <v>1.1000000000000001</v>
      </c>
      <c r="AV22" s="109">
        <f t="shared" si="20"/>
        <v>1.1000000000000001</v>
      </c>
      <c r="AW22" s="109">
        <f t="shared" si="20"/>
        <v>1.1000000000000001</v>
      </c>
      <c r="AX22" s="109">
        <f t="shared" si="20"/>
        <v>1.1000000000000001</v>
      </c>
      <c r="AY22" s="109">
        <f t="shared" si="20"/>
        <v>1.1000000000000001</v>
      </c>
      <c r="AZ22" s="109">
        <f t="shared" si="20"/>
        <v>1.1000000000000001</v>
      </c>
      <c r="BA22" s="109">
        <f t="shared" si="20"/>
        <v>1.1000000000000001</v>
      </c>
      <c r="BB22" s="109">
        <f t="shared" si="20"/>
        <v>1.1000000000000001</v>
      </c>
      <c r="BC22" s="109">
        <f t="shared" si="20"/>
        <v>1.1000000000000001</v>
      </c>
      <c r="BD22" s="109">
        <f t="shared" si="20"/>
        <v>1.1000000000000001</v>
      </c>
      <c r="BE22" s="109">
        <f t="shared" si="20"/>
        <v>1.1000000000000001</v>
      </c>
      <c r="BF22" s="109">
        <f t="shared" si="20"/>
        <v>1.1000000000000001</v>
      </c>
      <c r="BG22" s="109">
        <f t="shared" si="20"/>
        <v>1.1000000000000001</v>
      </c>
      <c r="BH22" s="109">
        <f t="shared" si="20"/>
        <v>1.1000000000000001</v>
      </c>
      <c r="BI22" s="109">
        <f t="shared" si="20"/>
        <v>1.1000000000000001</v>
      </c>
      <c r="BJ22" s="109">
        <f t="shared" si="20"/>
        <v>1.1000000000000001</v>
      </c>
      <c r="BK22" s="109">
        <f t="shared" si="20"/>
        <v>1.1000000000000001</v>
      </c>
      <c r="BL22" s="109">
        <f t="shared" si="20"/>
        <v>1.1000000000000001</v>
      </c>
      <c r="BM22" s="109">
        <f t="shared" si="20"/>
        <v>1.1000000000000001</v>
      </c>
      <c r="BN22" s="109">
        <f t="shared" si="20"/>
        <v>1.1000000000000001</v>
      </c>
      <c r="BO22" s="109">
        <f t="shared" si="20"/>
        <v>1.1000000000000001</v>
      </c>
      <c r="BP22" s="109">
        <f t="shared" si="20"/>
        <v>1.1000000000000001</v>
      </c>
      <c r="BQ22" s="109">
        <f t="shared" si="20"/>
        <v>1.1000000000000001</v>
      </c>
      <c r="BR22" s="109">
        <f t="shared" si="20"/>
        <v>1.1000000000000001</v>
      </c>
      <c r="BS22" s="109">
        <f t="shared" si="20"/>
        <v>1.1000000000000001</v>
      </c>
      <c r="BT22" s="109">
        <f t="shared" si="20"/>
        <v>1.1000000000000001</v>
      </c>
      <c r="BU22" s="109">
        <f t="shared" si="20"/>
        <v>1.1000000000000001</v>
      </c>
      <c r="BV22" s="109">
        <f t="shared" si="20"/>
        <v>1.1000000000000001</v>
      </c>
      <c r="BW22" s="109">
        <f t="shared" si="20"/>
        <v>1.1000000000000001</v>
      </c>
      <c r="BX22" s="109">
        <f t="shared" si="20"/>
        <v>1.1000000000000001</v>
      </c>
      <c r="BY22" s="109">
        <f t="shared" si="20"/>
        <v>1.1000000000000001</v>
      </c>
      <c r="BZ22" s="109">
        <f t="shared" si="20"/>
        <v>1.1000000000000001</v>
      </c>
      <c r="CA22" s="109">
        <f t="shared" si="20"/>
        <v>1.1000000000000001</v>
      </c>
      <c r="CE22" s="54"/>
    </row>
    <row r="23" spans="2:83" ht="39.75" customHeight="1" x14ac:dyDescent="0.3">
      <c r="B23" s="297" t="s">
        <v>66</v>
      </c>
      <c r="C23" s="325" t="s">
        <v>105</v>
      </c>
      <c r="D23" s="299" t="s">
        <v>60</v>
      </c>
      <c r="E23" s="299" t="s">
        <v>67</v>
      </c>
      <c r="F23" s="299" t="s">
        <v>68</v>
      </c>
      <c r="G23" s="299" t="s">
        <v>211</v>
      </c>
      <c r="H23" s="299" t="s">
        <v>115</v>
      </c>
      <c r="I23" s="299">
        <v>1</v>
      </c>
      <c r="J23" s="378" t="s">
        <v>161</v>
      </c>
      <c r="K23" s="101" t="s">
        <v>4</v>
      </c>
      <c r="L23" s="34"/>
      <c r="M23" s="103">
        <f>IF(ISBLANK(HLOOKUP($M$6,$AF$7:$CA$43,$AD23,FALSE)),"",HLOOKUP($M$6,$AF$7:$CA$43,$AD23,FALSE))</f>
        <v>1.38</v>
      </c>
      <c r="N23" s="365">
        <f>IF(M23="","",IF(M23&gt;=M25,1,0))</f>
        <v>1</v>
      </c>
      <c r="O23" s="368">
        <f t="shared" ref="O23" si="21">IFERROR(N23*I23,"")</f>
        <v>1</v>
      </c>
      <c r="P23" s="368">
        <f t="shared" ref="P23" si="22">IF(O23&lt;&gt;"",I23,"")</f>
        <v>1</v>
      </c>
      <c r="Q23" s="34"/>
      <c r="R23" s="103">
        <f>IF(ISBLANK(HLOOKUP($R$6,$AF$7:$CA$43,$AD23,FALSE)),"",HLOOKUP($R$6,$AF$7:$CA$43,$AD23,FALSE))</f>
        <v>1.1499999999999999</v>
      </c>
      <c r="S23" s="369">
        <f>IF(R23="","",IF(R23&gt;=R25,1,0))</f>
        <v>1</v>
      </c>
      <c r="T23" s="343">
        <f>IFERROR((R23-R25)/R25,"")</f>
        <v>0.14999999999999991</v>
      </c>
      <c r="U23" s="368">
        <f t="shared" ref="U23" si="23">IFERROR(S23*I23,"")</f>
        <v>1</v>
      </c>
      <c r="V23" s="368">
        <f t="shared" ref="V23" si="24">IF(U23&lt;&gt;"",I23,"")</f>
        <v>1</v>
      </c>
      <c r="W23" s="352"/>
      <c r="X23" s="336">
        <f>IF(R23="","",IF(M23="","",IF(R23&gt;M23,2,IF(R23=M23,1,IF(R23&lt;M23,0)))))</f>
        <v>0</v>
      </c>
      <c r="Y23" s="358">
        <f>IF(R23="","",IF(M23="","",(R23-M23)/M23))</f>
        <v>-0.16666666666666666</v>
      </c>
      <c r="Z23" s="352"/>
      <c r="AA23" s="208" t="str">
        <f>IF(S23=0,"The progress is less than planned","")</f>
        <v/>
      </c>
      <c r="AB23" s="361"/>
      <c r="AC23" s="363"/>
      <c r="AD23" s="100">
        <v>17</v>
      </c>
      <c r="AE23" s="9" t="s">
        <v>4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>
        <v>1.38</v>
      </c>
      <c r="AP23" s="27">
        <v>1.1499999999999999</v>
      </c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E23" s="54"/>
    </row>
    <row r="24" spans="2:83" ht="39.75" hidden="1" customHeight="1" x14ac:dyDescent="0.3">
      <c r="B24" s="328"/>
      <c r="C24" s="329"/>
      <c r="D24" s="327"/>
      <c r="E24" s="327"/>
      <c r="F24" s="327"/>
      <c r="G24" s="327"/>
      <c r="H24" s="327"/>
      <c r="I24" s="327"/>
      <c r="J24" s="379"/>
      <c r="K24" s="40" t="s">
        <v>15</v>
      </c>
      <c r="L24" s="34"/>
      <c r="M24" s="111" t="str">
        <f>IF(ISBLANK(HLOOKUP($M$6,$AF$7:$CA$43,$AD24,FALSE)),"",HLOOKUP($M$6,$AF$7:$CA$43,$AD24,FALSE))</f>
        <v/>
      </c>
      <c r="N24" s="366"/>
      <c r="O24" s="368"/>
      <c r="P24" s="368"/>
      <c r="Q24" s="34"/>
      <c r="R24" s="111" t="str">
        <f>IF(ISBLANK(HLOOKUP($R$6,$AF$7:$CA$43,$AD24,FALSE)),"",HLOOKUP($R$6,$AF$7:$CA$43,$AD24,FALSE))</f>
        <v/>
      </c>
      <c r="S24" s="370"/>
      <c r="T24" s="345"/>
      <c r="U24" s="368"/>
      <c r="V24" s="368"/>
      <c r="W24" s="353"/>
      <c r="X24" s="338"/>
      <c r="Y24" s="359"/>
      <c r="Z24" s="353"/>
      <c r="AA24" s="209"/>
      <c r="AB24" s="362"/>
      <c r="AC24" s="364"/>
      <c r="AD24" s="100">
        <v>18</v>
      </c>
      <c r="AE24" s="40" t="s">
        <v>15</v>
      </c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E24" s="54"/>
    </row>
    <row r="25" spans="2:83" ht="39.75" customHeight="1" x14ac:dyDescent="0.3">
      <c r="B25" s="298"/>
      <c r="C25" s="326"/>
      <c r="D25" s="300"/>
      <c r="E25" s="300"/>
      <c r="F25" s="300"/>
      <c r="G25" s="300"/>
      <c r="H25" s="300"/>
      <c r="I25" s="300"/>
      <c r="J25" s="380"/>
      <c r="K25" s="85" t="s">
        <v>99</v>
      </c>
      <c r="L25" s="34"/>
      <c r="M25" s="41">
        <v>1</v>
      </c>
      <c r="N25" s="367"/>
      <c r="O25" s="368"/>
      <c r="P25" s="368"/>
      <c r="Q25" s="34"/>
      <c r="R25" s="41">
        <v>1</v>
      </c>
      <c r="S25" s="371"/>
      <c r="T25" s="344"/>
      <c r="U25" s="368"/>
      <c r="V25" s="368"/>
      <c r="W25" s="354"/>
      <c r="X25" s="337"/>
      <c r="Y25" s="360"/>
      <c r="Z25" s="354"/>
      <c r="AA25" s="209" t="str">
        <f>IF(X23=0,"There's a slippage from the schedule","")</f>
        <v>There's a slippage from the schedule</v>
      </c>
      <c r="AB25" s="388"/>
      <c r="AC25" s="390"/>
      <c r="AD25" s="100">
        <v>19</v>
      </c>
      <c r="AE25" s="41" t="s">
        <v>3</v>
      </c>
      <c r="AF25" s="110">
        <f>IF(ISBLANK($M25),"",$M25)</f>
        <v>1</v>
      </c>
      <c r="AG25" s="110">
        <f t="shared" ref="AG25:CA25" si="25">IF(ISBLANK($M25),"",$M25)</f>
        <v>1</v>
      </c>
      <c r="AH25" s="110">
        <f t="shared" si="25"/>
        <v>1</v>
      </c>
      <c r="AI25" s="110">
        <f t="shared" si="25"/>
        <v>1</v>
      </c>
      <c r="AJ25" s="110">
        <f t="shared" si="25"/>
        <v>1</v>
      </c>
      <c r="AK25" s="110">
        <f t="shared" si="25"/>
        <v>1</v>
      </c>
      <c r="AL25" s="110">
        <f t="shared" si="25"/>
        <v>1</v>
      </c>
      <c r="AM25" s="110">
        <f t="shared" si="25"/>
        <v>1</v>
      </c>
      <c r="AN25" s="110">
        <f t="shared" si="25"/>
        <v>1</v>
      </c>
      <c r="AO25" s="110">
        <f t="shared" si="25"/>
        <v>1</v>
      </c>
      <c r="AP25" s="110">
        <f t="shared" si="25"/>
        <v>1</v>
      </c>
      <c r="AQ25" s="110">
        <f t="shared" si="25"/>
        <v>1</v>
      </c>
      <c r="AR25" s="110">
        <f t="shared" si="25"/>
        <v>1</v>
      </c>
      <c r="AS25" s="110">
        <f t="shared" si="25"/>
        <v>1</v>
      </c>
      <c r="AT25" s="110">
        <f t="shared" si="25"/>
        <v>1</v>
      </c>
      <c r="AU25" s="110">
        <f t="shared" si="25"/>
        <v>1</v>
      </c>
      <c r="AV25" s="110">
        <f t="shared" si="25"/>
        <v>1</v>
      </c>
      <c r="AW25" s="110">
        <f t="shared" si="25"/>
        <v>1</v>
      </c>
      <c r="AX25" s="110">
        <f t="shared" si="25"/>
        <v>1</v>
      </c>
      <c r="AY25" s="110">
        <f t="shared" si="25"/>
        <v>1</v>
      </c>
      <c r="AZ25" s="110">
        <f t="shared" si="25"/>
        <v>1</v>
      </c>
      <c r="BA25" s="110">
        <f t="shared" si="25"/>
        <v>1</v>
      </c>
      <c r="BB25" s="110">
        <f t="shared" si="25"/>
        <v>1</v>
      </c>
      <c r="BC25" s="110">
        <f t="shared" si="25"/>
        <v>1</v>
      </c>
      <c r="BD25" s="110">
        <f t="shared" si="25"/>
        <v>1</v>
      </c>
      <c r="BE25" s="110">
        <f t="shared" si="25"/>
        <v>1</v>
      </c>
      <c r="BF25" s="110">
        <f t="shared" si="25"/>
        <v>1</v>
      </c>
      <c r="BG25" s="110">
        <f t="shared" si="25"/>
        <v>1</v>
      </c>
      <c r="BH25" s="110">
        <f t="shared" si="25"/>
        <v>1</v>
      </c>
      <c r="BI25" s="110">
        <f t="shared" si="25"/>
        <v>1</v>
      </c>
      <c r="BJ25" s="110">
        <f t="shared" si="25"/>
        <v>1</v>
      </c>
      <c r="BK25" s="110">
        <f t="shared" si="25"/>
        <v>1</v>
      </c>
      <c r="BL25" s="110">
        <f t="shared" si="25"/>
        <v>1</v>
      </c>
      <c r="BM25" s="110">
        <f t="shared" si="25"/>
        <v>1</v>
      </c>
      <c r="BN25" s="110">
        <f t="shared" si="25"/>
        <v>1</v>
      </c>
      <c r="BO25" s="110">
        <f t="shared" si="25"/>
        <v>1</v>
      </c>
      <c r="BP25" s="110">
        <f t="shared" si="25"/>
        <v>1</v>
      </c>
      <c r="BQ25" s="110">
        <f t="shared" si="25"/>
        <v>1</v>
      </c>
      <c r="BR25" s="110">
        <f t="shared" si="25"/>
        <v>1</v>
      </c>
      <c r="BS25" s="110">
        <f t="shared" si="25"/>
        <v>1</v>
      </c>
      <c r="BT25" s="110">
        <f t="shared" si="25"/>
        <v>1</v>
      </c>
      <c r="BU25" s="110">
        <f t="shared" si="25"/>
        <v>1</v>
      </c>
      <c r="BV25" s="110">
        <f t="shared" si="25"/>
        <v>1</v>
      </c>
      <c r="BW25" s="110">
        <f t="shared" si="25"/>
        <v>1</v>
      </c>
      <c r="BX25" s="110">
        <f t="shared" si="25"/>
        <v>1</v>
      </c>
      <c r="BY25" s="110">
        <f t="shared" si="25"/>
        <v>1</v>
      </c>
      <c r="BZ25" s="110">
        <f t="shared" si="25"/>
        <v>1</v>
      </c>
      <c r="CA25" s="110">
        <f t="shared" si="25"/>
        <v>1</v>
      </c>
      <c r="CE25" s="54"/>
    </row>
    <row r="26" spans="2:83" ht="39.75" customHeight="1" x14ac:dyDescent="0.3">
      <c r="B26" s="297" t="s">
        <v>69</v>
      </c>
      <c r="C26" s="325" t="s">
        <v>105</v>
      </c>
      <c r="D26" s="299" t="s">
        <v>38</v>
      </c>
      <c r="E26" s="299" t="s">
        <v>70</v>
      </c>
      <c r="F26" s="299" t="s">
        <v>71</v>
      </c>
      <c r="G26" s="301" t="s">
        <v>72</v>
      </c>
      <c r="H26" s="299" t="s">
        <v>116</v>
      </c>
      <c r="I26" s="299">
        <v>1</v>
      </c>
      <c r="J26" s="381" t="s">
        <v>160</v>
      </c>
      <c r="K26" s="101" t="s">
        <v>4</v>
      </c>
      <c r="L26" s="34"/>
      <c r="M26" s="104" t="str">
        <f>IF(ISBLANK(HLOOKUP($M$6,$AF$7:$CA$43,$AD26,FALSE)),"",HLOOKUP($M$6,$AF$7:$CA$43,$AD26,FALSE))</f>
        <v/>
      </c>
      <c r="N26" s="365" t="str">
        <f>IF(M26="","",IF(M26&gt;=M28,1,0))</f>
        <v/>
      </c>
      <c r="O26" s="368" t="str">
        <f t="shared" ref="O26" si="26">IFERROR(N26*I26,"")</f>
        <v/>
      </c>
      <c r="P26" s="368" t="str">
        <f t="shared" ref="P26" si="27">IF(O26&lt;&gt;"",I26,"")</f>
        <v/>
      </c>
      <c r="Q26" s="34"/>
      <c r="R26" s="104" t="str">
        <f>IF(ISBLANK(HLOOKUP($R$6,$AF$7:$CA$43,$AD26,FALSE)),"",HLOOKUP($R$6,$AF$7:$CA$43,$AD26,FALSE))</f>
        <v/>
      </c>
      <c r="S26" s="369" t="str">
        <f>IF(R26="","",IF(R26&gt;=R28,1,0))</f>
        <v/>
      </c>
      <c r="T26" s="343" t="str">
        <f>IFERROR((R26-R28)/R28,"")</f>
        <v/>
      </c>
      <c r="U26" s="368" t="str">
        <f t="shared" ref="U26" si="28">IFERROR(S26*I26,"")</f>
        <v/>
      </c>
      <c r="V26" s="368" t="str">
        <f t="shared" ref="V26" si="29">IF(U26&lt;&gt;"",I26,"")</f>
        <v/>
      </c>
      <c r="W26" s="352"/>
      <c r="X26" s="336" t="str">
        <f>IF(R26="","",IF(M26="","",IF(R26&gt;M26,2,IF(R26=M26,1,IF(R26&lt;M26,0)))))</f>
        <v/>
      </c>
      <c r="Y26" s="358" t="str">
        <f>IF(R26="","",IF(M26="","",(R26-M26)/M26))</f>
        <v/>
      </c>
      <c r="Z26" s="355"/>
      <c r="AA26" s="208" t="str">
        <f>IF(S26=0,"The Approval of all submitted impacted schedules hasn’t been achieved","")</f>
        <v/>
      </c>
      <c r="AB26" s="361"/>
      <c r="AC26" s="363"/>
      <c r="AD26" s="100">
        <v>20</v>
      </c>
      <c r="AE26" s="9" t="s">
        <v>4</v>
      </c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178"/>
      <c r="BE26" s="178"/>
      <c r="BF26" s="178"/>
      <c r="BG26" s="178"/>
      <c r="BH26" s="178"/>
      <c r="BI26" s="178"/>
      <c r="BJ26" s="178"/>
      <c r="BK26" s="178"/>
      <c r="BL26" s="178"/>
      <c r="BM26" s="178"/>
      <c r="BN26" s="178"/>
      <c r="BO26" s="178"/>
      <c r="BP26" s="178"/>
      <c r="BQ26" s="178"/>
      <c r="BR26" s="178"/>
      <c r="BS26" s="178"/>
      <c r="BT26" s="178"/>
      <c r="BU26" s="178"/>
      <c r="BV26" s="178"/>
      <c r="BW26" s="178"/>
      <c r="BX26" s="178"/>
      <c r="BY26" s="178"/>
      <c r="BZ26" s="178"/>
      <c r="CA26" s="178"/>
      <c r="CE26" s="54"/>
    </row>
    <row r="27" spans="2:83" ht="39.75" hidden="1" customHeight="1" x14ac:dyDescent="0.3">
      <c r="B27" s="328"/>
      <c r="C27" s="329"/>
      <c r="D27" s="327"/>
      <c r="E27" s="327"/>
      <c r="F27" s="327"/>
      <c r="G27" s="330"/>
      <c r="H27" s="327"/>
      <c r="I27" s="327"/>
      <c r="J27" s="382"/>
      <c r="K27" s="40" t="s">
        <v>15</v>
      </c>
      <c r="L27" s="34"/>
      <c r="M27" s="32" t="str">
        <f>IF(ISBLANK(HLOOKUP($M$6,$AF$7:$CA$43,$AD27,FALSE)),"",HLOOKUP($M$6,$AF$7:$CA$43,$AD27,FALSE))</f>
        <v/>
      </c>
      <c r="N27" s="366"/>
      <c r="O27" s="368"/>
      <c r="P27" s="368"/>
      <c r="Q27" s="34"/>
      <c r="R27" s="32" t="str">
        <f>IF(ISBLANK(HLOOKUP($R$6,$AF$7:$CA$43,$AD27,FALSE)),"",HLOOKUP($R$6,$AF$7:$CA$43,$AD27,FALSE))</f>
        <v/>
      </c>
      <c r="S27" s="370"/>
      <c r="T27" s="345"/>
      <c r="U27" s="368"/>
      <c r="V27" s="368"/>
      <c r="W27" s="353"/>
      <c r="X27" s="338"/>
      <c r="Y27" s="359"/>
      <c r="Z27" s="356"/>
      <c r="AA27" s="209" t="str">
        <f t="shared" ref="AA27" si="30">IF(S27=0,"The Approval of all submitted impacted schedules hasn’t been achieved","")</f>
        <v>The Approval of all submitted impacted schedules hasn’t been achieved</v>
      </c>
      <c r="AB27" s="362"/>
      <c r="AC27" s="364"/>
      <c r="AD27" s="100">
        <v>21</v>
      </c>
      <c r="AE27" s="40" t="s">
        <v>15</v>
      </c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E27" s="54"/>
    </row>
    <row r="28" spans="2:83" ht="39.75" customHeight="1" x14ac:dyDescent="0.3">
      <c r="B28" s="298"/>
      <c r="C28" s="326"/>
      <c r="D28" s="300"/>
      <c r="E28" s="300"/>
      <c r="F28" s="300"/>
      <c r="G28" s="302"/>
      <c r="H28" s="300"/>
      <c r="I28" s="300"/>
      <c r="J28" s="383"/>
      <c r="K28" s="85" t="s">
        <v>99</v>
      </c>
      <c r="L28" s="34"/>
      <c r="M28" s="69">
        <v>0.9</v>
      </c>
      <c r="N28" s="367"/>
      <c r="O28" s="368"/>
      <c r="P28" s="368"/>
      <c r="Q28" s="34"/>
      <c r="R28" s="69">
        <v>0.9</v>
      </c>
      <c r="S28" s="371"/>
      <c r="T28" s="344"/>
      <c r="U28" s="368"/>
      <c r="V28" s="368"/>
      <c r="W28" s="354"/>
      <c r="X28" s="337"/>
      <c r="Y28" s="360"/>
      <c r="Z28" s="357"/>
      <c r="AA28" s="210" t="str">
        <f>IF(X26=0,"The Approval of all submitted impacted schedules has decreased","")</f>
        <v/>
      </c>
      <c r="AB28" s="388"/>
      <c r="AC28" s="390"/>
      <c r="AD28" s="100">
        <v>22</v>
      </c>
      <c r="AE28" s="41" t="s">
        <v>3</v>
      </c>
      <c r="AF28" s="107">
        <f>IF(ISBLANK($M28),"",$M28)</f>
        <v>0.9</v>
      </c>
      <c r="AG28" s="107">
        <f t="shared" ref="AG28:CA28" si="31">IF(ISBLANK($M28),"",$M28)</f>
        <v>0.9</v>
      </c>
      <c r="AH28" s="107">
        <f t="shared" si="31"/>
        <v>0.9</v>
      </c>
      <c r="AI28" s="107">
        <f t="shared" si="31"/>
        <v>0.9</v>
      </c>
      <c r="AJ28" s="107">
        <f t="shared" si="31"/>
        <v>0.9</v>
      </c>
      <c r="AK28" s="107">
        <f t="shared" si="31"/>
        <v>0.9</v>
      </c>
      <c r="AL28" s="107">
        <f t="shared" si="31"/>
        <v>0.9</v>
      </c>
      <c r="AM28" s="107">
        <f t="shared" si="31"/>
        <v>0.9</v>
      </c>
      <c r="AN28" s="107">
        <f t="shared" si="31"/>
        <v>0.9</v>
      </c>
      <c r="AO28" s="107">
        <f t="shared" si="31"/>
        <v>0.9</v>
      </c>
      <c r="AP28" s="107">
        <f t="shared" si="31"/>
        <v>0.9</v>
      </c>
      <c r="AQ28" s="107">
        <f t="shared" si="31"/>
        <v>0.9</v>
      </c>
      <c r="AR28" s="107">
        <f t="shared" si="31"/>
        <v>0.9</v>
      </c>
      <c r="AS28" s="107">
        <f t="shared" si="31"/>
        <v>0.9</v>
      </c>
      <c r="AT28" s="107">
        <f t="shared" si="31"/>
        <v>0.9</v>
      </c>
      <c r="AU28" s="107">
        <f t="shared" si="31"/>
        <v>0.9</v>
      </c>
      <c r="AV28" s="107">
        <f t="shared" si="31"/>
        <v>0.9</v>
      </c>
      <c r="AW28" s="107">
        <f t="shared" si="31"/>
        <v>0.9</v>
      </c>
      <c r="AX28" s="107">
        <f t="shared" si="31"/>
        <v>0.9</v>
      </c>
      <c r="AY28" s="107">
        <f t="shared" si="31"/>
        <v>0.9</v>
      </c>
      <c r="AZ28" s="107">
        <f t="shared" si="31"/>
        <v>0.9</v>
      </c>
      <c r="BA28" s="107">
        <f t="shared" si="31"/>
        <v>0.9</v>
      </c>
      <c r="BB28" s="107">
        <f t="shared" si="31"/>
        <v>0.9</v>
      </c>
      <c r="BC28" s="107">
        <f t="shared" si="31"/>
        <v>0.9</v>
      </c>
      <c r="BD28" s="107">
        <f t="shared" si="31"/>
        <v>0.9</v>
      </c>
      <c r="BE28" s="107">
        <f t="shared" si="31"/>
        <v>0.9</v>
      </c>
      <c r="BF28" s="107">
        <f t="shared" si="31"/>
        <v>0.9</v>
      </c>
      <c r="BG28" s="107">
        <f t="shared" si="31"/>
        <v>0.9</v>
      </c>
      <c r="BH28" s="107">
        <f t="shared" si="31"/>
        <v>0.9</v>
      </c>
      <c r="BI28" s="107">
        <f t="shared" si="31"/>
        <v>0.9</v>
      </c>
      <c r="BJ28" s="107">
        <f t="shared" si="31"/>
        <v>0.9</v>
      </c>
      <c r="BK28" s="107">
        <f t="shared" si="31"/>
        <v>0.9</v>
      </c>
      <c r="BL28" s="107">
        <f t="shared" si="31"/>
        <v>0.9</v>
      </c>
      <c r="BM28" s="107">
        <f t="shared" si="31"/>
        <v>0.9</v>
      </c>
      <c r="BN28" s="107">
        <f t="shared" si="31"/>
        <v>0.9</v>
      </c>
      <c r="BO28" s="107">
        <f t="shared" si="31"/>
        <v>0.9</v>
      </c>
      <c r="BP28" s="107">
        <f t="shared" si="31"/>
        <v>0.9</v>
      </c>
      <c r="BQ28" s="107">
        <f t="shared" si="31"/>
        <v>0.9</v>
      </c>
      <c r="BR28" s="107">
        <f t="shared" si="31"/>
        <v>0.9</v>
      </c>
      <c r="BS28" s="107">
        <f t="shared" si="31"/>
        <v>0.9</v>
      </c>
      <c r="BT28" s="107">
        <f t="shared" si="31"/>
        <v>0.9</v>
      </c>
      <c r="BU28" s="107">
        <f t="shared" si="31"/>
        <v>0.9</v>
      </c>
      <c r="BV28" s="107">
        <f t="shared" si="31"/>
        <v>0.9</v>
      </c>
      <c r="BW28" s="107">
        <f t="shared" si="31"/>
        <v>0.9</v>
      </c>
      <c r="BX28" s="107">
        <f t="shared" si="31"/>
        <v>0.9</v>
      </c>
      <c r="BY28" s="107">
        <f t="shared" si="31"/>
        <v>0.9</v>
      </c>
      <c r="BZ28" s="107">
        <f t="shared" si="31"/>
        <v>0.9</v>
      </c>
      <c r="CA28" s="107">
        <f t="shared" si="31"/>
        <v>0.9</v>
      </c>
      <c r="CE28" s="54"/>
    </row>
    <row r="29" spans="2:83" ht="39.75" customHeight="1" x14ac:dyDescent="0.3">
      <c r="B29" s="400" t="s">
        <v>73</v>
      </c>
      <c r="C29" s="403" t="s">
        <v>105</v>
      </c>
      <c r="D29" s="396" t="s">
        <v>190</v>
      </c>
      <c r="E29" s="396" t="s">
        <v>67</v>
      </c>
      <c r="F29" s="396" t="s">
        <v>74</v>
      </c>
      <c r="G29" s="396" t="s">
        <v>208</v>
      </c>
      <c r="H29" s="399" t="s">
        <v>209</v>
      </c>
      <c r="I29" s="396">
        <v>1</v>
      </c>
      <c r="J29" s="393" t="s">
        <v>162</v>
      </c>
      <c r="K29" s="101" t="s">
        <v>4</v>
      </c>
      <c r="L29" s="34"/>
      <c r="M29" s="105">
        <f>IF(ISBLANK(HLOOKUP($M$6,$AF$7:$CA$43,$AD29,FALSE)),"",HLOOKUP($M$6,$AF$7:$CA$43,$AD29,FALSE))</f>
        <v>0.92250922509225097</v>
      </c>
      <c r="N29" s="365">
        <f>IF(M29="","",IF(M29&gt;=M31,1,0))</f>
        <v>0</v>
      </c>
      <c r="O29" s="368">
        <f t="shared" ref="O29" si="32">IFERROR(N29*I29,"")</f>
        <v>0</v>
      </c>
      <c r="P29" s="368">
        <f t="shared" ref="P29" si="33">IF(O29&lt;&gt;"",I29,"")</f>
        <v>1</v>
      </c>
      <c r="Q29" s="34"/>
      <c r="R29" s="105">
        <f>IF(ISBLANK(HLOOKUP($R$6,$AF$7:$CA$43,$AD29,FALSE)),"",HLOOKUP($R$6,$AF$7:$CA$43,$AD29,FALSE))</f>
        <v>0.90196078431372551</v>
      </c>
      <c r="S29" s="369">
        <f>IF(R29="","",IF(R29&gt;=R31,1,0))</f>
        <v>0</v>
      </c>
      <c r="T29" s="343">
        <f>IFERROR((R29-R31)/R31,"")</f>
        <v>-9.8039215686274495E-2</v>
      </c>
      <c r="U29" s="295">
        <f t="shared" ref="U29" si="34">IFERROR(S29*I29,"")</f>
        <v>0</v>
      </c>
      <c r="V29" s="368">
        <f t="shared" ref="V29" si="35">IF(U29&lt;&gt;"",I29,"")</f>
        <v>1</v>
      </c>
      <c r="W29" s="352"/>
      <c r="X29" s="336">
        <f>IF(R29="","",IF(M29="","",IF(R29&gt;M29,2,IF(R29=M29,1,IF(R29&lt;M29,0)))))</f>
        <v>0</v>
      </c>
      <c r="Y29" s="358">
        <f>IF(R29="","",IF(M29="","",(R29-M29)/M29))</f>
        <v>-2.2274509803921604E-2</v>
      </c>
      <c r="Z29" s="352"/>
      <c r="AA29" s="209" t="str">
        <f>IF(S29=0,"The progress is less than planned","")</f>
        <v>The progress is less than planned</v>
      </c>
      <c r="AB29" s="361"/>
      <c r="AC29" s="363"/>
      <c r="AD29" s="100">
        <v>23</v>
      </c>
      <c r="AE29" s="9" t="s">
        <v>4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>
        <f>750/813</f>
        <v>0.92250922509225097</v>
      </c>
      <c r="AP29" s="76">
        <f>828/918</f>
        <v>0.90196078431372551</v>
      </c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E29" s="54"/>
    </row>
    <row r="30" spans="2:83" ht="39.75" hidden="1" customHeight="1" x14ac:dyDescent="0.3">
      <c r="B30" s="401"/>
      <c r="C30" s="404"/>
      <c r="D30" s="397"/>
      <c r="E30" s="397"/>
      <c r="F30" s="397"/>
      <c r="G30" s="397"/>
      <c r="H30" s="397"/>
      <c r="I30" s="397"/>
      <c r="J30" s="394"/>
      <c r="K30" s="40" t="s">
        <v>15</v>
      </c>
      <c r="L30" s="34"/>
      <c r="M30" s="112" t="str">
        <f>IF(ISBLANK(HLOOKUP($M$6,$AF$7:$CA$43,$AD30,FALSE)),"",HLOOKUP($M$6,$AF$7:$CA$43,$AD30,FALSE))</f>
        <v/>
      </c>
      <c r="N30" s="366"/>
      <c r="O30" s="368"/>
      <c r="P30" s="368"/>
      <c r="Q30" s="34"/>
      <c r="R30" s="112" t="str">
        <f>IF(ISBLANK(HLOOKUP($R$6,$AF$7:$CA$43,$AD30,FALSE)),"",HLOOKUP($R$6,$AF$7:$CA$43,$AD30,FALSE))</f>
        <v/>
      </c>
      <c r="S30" s="370"/>
      <c r="T30" s="345"/>
      <c r="U30" s="305"/>
      <c r="V30" s="368"/>
      <c r="W30" s="353"/>
      <c r="X30" s="338"/>
      <c r="Y30" s="359"/>
      <c r="Z30" s="353"/>
      <c r="AA30" s="209"/>
      <c r="AB30" s="362"/>
      <c r="AC30" s="364"/>
      <c r="AD30" s="100">
        <v>24</v>
      </c>
      <c r="AE30" s="40" t="s">
        <v>15</v>
      </c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E30" s="54"/>
    </row>
    <row r="31" spans="2:83" ht="39.75" customHeight="1" x14ac:dyDescent="0.3">
      <c r="B31" s="402"/>
      <c r="C31" s="405"/>
      <c r="D31" s="398"/>
      <c r="E31" s="398"/>
      <c r="F31" s="398"/>
      <c r="G31" s="398"/>
      <c r="H31" s="398"/>
      <c r="I31" s="398"/>
      <c r="J31" s="395"/>
      <c r="K31" s="85" t="s">
        <v>99</v>
      </c>
      <c r="L31" s="34"/>
      <c r="M31" s="41">
        <v>1</v>
      </c>
      <c r="N31" s="367"/>
      <c r="O31" s="368"/>
      <c r="P31" s="368"/>
      <c r="Q31" s="34"/>
      <c r="R31" s="41">
        <v>1</v>
      </c>
      <c r="S31" s="371"/>
      <c r="T31" s="344"/>
      <c r="U31" s="296"/>
      <c r="V31" s="368"/>
      <c r="W31" s="354"/>
      <c r="X31" s="337"/>
      <c r="Y31" s="360"/>
      <c r="Z31" s="354"/>
      <c r="AA31" s="209" t="str">
        <f>IF(X29=0,"There's a slippage from the schedule","")</f>
        <v>There's a slippage from the schedule</v>
      </c>
      <c r="AB31" s="388"/>
      <c r="AC31" s="390"/>
      <c r="AD31" s="100">
        <v>25</v>
      </c>
      <c r="AE31" s="41" t="s">
        <v>3</v>
      </c>
      <c r="AF31" s="110">
        <f>IF(ISBLANK($M31),"",$M31)</f>
        <v>1</v>
      </c>
      <c r="AG31" s="110">
        <f t="shared" ref="AG31:CA31" si="36">IF(ISBLANK($M31),"",$M31)</f>
        <v>1</v>
      </c>
      <c r="AH31" s="110">
        <f t="shared" si="36"/>
        <v>1</v>
      </c>
      <c r="AI31" s="110">
        <f t="shared" si="36"/>
        <v>1</v>
      </c>
      <c r="AJ31" s="110">
        <f t="shared" si="36"/>
        <v>1</v>
      </c>
      <c r="AK31" s="110">
        <f t="shared" si="36"/>
        <v>1</v>
      </c>
      <c r="AL31" s="110">
        <f t="shared" si="36"/>
        <v>1</v>
      </c>
      <c r="AM31" s="110">
        <f t="shared" si="36"/>
        <v>1</v>
      </c>
      <c r="AN31" s="110">
        <f t="shared" si="36"/>
        <v>1</v>
      </c>
      <c r="AO31" s="110">
        <f t="shared" si="36"/>
        <v>1</v>
      </c>
      <c r="AP31" s="110">
        <f t="shared" si="36"/>
        <v>1</v>
      </c>
      <c r="AQ31" s="110">
        <f t="shared" si="36"/>
        <v>1</v>
      </c>
      <c r="AR31" s="110">
        <f t="shared" si="36"/>
        <v>1</v>
      </c>
      <c r="AS31" s="110">
        <f t="shared" si="36"/>
        <v>1</v>
      </c>
      <c r="AT31" s="110">
        <f t="shared" si="36"/>
        <v>1</v>
      </c>
      <c r="AU31" s="110">
        <f t="shared" si="36"/>
        <v>1</v>
      </c>
      <c r="AV31" s="110">
        <f t="shared" si="36"/>
        <v>1</v>
      </c>
      <c r="AW31" s="110">
        <f t="shared" si="36"/>
        <v>1</v>
      </c>
      <c r="AX31" s="110">
        <f t="shared" si="36"/>
        <v>1</v>
      </c>
      <c r="AY31" s="110">
        <f t="shared" si="36"/>
        <v>1</v>
      </c>
      <c r="AZ31" s="110">
        <f t="shared" si="36"/>
        <v>1</v>
      </c>
      <c r="BA31" s="110">
        <f t="shared" si="36"/>
        <v>1</v>
      </c>
      <c r="BB31" s="110">
        <f t="shared" si="36"/>
        <v>1</v>
      </c>
      <c r="BC31" s="110">
        <f t="shared" si="36"/>
        <v>1</v>
      </c>
      <c r="BD31" s="110">
        <f t="shared" si="36"/>
        <v>1</v>
      </c>
      <c r="BE31" s="110">
        <f t="shared" si="36"/>
        <v>1</v>
      </c>
      <c r="BF31" s="110">
        <f t="shared" si="36"/>
        <v>1</v>
      </c>
      <c r="BG31" s="110">
        <f t="shared" si="36"/>
        <v>1</v>
      </c>
      <c r="BH31" s="110">
        <f t="shared" si="36"/>
        <v>1</v>
      </c>
      <c r="BI31" s="110">
        <f t="shared" si="36"/>
        <v>1</v>
      </c>
      <c r="BJ31" s="110">
        <f t="shared" si="36"/>
        <v>1</v>
      </c>
      <c r="BK31" s="110">
        <f t="shared" si="36"/>
        <v>1</v>
      </c>
      <c r="BL31" s="110">
        <f t="shared" si="36"/>
        <v>1</v>
      </c>
      <c r="BM31" s="110">
        <f t="shared" si="36"/>
        <v>1</v>
      </c>
      <c r="BN31" s="110">
        <f t="shared" si="36"/>
        <v>1</v>
      </c>
      <c r="BO31" s="110">
        <f t="shared" si="36"/>
        <v>1</v>
      </c>
      <c r="BP31" s="110">
        <f t="shared" si="36"/>
        <v>1</v>
      </c>
      <c r="BQ31" s="110">
        <f t="shared" si="36"/>
        <v>1</v>
      </c>
      <c r="BR31" s="110">
        <f t="shared" si="36"/>
        <v>1</v>
      </c>
      <c r="BS31" s="110">
        <f t="shared" si="36"/>
        <v>1</v>
      </c>
      <c r="BT31" s="110">
        <f t="shared" si="36"/>
        <v>1</v>
      </c>
      <c r="BU31" s="110">
        <f t="shared" si="36"/>
        <v>1</v>
      </c>
      <c r="BV31" s="110">
        <f t="shared" si="36"/>
        <v>1</v>
      </c>
      <c r="BW31" s="110">
        <f t="shared" si="36"/>
        <v>1</v>
      </c>
      <c r="BX31" s="110">
        <f t="shared" si="36"/>
        <v>1</v>
      </c>
      <c r="BY31" s="110">
        <f t="shared" si="36"/>
        <v>1</v>
      </c>
      <c r="BZ31" s="110">
        <f t="shared" si="36"/>
        <v>1</v>
      </c>
      <c r="CA31" s="110">
        <f t="shared" si="36"/>
        <v>1</v>
      </c>
      <c r="CE31" s="54"/>
    </row>
    <row r="32" spans="2:83" ht="39.75" customHeight="1" x14ac:dyDescent="0.3">
      <c r="B32" s="297" t="s">
        <v>75</v>
      </c>
      <c r="C32" s="325" t="s">
        <v>106</v>
      </c>
      <c r="D32" s="299" t="s">
        <v>189</v>
      </c>
      <c r="E32" s="299" t="s">
        <v>212</v>
      </c>
      <c r="F32" s="299" t="s">
        <v>77</v>
      </c>
      <c r="G32" s="299" t="s">
        <v>138</v>
      </c>
      <c r="H32" s="299" t="s">
        <v>117</v>
      </c>
      <c r="I32" s="299">
        <v>1</v>
      </c>
      <c r="J32" s="378" t="s">
        <v>162</v>
      </c>
      <c r="K32" s="101" t="s">
        <v>4</v>
      </c>
      <c r="L32" s="34"/>
      <c r="M32" s="103" t="str">
        <f>IF(ISBLANK(HLOOKUP($M$6,$AF$7:$CA$43,$AD32,FALSE)),"",HLOOKUP($M$6,$AF$7:$CA$43,$AD32,FALSE))</f>
        <v/>
      </c>
      <c r="N32" s="365" t="str">
        <f>IF(M32="","",IF(M32&gt;=M34,1,0))</f>
        <v/>
      </c>
      <c r="O32" s="368" t="str">
        <f t="shared" ref="O32" si="37">IFERROR(N32*I32,"")</f>
        <v/>
      </c>
      <c r="P32" s="368" t="str">
        <f t="shared" ref="P32" si="38">IF(O32&lt;&gt;"",I32,"")</f>
        <v/>
      </c>
      <c r="Q32" s="34"/>
      <c r="R32" s="103" t="str">
        <f>IF(ISBLANK(HLOOKUP($R$6,$AF$7:$CA$43,$AD32,FALSE)),"",HLOOKUP($R$6,$AF$7:$CA$43,$AD32,FALSE))</f>
        <v/>
      </c>
      <c r="S32" s="369" t="str">
        <f>IF(R32="","",IF(R32&gt;=R34,1,0))</f>
        <v/>
      </c>
      <c r="T32" s="343" t="str">
        <f>IFERROR((R32-R34)/R34,"")</f>
        <v/>
      </c>
      <c r="U32" s="368" t="str">
        <f t="shared" ref="U32" si="39">IFERROR(S32*I32,"")</f>
        <v/>
      </c>
      <c r="V32" s="368" t="str">
        <f t="shared" ref="V32" si="40">IF(U32&lt;&gt;"",I32,"")</f>
        <v/>
      </c>
      <c r="W32" s="352"/>
      <c r="X32" s="336" t="str">
        <f>IF(R32="","",IF(M32="","",IF(R32&gt;M32,2,IF(R32=M32,1,IF(R32&lt;M32,0)))))</f>
        <v/>
      </c>
      <c r="Y32" s="358" t="str">
        <f>IF(R32="","",IF(M32="","",(R32-M32)/M32))</f>
        <v/>
      </c>
      <c r="Z32" s="352"/>
      <c r="AA32" s="208" t="str">
        <f>IF(S32=0,"The constraints identification is incomplete","")</f>
        <v/>
      </c>
      <c r="AB32" s="361"/>
      <c r="AC32" s="363"/>
      <c r="AD32" s="100">
        <v>26</v>
      </c>
      <c r="AE32" s="9" t="s">
        <v>4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E32" s="54"/>
    </row>
    <row r="33" spans="2:83" ht="39.75" hidden="1" customHeight="1" x14ac:dyDescent="0.3">
      <c r="B33" s="328"/>
      <c r="C33" s="329"/>
      <c r="D33" s="327"/>
      <c r="E33" s="327"/>
      <c r="F33" s="327"/>
      <c r="G33" s="327"/>
      <c r="H33" s="327"/>
      <c r="I33" s="327"/>
      <c r="J33" s="379"/>
      <c r="K33" s="40" t="s">
        <v>15</v>
      </c>
      <c r="L33" s="34"/>
      <c r="M33" s="112" t="str">
        <f>IF(ISBLANK(HLOOKUP($M$6,$AF$7:$CA$43,$AD33,FALSE)),"",HLOOKUP($M$6,$AF$7:$CA$43,$AD33,FALSE))</f>
        <v/>
      </c>
      <c r="N33" s="366"/>
      <c r="O33" s="368"/>
      <c r="P33" s="368"/>
      <c r="Q33" s="34"/>
      <c r="R33" s="112" t="str">
        <f>IF(ISBLANK(HLOOKUP($R$6,$AF$7:$CA$43,$AD33,FALSE)),"",HLOOKUP($R$6,$AF$7:$CA$43,$AD33,FALSE))</f>
        <v/>
      </c>
      <c r="S33" s="370"/>
      <c r="T33" s="345"/>
      <c r="U33" s="368"/>
      <c r="V33" s="368"/>
      <c r="W33" s="353"/>
      <c r="X33" s="338"/>
      <c r="Y33" s="359"/>
      <c r="Z33" s="353"/>
      <c r="AA33" s="209"/>
      <c r="AB33" s="362"/>
      <c r="AC33" s="364"/>
      <c r="AD33" s="100">
        <v>27</v>
      </c>
      <c r="AE33" s="40" t="s">
        <v>15</v>
      </c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E33" s="54"/>
    </row>
    <row r="34" spans="2:83" ht="39.75" customHeight="1" x14ac:dyDescent="0.3">
      <c r="B34" s="298"/>
      <c r="C34" s="326"/>
      <c r="D34" s="300"/>
      <c r="E34" s="300"/>
      <c r="F34" s="300"/>
      <c r="G34" s="300"/>
      <c r="H34" s="300"/>
      <c r="I34" s="300"/>
      <c r="J34" s="380"/>
      <c r="K34" s="85" t="s">
        <v>99</v>
      </c>
      <c r="L34" s="34"/>
      <c r="M34" s="41">
        <v>1</v>
      </c>
      <c r="N34" s="367"/>
      <c r="O34" s="368"/>
      <c r="P34" s="368"/>
      <c r="Q34" s="34"/>
      <c r="R34" s="41">
        <v>1</v>
      </c>
      <c r="S34" s="371"/>
      <c r="T34" s="344"/>
      <c r="U34" s="368"/>
      <c r="V34" s="368"/>
      <c r="W34" s="354"/>
      <c r="X34" s="337"/>
      <c r="Y34" s="360"/>
      <c r="Z34" s="354"/>
      <c r="AA34" s="209" t="str">
        <f>IF(X32=0,"The constraints identification ratio has declined","")</f>
        <v/>
      </c>
      <c r="AB34" s="388"/>
      <c r="AC34" s="390"/>
      <c r="AD34" s="100">
        <v>28</v>
      </c>
      <c r="AE34" s="41" t="s">
        <v>3</v>
      </c>
      <c r="AF34" s="110">
        <f>IF(ISBLANK($M34),"",$M34)</f>
        <v>1</v>
      </c>
      <c r="AG34" s="110">
        <f t="shared" ref="AG34:CA34" si="41">IF(ISBLANK($M34),"",$M34)</f>
        <v>1</v>
      </c>
      <c r="AH34" s="110">
        <f t="shared" si="41"/>
        <v>1</v>
      </c>
      <c r="AI34" s="110">
        <f t="shared" si="41"/>
        <v>1</v>
      </c>
      <c r="AJ34" s="110">
        <f t="shared" si="41"/>
        <v>1</v>
      </c>
      <c r="AK34" s="110">
        <f t="shared" si="41"/>
        <v>1</v>
      </c>
      <c r="AL34" s="110">
        <f t="shared" si="41"/>
        <v>1</v>
      </c>
      <c r="AM34" s="110">
        <f t="shared" si="41"/>
        <v>1</v>
      </c>
      <c r="AN34" s="110">
        <f t="shared" si="41"/>
        <v>1</v>
      </c>
      <c r="AO34" s="110">
        <f t="shared" si="41"/>
        <v>1</v>
      </c>
      <c r="AP34" s="110">
        <f t="shared" si="41"/>
        <v>1</v>
      </c>
      <c r="AQ34" s="110">
        <f t="shared" si="41"/>
        <v>1</v>
      </c>
      <c r="AR34" s="110">
        <f t="shared" si="41"/>
        <v>1</v>
      </c>
      <c r="AS34" s="110">
        <f t="shared" si="41"/>
        <v>1</v>
      </c>
      <c r="AT34" s="110">
        <f t="shared" si="41"/>
        <v>1</v>
      </c>
      <c r="AU34" s="110">
        <f t="shared" si="41"/>
        <v>1</v>
      </c>
      <c r="AV34" s="110">
        <f t="shared" si="41"/>
        <v>1</v>
      </c>
      <c r="AW34" s="110">
        <f t="shared" si="41"/>
        <v>1</v>
      </c>
      <c r="AX34" s="110">
        <f t="shared" si="41"/>
        <v>1</v>
      </c>
      <c r="AY34" s="110">
        <f t="shared" si="41"/>
        <v>1</v>
      </c>
      <c r="AZ34" s="110">
        <f t="shared" si="41"/>
        <v>1</v>
      </c>
      <c r="BA34" s="110">
        <f t="shared" si="41"/>
        <v>1</v>
      </c>
      <c r="BB34" s="110">
        <f t="shared" si="41"/>
        <v>1</v>
      </c>
      <c r="BC34" s="110">
        <f t="shared" si="41"/>
        <v>1</v>
      </c>
      <c r="BD34" s="110">
        <f t="shared" si="41"/>
        <v>1</v>
      </c>
      <c r="BE34" s="110">
        <f t="shared" si="41"/>
        <v>1</v>
      </c>
      <c r="BF34" s="110">
        <f t="shared" si="41"/>
        <v>1</v>
      </c>
      <c r="BG34" s="110">
        <f t="shared" si="41"/>
        <v>1</v>
      </c>
      <c r="BH34" s="110">
        <f t="shared" si="41"/>
        <v>1</v>
      </c>
      <c r="BI34" s="110">
        <f t="shared" si="41"/>
        <v>1</v>
      </c>
      <c r="BJ34" s="110">
        <f t="shared" si="41"/>
        <v>1</v>
      </c>
      <c r="BK34" s="110">
        <f t="shared" si="41"/>
        <v>1</v>
      </c>
      <c r="BL34" s="110">
        <f t="shared" si="41"/>
        <v>1</v>
      </c>
      <c r="BM34" s="110">
        <f t="shared" si="41"/>
        <v>1</v>
      </c>
      <c r="BN34" s="110">
        <f t="shared" si="41"/>
        <v>1</v>
      </c>
      <c r="BO34" s="110">
        <f t="shared" si="41"/>
        <v>1</v>
      </c>
      <c r="BP34" s="110">
        <f t="shared" si="41"/>
        <v>1</v>
      </c>
      <c r="BQ34" s="110">
        <f t="shared" si="41"/>
        <v>1</v>
      </c>
      <c r="BR34" s="110">
        <f t="shared" si="41"/>
        <v>1</v>
      </c>
      <c r="BS34" s="110">
        <f t="shared" si="41"/>
        <v>1</v>
      </c>
      <c r="BT34" s="110">
        <f t="shared" si="41"/>
        <v>1</v>
      </c>
      <c r="BU34" s="110">
        <f t="shared" si="41"/>
        <v>1</v>
      </c>
      <c r="BV34" s="110">
        <f t="shared" si="41"/>
        <v>1</v>
      </c>
      <c r="BW34" s="110">
        <f t="shared" si="41"/>
        <v>1</v>
      </c>
      <c r="BX34" s="110">
        <f t="shared" si="41"/>
        <v>1</v>
      </c>
      <c r="BY34" s="110">
        <f t="shared" si="41"/>
        <v>1</v>
      </c>
      <c r="BZ34" s="110">
        <f t="shared" si="41"/>
        <v>1</v>
      </c>
      <c r="CA34" s="110">
        <f t="shared" si="41"/>
        <v>1</v>
      </c>
      <c r="CE34" s="54"/>
    </row>
    <row r="35" spans="2:83" ht="39.75" customHeight="1" x14ac:dyDescent="0.3">
      <c r="B35" s="297" t="s">
        <v>78</v>
      </c>
      <c r="C35" s="325" t="s">
        <v>106</v>
      </c>
      <c r="D35" s="299" t="s">
        <v>191</v>
      </c>
      <c r="E35" s="299" t="s">
        <v>214</v>
      </c>
      <c r="F35" s="299" t="s">
        <v>80</v>
      </c>
      <c r="G35" s="299" t="s">
        <v>134</v>
      </c>
      <c r="H35" s="299" t="s">
        <v>118</v>
      </c>
      <c r="I35" s="299">
        <v>1</v>
      </c>
      <c r="J35" s="378" t="s">
        <v>162</v>
      </c>
      <c r="K35" s="101" t="s">
        <v>4</v>
      </c>
      <c r="L35" s="34"/>
      <c r="M35" s="103" t="str">
        <f>IF(ISBLANK(HLOOKUP($M$6,$AF$7:$CA$43,$AD35,FALSE)),"",HLOOKUP($M$6,$AF$7:$CA$43,$AD35,FALSE))</f>
        <v/>
      </c>
      <c r="N35" s="365" t="str">
        <f>IF(M35="","",IF(M35&gt;=M37,1,0))</f>
        <v/>
      </c>
      <c r="O35" s="368" t="str">
        <f t="shared" ref="O35" si="42">IFERROR(N35*I35,"")</f>
        <v/>
      </c>
      <c r="P35" s="368" t="str">
        <f t="shared" ref="P35" si="43">IF(O35&lt;&gt;"",I35,"")</f>
        <v/>
      </c>
      <c r="Q35" s="34"/>
      <c r="R35" s="103" t="str">
        <f>IF(ISBLANK(HLOOKUP($R$6,$AF$7:$CA$43,$AD35,FALSE)),"",HLOOKUP($R$6,$AF$7:$CA$43,$AD35,FALSE))</f>
        <v/>
      </c>
      <c r="S35" s="369" t="str">
        <f>IF(R35="","",IF(R35&gt;=R37,1,0))</f>
        <v/>
      </c>
      <c r="T35" s="343" t="str">
        <f>IFERROR((R35-R37)/R37,"")</f>
        <v/>
      </c>
      <c r="U35" s="368" t="str">
        <f t="shared" ref="U35" si="44">IFERROR(S35*I35,"")</f>
        <v/>
      </c>
      <c r="V35" s="368" t="str">
        <f t="shared" ref="V35" si="45">IF(U35&lt;&gt;"",I35,"")</f>
        <v/>
      </c>
      <c r="W35" s="352"/>
      <c r="X35" s="336" t="str">
        <f>IF(R35="","",IF(M35="","",IF(R35&gt;M35,2,IF(R35=M35,1,IF(R35&lt;M35,0)))))</f>
        <v/>
      </c>
      <c r="Y35" s="358" t="str">
        <f>IF(R35="","",IF(M35="","",(R35-M35)/M35))</f>
        <v/>
      </c>
      <c r="Z35" s="352"/>
      <c r="AA35" s="208" t="str">
        <f>IF(S35=0,"Identified constraints werent fully resolved","")</f>
        <v/>
      </c>
      <c r="AB35" s="361"/>
      <c r="AC35" s="363"/>
      <c r="AD35" s="100">
        <v>29</v>
      </c>
      <c r="AE35" s="9" t="s">
        <v>4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E35" s="54"/>
    </row>
    <row r="36" spans="2:83" ht="39.75" hidden="1" customHeight="1" x14ac:dyDescent="0.3">
      <c r="B36" s="328"/>
      <c r="C36" s="329"/>
      <c r="D36" s="327"/>
      <c r="E36" s="327"/>
      <c r="F36" s="327"/>
      <c r="G36" s="327"/>
      <c r="H36" s="327"/>
      <c r="I36" s="327"/>
      <c r="J36" s="379"/>
      <c r="K36" s="40" t="s">
        <v>15</v>
      </c>
      <c r="L36" s="34"/>
      <c r="M36" s="112" t="str">
        <f>IF(ISBLANK(HLOOKUP($M$6,$AF$7:$CA$43,$AD36,FALSE)),"",HLOOKUP($M$6,$AF$7:$CA$43,$AD36,FALSE))</f>
        <v/>
      </c>
      <c r="N36" s="366"/>
      <c r="O36" s="368"/>
      <c r="P36" s="368"/>
      <c r="Q36" s="34"/>
      <c r="R36" s="112" t="str">
        <f>IF(ISBLANK(HLOOKUP($R$6,$AF$7:$CA$43,$AD36,FALSE)),"",HLOOKUP($R$6,$AF$7:$CA$43,$AD36,FALSE))</f>
        <v/>
      </c>
      <c r="S36" s="370"/>
      <c r="T36" s="345"/>
      <c r="U36" s="368"/>
      <c r="V36" s="368"/>
      <c r="W36" s="353"/>
      <c r="X36" s="338"/>
      <c r="Y36" s="359"/>
      <c r="Z36" s="353"/>
      <c r="AA36" s="209"/>
      <c r="AB36" s="362"/>
      <c r="AC36" s="364"/>
      <c r="AD36" s="100">
        <v>30</v>
      </c>
      <c r="AE36" s="40" t="s">
        <v>15</v>
      </c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E36" s="54"/>
    </row>
    <row r="37" spans="2:83" ht="39.75" customHeight="1" x14ac:dyDescent="0.3">
      <c r="B37" s="298"/>
      <c r="C37" s="326"/>
      <c r="D37" s="300"/>
      <c r="E37" s="300"/>
      <c r="F37" s="300"/>
      <c r="G37" s="300"/>
      <c r="H37" s="300"/>
      <c r="I37" s="300"/>
      <c r="J37" s="380"/>
      <c r="K37" s="85" t="s">
        <v>99</v>
      </c>
      <c r="L37" s="34"/>
      <c r="M37" s="41">
        <v>1</v>
      </c>
      <c r="N37" s="367"/>
      <c r="O37" s="368"/>
      <c r="P37" s="368"/>
      <c r="Q37" s="34"/>
      <c r="R37" s="41">
        <v>1</v>
      </c>
      <c r="S37" s="371"/>
      <c r="T37" s="344"/>
      <c r="U37" s="368"/>
      <c r="V37" s="368"/>
      <c r="W37" s="354"/>
      <c r="X37" s="337"/>
      <c r="Y37" s="360"/>
      <c r="Z37" s="354"/>
      <c r="AA37" s="209" t="str">
        <f>IF(X35=0,"The constraints reolution ratio has declined","")</f>
        <v/>
      </c>
      <c r="AB37" s="388"/>
      <c r="AC37" s="390"/>
      <c r="AD37" s="100">
        <v>31</v>
      </c>
      <c r="AE37" s="41" t="s">
        <v>3</v>
      </c>
      <c r="AF37" s="110">
        <f>IF(ISBLANK($M37),"",$M37)</f>
        <v>1</v>
      </c>
      <c r="AG37" s="110">
        <f t="shared" ref="AG37:CA37" si="46">IF(ISBLANK($M37),"",$M37)</f>
        <v>1</v>
      </c>
      <c r="AH37" s="110">
        <f t="shared" si="46"/>
        <v>1</v>
      </c>
      <c r="AI37" s="110">
        <f t="shared" si="46"/>
        <v>1</v>
      </c>
      <c r="AJ37" s="110">
        <f t="shared" si="46"/>
        <v>1</v>
      </c>
      <c r="AK37" s="110">
        <f t="shared" si="46"/>
        <v>1</v>
      </c>
      <c r="AL37" s="110">
        <f t="shared" si="46"/>
        <v>1</v>
      </c>
      <c r="AM37" s="110">
        <f t="shared" si="46"/>
        <v>1</v>
      </c>
      <c r="AN37" s="110">
        <f t="shared" si="46"/>
        <v>1</v>
      </c>
      <c r="AO37" s="110">
        <f t="shared" si="46"/>
        <v>1</v>
      </c>
      <c r="AP37" s="110">
        <f t="shared" si="46"/>
        <v>1</v>
      </c>
      <c r="AQ37" s="110">
        <f t="shared" si="46"/>
        <v>1</v>
      </c>
      <c r="AR37" s="110">
        <f t="shared" si="46"/>
        <v>1</v>
      </c>
      <c r="AS37" s="110">
        <f t="shared" si="46"/>
        <v>1</v>
      </c>
      <c r="AT37" s="110">
        <f t="shared" si="46"/>
        <v>1</v>
      </c>
      <c r="AU37" s="110">
        <f t="shared" si="46"/>
        <v>1</v>
      </c>
      <c r="AV37" s="110">
        <f t="shared" si="46"/>
        <v>1</v>
      </c>
      <c r="AW37" s="110">
        <f t="shared" si="46"/>
        <v>1</v>
      </c>
      <c r="AX37" s="110">
        <f t="shared" si="46"/>
        <v>1</v>
      </c>
      <c r="AY37" s="110">
        <f t="shared" si="46"/>
        <v>1</v>
      </c>
      <c r="AZ37" s="110">
        <f t="shared" si="46"/>
        <v>1</v>
      </c>
      <c r="BA37" s="110">
        <f t="shared" si="46"/>
        <v>1</v>
      </c>
      <c r="BB37" s="110">
        <f t="shared" si="46"/>
        <v>1</v>
      </c>
      <c r="BC37" s="110">
        <f t="shared" si="46"/>
        <v>1</v>
      </c>
      <c r="BD37" s="110">
        <f t="shared" si="46"/>
        <v>1</v>
      </c>
      <c r="BE37" s="110">
        <f t="shared" si="46"/>
        <v>1</v>
      </c>
      <c r="BF37" s="110">
        <f t="shared" si="46"/>
        <v>1</v>
      </c>
      <c r="BG37" s="110">
        <f t="shared" si="46"/>
        <v>1</v>
      </c>
      <c r="BH37" s="110">
        <f t="shared" si="46"/>
        <v>1</v>
      </c>
      <c r="BI37" s="110">
        <f t="shared" si="46"/>
        <v>1</v>
      </c>
      <c r="BJ37" s="110">
        <f t="shared" si="46"/>
        <v>1</v>
      </c>
      <c r="BK37" s="110">
        <f t="shared" si="46"/>
        <v>1</v>
      </c>
      <c r="BL37" s="110">
        <f t="shared" si="46"/>
        <v>1</v>
      </c>
      <c r="BM37" s="110">
        <f t="shared" si="46"/>
        <v>1</v>
      </c>
      <c r="BN37" s="110">
        <f t="shared" si="46"/>
        <v>1</v>
      </c>
      <c r="BO37" s="110">
        <f t="shared" si="46"/>
        <v>1</v>
      </c>
      <c r="BP37" s="110">
        <f t="shared" si="46"/>
        <v>1</v>
      </c>
      <c r="BQ37" s="110">
        <f t="shared" si="46"/>
        <v>1</v>
      </c>
      <c r="BR37" s="110">
        <f t="shared" si="46"/>
        <v>1</v>
      </c>
      <c r="BS37" s="110">
        <f t="shared" si="46"/>
        <v>1</v>
      </c>
      <c r="BT37" s="110">
        <f t="shared" si="46"/>
        <v>1</v>
      </c>
      <c r="BU37" s="110">
        <f t="shared" si="46"/>
        <v>1</v>
      </c>
      <c r="BV37" s="110">
        <f t="shared" si="46"/>
        <v>1</v>
      </c>
      <c r="BW37" s="110">
        <f t="shared" si="46"/>
        <v>1</v>
      </c>
      <c r="BX37" s="110">
        <f t="shared" si="46"/>
        <v>1</v>
      </c>
      <c r="BY37" s="110">
        <f t="shared" si="46"/>
        <v>1</v>
      </c>
      <c r="BZ37" s="110">
        <f t="shared" si="46"/>
        <v>1</v>
      </c>
      <c r="CA37" s="110">
        <f t="shared" si="46"/>
        <v>1</v>
      </c>
      <c r="CE37" s="54"/>
    </row>
    <row r="38" spans="2:83" ht="39.75" customHeight="1" x14ac:dyDescent="0.3">
      <c r="B38" s="400" t="s">
        <v>81</v>
      </c>
      <c r="C38" s="403" t="s">
        <v>106</v>
      </c>
      <c r="D38" s="299" t="s">
        <v>192</v>
      </c>
      <c r="E38" s="299" t="s">
        <v>82</v>
      </c>
      <c r="F38" s="299" t="s">
        <v>120</v>
      </c>
      <c r="G38" s="396" t="s">
        <v>135</v>
      </c>
      <c r="H38" s="396" t="s">
        <v>121</v>
      </c>
      <c r="I38" s="396">
        <v>1</v>
      </c>
      <c r="J38" s="393" t="s">
        <v>162</v>
      </c>
      <c r="K38" s="101" t="s">
        <v>4</v>
      </c>
      <c r="L38" s="34"/>
      <c r="M38" s="103" t="str">
        <f>IF(ISBLANK(HLOOKUP($M$6,$AF$7:$CA$43,$AD38,FALSE)),"",HLOOKUP($M$6,$AF$7:$CA$43,$AD38,FALSE))</f>
        <v/>
      </c>
      <c r="N38" s="365" t="str">
        <f>IF(M38="","",IF(M38&gt;=M40,1,0))</f>
        <v/>
      </c>
      <c r="O38" s="368" t="str">
        <f t="shared" ref="O38" si="47">IFERROR(N38*I38,"")</f>
        <v/>
      </c>
      <c r="P38" s="368" t="str">
        <f t="shared" ref="P38" si="48">IF(O38&lt;&gt;"",I38,"")</f>
        <v/>
      </c>
      <c r="Q38" s="34"/>
      <c r="R38" s="103" t="str">
        <f>IF(ISBLANK(HLOOKUP($R$6,$AF$7:$CA$43,$AD38,FALSE)),"",HLOOKUP($R$6,$AF$7:$CA$43,$AD38,FALSE))</f>
        <v/>
      </c>
      <c r="S38" s="369" t="str">
        <f>IF(R38="","",IF(R38&gt;=R40,1,0))</f>
        <v/>
      </c>
      <c r="T38" s="343" t="str">
        <f>IFERROR((R38-R40)/R40,"")</f>
        <v/>
      </c>
      <c r="U38" s="368" t="str">
        <f t="shared" ref="U38" si="49">IFERROR(S38*I38,"")</f>
        <v/>
      </c>
      <c r="V38" s="368" t="str">
        <f t="shared" ref="V38" si="50">IF(U38&lt;&gt;"",I38,"")</f>
        <v/>
      </c>
      <c r="W38" s="352"/>
      <c r="X38" s="336" t="str">
        <f>IF(R38="","",IF(M38="","",IF(R38&gt;M38,2,IF(R38=M38,1,IF(R38&lt;M38,0)))))</f>
        <v/>
      </c>
      <c r="Y38" s="358" t="str">
        <f>IF(R38="","",IF(M38="","",(R38-M38)/M38))</f>
        <v/>
      </c>
      <c r="Z38" s="352"/>
      <c r="AA38" s="208" t="str">
        <f>IF(S38=0,"Target production rates havent been achieved","")</f>
        <v/>
      </c>
      <c r="AB38" s="361"/>
      <c r="AC38" s="363"/>
      <c r="AD38" s="100">
        <v>32</v>
      </c>
      <c r="AE38" s="9" t="s">
        <v>4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E38" s="54"/>
    </row>
    <row r="39" spans="2:83" ht="39.75" hidden="1" customHeight="1" x14ac:dyDescent="0.3">
      <c r="B39" s="401"/>
      <c r="C39" s="404"/>
      <c r="D39" s="327"/>
      <c r="E39" s="327"/>
      <c r="F39" s="327"/>
      <c r="G39" s="397"/>
      <c r="H39" s="397"/>
      <c r="I39" s="397"/>
      <c r="J39" s="394"/>
      <c r="K39" s="40" t="s">
        <v>15</v>
      </c>
      <c r="L39" s="34"/>
      <c r="M39" s="112" t="str">
        <f>IF(ISBLANK(HLOOKUP($M$6,$AF$7:$CA$43,$AD39,FALSE)),"",HLOOKUP($M$6,$AF$7:$CA$43,$AD39,FALSE))</f>
        <v/>
      </c>
      <c r="N39" s="366"/>
      <c r="O39" s="368"/>
      <c r="P39" s="368"/>
      <c r="Q39" s="34"/>
      <c r="R39" s="112" t="str">
        <f>IF(ISBLANK(HLOOKUP($R$6,$AF$7:$CA$43,$AD39,FALSE)),"",HLOOKUP($R$6,$AF$7:$CA$43,$AD39,FALSE))</f>
        <v/>
      </c>
      <c r="S39" s="370"/>
      <c r="T39" s="345"/>
      <c r="U39" s="368"/>
      <c r="V39" s="368"/>
      <c r="W39" s="353"/>
      <c r="X39" s="338"/>
      <c r="Y39" s="359"/>
      <c r="Z39" s="353"/>
      <c r="AA39" s="209"/>
      <c r="AB39" s="362"/>
      <c r="AC39" s="364"/>
      <c r="AD39" s="100">
        <v>33</v>
      </c>
      <c r="AE39" s="40" t="s">
        <v>15</v>
      </c>
      <c r="AF39" s="108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E39" s="54"/>
    </row>
    <row r="40" spans="2:83" ht="39.75" customHeight="1" x14ac:dyDescent="0.3">
      <c r="B40" s="402"/>
      <c r="C40" s="405"/>
      <c r="D40" s="300"/>
      <c r="E40" s="300"/>
      <c r="F40" s="300"/>
      <c r="G40" s="398"/>
      <c r="H40" s="398"/>
      <c r="I40" s="398"/>
      <c r="J40" s="395"/>
      <c r="K40" s="86" t="s">
        <v>99</v>
      </c>
      <c r="L40" s="44"/>
      <c r="M40" s="73">
        <v>1</v>
      </c>
      <c r="N40" s="367"/>
      <c r="O40" s="368"/>
      <c r="P40" s="368"/>
      <c r="Q40" s="44"/>
      <c r="R40" s="73">
        <v>1</v>
      </c>
      <c r="S40" s="371"/>
      <c r="T40" s="344"/>
      <c r="U40" s="368"/>
      <c r="V40" s="368"/>
      <c r="W40" s="354"/>
      <c r="X40" s="337"/>
      <c r="Y40" s="360"/>
      <c r="Z40" s="354"/>
      <c r="AA40" s="209" t="str">
        <f>IF(X38=0,"Production rates have declined","")</f>
        <v/>
      </c>
      <c r="AB40" s="362"/>
      <c r="AC40" s="364"/>
      <c r="AD40" s="100">
        <v>34</v>
      </c>
      <c r="AE40" s="41" t="s">
        <v>3</v>
      </c>
      <c r="AF40" s="110">
        <f>IF(ISBLANK($M40),"",$M40)</f>
        <v>1</v>
      </c>
      <c r="AG40" s="110">
        <f t="shared" ref="AG40:CA40" si="51">IF(ISBLANK($M40),"",$M40)</f>
        <v>1</v>
      </c>
      <c r="AH40" s="110">
        <f t="shared" si="51"/>
        <v>1</v>
      </c>
      <c r="AI40" s="110">
        <f t="shared" si="51"/>
        <v>1</v>
      </c>
      <c r="AJ40" s="110">
        <f t="shared" si="51"/>
        <v>1</v>
      </c>
      <c r="AK40" s="110">
        <f t="shared" si="51"/>
        <v>1</v>
      </c>
      <c r="AL40" s="110">
        <f t="shared" si="51"/>
        <v>1</v>
      </c>
      <c r="AM40" s="110">
        <f t="shared" si="51"/>
        <v>1</v>
      </c>
      <c r="AN40" s="110">
        <f t="shared" si="51"/>
        <v>1</v>
      </c>
      <c r="AO40" s="110">
        <f t="shared" si="51"/>
        <v>1</v>
      </c>
      <c r="AP40" s="110">
        <f t="shared" si="51"/>
        <v>1</v>
      </c>
      <c r="AQ40" s="110">
        <f t="shared" si="51"/>
        <v>1</v>
      </c>
      <c r="AR40" s="110">
        <f t="shared" si="51"/>
        <v>1</v>
      </c>
      <c r="AS40" s="110">
        <f t="shared" si="51"/>
        <v>1</v>
      </c>
      <c r="AT40" s="110">
        <f t="shared" si="51"/>
        <v>1</v>
      </c>
      <c r="AU40" s="110">
        <f t="shared" si="51"/>
        <v>1</v>
      </c>
      <c r="AV40" s="110">
        <f t="shared" si="51"/>
        <v>1</v>
      </c>
      <c r="AW40" s="110">
        <f t="shared" si="51"/>
        <v>1</v>
      </c>
      <c r="AX40" s="110">
        <f t="shared" si="51"/>
        <v>1</v>
      </c>
      <c r="AY40" s="110">
        <f t="shared" si="51"/>
        <v>1</v>
      </c>
      <c r="AZ40" s="110">
        <f t="shared" si="51"/>
        <v>1</v>
      </c>
      <c r="BA40" s="110">
        <f t="shared" si="51"/>
        <v>1</v>
      </c>
      <c r="BB40" s="110">
        <f t="shared" si="51"/>
        <v>1</v>
      </c>
      <c r="BC40" s="110">
        <f t="shared" si="51"/>
        <v>1</v>
      </c>
      <c r="BD40" s="110">
        <f t="shared" si="51"/>
        <v>1</v>
      </c>
      <c r="BE40" s="110">
        <f t="shared" si="51"/>
        <v>1</v>
      </c>
      <c r="BF40" s="110">
        <f t="shared" si="51"/>
        <v>1</v>
      </c>
      <c r="BG40" s="110">
        <f t="shared" si="51"/>
        <v>1</v>
      </c>
      <c r="BH40" s="110">
        <f t="shared" si="51"/>
        <v>1</v>
      </c>
      <c r="BI40" s="110">
        <f t="shared" si="51"/>
        <v>1</v>
      </c>
      <c r="BJ40" s="110">
        <f t="shared" si="51"/>
        <v>1</v>
      </c>
      <c r="BK40" s="110">
        <f t="shared" si="51"/>
        <v>1</v>
      </c>
      <c r="BL40" s="110">
        <f t="shared" si="51"/>
        <v>1</v>
      </c>
      <c r="BM40" s="110">
        <f t="shared" si="51"/>
        <v>1</v>
      </c>
      <c r="BN40" s="110">
        <f t="shared" si="51"/>
        <v>1</v>
      </c>
      <c r="BO40" s="110">
        <f t="shared" si="51"/>
        <v>1</v>
      </c>
      <c r="BP40" s="110">
        <f t="shared" si="51"/>
        <v>1</v>
      </c>
      <c r="BQ40" s="110">
        <f t="shared" si="51"/>
        <v>1</v>
      </c>
      <c r="BR40" s="110">
        <f t="shared" si="51"/>
        <v>1</v>
      </c>
      <c r="BS40" s="110">
        <f t="shared" si="51"/>
        <v>1</v>
      </c>
      <c r="BT40" s="110">
        <f t="shared" si="51"/>
        <v>1</v>
      </c>
      <c r="BU40" s="110">
        <f t="shared" si="51"/>
        <v>1</v>
      </c>
      <c r="BV40" s="110">
        <f t="shared" si="51"/>
        <v>1</v>
      </c>
      <c r="BW40" s="110">
        <f t="shared" si="51"/>
        <v>1</v>
      </c>
      <c r="BX40" s="110">
        <f t="shared" si="51"/>
        <v>1</v>
      </c>
      <c r="BY40" s="110">
        <f t="shared" si="51"/>
        <v>1</v>
      </c>
      <c r="BZ40" s="110">
        <f t="shared" si="51"/>
        <v>1</v>
      </c>
      <c r="CA40" s="110">
        <f t="shared" si="51"/>
        <v>1</v>
      </c>
      <c r="CE40" s="54"/>
    </row>
    <row r="41" spans="2:83" ht="39.75" customHeight="1" x14ac:dyDescent="0.3">
      <c r="B41" s="297" t="s">
        <v>83</v>
      </c>
      <c r="C41" s="325" t="s">
        <v>106</v>
      </c>
      <c r="D41" s="299" t="s">
        <v>84</v>
      </c>
      <c r="E41" s="299" t="s">
        <v>85</v>
      </c>
      <c r="F41" s="299" t="s">
        <v>127</v>
      </c>
      <c r="G41" s="301" t="s">
        <v>139</v>
      </c>
      <c r="H41" s="308" t="s">
        <v>86</v>
      </c>
      <c r="I41" s="299">
        <v>1</v>
      </c>
      <c r="J41" s="373">
        <v>0.8</v>
      </c>
      <c r="K41" s="101" t="s">
        <v>4</v>
      </c>
      <c r="L41" s="34"/>
      <c r="M41" s="104" t="str">
        <f>IF(ISBLANK(HLOOKUP($M$6,$AF$7:$CA$43,$AD41,FALSE)),"",HLOOKUP($M$6,$AF$7:$CA$43,$AD41,FALSE))</f>
        <v/>
      </c>
      <c r="N41" s="365" t="str">
        <f>IF(M41="","",IF(M41&gt;=M43,1,0))</f>
        <v/>
      </c>
      <c r="O41" s="368" t="str">
        <f t="shared" ref="O41" si="52">IFERROR(N41*I41,"")</f>
        <v/>
      </c>
      <c r="P41" s="368" t="str">
        <f t="shared" ref="P41" si="53">IF(O41&lt;&gt;"",I41,"")</f>
        <v/>
      </c>
      <c r="Q41" s="34"/>
      <c r="R41" s="104" t="str">
        <f>IF(ISBLANK(HLOOKUP($R$6,$AF$7:$CA$43,$AD41,FALSE)),"",HLOOKUP($R$6,$AF$7:$CA$43,$AD41,FALSE))</f>
        <v/>
      </c>
      <c r="S41" s="369" t="str">
        <f>IF(R41="","",IF(R41&gt;=R43,1,0))</f>
        <v/>
      </c>
      <c r="T41" s="343" t="str">
        <f>IFERROR((R41-R43)/R43,"")</f>
        <v/>
      </c>
      <c r="U41" s="368" t="str">
        <f t="shared" ref="U41" si="54">IFERROR(S41*I41,"")</f>
        <v/>
      </c>
      <c r="V41" s="368" t="str">
        <f t="shared" ref="V41" si="55">IF(U41&lt;&gt;"",I41,"")</f>
        <v/>
      </c>
      <c r="W41" s="352"/>
      <c r="X41" s="336" t="str">
        <f>IF(R41="","",IF(M41="","",IF(R41&gt;M41,2,IF(R41=M41,1,IF(R41&lt;M41,0)))))</f>
        <v/>
      </c>
      <c r="Y41" s="358" t="str">
        <f>IF(R41="","",IF(M41="","",(R41-M41)/M41))</f>
        <v/>
      </c>
      <c r="Z41" s="352"/>
      <c r="AA41" s="208" t="str">
        <f>IF(S41=0,"Target Efficiency &amp; Accuracy of Control Tools hasnt been achieved","")</f>
        <v/>
      </c>
      <c r="AB41" s="361"/>
      <c r="AC41" s="363"/>
      <c r="AD41" s="100">
        <v>35</v>
      </c>
      <c r="AE41" s="9" t="s">
        <v>4</v>
      </c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E41" s="54"/>
    </row>
    <row r="42" spans="2:83" ht="39.75" hidden="1" customHeight="1" x14ac:dyDescent="0.3">
      <c r="B42" s="328"/>
      <c r="C42" s="329"/>
      <c r="D42" s="327"/>
      <c r="E42" s="327"/>
      <c r="F42" s="327"/>
      <c r="G42" s="330"/>
      <c r="H42" s="372"/>
      <c r="I42" s="327"/>
      <c r="J42" s="374"/>
      <c r="K42" s="40" t="s">
        <v>15</v>
      </c>
      <c r="L42" s="34"/>
      <c r="M42" s="112" t="str">
        <f>IF(ISBLANK(HLOOKUP($M$6,$AF$7:$CA$43,$AD42,FALSE)),"",HLOOKUP($M$6,$AF$7:$CA$43,$AD42,FALSE))</f>
        <v/>
      </c>
      <c r="N42" s="366"/>
      <c r="O42" s="368"/>
      <c r="P42" s="368"/>
      <c r="Q42" s="34"/>
      <c r="R42" s="32" t="str">
        <f>IF(ISBLANK(HLOOKUP($R$6,$AF$7:$CA$43,$AD42,FALSE)),"",HLOOKUP($R$6,$AF$7:$CA$43,$AD42,FALSE))</f>
        <v/>
      </c>
      <c r="S42" s="370"/>
      <c r="T42" s="345"/>
      <c r="U42" s="368"/>
      <c r="V42" s="368"/>
      <c r="W42" s="353"/>
      <c r="X42" s="338"/>
      <c r="Y42" s="359"/>
      <c r="Z42" s="353"/>
      <c r="AA42" s="209"/>
      <c r="AB42" s="362"/>
      <c r="AC42" s="364"/>
      <c r="AD42" s="100">
        <v>36</v>
      </c>
      <c r="AE42" s="40" t="s">
        <v>15</v>
      </c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E42" s="54"/>
    </row>
    <row r="43" spans="2:83" ht="39.75" customHeight="1" x14ac:dyDescent="0.3">
      <c r="B43" s="298"/>
      <c r="C43" s="326"/>
      <c r="D43" s="300"/>
      <c r="E43" s="300"/>
      <c r="F43" s="300"/>
      <c r="G43" s="302"/>
      <c r="H43" s="309"/>
      <c r="I43" s="300"/>
      <c r="J43" s="375"/>
      <c r="K43" s="86" t="s">
        <v>99</v>
      </c>
      <c r="L43" s="44"/>
      <c r="M43" s="69">
        <v>0.8</v>
      </c>
      <c r="N43" s="367"/>
      <c r="O43" s="368"/>
      <c r="P43" s="368"/>
      <c r="Q43" s="44"/>
      <c r="R43" s="69">
        <v>0.8</v>
      </c>
      <c r="S43" s="371"/>
      <c r="T43" s="344"/>
      <c r="U43" s="368"/>
      <c r="V43" s="368"/>
      <c r="W43" s="354"/>
      <c r="X43" s="337"/>
      <c r="Y43" s="360"/>
      <c r="Z43" s="354"/>
      <c r="AA43" s="209" t="str">
        <f>IF(X41=0,"Target Efficiency &amp; Accuracy of Control Tools has declined","")</f>
        <v/>
      </c>
      <c r="AB43" s="362"/>
      <c r="AC43" s="364"/>
      <c r="AD43" s="100">
        <v>37</v>
      </c>
      <c r="AE43" s="41" t="s">
        <v>3</v>
      </c>
      <c r="AF43" s="107">
        <f t="shared" ref="AF43:CA43" si="56">IF(ISBLANK($M43),"",$M43)</f>
        <v>0.8</v>
      </c>
      <c r="AG43" s="107">
        <f t="shared" si="56"/>
        <v>0.8</v>
      </c>
      <c r="AH43" s="107">
        <f t="shared" si="56"/>
        <v>0.8</v>
      </c>
      <c r="AI43" s="107">
        <f t="shared" si="56"/>
        <v>0.8</v>
      </c>
      <c r="AJ43" s="107">
        <f t="shared" si="56"/>
        <v>0.8</v>
      </c>
      <c r="AK43" s="107">
        <f t="shared" si="56"/>
        <v>0.8</v>
      </c>
      <c r="AL43" s="107">
        <f t="shared" si="56"/>
        <v>0.8</v>
      </c>
      <c r="AM43" s="107">
        <f t="shared" si="56"/>
        <v>0.8</v>
      </c>
      <c r="AN43" s="107">
        <f t="shared" si="56"/>
        <v>0.8</v>
      </c>
      <c r="AO43" s="107">
        <f t="shared" si="56"/>
        <v>0.8</v>
      </c>
      <c r="AP43" s="107">
        <f t="shared" si="56"/>
        <v>0.8</v>
      </c>
      <c r="AQ43" s="107">
        <f t="shared" si="56"/>
        <v>0.8</v>
      </c>
      <c r="AR43" s="107">
        <f t="shared" si="56"/>
        <v>0.8</v>
      </c>
      <c r="AS43" s="107">
        <f t="shared" si="56"/>
        <v>0.8</v>
      </c>
      <c r="AT43" s="107">
        <f t="shared" si="56"/>
        <v>0.8</v>
      </c>
      <c r="AU43" s="107">
        <f t="shared" si="56"/>
        <v>0.8</v>
      </c>
      <c r="AV43" s="107">
        <f t="shared" si="56"/>
        <v>0.8</v>
      </c>
      <c r="AW43" s="107">
        <f t="shared" si="56"/>
        <v>0.8</v>
      </c>
      <c r="AX43" s="107">
        <f t="shared" si="56"/>
        <v>0.8</v>
      </c>
      <c r="AY43" s="107">
        <f t="shared" si="56"/>
        <v>0.8</v>
      </c>
      <c r="AZ43" s="107">
        <f t="shared" si="56"/>
        <v>0.8</v>
      </c>
      <c r="BA43" s="107">
        <f t="shared" si="56"/>
        <v>0.8</v>
      </c>
      <c r="BB43" s="107">
        <f t="shared" si="56"/>
        <v>0.8</v>
      </c>
      <c r="BC43" s="107">
        <f t="shared" si="56"/>
        <v>0.8</v>
      </c>
      <c r="BD43" s="107">
        <f t="shared" si="56"/>
        <v>0.8</v>
      </c>
      <c r="BE43" s="107">
        <f t="shared" si="56"/>
        <v>0.8</v>
      </c>
      <c r="BF43" s="107">
        <f t="shared" si="56"/>
        <v>0.8</v>
      </c>
      <c r="BG43" s="107">
        <f t="shared" si="56"/>
        <v>0.8</v>
      </c>
      <c r="BH43" s="107">
        <f t="shared" si="56"/>
        <v>0.8</v>
      </c>
      <c r="BI43" s="107">
        <f t="shared" si="56"/>
        <v>0.8</v>
      </c>
      <c r="BJ43" s="107">
        <f t="shared" si="56"/>
        <v>0.8</v>
      </c>
      <c r="BK43" s="107">
        <f t="shared" si="56"/>
        <v>0.8</v>
      </c>
      <c r="BL43" s="107">
        <f t="shared" si="56"/>
        <v>0.8</v>
      </c>
      <c r="BM43" s="107">
        <f t="shared" si="56"/>
        <v>0.8</v>
      </c>
      <c r="BN43" s="107">
        <f t="shared" si="56"/>
        <v>0.8</v>
      </c>
      <c r="BO43" s="107">
        <f t="shared" si="56"/>
        <v>0.8</v>
      </c>
      <c r="BP43" s="107">
        <f t="shared" si="56"/>
        <v>0.8</v>
      </c>
      <c r="BQ43" s="107">
        <f t="shared" si="56"/>
        <v>0.8</v>
      </c>
      <c r="BR43" s="107">
        <f t="shared" si="56"/>
        <v>0.8</v>
      </c>
      <c r="BS43" s="107">
        <f t="shared" si="56"/>
        <v>0.8</v>
      </c>
      <c r="BT43" s="107">
        <f t="shared" si="56"/>
        <v>0.8</v>
      </c>
      <c r="BU43" s="107">
        <f t="shared" si="56"/>
        <v>0.8</v>
      </c>
      <c r="BV43" s="107">
        <f t="shared" si="56"/>
        <v>0.8</v>
      </c>
      <c r="BW43" s="107">
        <f t="shared" si="56"/>
        <v>0.8</v>
      </c>
      <c r="BX43" s="107">
        <f t="shared" si="56"/>
        <v>0.8</v>
      </c>
      <c r="BY43" s="107">
        <f t="shared" si="56"/>
        <v>0.8</v>
      </c>
      <c r="BZ43" s="107">
        <f t="shared" si="56"/>
        <v>0.8</v>
      </c>
      <c r="CA43" s="107">
        <f t="shared" si="56"/>
        <v>0.8</v>
      </c>
      <c r="CE43" s="54"/>
    </row>
    <row r="44" spans="2:83" ht="39.75" customHeight="1" x14ac:dyDescent="0.3">
      <c r="B44" s="297" t="s">
        <v>181</v>
      </c>
      <c r="C44" s="325" t="s">
        <v>105</v>
      </c>
      <c r="D44" s="299" t="s">
        <v>60</v>
      </c>
      <c r="E44" s="299" t="s">
        <v>46</v>
      </c>
      <c r="F44" s="299" t="s">
        <v>198</v>
      </c>
      <c r="G44" s="301" t="s">
        <v>203</v>
      </c>
      <c r="H44" s="308" t="s">
        <v>200</v>
      </c>
      <c r="I44" s="299"/>
      <c r="J44" s="373" t="s">
        <v>201</v>
      </c>
      <c r="K44" s="101" t="s">
        <v>4</v>
      </c>
      <c r="L44" s="34"/>
      <c r="M44" s="104" t="str">
        <f>IF(ISBLANK(HLOOKUP($M$6,$AF$7:$CA$43,$AD44,FALSE)),"",HLOOKUP($M$6,$AF$7:$CA$43,$AD44,FALSE))</f>
        <v/>
      </c>
      <c r="N44" s="365" t="str">
        <f>IF(M44="","",IF(M44&gt;=M46,1,0))</f>
        <v/>
      </c>
      <c r="O44" s="368" t="str">
        <f t="shared" ref="O44" si="57">IFERROR(N44*I44,"")</f>
        <v/>
      </c>
      <c r="P44" s="368" t="str">
        <f t="shared" ref="P44" si="58">IF(O44&lt;&gt;"",I44,"")</f>
        <v/>
      </c>
      <c r="Q44" s="34"/>
      <c r="R44" s="104" t="str">
        <f>IF(ISBLANK(HLOOKUP($R$6,$AF$7:$CA$43,$AD44,FALSE)),"",HLOOKUP($R$6,$AF$7:$CA$43,$AD44,FALSE))</f>
        <v/>
      </c>
      <c r="S44" s="369" t="str">
        <f>IF(R44="","",IF(R44&gt;=R46,1,0))</f>
        <v/>
      </c>
      <c r="T44" s="343" t="str">
        <f>IFERROR((R44-R46)/R46,"")</f>
        <v/>
      </c>
      <c r="U44" s="368" t="str">
        <f t="shared" ref="U44" si="59">IFERROR(S44*I44,"")</f>
        <v/>
      </c>
      <c r="V44" s="368" t="str">
        <f t="shared" ref="V44" si="60">IF(U44&lt;&gt;"",I44,"")</f>
        <v/>
      </c>
      <c r="W44" s="352"/>
      <c r="X44" s="336" t="str">
        <f>IF(R44="","",IF(M44="","",IF(R44&gt;M44,2,IF(R44=M44,1,IF(R44&lt;M44,0)))))</f>
        <v/>
      </c>
      <c r="Y44" s="358" t="str">
        <f>IF(R44="","",IF(M44="","",(R44-M44)/M44))</f>
        <v/>
      </c>
      <c r="Z44" s="352"/>
      <c r="AA44" s="208" t="str">
        <f>IF(S44=0,"The Customer Satisfaction hasnt been achieved","")</f>
        <v/>
      </c>
      <c r="AB44" s="361"/>
      <c r="AC44" s="363"/>
      <c r="AD44" s="100">
        <v>35</v>
      </c>
      <c r="AE44" s="9" t="s">
        <v>4</v>
      </c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E44" s="54"/>
    </row>
    <row r="45" spans="2:83" ht="39.75" hidden="1" customHeight="1" x14ac:dyDescent="0.3">
      <c r="B45" s="328"/>
      <c r="C45" s="329" t="s">
        <v>105</v>
      </c>
      <c r="D45" s="327" t="s">
        <v>60</v>
      </c>
      <c r="E45" s="327" t="s">
        <v>46</v>
      </c>
      <c r="F45" s="327" t="s">
        <v>198</v>
      </c>
      <c r="G45" s="330" t="s">
        <v>199</v>
      </c>
      <c r="H45" s="372" t="s">
        <v>200</v>
      </c>
      <c r="I45" s="327"/>
      <c r="J45" s="374" t="s">
        <v>201</v>
      </c>
      <c r="K45" s="40" t="s">
        <v>15</v>
      </c>
      <c r="L45" s="34"/>
      <c r="M45" s="112" t="str">
        <f>IF(ISBLANK(HLOOKUP($M$6,$AF$7:$CA$43,$AD45,FALSE)),"",HLOOKUP($M$6,$AF$7:$CA$43,$AD45,FALSE))</f>
        <v/>
      </c>
      <c r="N45" s="366"/>
      <c r="O45" s="368"/>
      <c r="P45" s="368"/>
      <c r="Q45" s="34"/>
      <c r="R45" s="32" t="str">
        <f>IF(ISBLANK(HLOOKUP($R$6,$AF$7:$CA$43,$AD45,FALSE)),"",HLOOKUP($R$6,$AF$7:$CA$43,$AD45,FALSE))</f>
        <v/>
      </c>
      <c r="S45" s="370"/>
      <c r="T45" s="345"/>
      <c r="U45" s="368"/>
      <c r="V45" s="368"/>
      <c r="W45" s="353"/>
      <c r="X45" s="338"/>
      <c r="Y45" s="359"/>
      <c r="Z45" s="353"/>
      <c r="AA45" s="209"/>
      <c r="AB45" s="362"/>
      <c r="AC45" s="364"/>
      <c r="AD45" s="100">
        <v>36</v>
      </c>
      <c r="AE45" s="40" t="s">
        <v>15</v>
      </c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E45" s="54"/>
    </row>
    <row r="46" spans="2:83" ht="39.75" customHeight="1" x14ac:dyDescent="0.3">
      <c r="B46" s="298"/>
      <c r="C46" s="326"/>
      <c r="D46" s="300"/>
      <c r="E46" s="300"/>
      <c r="F46" s="300"/>
      <c r="G46" s="302"/>
      <c r="H46" s="309"/>
      <c r="I46" s="300"/>
      <c r="J46" s="375"/>
      <c r="K46" s="86" t="s">
        <v>99</v>
      </c>
      <c r="L46" s="44"/>
      <c r="M46" s="69">
        <v>0.8</v>
      </c>
      <c r="N46" s="367"/>
      <c r="O46" s="368"/>
      <c r="P46" s="368"/>
      <c r="Q46" s="44"/>
      <c r="R46" s="69">
        <v>0.8</v>
      </c>
      <c r="S46" s="371"/>
      <c r="T46" s="344"/>
      <c r="U46" s="368"/>
      <c r="V46" s="368"/>
      <c r="W46" s="354"/>
      <c r="X46" s="337"/>
      <c r="Y46" s="360"/>
      <c r="Z46" s="354"/>
      <c r="AA46" s="209" t="str">
        <f>IF(X44=0,"The Customer Satisfaction has declined","")</f>
        <v/>
      </c>
      <c r="AB46" s="362"/>
      <c r="AC46" s="364"/>
      <c r="AD46" s="100">
        <v>37</v>
      </c>
      <c r="AE46" s="41" t="s">
        <v>3</v>
      </c>
      <c r="AF46" s="107">
        <f t="shared" ref="AF46:CA46" si="61">IF(ISBLANK($M46),"",$M46)</f>
        <v>0.8</v>
      </c>
      <c r="AG46" s="107">
        <f t="shared" si="61"/>
        <v>0.8</v>
      </c>
      <c r="AH46" s="107">
        <f t="shared" si="61"/>
        <v>0.8</v>
      </c>
      <c r="AI46" s="107">
        <f t="shared" si="61"/>
        <v>0.8</v>
      </c>
      <c r="AJ46" s="107">
        <f t="shared" si="61"/>
        <v>0.8</v>
      </c>
      <c r="AK46" s="107">
        <f t="shared" si="61"/>
        <v>0.8</v>
      </c>
      <c r="AL46" s="107">
        <f t="shared" si="61"/>
        <v>0.8</v>
      </c>
      <c r="AM46" s="107">
        <f t="shared" si="61"/>
        <v>0.8</v>
      </c>
      <c r="AN46" s="107">
        <f t="shared" si="61"/>
        <v>0.8</v>
      </c>
      <c r="AO46" s="107">
        <f t="shared" si="61"/>
        <v>0.8</v>
      </c>
      <c r="AP46" s="107">
        <f t="shared" si="61"/>
        <v>0.8</v>
      </c>
      <c r="AQ46" s="107">
        <f t="shared" si="61"/>
        <v>0.8</v>
      </c>
      <c r="AR46" s="107">
        <f t="shared" si="61"/>
        <v>0.8</v>
      </c>
      <c r="AS46" s="107">
        <f t="shared" si="61"/>
        <v>0.8</v>
      </c>
      <c r="AT46" s="107">
        <f t="shared" si="61"/>
        <v>0.8</v>
      </c>
      <c r="AU46" s="107">
        <f t="shared" si="61"/>
        <v>0.8</v>
      </c>
      <c r="AV46" s="107">
        <f t="shared" si="61"/>
        <v>0.8</v>
      </c>
      <c r="AW46" s="107">
        <f t="shared" si="61"/>
        <v>0.8</v>
      </c>
      <c r="AX46" s="107">
        <f t="shared" si="61"/>
        <v>0.8</v>
      </c>
      <c r="AY46" s="107">
        <f t="shared" si="61"/>
        <v>0.8</v>
      </c>
      <c r="AZ46" s="107">
        <f t="shared" si="61"/>
        <v>0.8</v>
      </c>
      <c r="BA46" s="107">
        <f t="shared" si="61"/>
        <v>0.8</v>
      </c>
      <c r="BB46" s="107">
        <f t="shared" si="61"/>
        <v>0.8</v>
      </c>
      <c r="BC46" s="107">
        <f t="shared" si="61"/>
        <v>0.8</v>
      </c>
      <c r="BD46" s="107">
        <f t="shared" si="61"/>
        <v>0.8</v>
      </c>
      <c r="BE46" s="107">
        <f t="shared" si="61"/>
        <v>0.8</v>
      </c>
      <c r="BF46" s="107">
        <f t="shared" si="61"/>
        <v>0.8</v>
      </c>
      <c r="BG46" s="107">
        <f t="shared" si="61"/>
        <v>0.8</v>
      </c>
      <c r="BH46" s="107">
        <f t="shared" si="61"/>
        <v>0.8</v>
      </c>
      <c r="BI46" s="107">
        <f t="shared" si="61"/>
        <v>0.8</v>
      </c>
      <c r="BJ46" s="107">
        <f t="shared" si="61"/>
        <v>0.8</v>
      </c>
      <c r="BK46" s="107">
        <f t="shared" si="61"/>
        <v>0.8</v>
      </c>
      <c r="BL46" s="107">
        <f t="shared" si="61"/>
        <v>0.8</v>
      </c>
      <c r="BM46" s="107">
        <f t="shared" si="61"/>
        <v>0.8</v>
      </c>
      <c r="BN46" s="107">
        <f t="shared" si="61"/>
        <v>0.8</v>
      </c>
      <c r="BO46" s="107">
        <f t="shared" si="61"/>
        <v>0.8</v>
      </c>
      <c r="BP46" s="107">
        <f t="shared" si="61"/>
        <v>0.8</v>
      </c>
      <c r="BQ46" s="107">
        <f t="shared" si="61"/>
        <v>0.8</v>
      </c>
      <c r="BR46" s="107">
        <f t="shared" si="61"/>
        <v>0.8</v>
      </c>
      <c r="BS46" s="107">
        <f t="shared" si="61"/>
        <v>0.8</v>
      </c>
      <c r="BT46" s="107">
        <f t="shared" si="61"/>
        <v>0.8</v>
      </c>
      <c r="BU46" s="107">
        <f t="shared" si="61"/>
        <v>0.8</v>
      </c>
      <c r="BV46" s="107">
        <f t="shared" si="61"/>
        <v>0.8</v>
      </c>
      <c r="BW46" s="107">
        <f t="shared" si="61"/>
        <v>0.8</v>
      </c>
      <c r="BX46" s="107">
        <f t="shared" si="61"/>
        <v>0.8</v>
      </c>
      <c r="BY46" s="107">
        <f t="shared" si="61"/>
        <v>0.8</v>
      </c>
      <c r="BZ46" s="107">
        <f t="shared" si="61"/>
        <v>0.8</v>
      </c>
      <c r="CA46" s="107">
        <f t="shared" si="61"/>
        <v>0.8</v>
      </c>
      <c r="CE46" s="54"/>
    </row>
    <row r="47" spans="2:83" ht="9.9499999999999993" customHeight="1" x14ac:dyDescent="0.3">
      <c r="B47" s="227"/>
      <c r="C47" s="92"/>
      <c r="D47" s="58"/>
      <c r="E47" s="58"/>
      <c r="F47" s="58"/>
      <c r="G47" s="58"/>
      <c r="H47" s="58"/>
      <c r="I47" s="92"/>
      <c r="J47" s="58"/>
      <c r="K47" s="56"/>
      <c r="L47" s="44"/>
      <c r="M47" s="58"/>
      <c r="N47" s="82"/>
      <c r="O47" s="141"/>
      <c r="P47" s="141"/>
      <c r="Q47" s="44"/>
      <c r="R47" s="58"/>
      <c r="S47" s="113"/>
      <c r="T47" s="82"/>
      <c r="U47" s="141"/>
      <c r="V47" s="141"/>
      <c r="W47" s="352"/>
      <c r="X47" s="114"/>
      <c r="Y47" s="199"/>
      <c r="Z47" s="352"/>
      <c r="AA47" s="207"/>
      <c r="AB47" s="224"/>
      <c r="AC47" s="228"/>
      <c r="AD47" s="100">
        <v>38</v>
      </c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E47" s="54"/>
    </row>
    <row r="48" spans="2:83" s="65" customFormat="1" ht="39.75" customHeight="1" x14ac:dyDescent="0.3">
      <c r="B48" s="229" t="s">
        <v>95</v>
      </c>
      <c r="C48" s="63"/>
      <c r="D48" s="63"/>
      <c r="E48" s="63"/>
      <c r="F48" s="63"/>
      <c r="G48" s="63"/>
      <c r="H48" s="63"/>
      <c r="I48" s="63"/>
      <c r="J48" s="63"/>
      <c r="K48" s="64"/>
      <c r="L48" s="44"/>
      <c r="M48" s="66">
        <f>IFERROR(O48/P48,"")</f>
        <v>0.5714285714285714</v>
      </c>
      <c r="N48" s="144">
        <f>M48</f>
        <v>0.5714285714285714</v>
      </c>
      <c r="O48" s="186">
        <f>SUM(O8:O47)</f>
        <v>4</v>
      </c>
      <c r="P48" s="186">
        <f>SUM(P8:P47)</f>
        <v>7</v>
      </c>
      <c r="Q48" s="44"/>
      <c r="R48" s="66">
        <f>IFERROR(U48/V48,"")</f>
        <v>0.42857142857142855</v>
      </c>
      <c r="S48" s="145">
        <f>R48</f>
        <v>0.42857142857142855</v>
      </c>
      <c r="T48" s="171"/>
      <c r="U48" s="186">
        <f>SUM(U8:U47)</f>
        <v>3</v>
      </c>
      <c r="V48" s="186">
        <f>SUM(V8:V47)</f>
        <v>7</v>
      </c>
      <c r="W48" s="353"/>
      <c r="X48" s="117">
        <f>IF(R48&gt;M48,2,IF(R48=M48,1,IF(R48&lt;M48,0)))</f>
        <v>0</v>
      </c>
      <c r="Y48" s="200">
        <f>IFERROR((S48-N48)/N48,"")</f>
        <v>-0.25</v>
      </c>
      <c r="Z48" s="353"/>
      <c r="AA48" s="206" t="str">
        <f>IF(X46=0,"The Overall KPIs score has declined","")</f>
        <v>The Overall KPIs score has declined</v>
      </c>
      <c r="AB48" s="223"/>
      <c r="AC48" s="230"/>
      <c r="AD48" s="100">
        <v>39</v>
      </c>
      <c r="AE48" s="98" t="s">
        <v>4</v>
      </c>
      <c r="AF48" s="97"/>
      <c r="AG48" s="97"/>
      <c r="AH48" s="97"/>
      <c r="AI48" s="97"/>
      <c r="AJ48" s="97"/>
      <c r="AK48" s="97"/>
      <c r="AL48" s="97"/>
      <c r="AM48" s="97"/>
      <c r="AN48" s="97"/>
      <c r="AO48" s="99">
        <v>0.56999999999999995</v>
      </c>
      <c r="AP48" s="99">
        <v>0.43</v>
      </c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E48" s="54"/>
    </row>
    <row r="49" spans="2:83" ht="9.9499999999999993" customHeight="1" x14ac:dyDescent="0.3">
      <c r="B49" s="231"/>
      <c r="C49" s="59"/>
      <c r="D49" s="59"/>
      <c r="E49" s="59"/>
      <c r="F49" s="59"/>
      <c r="G49" s="59"/>
      <c r="H49" s="59"/>
      <c r="I49" s="59"/>
      <c r="J49" s="59"/>
      <c r="K49" s="60"/>
      <c r="L49" s="44"/>
      <c r="M49" s="59"/>
      <c r="N49" s="83"/>
      <c r="O49" s="140"/>
      <c r="P49" s="140"/>
      <c r="Q49" s="44"/>
      <c r="R49" s="59"/>
      <c r="S49" s="83"/>
      <c r="T49" s="83"/>
      <c r="U49" s="140"/>
      <c r="V49" s="140"/>
      <c r="W49" s="353"/>
      <c r="X49" s="84"/>
      <c r="Y49" s="201"/>
      <c r="Z49" s="353"/>
      <c r="AA49" s="220"/>
      <c r="AB49" s="202"/>
      <c r="AC49" s="232"/>
      <c r="AD49" s="100">
        <v>40</v>
      </c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E49" s="54"/>
    </row>
    <row r="50" spans="2:83" ht="38.25" customHeight="1" x14ac:dyDescent="0.3">
      <c r="B50" s="246" t="s">
        <v>213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2"/>
      <c r="AD50" s="10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E50" s="54"/>
    </row>
    <row r="51" spans="2:83" ht="20.100000000000001" customHeight="1" x14ac:dyDescent="0.25">
      <c r="B51" s="22"/>
      <c r="C51" s="12"/>
      <c r="D51" s="12"/>
      <c r="E51" s="12"/>
      <c r="F51" s="12"/>
      <c r="G51" s="12"/>
      <c r="H51" s="12"/>
      <c r="I51" s="174"/>
      <c r="J51" s="12"/>
      <c r="K51" s="12"/>
      <c r="L51" s="12"/>
      <c r="M51" s="233"/>
      <c r="N51" s="233"/>
      <c r="O51" s="234"/>
      <c r="P51" s="234"/>
      <c r="Q51" s="12"/>
      <c r="R51" s="233"/>
      <c r="S51" s="233"/>
      <c r="T51" s="234"/>
      <c r="U51" s="234"/>
      <c r="V51" s="234"/>
      <c r="W51" s="12"/>
      <c r="X51" s="233"/>
      <c r="Y51" s="233"/>
      <c r="Z51" s="12"/>
      <c r="AA51" s="233"/>
      <c r="AB51" s="12"/>
      <c r="AC51" s="23"/>
      <c r="AD51" s="100"/>
    </row>
    <row r="52" spans="2:83" ht="20.100000000000001" customHeight="1" x14ac:dyDescent="0.25">
      <c r="B52" s="22"/>
      <c r="C52" s="12"/>
      <c r="D52" s="12"/>
      <c r="E52" s="12"/>
      <c r="F52" s="12"/>
      <c r="G52" s="12"/>
      <c r="H52" s="12"/>
      <c r="I52" s="174"/>
      <c r="J52" s="12"/>
      <c r="K52" s="12"/>
      <c r="L52" s="12"/>
      <c r="M52" s="233"/>
      <c r="N52" s="233"/>
      <c r="O52" s="234"/>
      <c r="P52" s="234"/>
      <c r="Q52" s="12"/>
      <c r="R52" s="233"/>
      <c r="S52" s="233"/>
      <c r="T52" s="234"/>
      <c r="U52" s="234"/>
      <c r="V52" s="234"/>
      <c r="W52" s="12"/>
      <c r="X52" s="233"/>
      <c r="Y52" s="233"/>
      <c r="Z52" s="12"/>
      <c r="AA52" s="233"/>
      <c r="AB52" s="12"/>
      <c r="AC52" s="23"/>
      <c r="AD52" s="100"/>
    </row>
    <row r="53" spans="2:83" ht="20.100000000000001" customHeight="1" x14ac:dyDescent="0.25">
      <c r="B53" s="22"/>
      <c r="C53" s="12"/>
      <c r="D53" s="12"/>
      <c r="E53" s="12"/>
      <c r="F53" s="12"/>
      <c r="G53" s="12"/>
      <c r="H53" s="12"/>
      <c r="I53" s="174"/>
      <c r="J53" s="12"/>
      <c r="K53" s="12"/>
      <c r="L53" s="12"/>
      <c r="M53" s="233"/>
      <c r="N53" s="233"/>
      <c r="O53" s="234"/>
      <c r="P53" s="234"/>
      <c r="Q53" s="12"/>
      <c r="R53" s="233"/>
      <c r="S53" s="233"/>
      <c r="T53" s="234"/>
      <c r="U53" s="234"/>
      <c r="V53" s="234"/>
      <c r="W53" s="12"/>
      <c r="X53" s="233"/>
      <c r="Y53" s="233"/>
      <c r="Z53" s="12"/>
      <c r="AA53" s="233"/>
      <c r="AB53" s="12"/>
      <c r="AC53" s="23"/>
      <c r="AD53" s="100"/>
    </row>
    <row r="54" spans="2:83" ht="20.100000000000001" customHeight="1" x14ac:dyDescent="0.25">
      <c r="B54" s="22"/>
      <c r="C54" s="12"/>
      <c r="D54" s="12"/>
      <c r="E54" s="12"/>
      <c r="F54" s="12"/>
      <c r="G54" s="12"/>
      <c r="H54" s="12"/>
      <c r="I54" s="174"/>
      <c r="J54" s="12"/>
      <c r="K54" s="12"/>
      <c r="L54" s="12"/>
      <c r="M54" s="233"/>
      <c r="N54" s="233"/>
      <c r="O54" s="234"/>
      <c r="P54" s="234"/>
      <c r="Q54" s="12"/>
      <c r="R54" s="233"/>
      <c r="S54" s="233"/>
      <c r="T54" s="234"/>
      <c r="U54" s="234"/>
      <c r="V54" s="234"/>
      <c r="W54" s="12"/>
      <c r="X54" s="233"/>
      <c r="Y54" s="233"/>
      <c r="Z54" s="12"/>
      <c r="AA54" s="233"/>
      <c r="AB54" s="12"/>
      <c r="AC54" s="23"/>
      <c r="AD54" s="100"/>
    </row>
    <row r="55" spans="2:83" ht="20.100000000000001" customHeight="1" x14ac:dyDescent="0.25">
      <c r="B55" s="22"/>
      <c r="C55" s="12"/>
      <c r="D55" s="12"/>
      <c r="E55" s="12"/>
      <c r="F55" s="12"/>
      <c r="G55" s="12"/>
      <c r="H55" s="12"/>
      <c r="I55" s="174"/>
      <c r="J55" s="12"/>
      <c r="K55" s="12"/>
      <c r="L55" s="12"/>
      <c r="M55" s="233"/>
      <c r="N55" s="233"/>
      <c r="O55" s="234"/>
      <c r="P55" s="234"/>
      <c r="Q55" s="12"/>
      <c r="R55" s="235">
        <v>1</v>
      </c>
      <c r="S55" s="233"/>
      <c r="T55" s="234"/>
      <c r="U55" s="234"/>
      <c r="V55" s="234"/>
      <c r="W55" s="12"/>
      <c r="X55" s="233"/>
      <c r="Y55" s="233"/>
      <c r="Z55" s="12"/>
      <c r="AA55" s="233"/>
      <c r="AB55" s="12"/>
      <c r="AC55" s="23"/>
      <c r="AD55" s="100"/>
    </row>
    <row r="56" spans="2:83" ht="20.100000000000001" customHeight="1" x14ac:dyDescent="0.25">
      <c r="B56" s="22"/>
      <c r="C56" s="12"/>
      <c r="D56" s="12"/>
      <c r="E56" s="12"/>
      <c r="F56" s="12"/>
      <c r="G56" s="12"/>
      <c r="H56" s="12"/>
      <c r="I56" s="174"/>
      <c r="J56" s="12"/>
      <c r="K56" s="12"/>
      <c r="L56" s="12"/>
      <c r="M56" s="233"/>
      <c r="N56" s="233"/>
      <c r="O56" s="234"/>
      <c r="P56" s="234"/>
      <c r="Q56" s="12"/>
      <c r="R56" s="235">
        <v>0</v>
      </c>
      <c r="S56" s="233"/>
      <c r="T56" s="234"/>
      <c r="U56" s="234"/>
      <c r="V56" s="234"/>
      <c r="W56" s="12"/>
      <c r="X56" s="233"/>
      <c r="Y56" s="233"/>
      <c r="Z56" s="12"/>
      <c r="AA56" s="233"/>
      <c r="AB56" s="12"/>
      <c r="AC56" s="23"/>
      <c r="AD56" s="100"/>
    </row>
    <row r="57" spans="2:83" ht="20.100000000000001" customHeight="1" x14ac:dyDescent="0.25">
      <c r="B57" s="22"/>
      <c r="C57" s="12"/>
      <c r="D57" s="12"/>
      <c r="E57" s="12"/>
      <c r="F57" s="12"/>
      <c r="G57" s="12"/>
      <c r="H57" s="12"/>
      <c r="I57" s="174"/>
      <c r="J57" s="12"/>
      <c r="K57" s="12"/>
      <c r="L57" s="12"/>
      <c r="M57" s="233"/>
      <c r="N57" s="233"/>
      <c r="O57" s="234"/>
      <c r="P57" s="234"/>
      <c r="Q57" s="12"/>
      <c r="R57" s="233"/>
      <c r="S57" s="233"/>
      <c r="T57" s="234"/>
      <c r="U57" s="234"/>
      <c r="V57" s="234"/>
      <c r="W57" s="12"/>
      <c r="X57" s="233"/>
      <c r="Y57" s="233"/>
      <c r="Z57" s="12"/>
      <c r="AA57" s="233"/>
      <c r="AB57" s="12"/>
      <c r="AC57" s="23"/>
      <c r="AD57" s="100"/>
    </row>
    <row r="58" spans="2:83" ht="20.100000000000001" customHeight="1" x14ac:dyDescent="0.25">
      <c r="B58" s="22"/>
      <c r="C58" s="12"/>
      <c r="D58" s="12"/>
      <c r="E58" s="12"/>
      <c r="F58" s="12"/>
      <c r="G58" s="12"/>
      <c r="H58" s="12"/>
      <c r="I58" s="174"/>
      <c r="J58" s="12"/>
      <c r="K58" s="12"/>
      <c r="L58" s="12"/>
      <c r="M58" s="233"/>
      <c r="N58" s="233"/>
      <c r="O58" s="234"/>
      <c r="P58" s="234"/>
      <c r="Q58" s="12"/>
      <c r="R58" s="233"/>
      <c r="S58" s="233"/>
      <c r="T58" s="234"/>
      <c r="U58" s="234"/>
      <c r="V58" s="234"/>
      <c r="W58" s="12"/>
      <c r="X58" s="233"/>
      <c r="Y58" s="233"/>
      <c r="Z58" s="12"/>
      <c r="AA58" s="233"/>
      <c r="AB58" s="12"/>
      <c r="AC58" s="23"/>
      <c r="AD58" s="100"/>
    </row>
    <row r="59" spans="2:83" ht="20.100000000000001" customHeight="1" x14ac:dyDescent="0.25">
      <c r="B59" s="22"/>
      <c r="C59" s="12"/>
      <c r="D59" s="12"/>
      <c r="E59" s="12"/>
      <c r="F59" s="12"/>
      <c r="G59" s="12"/>
      <c r="H59" s="12"/>
      <c r="I59" s="174"/>
      <c r="J59" s="12"/>
      <c r="K59" s="12"/>
      <c r="L59" s="12"/>
      <c r="M59" s="233"/>
      <c r="N59" s="233"/>
      <c r="O59" s="234"/>
      <c r="P59" s="234"/>
      <c r="Q59" s="12"/>
      <c r="R59" s="233"/>
      <c r="S59" s="233"/>
      <c r="T59" s="234"/>
      <c r="U59" s="234"/>
      <c r="V59" s="234"/>
      <c r="W59" s="12"/>
      <c r="X59" s="233"/>
      <c r="Y59" s="233"/>
      <c r="Z59" s="12"/>
      <c r="AA59" s="233"/>
      <c r="AB59" s="12"/>
      <c r="AC59" s="23"/>
      <c r="AD59" s="100"/>
    </row>
    <row r="60" spans="2:83" ht="20.100000000000001" customHeight="1" x14ac:dyDescent="0.25">
      <c r="B60" s="22"/>
      <c r="C60" s="12"/>
      <c r="D60" s="12"/>
      <c r="E60" s="12"/>
      <c r="F60" s="12"/>
      <c r="G60" s="12"/>
      <c r="H60" s="12"/>
      <c r="I60" s="174"/>
      <c r="J60" s="12"/>
      <c r="K60" s="12"/>
      <c r="L60" s="12"/>
      <c r="M60" s="233"/>
      <c r="N60" s="233"/>
      <c r="O60" s="234"/>
      <c r="P60" s="234"/>
      <c r="Q60" s="12"/>
      <c r="R60" s="233"/>
      <c r="S60" s="233"/>
      <c r="T60" s="234"/>
      <c r="U60" s="234"/>
      <c r="V60" s="234"/>
      <c r="W60" s="12"/>
      <c r="X60" s="233"/>
      <c r="Y60" s="233"/>
      <c r="Z60" s="12"/>
      <c r="AA60" s="233"/>
      <c r="AB60" s="12"/>
      <c r="AC60" s="23"/>
      <c r="AD60" s="100"/>
    </row>
    <row r="61" spans="2:83" ht="20.100000000000001" customHeight="1" x14ac:dyDescent="0.25">
      <c r="B61" s="22"/>
      <c r="C61" s="12"/>
      <c r="D61" s="12"/>
      <c r="E61" s="12"/>
      <c r="F61" s="12"/>
      <c r="G61" s="12"/>
      <c r="H61" s="12"/>
      <c r="I61" s="174"/>
      <c r="J61" s="12"/>
      <c r="K61" s="12"/>
      <c r="L61" s="12"/>
      <c r="M61" s="233"/>
      <c r="N61" s="233"/>
      <c r="O61" s="234"/>
      <c r="P61" s="234"/>
      <c r="Q61" s="12"/>
      <c r="R61" s="233"/>
      <c r="S61" s="233"/>
      <c r="T61" s="234"/>
      <c r="U61" s="234"/>
      <c r="V61" s="234"/>
      <c r="W61" s="12"/>
      <c r="X61" s="233"/>
      <c r="Y61" s="233"/>
      <c r="Z61" s="12"/>
      <c r="AA61" s="233"/>
      <c r="AB61" s="12"/>
      <c r="AC61" s="23"/>
      <c r="AD61" s="100"/>
    </row>
    <row r="62" spans="2:83" ht="20.100000000000001" customHeight="1" x14ac:dyDescent="0.25">
      <c r="B62" s="22"/>
      <c r="C62" s="12"/>
      <c r="D62" s="12"/>
      <c r="E62" s="12"/>
      <c r="F62" s="12"/>
      <c r="G62" s="12"/>
      <c r="H62" s="12"/>
      <c r="I62" s="174"/>
      <c r="J62" s="12"/>
      <c r="K62" s="12"/>
      <c r="L62" s="12"/>
      <c r="M62" s="233"/>
      <c r="N62" s="233"/>
      <c r="O62" s="234"/>
      <c r="P62" s="234"/>
      <c r="Q62" s="12"/>
      <c r="R62" s="233"/>
      <c r="S62" s="233"/>
      <c r="T62" s="234"/>
      <c r="U62" s="234"/>
      <c r="V62" s="234"/>
      <c r="W62" s="12"/>
      <c r="X62" s="233"/>
      <c r="Y62" s="233"/>
      <c r="Z62" s="12"/>
      <c r="AA62" s="233"/>
      <c r="AB62" s="12"/>
      <c r="AC62" s="23"/>
      <c r="AD62" s="100"/>
    </row>
    <row r="63" spans="2:83" ht="20.100000000000001" customHeight="1" x14ac:dyDescent="0.25">
      <c r="B63" s="22"/>
      <c r="C63" s="12"/>
      <c r="D63" s="12"/>
      <c r="E63" s="12"/>
      <c r="F63" s="12"/>
      <c r="G63" s="12"/>
      <c r="H63" s="12"/>
      <c r="I63" s="174"/>
      <c r="J63" s="12"/>
      <c r="K63" s="12"/>
      <c r="L63" s="12"/>
      <c r="M63" s="233"/>
      <c r="N63" s="233"/>
      <c r="O63" s="234"/>
      <c r="P63" s="234"/>
      <c r="Q63" s="12"/>
      <c r="R63" s="233"/>
      <c r="S63" s="233"/>
      <c r="T63" s="234"/>
      <c r="U63" s="234"/>
      <c r="V63" s="234"/>
      <c r="W63" s="12"/>
      <c r="X63" s="233"/>
      <c r="Y63" s="233"/>
      <c r="Z63" s="12"/>
      <c r="AA63" s="233"/>
      <c r="AB63" s="12"/>
      <c r="AC63" s="23"/>
      <c r="AD63" s="100"/>
    </row>
    <row r="64" spans="2:83" ht="20.100000000000001" customHeight="1" x14ac:dyDescent="0.25">
      <c r="B64" s="22"/>
      <c r="C64" s="12"/>
      <c r="D64" s="12"/>
      <c r="E64" s="12"/>
      <c r="F64" s="12"/>
      <c r="G64" s="12"/>
      <c r="H64" s="12"/>
      <c r="I64" s="174"/>
      <c r="J64" s="12"/>
      <c r="K64" s="12"/>
      <c r="L64" s="12"/>
      <c r="M64" s="233"/>
      <c r="N64" s="233"/>
      <c r="O64" s="234"/>
      <c r="P64" s="234"/>
      <c r="Q64" s="12"/>
      <c r="R64" s="233"/>
      <c r="S64" s="233"/>
      <c r="T64" s="234"/>
      <c r="U64" s="234"/>
      <c r="V64" s="234"/>
      <c r="W64" s="12"/>
      <c r="X64" s="233"/>
      <c r="Y64" s="233"/>
      <c r="Z64" s="12"/>
      <c r="AA64" s="233"/>
      <c r="AB64" s="12"/>
      <c r="AC64" s="23"/>
      <c r="AD64" s="100"/>
    </row>
    <row r="65" spans="2:83" ht="20.100000000000001" customHeight="1" x14ac:dyDescent="0.25">
      <c r="B65" s="22"/>
      <c r="C65" s="12"/>
      <c r="D65" s="12"/>
      <c r="E65" s="12"/>
      <c r="F65" s="12"/>
      <c r="G65" s="12"/>
      <c r="H65" s="12"/>
      <c r="I65" s="174"/>
      <c r="J65" s="12"/>
      <c r="K65" s="12"/>
      <c r="L65" s="12"/>
      <c r="M65" s="233"/>
      <c r="N65" s="233"/>
      <c r="O65" s="234"/>
      <c r="P65" s="234"/>
      <c r="Q65" s="12"/>
      <c r="R65" s="233"/>
      <c r="S65" s="233"/>
      <c r="T65" s="234"/>
      <c r="U65" s="234"/>
      <c r="V65" s="234"/>
      <c r="W65" s="12"/>
      <c r="X65" s="233"/>
      <c r="Y65" s="233"/>
      <c r="Z65" s="12"/>
      <c r="AA65" s="233"/>
      <c r="AB65" s="12"/>
      <c r="AC65" s="23"/>
      <c r="AD65" s="100"/>
    </row>
    <row r="66" spans="2:83" ht="20.100000000000001" customHeight="1" x14ac:dyDescent="0.25">
      <c r="B66" s="22"/>
      <c r="C66" s="12"/>
      <c r="D66" s="12"/>
      <c r="E66" s="12"/>
      <c r="F66" s="12"/>
      <c r="G66" s="12"/>
      <c r="H66" s="12"/>
      <c r="I66" s="174"/>
      <c r="J66" s="12"/>
      <c r="K66" s="12"/>
      <c r="L66" s="12"/>
      <c r="M66" s="233"/>
      <c r="N66" s="233"/>
      <c r="O66" s="234"/>
      <c r="P66" s="234"/>
      <c r="Q66" s="12"/>
      <c r="R66" s="233"/>
      <c r="S66" s="233"/>
      <c r="T66" s="234"/>
      <c r="U66" s="234"/>
      <c r="V66" s="234"/>
      <c r="W66" s="12"/>
      <c r="X66" s="233"/>
      <c r="Y66" s="233"/>
      <c r="Z66" s="12"/>
      <c r="AA66" s="233"/>
      <c r="AB66" s="12"/>
      <c r="AC66" s="23"/>
      <c r="AD66" s="100"/>
    </row>
    <row r="67" spans="2:83" ht="20.100000000000001" customHeight="1" x14ac:dyDescent="0.25">
      <c r="B67" s="22"/>
      <c r="C67" s="12"/>
      <c r="D67" s="12"/>
      <c r="E67" s="12"/>
      <c r="F67" s="12"/>
      <c r="G67" s="12"/>
      <c r="H67" s="12"/>
      <c r="I67" s="174"/>
      <c r="J67" s="12"/>
      <c r="K67" s="12"/>
      <c r="L67" s="12"/>
      <c r="M67" s="233"/>
      <c r="N67" s="233"/>
      <c r="O67" s="234"/>
      <c r="P67" s="234"/>
      <c r="Q67" s="12"/>
      <c r="R67" s="233"/>
      <c r="S67" s="233"/>
      <c r="T67" s="234"/>
      <c r="U67" s="234"/>
      <c r="V67" s="234"/>
      <c r="W67" s="12"/>
      <c r="X67" s="233"/>
      <c r="Y67" s="233"/>
      <c r="Z67" s="12"/>
      <c r="AA67" s="233"/>
      <c r="AB67" s="12"/>
      <c r="AC67" s="23"/>
      <c r="AD67" s="100"/>
    </row>
    <row r="68" spans="2:83" ht="20.100000000000001" customHeight="1" x14ac:dyDescent="0.25">
      <c r="B68" s="22"/>
      <c r="C68" s="12"/>
      <c r="D68" s="12"/>
      <c r="E68" s="12"/>
      <c r="F68" s="12"/>
      <c r="G68" s="12"/>
      <c r="H68" s="12"/>
      <c r="I68" s="174"/>
      <c r="J68" s="12"/>
      <c r="K68" s="12"/>
      <c r="L68" s="12"/>
      <c r="M68" s="233"/>
      <c r="N68" s="233"/>
      <c r="O68" s="234"/>
      <c r="P68" s="234"/>
      <c r="Q68" s="12"/>
      <c r="R68" s="233"/>
      <c r="S68" s="233"/>
      <c r="T68" s="234"/>
      <c r="U68" s="234"/>
      <c r="V68" s="234"/>
      <c r="W68" s="12"/>
      <c r="X68" s="233"/>
      <c r="Y68" s="233"/>
      <c r="Z68" s="12"/>
      <c r="AA68" s="233"/>
      <c r="AB68" s="12"/>
      <c r="AC68" s="23"/>
      <c r="AD68" s="100"/>
    </row>
    <row r="69" spans="2:83" ht="20.100000000000001" customHeight="1" x14ac:dyDescent="0.25">
      <c r="B69" s="22"/>
      <c r="C69" s="12"/>
      <c r="D69" s="12"/>
      <c r="E69" s="12"/>
      <c r="F69" s="12"/>
      <c r="G69" s="12"/>
      <c r="H69" s="12"/>
      <c r="I69" s="174"/>
      <c r="J69" s="12"/>
      <c r="K69" s="12"/>
      <c r="L69" s="12"/>
      <c r="M69" s="233"/>
      <c r="N69" s="233"/>
      <c r="O69" s="234"/>
      <c r="P69" s="234"/>
      <c r="Q69" s="12"/>
      <c r="R69" s="233"/>
      <c r="S69" s="233"/>
      <c r="T69" s="234"/>
      <c r="U69" s="234"/>
      <c r="V69" s="234"/>
      <c r="W69" s="12"/>
      <c r="X69" s="233"/>
      <c r="Y69" s="233"/>
      <c r="Z69" s="12"/>
      <c r="AA69" s="233"/>
      <c r="AB69" s="12"/>
      <c r="AC69" s="23"/>
      <c r="AD69" s="100"/>
    </row>
    <row r="70" spans="2:83" ht="20.100000000000001" customHeight="1" x14ac:dyDescent="0.25">
      <c r="B70" s="22"/>
      <c r="C70" s="12"/>
      <c r="D70" s="12"/>
      <c r="E70" s="12"/>
      <c r="F70" s="12"/>
      <c r="G70" s="12"/>
      <c r="H70" s="12"/>
      <c r="I70" s="174"/>
      <c r="J70" s="12"/>
      <c r="K70" s="12"/>
      <c r="L70" s="12"/>
      <c r="M70" s="233"/>
      <c r="N70" s="233"/>
      <c r="O70" s="234"/>
      <c r="P70" s="234"/>
      <c r="Q70" s="12"/>
      <c r="R70" s="233"/>
      <c r="S70" s="233"/>
      <c r="T70" s="234"/>
      <c r="U70" s="234"/>
      <c r="V70" s="234"/>
      <c r="W70" s="12"/>
      <c r="X70" s="233"/>
      <c r="Y70" s="233"/>
      <c r="Z70" s="12"/>
      <c r="AA70" s="233"/>
      <c r="AB70" s="12"/>
      <c r="AC70" s="23"/>
      <c r="AD70" s="100"/>
    </row>
    <row r="71" spans="2:83" ht="20.100000000000001" customHeight="1" x14ac:dyDescent="0.25">
      <c r="B71" s="22"/>
      <c r="C71" s="12"/>
      <c r="D71" s="12"/>
      <c r="E71" s="12"/>
      <c r="F71" s="12"/>
      <c r="G71" s="12"/>
      <c r="H71" s="12"/>
      <c r="I71" s="174"/>
      <c r="J71" s="12"/>
      <c r="K71" s="12"/>
      <c r="L71" s="12"/>
      <c r="M71" s="233"/>
      <c r="N71" s="233"/>
      <c r="O71" s="234"/>
      <c r="P71" s="234"/>
      <c r="Q71" s="12"/>
      <c r="R71" s="233"/>
      <c r="S71" s="233"/>
      <c r="T71" s="234"/>
      <c r="U71" s="234"/>
      <c r="V71" s="234"/>
      <c r="W71" s="12"/>
      <c r="X71" s="233"/>
      <c r="Y71" s="233"/>
      <c r="Z71" s="12"/>
      <c r="AA71" s="233"/>
      <c r="AB71" s="12"/>
      <c r="AC71" s="23"/>
      <c r="AD71" s="100"/>
    </row>
    <row r="72" spans="2:83" ht="20.100000000000001" customHeight="1" x14ac:dyDescent="0.25">
      <c r="B72" s="22"/>
      <c r="C72" s="12"/>
      <c r="D72" s="12"/>
      <c r="E72" s="12"/>
      <c r="F72" s="12"/>
      <c r="G72" s="12"/>
      <c r="H72" s="12"/>
      <c r="I72" s="174"/>
      <c r="J72" s="12"/>
      <c r="K72" s="12"/>
      <c r="L72" s="12"/>
      <c r="M72" s="233"/>
      <c r="N72" s="233"/>
      <c r="O72" s="234"/>
      <c r="P72" s="234"/>
      <c r="Q72" s="12"/>
      <c r="R72" s="233"/>
      <c r="S72" s="233"/>
      <c r="T72" s="234"/>
      <c r="U72" s="234"/>
      <c r="V72" s="234"/>
      <c r="W72" s="12"/>
      <c r="X72" s="233"/>
      <c r="Y72" s="233"/>
      <c r="Z72" s="12"/>
      <c r="AA72" s="233"/>
      <c r="AB72" s="12"/>
      <c r="AC72" s="23"/>
      <c r="AD72" s="100"/>
    </row>
    <row r="73" spans="2:83" ht="20.100000000000001" customHeight="1" x14ac:dyDescent="0.25">
      <c r="B73" s="22"/>
      <c r="C73" s="12"/>
      <c r="D73" s="12"/>
      <c r="E73" s="12"/>
      <c r="F73" s="12"/>
      <c r="G73" s="12"/>
      <c r="H73" s="12"/>
      <c r="I73" s="174"/>
      <c r="J73" s="12"/>
      <c r="K73" s="12"/>
      <c r="L73" s="12"/>
      <c r="M73" s="233"/>
      <c r="N73" s="233"/>
      <c r="O73" s="234"/>
      <c r="P73" s="234"/>
      <c r="Q73" s="12"/>
      <c r="R73" s="233"/>
      <c r="S73" s="233"/>
      <c r="T73" s="234"/>
      <c r="U73" s="234"/>
      <c r="V73" s="234"/>
      <c r="W73" s="12"/>
      <c r="X73" s="233"/>
      <c r="Y73" s="233"/>
      <c r="Z73" s="12"/>
      <c r="AA73" s="233"/>
      <c r="AB73" s="12"/>
      <c r="AC73" s="23"/>
      <c r="AD73" s="100"/>
    </row>
    <row r="74" spans="2:83" ht="20.100000000000001" customHeight="1" x14ac:dyDescent="0.25">
      <c r="B74" s="22"/>
      <c r="C74" s="12"/>
      <c r="D74" s="12"/>
      <c r="E74" s="12"/>
      <c r="F74" s="12"/>
      <c r="G74" s="12"/>
      <c r="H74" s="12"/>
      <c r="I74" s="174"/>
      <c r="J74" s="12"/>
      <c r="K74" s="12"/>
      <c r="L74" s="12"/>
      <c r="M74" s="233"/>
      <c r="N74" s="233"/>
      <c r="O74" s="234"/>
      <c r="P74" s="234"/>
      <c r="Q74" s="12"/>
      <c r="R74" s="233"/>
      <c r="S74" s="233"/>
      <c r="T74" s="234"/>
      <c r="U74" s="234"/>
      <c r="V74" s="234"/>
      <c r="W74" s="12"/>
      <c r="X74" s="233"/>
      <c r="Y74" s="233"/>
      <c r="Z74" s="12"/>
      <c r="AA74" s="233"/>
      <c r="AB74" s="12"/>
      <c r="AC74" s="23"/>
      <c r="AD74" s="100"/>
    </row>
    <row r="75" spans="2:83" ht="20.100000000000001" customHeight="1" x14ac:dyDescent="0.25">
      <c r="B75" s="22"/>
      <c r="C75" s="12"/>
      <c r="D75" s="12"/>
      <c r="E75" s="12"/>
      <c r="F75" s="12"/>
      <c r="G75" s="12"/>
      <c r="H75" s="12"/>
      <c r="I75" s="174"/>
      <c r="J75" s="12"/>
      <c r="K75" s="12"/>
      <c r="L75" s="12"/>
      <c r="M75" s="233"/>
      <c r="N75" s="233"/>
      <c r="O75" s="234"/>
      <c r="P75" s="234"/>
      <c r="Q75" s="12"/>
      <c r="R75" s="233"/>
      <c r="S75" s="233"/>
      <c r="T75" s="234"/>
      <c r="U75" s="234"/>
      <c r="V75" s="234"/>
      <c r="W75" s="12"/>
      <c r="X75" s="233"/>
      <c r="Y75" s="233"/>
      <c r="Z75" s="12"/>
      <c r="AA75" s="233"/>
      <c r="AB75" s="12"/>
      <c r="AC75" s="23"/>
      <c r="AD75" s="100"/>
    </row>
    <row r="76" spans="2:83" ht="20.100000000000001" customHeight="1" x14ac:dyDescent="0.25">
      <c r="B76" s="22"/>
      <c r="C76" s="12"/>
      <c r="D76" s="12"/>
      <c r="E76" s="12"/>
      <c r="F76" s="12"/>
      <c r="G76" s="12"/>
      <c r="H76" s="12"/>
      <c r="I76" s="174"/>
      <c r="J76" s="12"/>
      <c r="K76" s="12"/>
      <c r="L76" s="12"/>
      <c r="M76" s="233"/>
      <c r="N76" s="233"/>
      <c r="O76" s="234"/>
      <c r="P76" s="234"/>
      <c r="Q76" s="12"/>
      <c r="R76" s="233"/>
      <c r="S76" s="233"/>
      <c r="T76" s="234"/>
      <c r="U76" s="234"/>
      <c r="V76" s="234"/>
      <c r="W76" s="12"/>
      <c r="X76" s="233"/>
      <c r="Y76" s="233"/>
      <c r="Z76" s="12"/>
      <c r="AA76" s="233"/>
      <c r="AB76" s="12"/>
      <c r="AC76" s="23"/>
      <c r="AD76" s="100"/>
    </row>
    <row r="77" spans="2:83" ht="20.100000000000001" customHeight="1" x14ac:dyDescent="0.25">
      <c r="B77" s="22"/>
      <c r="C77" s="12"/>
      <c r="D77" s="12"/>
      <c r="E77" s="12"/>
      <c r="F77" s="12"/>
      <c r="G77" s="12"/>
      <c r="H77" s="12"/>
      <c r="I77" s="174"/>
      <c r="J77" s="12"/>
      <c r="K77" s="12"/>
      <c r="L77" s="12"/>
      <c r="M77" s="233"/>
      <c r="N77" s="233"/>
      <c r="O77" s="234"/>
      <c r="P77" s="234"/>
      <c r="Q77" s="12"/>
      <c r="R77" s="233"/>
      <c r="S77" s="233"/>
      <c r="T77" s="234"/>
      <c r="U77" s="234"/>
      <c r="V77" s="234"/>
      <c r="W77" s="12"/>
      <c r="X77" s="233"/>
      <c r="Y77" s="233"/>
      <c r="Z77" s="12"/>
      <c r="AA77" s="233"/>
      <c r="AB77" s="12"/>
      <c r="AC77" s="23"/>
      <c r="AD77" s="100"/>
    </row>
    <row r="78" spans="2:83" ht="20.100000000000001" customHeight="1" x14ac:dyDescent="0.25">
      <c r="B78" s="22"/>
      <c r="C78" s="12"/>
      <c r="D78" s="12"/>
      <c r="E78" s="12"/>
      <c r="F78" s="12"/>
      <c r="G78" s="12"/>
      <c r="H78" s="12"/>
      <c r="I78" s="174"/>
      <c r="J78" s="12"/>
      <c r="K78" s="12"/>
      <c r="L78" s="12"/>
      <c r="M78" s="233"/>
      <c r="N78" s="233"/>
      <c r="O78" s="234"/>
      <c r="P78" s="234"/>
      <c r="Q78" s="12"/>
      <c r="R78" s="233"/>
      <c r="S78" s="233"/>
      <c r="T78" s="234"/>
      <c r="U78" s="234"/>
      <c r="V78" s="234"/>
      <c r="W78" s="12"/>
      <c r="X78" s="233"/>
      <c r="Y78" s="233"/>
      <c r="Z78" s="12"/>
      <c r="AA78" s="233"/>
      <c r="AB78" s="12"/>
      <c r="AC78" s="23"/>
      <c r="AD78" s="100"/>
    </row>
    <row r="79" spans="2:83" ht="38.25" customHeight="1" x14ac:dyDescent="0.3">
      <c r="B79" s="246" t="s">
        <v>94</v>
      </c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2"/>
      <c r="AD79" s="100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E79" s="54"/>
    </row>
    <row r="80" spans="2:83" ht="18.75" x14ac:dyDescent="0.3">
      <c r="B80" s="236"/>
      <c r="C80" s="50"/>
      <c r="D80" s="50"/>
      <c r="E80" s="50"/>
      <c r="F80" s="50"/>
      <c r="G80" s="50"/>
      <c r="H80" s="50"/>
      <c r="I80" s="51"/>
      <c r="J80" s="50"/>
      <c r="K80" s="50"/>
      <c r="L80" s="50"/>
      <c r="M80" s="52"/>
      <c r="N80" s="53"/>
      <c r="O80" s="80"/>
      <c r="P80" s="80"/>
      <c r="Q80" s="50"/>
      <c r="R80" s="52"/>
      <c r="S80" s="53"/>
      <c r="T80" s="80"/>
      <c r="U80" s="80"/>
      <c r="V80" s="80"/>
      <c r="W80" s="50"/>
      <c r="X80" s="53"/>
      <c r="Y80" s="53"/>
      <c r="Z80" s="50"/>
      <c r="AA80" s="53"/>
      <c r="AB80" s="72"/>
      <c r="AC80" s="237"/>
      <c r="AD80" s="10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E80" s="54"/>
    </row>
    <row r="81" spans="2:79" ht="18.75" x14ac:dyDescent="0.25">
      <c r="B81" s="236"/>
      <c r="C81" s="50"/>
      <c r="D81" s="50"/>
      <c r="E81" s="50"/>
      <c r="F81" s="50"/>
      <c r="G81" s="50"/>
      <c r="H81" s="50"/>
      <c r="I81" s="51"/>
      <c r="J81" s="50"/>
      <c r="K81" s="50"/>
      <c r="L81" s="50"/>
      <c r="M81" s="52"/>
      <c r="N81" s="53"/>
      <c r="O81" s="80"/>
      <c r="P81" s="80"/>
      <c r="Q81" s="50"/>
      <c r="R81" s="52"/>
      <c r="S81" s="53"/>
      <c r="T81" s="80"/>
      <c r="U81" s="80"/>
      <c r="V81" s="80"/>
      <c r="W81" s="50"/>
      <c r="X81" s="53"/>
      <c r="Y81" s="53"/>
      <c r="Z81" s="50"/>
      <c r="AA81" s="53"/>
      <c r="AB81" s="72"/>
      <c r="AC81" s="237"/>
      <c r="AD81" s="100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2:79" ht="18.75" x14ac:dyDescent="0.25">
      <c r="B82" s="236"/>
      <c r="C82" s="50"/>
      <c r="D82" s="50"/>
      <c r="E82" s="50"/>
      <c r="F82" s="50"/>
      <c r="G82" s="50"/>
      <c r="H82" s="50"/>
      <c r="I82" s="51"/>
      <c r="J82" s="50"/>
      <c r="K82" s="50"/>
      <c r="L82" s="50"/>
      <c r="M82" s="52"/>
      <c r="N82" s="53"/>
      <c r="O82" s="80"/>
      <c r="P82" s="80"/>
      <c r="Q82" s="50"/>
      <c r="R82" s="52"/>
      <c r="S82" s="53"/>
      <c r="T82" s="80"/>
      <c r="U82" s="80"/>
      <c r="V82" s="80"/>
      <c r="W82" s="50"/>
      <c r="X82" s="53"/>
      <c r="Y82" s="53"/>
      <c r="Z82" s="50"/>
      <c r="AA82" s="53"/>
      <c r="AB82" s="72"/>
      <c r="AC82" s="237"/>
      <c r="AD82" s="100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2:79" ht="18.75" x14ac:dyDescent="0.25">
      <c r="B83" s="236"/>
      <c r="C83" s="50"/>
      <c r="D83" s="50"/>
      <c r="E83" s="50"/>
      <c r="F83" s="50"/>
      <c r="G83" s="50"/>
      <c r="H83" s="50"/>
      <c r="I83" s="51"/>
      <c r="J83" s="50"/>
      <c r="K83" s="50"/>
      <c r="L83" s="50"/>
      <c r="M83" s="52"/>
      <c r="N83" s="53"/>
      <c r="O83" s="80"/>
      <c r="P83" s="80"/>
      <c r="Q83" s="50"/>
      <c r="R83" s="52"/>
      <c r="S83" s="53"/>
      <c r="T83" s="80"/>
      <c r="U83" s="80"/>
      <c r="V83" s="80"/>
      <c r="W83" s="50"/>
      <c r="X83" s="53"/>
      <c r="Y83" s="53"/>
      <c r="Z83" s="50"/>
      <c r="AA83" s="53"/>
      <c r="AB83" s="72"/>
      <c r="AC83" s="237"/>
      <c r="AD83" s="100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2:79" ht="18.75" x14ac:dyDescent="0.25">
      <c r="B84" s="236"/>
      <c r="C84" s="50"/>
      <c r="D84" s="50"/>
      <c r="E84" s="50"/>
      <c r="F84" s="50"/>
      <c r="G84" s="50"/>
      <c r="H84" s="50"/>
      <c r="I84" s="51"/>
      <c r="J84" s="50"/>
      <c r="K84" s="50"/>
      <c r="L84" s="50"/>
      <c r="M84" s="52"/>
      <c r="N84" s="53"/>
      <c r="O84" s="80"/>
      <c r="P84" s="80"/>
      <c r="Q84" s="50"/>
      <c r="R84" s="52"/>
      <c r="S84" s="53"/>
      <c r="T84" s="80"/>
      <c r="U84" s="80"/>
      <c r="V84" s="80"/>
      <c r="W84" s="50"/>
      <c r="X84" s="53"/>
      <c r="Y84" s="53"/>
      <c r="Z84" s="50"/>
      <c r="AA84" s="53"/>
      <c r="AB84" s="72"/>
      <c r="AC84" s="237"/>
      <c r="AD84" s="100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2:79" ht="18.75" x14ac:dyDescent="0.25">
      <c r="B85" s="236"/>
      <c r="C85" s="50"/>
      <c r="D85" s="50"/>
      <c r="E85" s="50"/>
      <c r="F85" s="50"/>
      <c r="G85" s="50"/>
      <c r="H85" s="50"/>
      <c r="I85" s="51"/>
      <c r="J85" s="50"/>
      <c r="K85" s="50"/>
      <c r="L85" s="50"/>
      <c r="M85" s="52"/>
      <c r="N85" s="53"/>
      <c r="O85" s="80"/>
      <c r="P85" s="80"/>
      <c r="Q85" s="50"/>
      <c r="R85" s="52"/>
      <c r="S85" s="53"/>
      <c r="T85" s="80"/>
      <c r="U85" s="80"/>
      <c r="V85" s="80"/>
      <c r="W85" s="50"/>
      <c r="X85" s="53"/>
      <c r="Y85" s="53"/>
      <c r="Z85" s="50"/>
      <c r="AA85" s="53"/>
      <c r="AB85" s="72"/>
      <c r="AC85" s="237"/>
      <c r="AD85" s="100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2:79" ht="18.75" x14ac:dyDescent="0.25">
      <c r="B86" s="236"/>
      <c r="C86" s="50"/>
      <c r="D86" s="50"/>
      <c r="E86" s="50"/>
      <c r="F86" s="50"/>
      <c r="G86" s="50"/>
      <c r="H86" s="50"/>
      <c r="I86" s="51"/>
      <c r="J86" s="50"/>
      <c r="K86" s="50"/>
      <c r="L86" s="50"/>
      <c r="M86" s="52"/>
      <c r="N86" s="53"/>
      <c r="O86" s="80"/>
      <c r="P86" s="80"/>
      <c r="Q86" s="50"/>
      <c r="R86" s="52"/>
      <c r="S86" s="53"/>
      <c r="T86" s="80"/>
      <c r="U86" s="80"/>
      <c r="V86" s="80"/>
      <c r="W86" s="50"/>
      <c r="X86" s="53"/>
      <c r="Y86" s="53"/>
      <c r="Z86" s="50"/>
      <c r="AA86" s="53"/>
      <c r="AB86" s="72"/>
      <c r="AC86" s="237"/>
      <c r="AD86" s="100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2:79" ht="18.75" x14ac:dyDescent="0.25">
      <c r="B87" s="236"/>
      <c r="C87" s="50"/>
      <c r="D87" s="50"/>
      <c r="E87" s="50"/>
      <c r="F87" s="50"/>
      <c r="G87" s="50"/>
      <c r="H87" s="50"/>
      <c r="I87" s="51"/>
      <c r="J87" s="50"/>
      <c r="K87" s="50"/>
      <c r="L87" s="50"/>
      <c r="M87" s="52"/>
      <c r="N87" s="53"/>
      <c r="O87" s="80"/>
      <c r="P87" s="80"/>
      <c r="Q87" s="50"/>
      <c r="R87" s="52"/>
      <c r="S87" s="53"/>
      <c r="T87" s="80"/>
      <c r="U87" s="80"/>
      <c r="V87" s="80"/>
      <c r="W87" s="50"/>
      <c r="X87" s="53"/>
      <c r="Y87" s="53"/>
      <c r="Z87" s="50"/>
      <c r="AA87" s="53"/>
      <c r="AB87" s="72"/>
      <c r="AC87" s="237"/>
      <c r="AD87" s="100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2:79" ht="18.75" x14ac:dyDescent="0.25">
      <c r="B88" s="236"/>
      <c r="C88" s="50"/>
      <c r="D88" s="50"/>
      <c r="E88" s="50"/>
      <c r="F88" s="50"/>
      <c r="G88" s="50"/>
      <c r="H88" s="50"/>
      <c r="I88" s="51"/>
      <c r="J88" s="50"/>
      <c r="K88" s="50"/>
      <c r="L88" s="50"/>
      <c r="M88" s="52"/>
      <c r="N88" s="53"/>
      <c r="O88" s="80"/>
      <c r="P88" s="80"/>
      <c r="Q88" s="50"/>
      <c r="R88" s="52"/>
      <c r="S88" s="53"/>
      <c r="T88" s="80"/>
      <c r="U88" s="80"/>
      <c r="V88" s="80"/>
      <c r="W88" s="50"/>
      <c r="X88" s="53"/>
      <c r="Y88" s="53"/>
      <c r="Z88" s="50"/>
      <c r="AA88" s="53"/>
      <c r="AB88" s="72"/>
      <c r="AC88" s="237"/>
      <c r="AD88" s="100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2:79" ht="18.75" x14ac:dyDescent="0.25">
      <c r="B89" s="236"/>
      <c r="C89" s="50"/>
      <c r="D89" s="50"/>
      <c r="E89" s="50"/>
      <c r="F89" s="50"/>
      <c r="G89" s="50"/>
      <c r="H89" s="50"/>
      <c r="I89" s="51"/>
      <c r="J89" s="50"/>
      <c r="K89" s="50"/>
      <c r="L89" s="50"/>
      <c r="M89" s="52"/>
      <c r="N89" s="53"/>
      <c r="O89" s="80"/>
      <c r="P89" s="80"/>
      <c r="Q89" s="50"/>
      <c r="R89" s="52"/>
      <c r="S89" s="53"/>
      <c r="T89" s="80"/>
      <c r="U89" s="80"/>
      <c r="V89" s="80"/>
      <c r="W89" s="50"/>
      <c r="X89" s="53"/>
      <c r="Y89" s="53"/>
      <c r="Z89" s="50"/>
      <c r="AA89" s="53"/>
      <c r="AB89" s="72"/>
      <c r="AC89" s="237"/>
      <c r="AD89" s="100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2:79" ht="18.75" x14ac:dyDescent="0.25">
      <c r="B90" s="236"/>
      <c r="C90" s="50"/>
      <c r="D90" s="50"/>
      <c r="E90" s="50"/>
      <c r="F90" s="50"/>
      <c r="G90" s="50"/>
      <c r="H90" s="50"/>
      <c r="I90" s="51"/>
      <c r="J90" s="50"/>
      <c r="K90" s="50"/>
      <c r="L90" s="50"/>
      <c r="M90" s="52"/>
      <c r="N90" s="53"/>
      <c r="O90" s="80"/>
      <c r="P90" s="80"/>
      <c r="Q90" s="50"/>
      <c r="R90" s="52"/>
      <c r="S90" s="53"/>
      <c r="T90" s="80"/>
      <c r="U90" s="80"/>
      <c r="V90" s="80"/>
      <c r="W90" s="50"/>
      <c r="X90" s="53"/>
      <c r="Y90" s="53"/>
      <c r="Z90" s="50"/>
      <c r="AA90" s="53"/>
      <c r="AB90" s="72"/>
      <c r="AC90" s="237"/>
      <c r="AD90" s="10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2:79" ht="18.75" x14ac:dyDescent="0.25">
      <c r="B91" s="236"/>
      <c r="C91" s="50"/>
      <c r="D91" s="50"/>
      <c r="E91" s="50"/>
      <c r="F91" s="50"/>
      <c r="G91" s="50"/>
      <c r="H91" s="50"/>
      <c r="I91" s="51"/>
      <c r="J91" s="50"/>
      <c r="K91" s="50"/>
      <c r="L91" s="50"/>
      <c r="M91" s="52"/>
      <c r="N91" s="53"/>
      <c r="O91" s="80"/>
      <c r="P91" s="80"/>
      <c r="Q91" s="50"/>
      <c r="R91" s="52"/>
      <c r="S91" s="53"/>
      <c r="T91" s="80"/>
      <c r="U91" s="80"/>
      <c r="V91" s="80"/>
      <c r="W91" s="50"/>
      <c r="X91" s="53"/>
      <c r="Y91" s="53"/>
      <c r="Z91" s="50"/>
      <c r="AA91" s="53"/>
      <c r="AB91" s="72"/>
      <c r="AC91" s="237"/>
      <c r="AD91" s="100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2:79" ht="18.75" x14ac:dyDescent="0.25">
      <c r="B92" s="236"/>
      <c r="C92" s="50"/>
      <c r="D92" s="50"/>
      <c r="E92" s="50"/>
      <c r="F92" s="50"/>
      <c r="G92" s="50"/>
      <c r="H92" s="50"/>
      <c r="I92" s="51"/>
      <c r="J92" s="50"/>
      <c r="K92" s="50"/>
      <c r="L92" s="50"/>
      <c r="M92" s="52"/>
      <c r="N92" s="53"/>
      <c r="O92" s="80"/>
      <c r="P92" s="80"/>
      <c r="Q92" s="50"/>
      <c r="R92" s="52"/>
      <c r="S92" s="53"/>
      <c r="T92" s="80"/>
      <c r="U92" s="80"/>
      <c r="V92" s="80"/>
      <c r="W92" s="50"/>
      <c r="X92" s="53"/>
      <c r="Y92" s="53"/>
      <c r="Z92" s="50"/>
      <c r="AA92" s="53"/>
      <c r="AB92" s="72"/>
      <c r="AC92" s="237"/>
      <c r="AD92" s="100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2:79" ht="18.75" x14ac:dyDescent="0.25">
      <c r="B93" s="238"/>
      <c r="C93" s="239"/>
      <c r="D93" s="239"/>
      <c r="E93" s="239"/>
      <c r="F93" s="239"/>
      <c r="G93" s="239"/>
      <c r="H93" s="239"/>
      <c r="I93" s="240"/>
      <c r="J93" s="239"/>
      <c r="K93" s="239"/>
      <c r="L93" s="239"/>
      <c r="M93" s="241"/>
      <c r="N93" s="242"/>
      <c r="O93" s="243"/>
      <c r="P93" s="243"/>
      <c r="Q93" s="239"/>
      <c r="R93" s="241"/>
      <c r="S93" s="242"/>
      <c r="T93" s="243"/>
      <c r="U93" s="243"/>
      <c r="V93" s="243"/>
      <c r="W93" s="239"/>
      <c r="X93" s="242"/>
      <c r="Y93" s="242"/>
      <c r="Z93" s="239"/>
      <c r="AA93" s="242"/>
      <c r="AB93" s="244"/>
      <c r="AC93" s="245"/>
      <c r="AD93" s="100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</sheetData>
  <mergeCells count="310">
    <mergeCell ref="O41:O43"/>
    <mergeCell ref="M4:P5"/>
    <mergeCell ref="M6:P6"/>
    <mergeCell ref="R4:V5"/>
    <mergeCell ref="R6:V6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V8:V10"/>
    <mergeCell ref="V11:V13"/>
    <mergeCell ref="O11:O13"/>
    <mergeCell ref="O14:O16"/>
    <mergeCell ref="V32:V34"/>
    <mergeCell ref="V35:V37"/>
    <mergeCell ref="T11:T13"/>
    <mergeCell ref="T20:T22"/>
    <mergeCell ref="T23:T25"/>
    <mergeCell ref="T26:T28"/>
    <mergeCell ref="T29:T31"/>
    <mergeCell ref="T32:T34"/>
    <mergeCell ref="T35:T37"/>
    <mergeCell ref="T38:T40"/>
    <mergeCell ref="T41:T43"/>
    <mergeCell ref="U20:U22"/>
    <mergeCell ref="U23:U25"/>
    <mergeCell ref="U26:U28"/>
    <mergeCell ref="U29:U31"/>
    <mergeCell ref="U32:U34"/>
    <mergeCell ref="U35:U37"/>
    <mergeCell ref="U38:U40"/>
    <mergeCell ref="U41:U43"/>
    <mergeCell ref="W20:W22"/>
    <mergeCell ref="U8:U10"/>
    <mergeCell ref="U11:U13"/>
    <mergeCell ref="U14:U16"/>
    <mergeCell ref="U17:U19"/>
    <mergeCell ref="V14:V16"/>
    <mergeCell ref="V17:V19"/>
    <mergeCell ref="W41:W43"/>
    <mergeCell ref="W47:W49"/>
    <mergeCell ref="V38:V40"/>
    <mergeCell ref="V41:V43"/>
    <mergeCell ref="V20:V22"/>
    <mergeCell ref="V23:V25"/>
    <mergeCell ref="V26:V28"/>
    <mergeCell ref="V29:V31"/>
    <mergeCell ref="Y41:Y43"/>
    <mergeCell ref="N41:N43"/>
    <mergeCell ref="S41:S43"/>
    <mergeCell ref="X41:X43"/>
    <mergeCell ref="AB41:AB43"/>
    <mergeCell ref="AC41:AC43"/>
    <mergeCell ref="Y8:Y10"/>
    <mergeCell ref="Y11:Y13"/>
    <mergeCell ref="Y14:Y16"/>
    <mergeCell ref="Y17:Y19"/>
    <mergeCell ref="Y20:Y22"/>
    <mergeCell ref="Y23:Y25"/>
    <mergeCell ref="Y26:Y28"/>
    <mergeCell ref="AB26:AB28"/>
    <mergeCell ref="AB29:AB31"/>
    <mergeCell ref="AB32:AB34"/>
    <mergeCell ref="AB35:AB37"/>
    <mergeCell ref="Y29:Y31"/>
    <mergeCell ref="Y32:Y34"/>
    <mergeCell ref="Y35:Y37"/>
    <mergeCell ref="Y38:Y40"/>
    <mergeCell ref="W23:W25"/>
    <mergeCell ref="W26:W28"/>
    <mergeCell ref="W29:W31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AB38:AB40"/>
    <mergeCell ref="AC6:AC7"/>
    <mergeCell ref="AC14:AC16"/>
    <mergeCell ref="AC20:AC22"/>
    <mergeCell ref="AC23:AC25"/>
    <mergeCell ref="AC26:AC28"/>
    <mergeCell ref="AC29:AC31"/>
    <mergeCell ref="AC32:AC34"/>
    <mergeCell ref="AC35:AC37"/>
    <mergeCell ref="AC38:AC40"/>
    <mergeCell ref="AB23:AB25"/>
    <mergeCell ref="AE6:AE7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N17:N19"/>
    <mergeCell ref="S17:S19"/>
    <mergeCell ref="T14:T16"/>
    <mergeCell ref="T17:T19"/>
    <mergeCell ref="X4:Y6"/>
    <mergeCell ref="W8:W10"/>
    <mergeCell ref="W11:W13"/>
    <mergeCell ref="W14:W16"/>
    <mergeCell ref="W17:W19"/>
    <mergeCell ref="W32:W34"/>
    <mergeCell ref="W35:W37"/>
    <mergeCell ref="W38:W40"/>
    <mergeCell ref="N32:N34"/>
    <mergeCell ref="S32:S34"/>
    <mergeCell ref="X32:X34"/>
    <mergeCell ref="G32:G34"/>
    <mergeCell ref="H32:H34"/>
    <mergeCell ref="I32:I34"/>
    <mergeCell ref="J32:J34"/>
    <mergeCell ref="J38:J40"/>
    <mergeCell ref="J35:J37"/>
    <mergeCell ref="O32:O34"/>
    <mergeCell ref="O35:O37"/>
    <mergeCell ref="O38:O40"/>
    <mergeCell ref="H38:H40"/>
    <mergeCell ref="I38:I40"/>
    <mergeCell ref="B35:B37"/>
    <mergeCell ref="C35:C37"/>
    <mergeCell ref="D35:D37"/>
    <mergeCell ref="E35:E37"/>
    <mergeCell ref="F35:F37"/>
    <mergeCell ref="G35:G37"/>
    <mergeCell ref="H35:H37"/>
    <mergeCell ref="I35:I37"/>
    <mergeCell ref="B38:B40"/>
    <mergeCell ref="C38:C40"/>
    <mergeCell ref="D38:D40"/>
    <mergeCell ref="E38:E40"/>
    <mergeCell ref="B26:B28"/>
    <mergeCell ref="C26:C28"/>
    <mergeCell ref="D26:D28"/>
    <mergeCell ref="G26:G28"/>
    <mergeCell ref="N38:N40"/>
    <mergeCell ref="S38:S40"/>
    <mergeCell ref="X38:X40"/>
    <mergeCell ref="N35:N37"/>
    <mergeCell ref="S35:S37"/>
    <mergeCell ref="X35:X37"/>
    <mergeCell ref="B29:B31"/>
    <mergeCell ref="C29:C31"/>
    <mergeCell ref="D29:D31"/>
    <mergeCell ref="E29:E31"/>
    <mergeCell ref="E26:E28"/>
    <mergeCell ref="N26:N28"/>
    <mergeCell ref="N29:N31"/>
    <mergeCell ref="B32:B34"/>
    <mergeCell ref="C32:C34"/>
    <mergeCell ref="D32:D34"/>
    <mergeCell ref="E32:E34"/>
    <mergeCell ref="F32:F34"/>
    <mergeCell ref="F38:F40"/>
    <mergeCell ref="G38:G40"/>
    <mergeCell ref="B14:B16"/>
    <mergeCell ref="C14:C16"/>
    <mergeCell ref="D14:D16"/>
    <mergeCell ref="G14:G16"/>
    <mergeCell ref="H14:H16"/>
    <mergeCell ref="I14:I16"/>
    <mergeCell ref="J14:J16"/>
    <mergeCell ref="I23:I25"/>
    <mergeCell ref="J23:J25"/>
    <mergeCell ref="B23:B25"/>
    <mergeCell ref="C23:C25"/>
    <mergeCell ref="D23:D25"/>
    <mergeCell ref="G23:G25"/>
    <mergeCell ref="H23:H25"/>
    <mergeCell ref="B20:B22"/>
    <mergeCell ref="C20:C22"/>
    <mergeCell ref="D20:D22"/>
    <mergeCell ref="G20:G22"/>
    <mergeCell ref="H20:H22"/>
    <mergeCell ref="E14:E16"/>
    <mergeCell ref="E20:E22"/>
    <mergeCell ref="E23:E25"/>
    <mergeCell ref="J29:J31"/>
    <mergeCell ref="I29:I31"/>
    <mergeCell ref="G29:G31"/>
    <mergeCell ref="H29:H31"/>
    <mergeCell ref="F29:F31"/>
    <mergeCell ref="H26:H28"/>
    <mergeCell ref="F14:F16"/>
    <mergeCell ref="F20:F22"/>
    <mergeCell ref="F23:F25"/>
    <mergeCell ref="AF6:CA6"/>
    <mergeCell ref="K6:K7"/>
    <mergeCell ref="F6:F7"/>
    <mergeCell ref="I20:I22"/>
    <mergeCell ref="J20:J22"/>
    <mergeCell ref="AB11:AB13"/>
    <mergeCell ref="AC11:AC13"/>
    <mergeCell ref="AB17:AB19"/>
    <mergeCell ref="AC17:AC19"/>
    <mergeCell ref="AB6:AB7"/>
    <mergeCell ref="AB14:AB16"/>
    <mergeCell ref="AB20:AB22"/>
    <mergeCell ref="T8:T10"/>
    <mergeCell ref="J11:J13"/>
    <mergeCell ref="N11:N13"/>
    <mergeCell ref="S11:S13"/>
    <mergeCell ref="X11:X13"/>
    <mergeCell ref="N8:N10"/>
    <mergeCell ref="S8:S10"/>
    <mergeCell ref="X8:X10"/>
    <mergeCell ref="AB8:AB10"/>
    <mergeCell ref="AC8:AC10"/>
    <mergeCell ref="O8:O10"/>
    <mergeCell ref="J6:J7"/>
    <mergeCell ref="F8:F10"/>
    <mergeCell ref="X23:X25"/>
    <mergeCell ref="X26:X28"/>
    <mergeCell ref="X29:X31"/>
    <mergeCell ref="S23:S25"/>
    <mergeCell ref="S26:S28"/>
    <mergeCell ref="S29:S31"/>
    <mergeCell ref="X14:X16"/>
    <mergeCell ref="X20:X22"/>
    <mergeCell ref="N14:N16"/>
    <mergeCell ref="N20:N22"/>
    <mergeCell ref="N23:N25"/>
    <mergeCell ref="S14:S16"/>
    <mergeCell ref="S20:S22"/>
    <mergeCell ref="X17:X19"/>
    <mergeCell ref="O17:O19"/>
    <mergeCell ref="O20:O22"/>
    <mergeCell ref="O23:O25"/>
    <mergeCell ref="O26:O28"/>
    <mergeCell ref="O29:O31"/>
    <mergeCell ref="J8:J10"/>
    <mergeCell ref="F26:F28"/>
    <mergeCell ref="I26:I28"/>
    <mergeCell ref="J26:J28"/>
    <mergeCell ref="C3:G3"/>
    <mergeCell ref="B11:B13"/>
    <mergeCell ref="C11:C13"/>
    <mergeCell ref="D11:D13"/>
    <mergeCell ref="E11:E13"/>
    <mergeCell ref="F11:F13"/>
    <mergeCell ref="G11:G13"/>
    <mergeCell ref="H11:H13"/>
    <mergeCell ref="I11:I13"/>
    <mergeCell ref="B8:B10"/>
    <mergeCell ref="C8:C10"/>
    <mergeCell ref="D6:D7"/>
    <mergeCell ref="E6:E7"/>
    <mergeCell ref="C5:G5"/>
    <mergeCell ref="B6:B7"/>
    <mergeCell ref="C6:C7"/>
    <mergeCell ref="G6:G7"/>
    <mergeCell ref="H6:H7"/>
    <mergeCell ref="G8:G10"/>
    <mergeCell ref="H8:H10"/>
    <mergeCell ref="I6:I7"/>
    <mergeCell ref="I8:I10"/>
    <mergeCell ref="D8:D10"/>
    <mergeCell ref="E8:E10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Y44:Y46"/>
    <mergeCell ref="AB44:AB46"/>
    <mergeCell ref="AC44:AC46"/>
    <mergeCell ref="N44:N46"/>
    <mergeCell ref="O44:O46"/>
    <mergeCell ref="P44:P46"/>
    <mergeCell ref="S44:S46"/>
    <mergeCell ref="T44:T46"/>
    <mergeCell ref="U44:U46"/>
    <mergeCell ref="V44:V46"/>
    <mergeCell ref="W44:W46"/>
    <mergeCell ref="X44:X46"/>
    <mergeCell ref="Z32:Z34"/>
    <mergeCell ref="Z35:Z37"/>
    <mergeCell ref="Z38:Z40"/>
    <mergeCell ref="Z41:Z43"/>
    <mergeCell ref="Z44:Z46"/>
    <mergeCell ref="Z47:Z49"/>
    <mergeCell ref="AA6:AA7"/>
    <mergeCell ref="Z8:Z10"/>
    <mergeCell ref="Z11:Z13"/>
    <mergeCell ref="Z14:Z16"/>
    <mergeCell ref="Z17:Z19"/>
    <mergeCell ref="Z20:Z22"/>
    <mergeCell ref="Z23:Z25"/>
    <mergeCell ref="Z26:Z28"/>
    <mergeCell ref="Z29:Z31"/>
  </mergeCells>
  <conditionalFormatting sqref="X20">
    <cfRule type="iconSet" priority="132">
      <iconSet iconSet="3Arrows" showValue="0">
        <cfvo type="percent" val="0"/>
        <cfvo type="num" val="0" gte="0"/>
        <cfvo type="num" val="2"/>
      </iconSet>
    </cfRule>
  </conditionalFormatting>
  <conditionalFormatting sqref="S48:T48">
    <cfRule type="iconSet" priority="79">
      <iconSet showValue="0">
        <cfvo type="percent" val="0"/>
        <cfvo type="num" val="0.6"/>
        <cfvo type="num" val="0.8"/>
      </iconSet>
    </cfRule>
  </conditionalFormatting>
  <conditionalFormatting sqref="AF7:CA7">
    <cfRule type="timePeriod" dxfId="0" priority="77" timePeriod="thisMonth">
      <formula>AND(MONTH(AF7)=MONTH(TODAY()),YEAR(AF7)=YEAR(TODAY()))</formula>
    </cfRule>
  </conditionalFormatting>
  <conditionalFormatting sqref="N48">
    <cfRule type="iconSet" priority="76">
      <iconSet showValue="0">
        <cfvo type="percent" val="0"/>
        <cfvo type="num" val="0.6"/>
        <cfvo type="num" val="0.8"/>
      </iconSet>
    </cfRule>
  </conditionalFormatting>
  <conditionalFormatting sqref="X48">
    <cfRule type="iconSet" priority="56">
      <iconSet iconSet="3Arrows" showValue="0">
        <cfvo type="percent" val="0"/>
        <cfvo type="num" val="1"/>
        <cfvo type="num" val="2"/>
      </iconSet>
    </cfRule>
  </conditionalFormatting>
  <conditionalFormatting sqref="R55:R56 R48 M48">
    <cfRule type="dataBar" priority="5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{34F48C37-BE1D-441D-A218-A95099F98D64}</x14:id>
        </ext>
      </extLst>
    </cfRule>
  </conditionalFormatting>
  <conditionalFormatting sqref="X17">
    <cfRule type="iconSet" priority="26">
      <iconSet iconSet="3Arrows" showValue="0">
        <cfvo type="percent" val="0"/>
        <cfvo type="num" val="0" gte="0"/>
        <cfvo type="num" val="2"/>
      </iconSet>
    </cfRule>
  </conditionalFormatting>
  <conditionalFormatting sqref="X14">
    <cfRule type="iconSet" priority="22">
      <iconSet iconSet="3Arrows" showValue="0">
        <cfvo type="percent" val="0"/>
        <cfvo type="num" val="0" gte="0"/>
        <cfvo type="num" val="2"/>
      </iconSet>
    </cfRule>
  </conditionalFormatting>
  <conditionalFormatting sqref="X8">
    <cfRule type="iconSet" priority="20">
      <iconSet iconSet="3Arrows" showValue="0">
        <cfvo type="percent" val="0"/>
        <cfvo type="num" val="0" gte="0"/>
        <cfvo type="num" val="2"/>
      </iconSet>
    </cfRule>
  </conditionalFormatting>
  <conditionalFormatting sqref="X23">
    <cfRule type="iconSet" priority="19">
      <iconSet iconSet="3Arrows" showValue="0">
        <cfvo type="percent" val="0"/>
        <cfvo type="num" val="0" gte="0"/>
        <cfvo type="num" val="2"/>
      </iconSet>
    </cfRule>
  </conditionalFormatting>
  <conditionalFormatting sqref="X26">
    <cfRule type="iconSet" priority="18">
      <iconSet iconSet="3Arrows" showValue="0">
        <cfvo type="percent" val="0"/>
        <cfvo type="num" val="0" gte="0"/>
        <cfvo type="num" val="2"/>
      </iconSet>
    </cfRule>
  </conditionalFormatting>
  <conditionalFormatting sqref="X29">
    <cfRule type="iconSet" priority="17">
      <iconSet iconSet="3Arrows" showValue="0">
        <cfvo type="percent" val="0"/>
        <cfvo type="num" val="0" gte="0"/>
        <cfvo type="num" val="2"/>
      </iconSet>
    </cfRule>
  </conditionalFormatting>
  <conditionalFormatting sqref="X38">
    <cfRule type="iconSet" priority="15">
      <iconSet iconSet="3Arrows" showValue="0">
        <cfvo type="percent" val="0"/>
        <cfvo type="num" val="0" gte="0"/>
        <cfvo type="num" val="2"/>
      </iconSet>
    </cfRule>
  </conditionalFormatting>
  <conditionalFormatting sqref="X41">
    <cfRule type="iconSet" priority="14">
      <iconSet iconSet="3Arrows" showValue="0">
        <cfvo type="percent" val="0"/>
        <cfvo type="num" val="0" gte="0"/>
        <cfvo type="num" val="2"/>
      </iconSet>
    </cfRule>
  </conditionalFormatting>
  <conditionalFormatting sqref="X44">
    <cfRule type="iconSet" priority="10">
      <iconSet iconSet="3Arrows" showValue="0">
        <cfvo type="percent" val="0"/>
        <cfvo type="num" val="0" gte="0"/>
        <cfvo type="num" val="2"/>
      </iconSet>
    </cfRule>
  </conditionalFormatting>
  <conditionalFormatting sqref="X11">
    <cfRule type="iconSet" priority="7">
      <iconSet iconSet="3Arrows" showValue="0">
        <cfvo type="percent" val="0"/>
        <cfvo type="num" val="0" gte="0"/>
        <cfvo type="num" val="2"/>
      </iconSet>
    </cfRule>
  </conditionalFormatting>
  <conditionalFormatting sqref="X32">
    <cfRule type="iconSet" priority="2">
      <iconSet iconSet="3Arrows" showValue="0">
        <cfvo type="percent" val="0"/>
        <cfvo type="num" val="0" gte="0"/>
        <cfvo type="num" val="2"/>
      </iconSet>
    </cfRule>
  </conditionalFormatting>
  <conditionalFormatting sqref="X35">
    <cfRule type="iconSet" priority="1">
      <iconSet iconSet="3Arrows" showValue="0">
        <cfvo type="percent" val="0"/>
        <cfvo type="num" val="0" gte="0"/>
        <cfvo type="num" val="2"/>
      </iconSet>
    </cfRule>
  </conditionalFormatting>
  <printOptions horizontalCentered="1"/>
  <pageMargins left="0.3" right="0.3" top="0.25" bottom="0.25" header="0.3" footer="0.3"/>
  <pageSetup paperSize="8" scale="33" orientation="landscape" r:id="rId1"/>
  <ignoredErrors>
    <ignoredError sqref="N48 N20 S2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F48C37-BE1D-441D-A218-A95099F98D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R55:R56 R48 M48</xm:sqref>
        </x14:conditionalFormatting>
        <x14:conditionalFormatting xmlns:xm="http://schemas.microsoft.com/office/excel/2006/main">
          <x14:cfRule type="iconSet" priority="72" id="{E784D1AA-D4EA-4E11-9D40-B2DDCDA6F68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N14</xm:sqref>
        </x14:conditionalFormatting>
        <x14:conditionalFormatting xmlns:xm="http://schemas.microsoft.com/office/excel/2006/main">
          <x14:cfRule type="iconSet" priority="70" id="{BC95B896-78DE-45BC-A5E8-BC6AC651F8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69" id="{8F17E564-55E4-4352-9892-34A48F8B2D0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S20</xm:sqref>
        </x14:conditionalFormatting>
        <x14:conditionalFormatting xmlns:xm="http://schemas.microsoft.com/office/excel/2006/main">
          <x14:cfRule type="iconSet" priority="67" id="{93578862-A5EE-41C3-984E-78D6A3675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N26</xm:sqref>
        </x14:conditionalFormatting>
        <x14:conditionalFormatting xmlns:xm="http://schemas.microsoft.com/office/excel/2006/main">
          <x14:cfRule type="iconSet" priority="66" id="{EA7D4FA6-928B-43F0-9169-9C2ECC00F198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64" id="{9C336271-988D-4D93-9808-93E4FFEA2B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N29</xm:sqref>
        </x14:conditionalFormatting>
        <x14:conditionalFormatting xmlns:xm="http://schemas.microsoft.com/office/excel/2006/main">
          <x14:cfRule type="iconSet" priority="63" id="{2CD6DDB1-BEA6-4A07-AE5F-87D9EECC637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58" id="{35795B61-5BC4-49CD-9EDC-EF0C835E3EA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N38</xm:sqref>
        </x14:conditionalFormatting>
        <x14:conditionalFormatting xmlns:xm="http://schemas.microsoft.com/office/excel/2006/main">
          <x14:cfRule type="iconSet" priority="57" id="{8314E2CF-06B6-448D-9161-229E41E4C9B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S38</xm:sqref>
        </x14:conditionalFormatting>
        <x14:conditionalFormatting xmlns:xm="http://schemas.microsoft.com/office/excel/2006/main">
          <x14:cfRule type="iconSet" priority="52" id="{3AFE7782-7475-494B-8B2A-31A869E92C4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N17</xm:sqref>
        </x14:conditionalFormatting>
        <x14:conditionalFormatting xmlns:xm="http://schemas.microsoft.com/office/excel/2006/main">
          <x14:cfRule type="iconSet" priority="51" id="{B47AE2E7-7FF6-4BD2-83CF-F969298D67F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S17</xm:sqref>
        </x14:conditionalFormatting>
        <x14:conditionalFormatting xmlns:xm="http://schemas.microsoft.com/office/excel/2006/main">
          <x14:cfRule type="iconSet" priority="44" id="{BEF75657-00CF-4061-8C55-4D032C996D4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N8</xm:sqref>
        </x14:conditionalFormatting>
        <x14:conditionalFormatting xmlns:xm="http://schemas.microsoft.com/office/excel/2006/main">
          <x14:cfRule type="iconSet" priority="40" id="{8D5DE772-33E2-47E2-80D8-AE9B0DC5742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N41</xm:sqref>
        </x14:conditionalFormatting>
        <x14:conditionalFormatting xmlns:xm="http://schemas.microsoft.com/office/excel/2006/main">
          <x14:cfRule type="iconSet" priority="39" id="{E1FE0217-0B9F-4DE4-8947-E1D19BABB79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7" id="{F9415085-40E3-46C6-AA29-55F083F702F2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N23</xm:sqref>
        </x14:conditionalFormatting>
        <x14:conditionalFormatting xmlns:xm="http://schemas.microsoft.com/office/excel/2006/main">
          <x14:cfRule type="iconSet" priority="36" id="{C63363A3-7787-414C-A240-07C22140770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25" id="{814B1FDC-8307-489A-A31C-5F7B4231859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23" id="{D1373D90-65C6-4D4B-BA09-E8E81859AEB1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12" id="{DDBB3F2E-5F14-4734-AEF3-CAE17A875AAA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N44</xm:sqref>
        </x14:conditionalFormatting>
        <x14:conditionalFormatting xmlns:xm="http://schemas.microsoft.com/office/excel/2006/main">
          <x14:cfRule type="iconSet" priority="11" id="{2915F929-164F-468C-B791-433027EDEC3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S44</xm:sqref>
        </x14:conditionalFormatting>
        <x14:conditionalFormatting xmlns:xm="http://schemas.microsoft.com/office/excel/2006/main">
          <x14:cfRule type="iconSet" priority="9" id="{21121A25-947B-4E88-A83F-4D85ABC20B91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N11</xm:sqref>
        </x14:conditionalFormatting>
        <x14:conditionalFormatting xmlns:xm="http://schemas.microsoft.com/office/excel/2006/main">
          <x14:cfRule type="iconSet" priority="8" id="{3D8D80DB-D832-4937-ABE6-E16D0C86C0F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S11</xm:sqref>
        </x14:conditionalFormatting>
        <x14:conditionalFormatting xmlns:xm="http://schemas.microsoft.com/office/excel/2006/main">
          <x14:cfRule type="iconSet" priority="6" id="{158E230B-13C3-4024-9B8E-21ADD4685CC0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N32</xm:sqref>
        </x14:conditionalFormatting>
        <x14:conditionalFormatting xmlns:xm="http://schemas.microsoft.com/office/excel/2006/main">
          <x14:cfRule type="iconSet" priority="5" id="{1D9F9359-B964-4A36-9616-27D0D97AE701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N35</xm:sqref>
        </x14:conditionalFormatting>
        <x14:conditionalFormatting xmlns:xm="http://schemas.microsoft.com/office/excel/2006/main">
          <x14:cfRule type="iconSet" priority="4" id="{4A2709EB-FC06-46EF-86F5-AD10685DD7C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" id="{F6052A17-59EE-425A-91F2-2DA6090F6C19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S35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B1:AR188"/>
  <sheetViews>
    <sheetView showGridLines="0" tabSelected="1" zoomScale="40" zoomScaleNormal="40" zoomScaleSheetLayoutView="40" workbookViewId="0">
      <pane ySplit="5" topLeftCell="A6" activePane="bottomLeft" state="frozen"/>
      <selection pane="bottomLeft" activeCell="B2" sqref="B2:AR2"/>
    </sheetView>
  </sheetViews>
  <sheetFormatPr defaultRowHeight="15" x14ac:dyDescent="0.25"/>
  <cols>
    <col min="1" max="1" width="3.42578125" customWidth="1"/>
    <col min="2" max="44" width="9.28515625" customWidth="1"/>
    <col min="45" max="45" width="4" customWidth="1"/>
  </cols>
  <sheetData>
    <row r="1" spans="2:44" ht="15.75" thickBot="1" x14ac:dyDescent="0.3"/>
    <row r="2" spans="2:44" ht="39.950000000000003" customHeight="1" x14ac:dyDescent="0.25">
      <c r="B2" s="433" t="s">
        <v>101</v>
      </c>
      <c r="C2" s="434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34"/>
      <c r="W2" s="434"/>
      <c r="X2" s="434"/>
      <c r="Y2" s="434"/>
      <c r="Z2" s="434"/>
      <c r="AA2" s="434"/>
      <c r="AB2" s="434"/>
      <c r="AC2" s="434"/>
      <c r="AD2" s="434"/>
      <c r="AE2" s="434"/>
      <c r="AF2" s="434"/>
      <c r="AG2" s="434"/>
      <c r="AH2" s="434"/>
      <c r="AI2" s="434"/>
      <c r="AJ2" s="434"/>
      <c r="AK2" s="434"/>
      <c r="AL2" s="434"/>
      <c r="AM2" s="434"/>
      <c r="AN2" s="434"/>
      <c r="AO2" s="434"/>
      <c r="AP2" s="434"/>
      <c r="AQ2" s="434"/>
      <c r="AR2" s="435"/>
    </row>
    <row r="3" spans="2:44" s="30" customFormat="1" ht="33.75" x14ac:dyDescent="0.35">
      <c r="B3" s="443" t="s">
        <v>23</v>
      </c>
      <c r="C3" s="442"/>
      <c r="D3" s="275" t="s">
        <v>25</v>
      </c>
      <c r="E3" s="275"/>
      <c r="F3" s="275"/>
      <c r="G3" s="275"/>
      <c r="H3" s="442"/>
      <c r="I3" s="442"/>
      <c r="J3" s="442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6"/>
      <c r="X3" s="277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8"/>
    </row>
    <row r="4" spans="2:44" s="17" customFormat="1" ht="31.5" x14ac:dyDescent="0.5">
      <c r="B4" s="444" t="s">
        <v>122</v>
      </c>
      <c r="C4" s="445"/>
      <c r="D4" s="267" t="s">
        <v>123</v>
      </c>
      <c r="E4" s="267"/>
      <c r="F4" s="267"/>
      <c r="G4" s="271"/>
      <c r="H4" s="267"/>
      <c r="I4" s="267"/>
      <c r="J4" s="267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2"/>
      <c r="X4" s="279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80"/>
    </row>
    <row r="5" spans="2:44" s="17" customFormat="1" ht="31.5" x14ac:dyDescent="0.5">
      <c r="B5" s="444" t="s">
        <v>24</v>
      </c>
      <c r="C5" s="445"/>
      <c r="D5" s="429">
        <v>42348</v>
      </c>
      <c r="E5" s="429"/>
      <c r="F5" s="429"/>
      <c r="G5" s="267"/>
      <c r="H5" s="429"/>
      <c r="I5" s="429"/>
      <c r="J5" s="429"/>
      <c r="K5" s="267"/>
      <c r="L5" s="267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2"/>
      <c r="X5" s="273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4"/>
    </row>
    <row r="6" spans="2:44" x14ac:dyDescent="0.25">
      <c r="B6" s="8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88"/>
    </row>
    <row r="7" spans="2:44" x14ac:dyDescent="0.25">
      <c r="B7" s="8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88"/>
    </row>
    <row r="8" spans="2:44" ht="31.5" x14ac:dyDescent="0.25">
      <c r="B8" s="436" t="s">
        <v>26</v>
      </c>
      <c r="C8" s="437"/>
      <c r="D8" s="437"/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7"/>
      <c r="S8" s="437"/>
      <c r="T8" s="437"/>
      <c r="U8" s="437"/>
      <c r="V8" s="437"/>
      <c r="W8" s="437"/>
      <c r="X8" s="437"/>
      <c r="Y8" s="437"/>
      <c r="Z8" s="437"/>
      <c r="AA8" s="437"/>
      <c r="AB8" s="437"/>
      <c r="AC8" s="437"/>
      <c r="AD8" s="437"/>
      <c r="AE8" s="437"/>
      <c r="AF8" s="437"/>
      <c r="AG8" s="437"/>
      <c r="AH8" s="437"/>
      <c r="AI8" s="437"/>
      <c r="AJ8" s="437"/>
      <c r="AK8" s="437"/>
      <c r="AL8" s="437"/>
      <c r="AM8" s="437"/>
      <c r="AN8" s="437"/>
      <c r="AO8" s="437"/>
      <c r="AP8" s="437"/>
      <c r="AQ8" s="437"/>
      <c r="AR8" s="438"/>
    </row>
    <row r="9" spans="2:44" x14ac:dyDescent="0.25">
      <c r="B9" s="8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88"/>
    </row>
    <row r="10" spans="2:44" x14ac:dyDescent="0.25">
      <c r="B10" s="8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88"/>
    </row>
    <row r="11" spans="2:44" x14ac:dyDescent="0.25">
      <c r="B11" s="8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88"/>
    </row>
    <row r="12" spans="2:44" x14ac:dyDescent="0.25">
      <c r="B12" s="8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88"/>
    </row>
    <row r="13" spans="2:44" x14ac:dyDescent="0.25">
      <c r="B13" s="8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88"/>
    </row>
    <row r="14" spans="2:44" x14ac:dyDescent="0.25">
      <c r="B14" s="8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88"/>
    </row>
    <row r="15" spans="2:44" x14ac:dyDescent="0.25">
      <c r="B15" s="8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88"/>
    </row>
    <row r="16" spans="2:44" x14ac:dyDescent="0.25">
      <c r="B16" s="8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88"/>
    </row>
    <row r="17" spans="2:44" x14ac:dyDescent="0.25">
      <c r="B17" s="8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88"/>
    </row>
    <row r="18" spans="2:44" x14ac:dyDescent="0.25">
      <c r="B18" s="8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88"/>
    </row>
    <row r="19" spans="2:44" x14ac:dyDescent="0.25">
      <c r="B19" s="8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88"/>
    </row>
    <row r="20" spans="2:44" x14ac:dyDescent="0.25">
      <c r="B20" s="8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88"/>
    </row>
    <row r="21" spans="2:44" x14ac:dyDescent="0.25">
      <c r="B21" s="8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88"/>
    </row>
    <row r="22" spans="2:44" x14ac:dyDescent="0.25">
      <c r="B22" s="8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88"/>
    </row>
    <row r="23" spans="2:44" x14ac:dyDescent="0.25">
      <c r="B23" s="8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88"/>
    </row>
    <row r="24" spans="2:44" x14ac:dyDescent="0.25">
      <c r="B24" s="8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88"/>
    </row>
    <row r="25" spans="2:44" x14ac:dyDescent="0.25">
      <c r="B25" s="8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88"/>
    </row>
    <row r="26" spans="2:44" x14ac:dyDescent="0.25">
      <c r="B26" s="8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88"/>
    </row>
    <row r="27" spans="2:44" x14ac:dyDescent="0.25">
      <c r="B27" s="8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88"/>
    </row>
    <row r="28" spans="2:44" x14ac:dyDescent="0.25">
      <c r="B28" s="8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88"/>
    </row>
    <row r="29" spans="2:44" x14ac:dyDescent="0.25">
      <c r="B29" s="87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88"/>
    </row>
    <row r="30" spans="2:44" x14ac:dyDescent="0.25">
      <c r="B30" s="87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88"/>
    </row>
    <row r="31" spans="2:44" x14ac:dyDescent="0.25">
      <c r="B31" s="8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88"/>
    </row>
    <row r="32" spans="2:44" x14ac:dyDescent="0.25">
      <c r="B32" s="8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88"/>
    </row>
    <row r="33" spans="2:44" x14ac:dyDescent="0.25">
      <c r="B33" s="8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88"/>
    </row>
    <row r="34" spans="2:44" x14ac:dyDescent="0.25">
      <c r="B34" s="87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  <c r="W34" s="12"/>
      <c r="X34" s="19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1"/>
      <c r="AR34" s="88"/>
    </row>
    <row r="35" spans="2:44" x14ac:dyDescent="0.25">
      <c r="B35" s="87"/>
      <c r="C35" s="2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23"/>
      <c r="W35" s="12"/>
      <c r="X35" s="2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23"/>
      <c r="AR35" s="88"/>
    </row>
    <row r="36" spans="2:44" x14ac:dyDescent="0.25">
      <c r="B36" s="87"/>
      <c r="C36" s="2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23"/>
      <c r="W36" s="12"/>
      <c r="X36" s="2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23"/>
      <c r="AR36" s="88"/>
    </row>
    <row r="37" spans="2:44" x14ac:dyDescent="0.25">
      <c r="B37" s="87"/>
      <c r="C37" s="2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23"/>
      <c r="W37" s="12"/>
      <c r="X37" s="2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23"/>
      <c r="AR37" s="88"/>
    </row>
    <row r="38" spans="2:44" x14ac:dyDescent="0.25">
      <c r="B38" s="87"/>
      <c r="C38" s="2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23"/>
      <c r="W38" s="12"/>
      <c r="X38" s="2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23"/>
      <c r="AR38" s="88"/>
    </row>
    <row r="39" spans="2:44" x14ac:dyDescent="0.25">
      <c r="B39" s="87"/>
      <c r="C39" s="2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23"/>
      <c r="W39" s="12"/>
      <c r="X39" s="2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23"/>
      <c r="AR39" s="88"/>
    </row>
    <row r="40" spans="2:44" x14ac:dyDescent="0.25">
      <c r="B40" s="87"/>
      <c r="C40" s="2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23"/>
      <c r="W40" s="12"/>
      <c r="X40" s="2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23"/>
      <c r="AR40" s="88"/>
    </row>
    <row r="41" spans="2:44" x14ac:dyDescent="0.25">
      <c r="B41" s="87"/>
      <c r="C41" s="2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23"/>
      <c r="W41" s="12"/>
      <c r="X41" s="2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23"/>
      <c r="AR41" s="88"/>
    </row>
    <row r="42" spans="2:44" x14ac:dyDescent="0.25">
      <c r="B42" s="87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6"/>
      <c r="W42" s="12"/>
      <c r="X42" s="24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6"/>
      <c r="AR42" s="88"/>
    </row>
    <row r="43" spans="2:44" x14ac:dyDescent="0.25">
      <c r="B43" s="87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88"/>
    </row>
    <row r="44" spans="2:44" x14ac:dyDescent="0.25">
      <c r="B44" s="87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88"/>
    </row>
    <row r="45" spans="2:44" x14ac:dyDescent="0.25">
      <c r="B45" s="87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88"/>
    </row>
    <row r="46" spans="2:44" x14ac:dyDescent="0.25">
      <c r="B46" s="87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88"/>
    </row>
    <row r="47" spans="2:44" x14ac:dyDescent="0.25">
      <c r="B47" s="87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88"/>
    </row>
    <row r="48" spans="2:44" x14ac:dyDescent="0.25">
      <c r="B48" s="87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88"/>
    </row>
    <row r="49" spans="2:44" x14ac:dyDescent="0.25">
      <c r="B49" s="87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88"/>
    </row>
    <row r="50" spans="2:44" x14ac:dyDescent="0.25">
      <c r="B50" s="87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88"/>
    </row>
    <row r="51" spans="2:44" x14ac:dyDescent="0.25">
      <c r="B51" s="8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88"/>
    </row>
    <row r="52" spans="2:44" x14ac:dyDescent="0.25">
      <c r="B52" s="87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88"/>
    </row>
    <row r="53" spans="2:44" x14ac:dyDescent="0.25">
      <c r="B53" s="87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88"/>
    </row>
    <row r="54" spans="2:44" x14ac:dyDescent="0.25">
      <c r="B54" s="8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88"/>
    </row>
    <row r="55" spans="2:44" x14ac:dyDescent="0.25">
      <c r="B55" s="87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88"/>
    </row>
    <row r="56" spans="2:44" x14ac:dyDescent="0.25">
      <c r="B56" s="87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88"/>
    </row>
    <row r="57" spans="2:44" x14ac:dyDescent="0.25">
      <c r="B57" s="8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88"/>
    </row>
    <row r="58" spans="2:44" x14ac:dyDescent="0.25">
      <c r="B58" s="87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88"/>
    </row>
    <row r="59" spans="2:44" x14ac:dyDescent="0.25">
      <c r="B59" s="87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88"/>
    </row>
    <row r="60" spans="2:44" x14ac:dyDescent="0.25">
      <c r="B60" s="8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88"/>
    </row>
    <row r="61" spans="2:44" x14ac:dyDescent="0.25">
      <c r="B61" s="87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88"/>
    </row>
    <row r="62" spans="2:44" x14ac:dyDescent="0.25">
      <c r="B62" s="87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88"/>
    </row>
    <row r="63" spans="2:44" x14ac:dyDescent="0.25">
      <c r="B63" s="87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88"/>
    </row>
    <row r="64" spans="2:44" x14ac:dyDescent="0.25">
      <c r="B64" s="87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88"/>
    </row>
    <row r="65" spans="2:44" x14ac:dyDescent="0.25">
      <c r="B65" s="8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88"/>
    </row>
    <row r="66" spans="2:44" x14ac:dyDescent="0.25">
      <c r="B66" s="87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88"/>
    </row>
    <row r="67" spans="2:44" x14ac:dyDescent="0.25">
      <c r="B67" s="87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88"/>
    </row>
    <row r="68" spans="2:44" x14ac:dyDescent="0.25">
      <c r="B68" s="87"/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1"/>
      <c r="W68" s="12"/>
      <c r="X68" s="19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1"/>
      <c r="AR68" s="88"/>
    </row>
    <row r="69" spans="2:44" x14ac:dyDescent="0.25">
      <c r="B69" s="87"/>
      <c r="C69" s="2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23"/>
      <c r="W69" s="12"/>
      <c r="X69" s="2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23"/>
      <c r="AR69" s="88"/>
    </row>
    <row r="70" spans="2:44" x14ac:dyDescent="0.25">
      <c r="B70" s="87"/>
      <c r="C70" s="2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23"/>
      <c r="W70" s="12"/>
      <c r="X70" s="2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23"/>
      <c r="AR70" s="88"/>
    </row>
    <row r="71" spans="2:44" x14ac:dyDescent="0.25">
      <c r="B71" s="87"/>
      <c r="C71" s="2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23"/>
      <c r="W71" s="12"/>
      <c r="X71" s="2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23"/>
      <c r="AR71" s="88"/>
    </row>
    <row r="72" spans="2:44" x14ac:dyDescent="0.25">
      <c r="B72" s="87"/>
      <c r="C72" s="2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23"/>
      <c r="W72" s="12"/>
      <c r="X72" s="2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23"/>
      <c r="AR72" s="88"/>
    </row>
    <row r="73" spans="2:44" x14ac:dyDescent="0.25">
      <c r="B73" s="87"/>
      <c r="C73" s="2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23"/>
      <c r="W73" s="12"/>
      <c r="X73" s="2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23"/>
      <c r="AR73" s="88"/>
    </row>
    <row r="74" spans="2:44" x14ac:dyDescent="0.25">
      <c r="B74" s="87"/>
      <c r="C74" s="2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23"/>
      <c r="W74" s="12"/>
      <c r="X74" s="2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23"/>
      <c r="AR74" s="88"/>
    </row>
    <row r="75" spans="2:44" x14ac:dyDescent="0.25">
      <c r="B75" s="87"/>
      <c r="C75" s="2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23"/>
      <c r="W75" s="12"/>
      <c r="X75" s="2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23"/>
      <c r="AR75" s="88"/>
    </row>
    <row r="76" spans="2:44" x14ac:dyDescent="0.25">
      <c r="B76" s="87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6"/>
      <c r="W76" s="12"/>
      <c r="X76" s="24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6"/>
      <c r="AR76" s="88"/>
    </row>
    <row r="77" spans="2:44" x14ac:dyDescent="0.25">
      <c r="B77" s="87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88"/>
    </row>
    <row r="78" spans="2:44" x14ac:dyDescent="0.25">
      <c r="B78" s="87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88"/>
    </row>
    <row r="79" spans="2:44" x14ac:dyDescent="0.25">
      <c r="B79" s="8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88"/>
    </row>
    <row r="80" spans="2:44" x14ac:dyDescent="0.25">
      <c r="B80" s="8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88"/>
    </row>
    <row r="81" spans="2:44" x14ac:dyDescent="0.25">
      <c r="B81" s="87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88"/>
    </row>
    <row r="82" spans="2:44" x14ac:dyDescent="0.25">
      <c r="B82" s="87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88"/>
    </row>
    <row r="83" spans="2:44" x14ac:dyDescent="0.25">
      <c r="B83" s="87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88"/>
    </row>
    <row r="84" spans="2:44" x14ac:dyDescent="0.25">
      <c r="B84" s="87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88"/>
    </row>
    <row r="85" spans="2:44" x14ac:dyDescent="0.25">
      <c r="B85" s="8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88"/>
    </row>
    <row r="86" spans="2:44" x14ac:dyDescent="0.25">
      <c r="B86" s="8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88"/>
    </row>
    <row r="87" spans="2:44" x14ac:dyDescent="0.25">
      <c r="B87" s="87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88"/>
    </row>
    <row r="88" spans="2:44" x14ac:dyDescent="0.25">
      <c r="B88" s="87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88"/>
    </row>
    <row r="89" spans="2:44" x14ac:dyDescent="0.25">
      <c r="B89" s="87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88"/>
    </row>
    <row r="90" spans="2:44" x14ac:dyDescent="0.25">
      <c r="B90" s="8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88"/>
    </row>
    <row r="91" spans="2:44" x14ac:dyDescent="0.25">
      <c r="B91" s="87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88"/>
    </row>
    <row r="92" spans="2:44" x14ac:dyDescent="0.25">
      <c r="B92" s="87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88"/>
    </row>
    <row r="93" spans="2:44" x14ac:dyDescent="0.25">
      <c r="B93" s="87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88"/>
    </row>
    <row r="94" spans="2:44" x14ac:dyDescent="0.25">
      <c r="B94" s="87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88"/>
    </row>
    <row r="95" spans="2:44" x14ac:dyDescent="0.25">
      <c r="B95" s="87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88"/>
    </row>
    <row r="96" spans="2:44" x14ac:dyDescent="0.25">
      <c r="B96" s="87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88"/>
    </row>
    <row r="97" spans="2:44" x14ac:dyDescent="0.25">
      <c r="B97" s="87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88"/>
    </row>
    <row r="98" spans="2:44" x14ac:dyDescent="0.25">
      <c r="B98" s="87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88"/>
    </row>
    <row r="99" spans="2:44" x14ac:dyDescent="0.25">
      <c r="B99" s="87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88"/>
    </row>
    <row r="100" spans="2:44" x14ac:dyDescent="0.25">
      <c r="B100" s="87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88"/>
    </row>
    <row r="101" spans="2:44" x14ac:dyDescent="0.25">
      <c r="B101" s="87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88"/>
    </row>
    <row r="102" spans="2:44" x14ac:dyDescent="0.25">
      <c r="B102" s="87"/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1"/>
      <c r="W102" s="12"/>
      <c r="X102" s="19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1"/>
      <c r="AR102" s="88"/>
    </row>
    <row r="103" spans="2:44" x14ac:dyDescent="0.25">
      <c r="B103" s="87"/>
      <c r="C103" s="2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23"/>
      <c r="W103" s="12"/>
      <c r="X103" s="2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23"/>
      <c r="AR103" s="88"/>
    </row>
    <row r="104" spans="2:44" x14ac:dyDescent="0.25">
      <c r="B104" s="87"/>
      <c r="C104" s="2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23"/>
      <c r="W104" s="12"/>
      <c r="X104" s="2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23"/>
      <c r="AR104" s="88"/>
    </row>
    <row r="105" spans="2:44" x14ac:dyDescent="0.25">
      <c r="B105" s="87"/>
      <c r="C105" s="2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23"/>
      <c r="W105" s="12"/>
      <c r="X105" s="2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23"/>
      <c r="AR105" s="88"/>
    </row>
    <row r="106" spans="2:44" x14ac:dyDescent="0.25">
      <c r="B106" s="87"/>
      <c r="C106" s="2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23"/>
      <c r="W106" s="12"/>
      <c r="X106" s="2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23"/>
      <c r="AR106" s="88"/>
    </row>
    <row r="107" spans="2:44" x14ac:dyDescent="0.25">
      <c r="B107" s="87"/>
      <c r="C107" s="2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23"/>
      <c r="W107" s="12"/>
      <c r="X107" s="2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23"/>
      <c r="AR107" s="88"/>
    </row>
    <row r="108" spans="2:44" x14ac:dyDescent="0.25">
      <c r="B108" s="87"/>
      <c r="C108" s="2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23"/>
      <c r="W108" s="12"/>
      <c r="X108" s="2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23"/>
      <c r="AR108" s="88"/>
    </row>
    <row r="109" spans="2:44" x14ac:dyDescent="0.25">
      <c r="B109" s="87"/>
      <c r="C109" s="2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23"/>
      <c r="W109" s="12"/>
      <c r="X109" s="2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23"/>
      <c r="AR109" s="88"/>
    </row>
    <row r="110" spans="2:44" x14ac:dyDescent="0.25">
      <c r="B110" s="87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6"/>
      <c r="W110" s="12"/>
      <c r="X110" s="24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6"/>
      <c r="AR110" s="88"/>
    </row>
    <row r="111" spans="2:44" x14ac:dyDescent="0.25">
      <c r="B111" s="87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88"/>
    </row>
    <row r="112" spans="2:44" x14ac:dyDescent="0.25">
      <c r="B112" s="87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88"/>
    </row>
    <row r="113" spans="2:44" x14ac:dyDescent="0.25">
      <c r="B113" s="87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88"/>
    </row>
    <row r="114" spans="2:44" x14ac:dyDescent="0.25">
      <c r="B114" s="87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88"/>
    </row>
    <row r="115" spans="2:44" x14ac:dyDescent="0.25">
      <c r="B115" s="87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88"/>
    </row>
    <row r="116" spans="2:44" x14ac:dyDescent="0.25">
      <c r="B116" s="87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88"/>
    </row>
    <row r="117" spans="2:44" x14ac:dyDescent="0.25">
      <c r="B117" s="87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88"/>
    </row>
    <row r="118" spans="2:44" x14ac:dyDescent="0.25">
      <c r="B118" s="87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88"/>
    </row>
    <row r="119" spans="2:44" x14ac:dyDescent="0.25">
      <c r="B119" s="87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88"/>
    </row>
    <row r="120" spans="2:44" x14ac:dyDescent="0.25">
      <c r="B120" s="87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88"/>
    </row>
    <row r="121" spans="2:44" x14ac:dyDescent="0.25">
      <c r="B121" s="87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88"/>
    </row>
    <row r="122" spans="2:44" x14ac:dyDescent="0.25">
      <c r="B122" s="8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88"/>
    </row>
    <row r="123" spans="2:44" x14ac:dyDescent="0.25">
      <c r="B123" s="8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88"/>
    </row>
    <row r="124" spans="2:44" x14ac:dyDescent="0.25">
      <c r="B124" s="8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88"/>
    </row>
    <row r="125" spans="2:44" x14ac:dyDescent="0.25">
      <c r="B125" s="8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88"/>
    </row>
    <row r="126" spans="2:44" x14ac:dyDescent="0.25">
      <c r="B126" s="8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88"/>
    </row>
    <row r="127" spans="2:44" x14ac:dyDescent="0.25">
      <c r="B127" s="8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88"/>
    </row>
    <row r="128" spans="2:44" x14ac:dyDescent="0.25">
      <c r="B128" s="8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88"/>
    </row>
    <row r="129" spans="2:44" x14ac:dyDescent="0.25">
      <c r="B129" s="8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88"/>
    </row>
    <row r="130" spans="2:44" x14ac:dyDescent="0.25">
      <c r="B130" s="8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88"/>
    </row>
    <row r="131" spans="2:44" x14ac:dyDescent="0.25">
      <c r="B131" s="8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88"/>
    </row>
    <row r="132" spans="2:44" x14ac:dyDescent="0.25">
      <c r="B132" s="8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88"/>
    </row>
    <row r="133" spans="2:44" x14ac:dyDescent="0.25">
      <c r="B133" s="8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88"/>
    </row>
    <row r="134" spans="2:44" x14ac:dyDescent="0.25">
      <c r="B134" s="8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88"/>
    </row>
    <row r="135" spans="2:44" x14ac:dyDescent="0.25">
      <c r="B135" s="8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88"/>
    </row>
    <row r="136" spans="2:44" x14ac:dyDescent="0.25">
      <c r="B136" s="87"/>
      <c r="C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1"/>
      <c r="W136" s="12"/>
      <c r="X136" s="19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1"/>
      <c r="AR136" s="88"/>
    </row>
    <row r="137" spans="2:44" x14ac:dyDescent="0.25">
      <c r="B137" s="87"/>
      <c r="C137" s="2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23"/>
      <c r="W137" s="12"/>
      <c r="X137" s="2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23"/>
      <c r="AR137" s="88"/>
    </row>
    <row r="138" spans="2:44" x14ac:dyDescent="0.25">
      <c r="B138" s="87"/>
      <c r="C138" s="2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23"/>
      <c r="W138" s="12"/>
      <c r="X138" s="2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23"/>
      <c r="AR138" s="88"/>
    </row>
    <row r="139" spans="2:44" x14ac:dyDescent="0.25">
      <c r="B139" s="87"/>
      <c r="C139" s="2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23"/>
      <c r="W139" s="12"/>
      <c r="X139" s="2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23"/>
      <c r="AR139" s="88"/>
    </row>
    <row r="140" spans="2:44" x14ac:dyDescent="0.25">
      <c r="B140" s="87"/>
      <c r="C140" s="2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23"/>
      <c r="W140" s="12"/>
      <c r="X140" s="2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23"/>
      <c r="AR140" s="88"/>
    </row>
    <row r="141" spans="2:44" x14ac:dyDescent="0.25">
      <c r="B141" s="87"/>
      <c r="C141" s="2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23"/>
      <c r="W141" s="12"/>
      <c r="X141" s="2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23"/>
      <c r="AR141" s="88"/>
    </row>
    <row r="142" spans="2:44" x14ac:dyDescent="0.25">
      <c r="B142" s="87"/>
      <c r="C142" s="2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23"/>
      <c r="W142" s="12"/>
      <c r="X142" s="2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23"/>
      <c r="AR142" s="88"/>
    </row>
    <row r="143" spans="2:44" x14ac:dyDescent="0.25">
      <c r="B143" s="87"/>
      <c r="C143" s="2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23"/>
      <c r="W143" s="12"/>
      <c r="X143" s="2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23"/>
      <c r="AR143" s="88"/>
    </row>
    <row r="144" spans="2:44" x14ac:dyDescent="0.25">
      <c r="B144" s="87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6"/>
      <c r="W144" s="12"/>
      <c r="X144" s="24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6"/>
      <c r="AR144" s="88"/>
    </row>
    <row r="145" spans="2:44" x14ac:dyDescent="0.25">
      <c r="B145" s="8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88"/>
    </row>
    <row r="146" spans="2:44" x14ac:dyDescent="0.25">
      <c r="B146" s="8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88"/>
    </row>
    <row r="147" spans="2:44" s="18" customFormat="1" ht="36" x14ac:dyDescent="0.55000000000000004">
      <c r="B147" s="439" t="s">
        <v>17</v>
      </c>
      <c r="C147" s="440"/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440"/>
      <c r="AE147" s="440"/>
      <c r="AF147" s="440"/>
      <c r="AG147" s="440"/>
      <c r="AH147" s="440"/>
      <c r="AI147" s="440"/>
      <c r="AJ147" s="440"/>
      <c r="AK147" s="440"/>
      <c r="AL147" s="440"/>
      <c r="AM147" s="440"/>
      <c r="AN147" s="440"/>
      <c r="AO147" s="440"/>
      <c r="AP147" s="440"/>
      <c r="AQ147" s="440"/>
      <c r="AR147" s="441"/>
    </row>
    <row r="148" spans="2:44" x14ac:dyDescent="0.25">
      <c r="B148" s="8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88"/>
    </row>
    <row r="149" spans="2:44" x14ac:dyDescent="0.25">
      <c r="B149" s="8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88"/>
    </row>
    <row r="150" spans="2:44" s="17" customFormat="1" ht="31.5" x14ac:dyDescent="0.5">
      <c r="B150" s="430" t="s">
        <v>19</v>
      </c>
      <c r="C150" s="431"/>
      <c r="D150" s="431"/>
      <c r="E150" s="431"/>
      <c r="F150" s="431"/>
      <c r="G150" s="431"/>
      <c r="H150" s="431"/>
      <c r="I150" s="431"/>
      <c r="J150" s="431"/>
      <c r="K150" s="431"/>
      <c r="L150" s="431"/>
      <c r="M150" s="431"/>
      <c r="N150" s="431"/>
      <c r="O150" s="431"/>
      <c r="P150" s="431"/>
      <c r="Q150" s="431"/>
      <c r="R150" s="431"/>
      <c r="S150" s="431"/>
      <c r="T150" s="431"/>
      <c r="U150" s="431"/>
      <c r="V150" s="431"/>
      <c r="W150" s="12"/>
      <c r="X150" s="431" t="s">
        <v>20</v>
      </c>
      <c r="Y150" s="431"/>
      <c r="Z150" s="431"/>
      <c r="AA150" s="431"/>
      <c r="AB150" s="431"/>
      <c r="AC150" s="431"/>
      <c r="AD150" s="431"/>
      <c r="AE150" s="431"/>
      <c r="AF150" s="431"/>
      <c r="AG150" s="431"/>
      <c r="AH150" s="431"/>
      <c r="AI150" s="431"/>
      <c r="AJ150" s="431"/>
      <c r="AK150" s="431"/>
      <c r="AL150" s="431"/>
      <c r="AM150" s="431"/>
      <c r="AN150" s="431"/>
      <c r="AO150" s="431"/>
      <c r="AP150" s="431"/>
      <c r="AQ150" s="431"/>
      <c r="AR150" s="432"/>
    </row>
    <row r="151" spans="2:44" ht="30" customHeight="1" x14ac:dyDescent="0.25">
      <c r="B151" s="8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88"/>
    </row>
    <row r="152" spans="2:44" ht="30" customHeight="1" x14ac:dyDescent="0.25">
      <c r="B152" s="87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88"/>
    </row>
    <row r="153" spans="2:44" ht="30" customHeight="1" x14ac:dyDescent="0.25">
      <c r="B153" s="87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88"/>
    </row>
    <row r="154" spans="2:44" ht="30" customHeight="1" x14ac:dyDescent="0.25">
      <c r="B154" s="87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88"/>
    </row>
    <row r="155" spans="2:44" ht="30" customHeight="1" x14ac:dyDescent="0.25">
      <c r="B155" s="87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88"/>
    </row>
    <row r="156" spans="2:44" ht="30" customHeight="1" x14ac:dyDescent="0.25">
      <c r="B156" s="87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88"/>
    </row>
    <row r="157" spans="2:44" ht="30" customHeight="1" x14ac:dyDescent="0.25">
      <c r="B157" s="87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88"/>
    </row>
    <row r="158" spans="2:44" ht="30" customHeight="1" x14ac:dyDescent="0.25">
      <c r="B158" s="87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88"/>
    </row>
    <row r="159" spans="2:44" ht="30" customHeight="1" x14ac:dyDescent="0.25">
      <c r="B159" s="87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88"/>
    </row>
    <row r="160" spans="2:44" ht="30" customHeight="1" x14ac:dyDescent="0.25">
      <c r="B160" s="87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88"/>
    </row>
    <row r="161" spans="2:44" ht="30" customHeight="1" x14ac:dyDescent="0.25">
      <c r="B161" s="87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88"/>
    </row>
    <row r="162" spans="2:44" ht="30" customHeight="1" x14ac:dyDescent="0.25">
      <c r="B162" s="87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88"/>
    </row>
    <row r="163" spans="2:44" ht="30" customHeight="1" x14ac:dyDescent="0.25">
      <c r="B163" s="87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88"/>
    </row>
    <row r="164" spans="2:44" ht="30" customHeight="1" x14ac:dyDescent="0.25">
      <c r="B164" s="87"/>
      <c r="C164" s="19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1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88"/>
    </row>
    <row r="165" spans="2:44" ht="30" customHeight="1" x14ac:dyDescent="0.25">
      <c r="B165" s="87"/>
      <c r="C165" s="2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23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88"/>
    </row>
    <row r="166" spans="2:44" ht="30" customHeight="1" x14ac:dyDescent="0.25">
      <c r="B166" s="87"/>
      <c r="C166" s="2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23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88"/>
    </row>
    <row r="167" spans="2:44" ht="30" customHeight="1" x14ac:dyDescent="0.25">
      <c r="B167" s="87"/>
      <c r="C167" s="2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23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88"/>
    </row>
    <row r="168" spans="2:44" ht="30" customHeight="1" x14ac:dyDescent="0.25">
      <c r="B168" s="87"/>
      <c r="C168" s="2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23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88"/>
    </row>
    <row r="169" spans="2:44" ht="30" customHeight="1" x14ac:dyDescent="0.25">
      <c r="B169" s="87"/>
      <c r="C169" s="2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23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88"/>
    </row>
    <row r="170" spans="2:44" ht="30" customHeight="1" x14ac:dyDescent="0.25">
      <c r="B170" s="87"/>
      <c r="C170" s="2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23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88"/>
    </row>
    <row r="171" spans="2:44" ht="30" customHeight="1" x14ac:dyDescent="0.25">
      <c r="B171" s="87"/>
      <c r="C171" s="2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23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88"/>
    </row>
    <row r="172" spans="2:44" ht="30" customHeight="1" x14ac:dyDescent="0.25">
      <c r="B172" s="87"/>
      <c r="C172" s="2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23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88"/>
    </row>
    <row r="173" spans="2:44" ht="30" customHeight="1" x14ac:dyDescent="0.25">
      <c r="B173" s="87"/>
      <c r="C173" s="2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23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88"/>
    </row>
    <row r="174" spans="2:44" ht="30" customHeight="1" x14ac:dyDescent="0.25">
      <c r="B174" s="87"/>
      <c r="C174" s="2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23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88"/>
    </row>
    <row r="175" spans="2:44" ht="30" customHeight="1" x14ac:dyDescent="0.25">
      <c r="B175" s="87"/>
      <c r="C175" s="2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23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88"/>
    </row>
    <row r="176" spans="2:44" ht="30" customHeight="1" x14ac:dyDescent="0.25">
      <c r="B176" s="87"/>
      <c r="C176" s="2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23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88"/>
    </row>
    <row r="177" spans="2:44" ht="30" customHeight="1" x14ac:dyDescent="0.25">
      <c r="B177" s="87"/>
      <c r="C177" s="2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23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88"/>
    </row>
    <row r="178" spans="2:44" ht="30" customHeight="1" x14ac:dyDescent="0.25">
      <c r="B178" s="87"/>
      <c r="C178" s="2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23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88"/>
    </row>
    <row r="179" spans="2:44" ht="30" customHeight="1" x14ac:dyDescent="0.25">
      <c r="B179" s="87"/>
      <c r="C179" s="2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23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88"/>
    </row>
    <row r="180" spans="2:44" ht="30" customHeight="1" x14ac:dyDescent="0.25">
      <c r="B180" s="87"/>
      <c r="C180" s="2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23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88"/>
    </row>
    <row r="181" spans="2:44" ht="30" customHeight="1" x14ac:dyDescent="0.25">
      <c r="B181" s="87"/>
      <c r="C181" s="2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23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88"/>
    </row>
    <row r="182" spans="2:44" ht="30" customHeight="1" x14ac:dyDescent="0.25">
      <c r="B182" s="87"/>
      <c r="C182" s="2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23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88"/>
    </row>
    <row r="183" spans="2:44" ht="30" customHeight="1" x14ac:dyDescent="0.25">
      <c r="B183" s="87"/>
      <c r="C183" s="2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23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88"/>
    </row>
    <row r="184" spans="2:44" ht="30" customHeight="1" x14ac:dyDescent="0.25">
      <c r="B184" s="87"/>
      <c r="C184" s="2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23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88"/>
    </row>
    <row r="185" spans="2:44" ht="30" customHeight="1" x14ac:dyDescent="0.25">
      <c r="B185" s="87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6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88"/>
    </row>
    <row r="186" spans="2:44" ht="30" customHeight="1" thickBot="1" x14ac:dyDescent="0.3">
      <c r="B186" s="89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1"/>
    </row>
    <row r="187" spans="2:44" ht="21" customHeight="1" x14ac:dyDescent="0.25"/>
    <row r="188" spans="2:44" ht="21" customHeight="1" x14ac:dyDescent="0.25"/>
  </sheetData>
  <mergeCells count="11">
    <mergeCell ref="D5:F5"/>
    <mergeCell ref="B150:V150"/>
    <mergeCell ref="X150:AR150"/>
    <mergeCell ref="B2:AR2"/>
    <mergeCell ref="B8:AR8"/>
    <mergeCell ref="B147:AR147"/>
    <mergeCell ref="H3:J3"/>
    <mergeCell ref="H5:J5"/>
    <mergeCell ref="B3:C3"/>
    <mergeCell ref="B5:C5"/>
    <mergeCell ref="B4:C4"/>
  </mergeCells>
  <printOptions horizontalCentered="1"/>
  <pageMargins left="0.2" right="0.2" top="0.25" bottom="0.25" header="0.3" footer="0.3"/>
  <pageSetup paperSize="8" scale="3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1:AX158"/>
  <sheetViews>
    <sheetView showGridLines="0" zoomScale="40" zoomScaleNormal="40" zoomScaleSheetLayoutView="40" workbookViewId="0">
      <selection activeCell="BA15" sqref="BA15"/>
    </sheetView>
  </sheetViews>
  <sheetFormatPr defaultRowHeight="15" x14ac:dyDescent="0.25"/>
  <cols>
    <col min="1" max="1" width="3.42578125" customWidth="1"/>
    <col min="2" max="45" width="8.7109375" customWidth="1"/>
    <col min="46" max="46" width="4" customWidth="1"/>
    <col min="51" max="51" width="2.85546875" customWidth="1"/>
  </cols>
  <sheetData>
    <row r="1" spans="2:50" ht="15.75" thickBot="1" x14ac:dyDescent="0.3"/>
    <row r="2" spans="2:50" ht="49.5" customHeight="1" x14ac:dyDescent="0.25">
      <c r="B2" s="446" t="s">
        <v>101</v>
      </c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8"/>
    </row>
    <row r="3" spans="2:50" s="30" customFormat="1" ht="21" x14ac:dyDescent="0.35">
      <c r="B3" s="173" t="s">
        <v>27</v>
      </c>
      <c r="C3" s="35"/>
      <c r="D3" s="35"/>
      <c r="E3" s="35" t="s">
        <v>205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9"/>
    </row>
    <row r="4" spans="2:50" s="30" customFormat="1" ht="21" x14ac:dyDescent="0.35">
      <c r="B4" s="453"/>
      <c r="C4" s="452"/>
      <c r="D4" s="452"/>
      <c r="E4" s="452"/>
      <c r="F4" s="452"/>
      <c r="G4" s="452"/>
      <c r="H4" s="454"/>
      <c r="I4" s="454"/>
      <c r="J4" s="454"/>
      <c r="K4" s="33"/>
      <c r="L4" s="33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9"/>
    </row>
    <row r="5" spans="2:50" ht="21" x14ac:dyDescent="0.25">
      <c r="B5" s="173" t="s">
        <v>204</v>
      </c>
      <c r="C5" s="35"/>
      <c r="D5" s="172"/>
      <c r="E5" s="455">
        <v>42348</v>
      </c>
      <c r="F5" s="455"/>
      <c r="G5" s="455"/>
      <c r="H5" s="455"/>
      <c r="I5" s="45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7"/>
    </row>
    <row r="6" spans="2:50" x14ac:dyDescent="0.2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3"/>
    </row>
    <row r="7" spans="2:50" ht="31.5" x14ac:dyDescent="0.25">
      <c r="B7" s="449" t="s">
        <v>30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50"/>
    </row>
    <row r="8" spans="2:50" x14ac:dyDescent="0.25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3"/>
    </row>
    <row r="9" spans="2:50" x14ac:dyDescent="0.25">
      <c r="B9" s="11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2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2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3"/>
    </row>
    <row r="10" spans="2:50" s="43" customFormat="1" ht="31.5" x14ac:dyDescent="0.25">
      <c r="B10" s="175"/>
      <c r="C10" s="451" t="s">
        <v>21</v>
      </c>
      <c r="D10" s="451"/>
      <c r="E10" s="451"/>
      <c r="F10" s="451"/>
      <c r="G10" s="451"/>
      <c r="H10" s="451"/>
      <c r="I10" s="451"/>
      <c r="J10" s="451"/>
      <c r="K10" s="451"/>
      <c r="L10" s="451"/>
      <c r="M10" s="451"/>
      <c r="N10" s="451"/>
      <c r="O10" s="451"/>
      <c r="P10" s="451"/>
      <c r="Q10" s="451"/>
      <c r="R10" s="176"/>
      <c r="S10" s="451" t="s">
        <v>31</v>
      </c>
      <c r="T10" s="451"/>
      <c r="U10" s="451"/>
      <c r="V10" s="451"/>
      <c r="W10" s="451"/>
      <c r="X10" s="451"/>
      <c r="Y10" s="451"/>
      <c r="Z10" s="451"/>
      <c r="AA10" s="451"/>
      <c r="AB10" s="451"/>
      <c r="AC10" s="451"/>
      <c r="AD10" s="451"/>
      <c r="AE10" s="451"/>
      <c r="AF10" s="451"/>
      <c r="AG10" s="451"/>
      <c r="AH10" s="176"/>
      <c r="AI10" s="451" t="s">
        <v>32</v>
      </c>
      <c r="AJ10" s="451"/>
      <c r="AK10" s="451"/>
      <c r="AL10" s="451"/>
      <c r="AM10" s="451"/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177"/>
    </row>
    <row r="11" spans="2:50" x14ac:dyDescent="0.25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3"/>
    </row>
    <row r="12" spans="2:50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3"/>
    </row>
    <row r="13" spans="2:50" ht="21" customHeight="1" x14ac:dyDescent="0.25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3"/>
    </row>
    <row r="14" spans="2:50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3"/>
    </row>
    <row r="15" spans="2:50" ht="21" customHeight="1" x14ac:dyDescent="0.2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3"/>
    </row>
    <row r="16" spans="2:50" ht="21" customHeight="1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3"/>
    </row>
    <row r="17" spans="2:50" ht="21" customHeight="1" x14ac:dyDescent="0.2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3"/>
    </row>
    <row r="18" spans="2:50" ht="21" customHeight="1" x14ac:dyDescent="0.2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3"/>
    </row>
    <row r="19" spans="2:50" ht="21" customHeight="1" x14ac:dyDescent="0.2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3"/>
    </row>
    <row r="20" spans="2:50" ht="21" customHeight="1" x14ac:dyDescent="0.2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3"/>
    </row>
    <row r="21" spans="2:50" ht="21" customHeight="1" x14ac:dyDescent="0.2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3"/>
    </row>
    <row r="22" spans="2:50" ht="21" customHeight="1" x14ac:dyDescent="0.2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3"/>
    </row>
    <row r="23" spans="2:50" ht="21" customHeight="1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3"/>
    </row>
    <row r="24" spans="2:50" ht="21" customHeight="1" x14ac:dyDescent="0.2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3"/>
    </row>
    <row r="25" spans="2:50" ht="21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3"/>
    </row>
    <row r="26" spans="2:50" ht="21" customHeight="1" x14ac:dyDescent="0.2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3"/>
    </row>
    <row r="27" spans="2:50" ht="21" customHeight="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3"/>
    </row>
    <row r="28" spans="2:50" ht="21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3"/>
    </row>
    <row r="29" spans="2:50" ht="21" customHeight="1" x14ac:dyDescent="0.2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3"/>
    </row>
    <row r="30" spans="2:50" ht="21" customHeight="1" x14ac:dyDescent="0.2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</row>
    <row r="31" spans="2:50" ht="21" customHeight="1" x14ac:dyDescent="0.25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</row>
    <row r="32" spans="2:50" ht="21" customHeight="1" x14ac:dyDescent="0.25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</row>
    <row r="33" spans="2:50" ht="21" customHeight="1" x14ac:dyDescent="0.25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3"/>
    </row>
    <row r="34" spans="2:50" ht="21" customHeight="1" x14ac:dyDescent="0.25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3"/>
    </row>
    <row r="35" spans="2:50" ht="21" customHeight="1" x14ac:dyDescent="0.25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3"/>
    </row>
    <row r="36" spans="2:50" ht="21" customHeight="1" x14ac:dyDescent="0.25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3"/>
    </row>
    <row r="37" spans="2:50" ht="21" customHeight="1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3"/>
    </row>
    <row r="38" spans="2:50" ht="21" customHeight="1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3"/>
    </row>
    <row r="39" spans="2:50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3"/>
    </row>
    <row r="40" spans="2:50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3"/>
    </row>
    <row r="41" spans="2:50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3"/>
    </row>
    <row r="42" spans="2:50" x14ac:dyDescent="0.25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3"/>
    </row>
    <row r="43" spans="2:50" x14ac:dyDescent="0.25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3"/>
    </row>
    <row r="44" spans="2:50" x14ac:dyDescent="0.25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3"/>
    </row>
    <row r="45" spans="2:50" x14ac:dyDescent="0.25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3"/>
    </row>
    <row r="46" spans="2:50" x14ac:dyDescent="0.25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3"/>
    </row>
    <row r="47" spans="2:50" x14ac:dyDescent="0.25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3"/>
    </row>
    <row r="48" spans="2:50" x14ac:dyDescent="0.25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3"/>
    </row>
    <row r="49" spans="2:50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3"/>
    </row>
    <row r="50" spans="2:50" x14ac:dyDescent="0.25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3"/>
    </row>
    <row r="51" spans="2:50" x14ac:dyDescent="0.25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3"/>
    </row>
    <row r="52" spans="2:50" x14ac:dyDescent="0.25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3"/>
    </row>
    <row r="53" spans="2:50" x14ac:dyDescent="0.25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3"/>
    </row>
    <row r="54" spans="2:50" x14ac:dyDescent="0.25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3"/>
    </row>
    <row r="55" spans="2:50" x14ac:dyDescent="0.25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3"/>
    </row>
    <row r="56" spans="2:50" x14ac:dyDescent="0.25"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3"/>
    </row>
    <row r="57" spans="2:50" x14ac:dyDescent="0.25"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3"/>
    </row>
    <row r="58" spans="2:50" x14ac:dyDescent="0.25"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3"/>
    </row>
    <row r="59" spans="2:50" x14ac:dyDescent="0.25"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3"/>
    </row>
    <row r="60" spans="2:50" x14ac:dyDescent="0.25"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3"/>
    </row>
    <row r="61" spans="2:50" x14ac:dyDescent="0.25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3"/>
    </row>
    <row r="62" spans="2:50" x14ac:dyDescent="0.25"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3"/>
    </row>
    <row r="63" spans="2:50" x14ac:dyDescent="0.25"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3"/>
    </row>
    <row r="64" spans="2:50" x14ac:dyDescent="0.25"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3"/>
    </row>
    <row r="65" spans="2:50" x14ac:dyDescent="0.25"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3"/>
    </row>
    <row r="66" spans="2:50" x14ac:dyDescent="0.25"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3"/>
    </row>
    <row r="67" spans="2:50" x14ac:dyDescent="0.25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3"/>
    </row>
    <row r="68" spans="2:50" x14ac:dyDescent="0.25"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3"/>
    </row>
    <row r="69" spans="2:50" x14ac:dyDescent="0.25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3"/>
    </row>
    <row r="70" spans="2:50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3"/>
    </row>
    <row r="71" spans="2:50" x14ac:dyDescent="0.25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3"/>
    </row>
    <row r="72" spans="2:50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3"/>
    </row>
    <row r="73" spans="2:50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3"/>
    </row>
    <row r="74" spans="2:50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3"/>
    </row>
    <row r="75" spans="2:50" x14ac:dyDescent="0.25"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3"/>
    </row>
    <row r="76" spans="2:50" x14ac:dyDescent="0.25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3"/>
    </row>
    <row r="77" spans="2:50" x14ac:dyDescent="0.25"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3"/>
    </row>
    <row r="78" spans="2:50" x14ac:dyDescent="0.25"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3"/>
    </row>
    <row r="79" spans="2:50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3"/>
    </row>
    <row r="80" spans="2:50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3"/>
    </row>
    <row r="81" spans="2:5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3"/>
    </row>
    <row r="82" spans="2:5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3"/>
    </row>
    <row r="83" spans="2:5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3"/>
    </row>
    <row r="84" spans="2:5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3"/>
    </row>
    <row r="85" spans="2:50" ht="15" customHeight="1" x14ac:dyDescent="0.25">
      <c r="B85" s="11"/>
      <c r="C85" s="459" t="s">
        <v>34</v>
      </c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3"/>
    </row>
    <row r="86" spans="2:50" ht="15" customHeight="1" x14ac:dyDescent="0.25">
      <c r="B86" s="11"/>
      <c r="C86" s="462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  <c r="Q86" s="464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3"/>
    </row>
    <row r="87" spans="2:50" x14ac:dyDescent="0.25">
      <c r="B87" s="11"/>
      <c r="C87" s="2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23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3"/>
    </row>
    <row r="88" spans="2:50" x14ac:dyDescent="0.25">
      <c r="B88" s="11"/>
      <c r="C88" s="2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23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3"/>
    </row>
    <row r="89" spans="2:50" x14ac:dyDescent="0.25">
      <c r="B89" s="11"/>
      <c r="C89" s="2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3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3"/>
    </row>
    <row r="90" spans="2:50" x14ac:dyDescent="0.25">
      <c r="B90" s="11"/>
      <c r="C90" s="2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3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3"/>
    </row>
    <row r="91" spans="2:50" x14ac:dyDescent="0.25">
      <c r="B91" s="11"/>
      <c r="C91" s="2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3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3"/>
    </row>
    <row r="92" spans="2:50" x14ac:dyDescent="0.25">
      <c r="B92" s="11"/>
      <c r="C92" s="2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3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3"/>
    </row>
    <row r="93" spans="2:50" x14ac:dyDescent="0.25">
      <c r="B93" s="11"/>
      <c r="C93" s="2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23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3"/>
    </row>
    <row r="94" spans="2:50" x14ac:dyDescent="0.25">
      <c r="B94" s="11"/>
      <c r="C94" s="2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23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3"/>
    </row>
    <row r="95" spans="2:50" x14ac:dyDescent="0.25">
      <c r="B95" s="11"/>
      <c r="C95" s="2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23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3"/>
    </row>
    <row r="96" spans="2:50" x14ac:dyDescent="0.25">
      <c r="B96" s="11"/>
      <c r="C96" s="2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23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3"/>
    </row>
    <row r="97" spans="2:50" x14ac:dyDescent="0.25">
      <c r="B97" s="11"/>
      <c r="C97" s="2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23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3"/>
    </row>
    <row r="98" spans="2:50" x14ac:dyDescent="0.25">
      <c r="B98" s="11"/>
      <c r="C98" s="2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23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3"/>
    </row>
    <row r="99" spans="2:50" x14ac:dyDescent="0.25">
      <c r="B99" s="11"/>
      <c r="C99" s="2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3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3"/>
    </row>
    <row r="100" spans="2:50" x14ac:dyDescent="0.25">
      <c r="B100" s="11"/>
      <c r="C100" s="2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3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3"/>
    </row>
    <row r="101" spans="2:50" x14ac:dyDescent="0.25">
      <c r="B101" s="11"/>
      <c r="C101" s="2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23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3"/>
    </row>
    <row r="102" spans="2:50" x14ac:dyDescent="0.25">
      <c r="B102" s="11"/>
      <c r="C102" s="2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23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3"/>
    </row>
    <row r="103" spans="2:50" x14ac:dyDescent="0.25">
      <c r="B103" s="11"/>
      <c r="C103" s="2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23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3"/>
    </row>
    <row r="104" spans="2:50" x14ac:dyDescent="0.25">
      <c r="B104" s="11"/>
      <c r="C104" s="2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23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3"/>
    </row>
    <row r="105" spans="2:50" x14ac:dyDescent="0.25">
      <c r="B105" s="11"/>
      <c r="C105" s="2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23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3"/>
    </row>
    <row r="106" spans="2:50" x14ac:dyDescent="0.25">
      <c r="B106" s="11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3"/>
    </row>
    <row r="107" spans="2:50" x14ac:dyDescent="0.25"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3"/>
    </row>
    <row r="108" spans="2:50" s="18" customFormat="1" ht="36" x14ac:dyDescent="0.55000000000000004">
      <c r="B108" s="465" t="s">
        <v>17</v>
      </c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L108" s="440"/>
      <c r="AM108" s="440"/>
      <c r="AN108" s="440"/>
      <c r="AO108" s="440"/>
      <c r="AP108" s="440"/>
      <c r="AQ108" s="440"/>
      <c r="AR108" s="440"/>
      <c r="AS108" s="440"/>
      <c r="AT108" s="440"/>
      <c r="AU108" s="440"/>
      <c r="AV108" s="440"/>
      <c r="AW108" s="440"/>
      <c r="AX108" s="466"/>
    </row>
    <row r="109" spans="2:50" s="18" customFormat="1" ht="36" x14ac:dyDescent="0.55000000000000004">
      <c r="B109" s="456" t="s">
        <v>119</v>
      </c>
      <c r="C109" s="457"/>
      <c r="D109" s="457"/>
      <c r="E109" s="457"/>
      <c r="F109" s="457"/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  <c r="X109" s="457"/>
      <c r="Y109" s="457"/>
      <c r="Z109" s="457"/>
      <c r="AA109" s="457"/>
      <c r="AB109" s="457"/>
      <c r="AC109" s="457"/>
      <c r="AD109" s="457"/>
      <c r="AE109" s="457"/>
      <c r="AF109" s="457"/>
      <c r="AG109" s="457"/>
      <c r="AH109" s="457"/>
      <c r="AI109" s="457"/>
      <c r="AJ109" s="457"/>
      <c r="AK109" s="457"/>
      <c r="AL109" s="457"/>
      <c r="AM109" s="457"/>
      <c r="AN109" s="457"/>
      <c r="AO109" s="457"/>
      <c r="AP109" s="457"/>
      <c r="AQ109" s="457"/>
      <c r="AR109" s="457"/>
      <c r="AS109" s="457"/>
      <c r="AT109" s="457"/>
      <c r="AU109" s="457"/>
      <c r="AV109" s="457"/>
      <c r="AW109" s="457"/>
      <c r="AX109" s="458"/>
    </row>
    <row r="110" spans="2:50" x14ac:dyDescent="0.25"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3"/>
    </row>
    <row r="111" spans="2:50" x14ac:dyDescent="0.25"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3"/>
    </row>
    <row r="112" spans="2:50" s="17" customFormat="1" ht="31.5" x14ac:dyDescent="0.5">
      <c r="B112" s="469" t="s">
        <v>33</v>
      </c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  <c r="W112" s="467"/>
      <c r="X112" s="12"/>
      <c r="Y112" s="12"/>
      <c r="Z112" s="12"/>
      <c r="AA112" s="467" t="s">
        <v>20</v>
      </c>
      <c r="AB112" s="467"/>
      <c r="AC112" s="467"/>
      <c r="AD112" s="467"/>
      <c r="AE112" s="467"/>
      <c r="AF112" s="467"/>
      <c r="AG112" s="467"/>
      <c r="AH112" s="467"/>
      <c r="AI112" s="467"/>
      <c r="AJ112" s="467"/>
      <c r="AK112" s="467"/>
      <c r="AL112" s="467"/>
      <c r="AM112" s="467"/>
      <c r="AN112" s="467"/>
      <c r="AO112" s="467"/>
      <c r="AP112" s="467"/>
      <c r="AQ112" s="467"/>
      <c r="AR112" s="467"/>
      <c r="AS112" s="467"/>
      <c r="AT112" s="467"/>
      <c r="AU112" s="467"/>
      <c r="AV112" s="467"/>
      <c r="AW112" s="467"/>
      <c r="AX112" s="468"/>
    </row>
    <row r="113" spans="2:50" ht="112.5" customHeight="1" x14ac:dyDescent="0.25"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3"/>
    </row>
    <row r="114" spans="2:50" x14ac:dyDescent="0.25"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3"/>
    </row>
    <row r="115" spans="2:50" ht="21" customHeight="1" x14ac:dyDescent="0.25"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3"/>
    </row>
    <row r="116" spans="2:50" ht="131.25" customHeight="1" x14ac:dyDescent="0.25"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3"/>
    </row>
    <row r="117" spans="2:50" ht="21" customHeight="1" x14ac:dyDescent="0.25"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3"/>
    </row>
    <row r="118" spans="2:50" ht="21" customHeight="1" x14ac:dyDescent="0.25"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3"/>
    </row>
    <row r="119" spans="2:50" ht="131.25" customHeight="1" x14ac:dyDescent="0.25"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3"/>
    </row>
    <row r="120" spans="2:50" ht="21" customHeight="1" x14ac:dyDescent="0.25"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3"/>
    </row>
    <row r="121" spans="2:50" ht="21" customHeight="1" x14ac:dyDescent="0.25"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3"/>
    </row>
    <row r="122" spans="2:50" ht="21" customHeight="1" x14ac:dyDescent="0.25"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3"/>
    </row>
    <row r="123" spans="2:50" ht="21" customHeight="1" x14ac:dyDescent="0.25"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3"/>
    </row>
    <row r="124" spans="2:50" ht="21" customHeight="1" x14ac:dyDescent="0.25"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3"/>
    </row>
    <row r="125" spans="2:50" ht="112.5" customHeight="1" x14ac:dyDescent="0.25"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3"/>
    </row>
    <row r="126" spans="2:50" ht="21" customHeight="1" x14ac:dyDescent="0.25"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3"/>
    </row>
    <row r="127" spans="2:50" ht="15.75" customHeight="1" x14ac:dyDescent="0.25"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3"/>
    </row>
    <row r="128" spans="2:50" ht="21" customHeight="1" x14ac:dyDescent="0.25"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3"/>
    </row>
    <row r="129" spans="2:50" ht="21" customHeight="1" x14ac:dyDescent="0.25"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3"/>
    </row>
    <row r="130" spans="2:50" ht="21" customHeight="1" x14ac:dyDescent="0.25"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3"/>
    </row>
    <row r="131" spans="2:50" ht="21" customHeight="1" x14ac:dyDescent="0.25"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3"/>
    </row>
    <row r="132" spans="2:50" ht="21" customHeight="1" x14ac:dyDescent="0.25"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3"/>
    </row>
    <row r="133" spans="2:50" ht="21" customHeight="1" x14ac:dyDescent="0.25"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3"/>
    </row>
    <row r="134" spans="2:50" ht="21" customHeight="1" x14ac:dyDescent="0.25"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3"/>
    </row>
    <row r="135" spans="2:50" ht="21" customHeight="1" x14ac:dyDescent="0.25"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3"/>
    </row>
    <row r="136" spans="2:50" ht="21" customHeight="1" x14ac:dyDescent="0.25"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3"/>
    </row>
    <row r="137" spans="2:50" ht="21" customHeight="1" x14ac:dyDescent="0.25"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3"/>
    </row>
    <row r="138" spans="2:50" ht="21" customHeight="1" x14ac:dyDescent="0.25"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3"/>
    </row>
    <row r="139" spans="2:50" x14ac:dyDescent="0.25"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3"/>
    </row>
    <row r="140" spans="2:50" x14ac:dyDescent="0.25"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3"/>
    </row>
    <row r="141" spans="2:50" x14ac:dyDescent="0.25"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3"/>
    </row>
    <row r="142" spans="2:50" x14ac:dyDescent="0.25"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3"/>
    </row>
    <row r="143" spans="2:50" x14ac:dyDescent="0.25"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3"/>
    </row>
    <row r="144" spans="2:50" x14ac:dyDescent="0.25"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3"/>
    </row>
    <row r="145" spans="2:50" x14ac:dyDescent="0.25"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3"/>
    </row>
    <row r="146" spans="2:50" x14ac:dyDescent="0.25"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3"/>
    </row>
    <row r="147" spans="2:50" x14ac:dyDescent="0.25"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3"/>
    </row>
    <row r="148" spans="2:50" x14ac:dyDescent="0.25"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3"/>
    </row>
    <row r="149" spans="2:50" x14ac:dyDescent="0.25"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3"/>
    </row>
    <row r="150" spans="2:50" x14ac:dyDescent="0.25"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3"/>
    </row>
    <row r="151" spans="2:50" x14ac:dyDescent="0.25"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3"/>
    </row>
    <row r="152" spans="2:50" x14ac:dyDescent="0.25"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3"/>
    </row>
    <row r="153" spans="2:50" x14ac:dyDescent="0.25"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3"/>
    </row>
    <row r="154" spans="2:50" x14ac:dyDescent="0.25"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3"/>
    </row>
    <row r="155" spans="2:50" x14ac:dyDescent="0.25"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3"/>
    </row>
    <row r="156" spans="2:50" x14ac:dyDescent="0.25"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3"/>
    </row>
    <row r="157" spans="2:50" x14ac:dyDescent="0.25"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3"/>
    </row>
    <row r="158" spans="2:50" ht="15.75" thickBot="1" x14ac:dyDescent="0.3"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6"/>
    </row>
  </sheetData>
  <mergeCells count="14">
    <mergeCell ref="B109:AX109"/>
    <mergeCell ref="C85:Q86"/>
    <mergeCell ref="B108:AX108"/>
    <mergeCell ref="AA112:AX112"/>
    <mergeCell ref="B112:W112"/>
    <mergeCell ref="B2:AX2"/>
    <mergeCell ref="B7:AX7"/>
    <mergeCell ref="C10:Q10"/>
    <mergeCell ref="S10:AG10"/>
    <mergeCell ref="D4:G4"/>
    <mergeCell ref="B4:C4"/>
    <mergeCell ref="H4:J4"/>
    <mergeCell ref="E5:I5"/>
    <mergeCell ref="AI10:AW10"/>
  </mergeCells>
  <printOptions horizontalCentered="1"/>
  <pageMargins left="0.2" right="0.2" top="0.75" bottom="0.75" header="0.3" footer="0.3"/>
  <pageSetup paperSize="8"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B1:AX158"/>
  <sheetViews>
    <sheetView showGridLines="0" zoomScale="40" zoomScaleNormal="40" zoomScaleSheetLayoutView="40" workbookViewId="0">
      <selection activeCell="AL29" sqref="AL29"/>
    </sheetView>
  </sheetViews>
  <sheetFormatPr defaultRowHeight="15" x14ac:dyDescent="0.25"/>
  <cols>
    <col min="1" max="1" width="3.42578125" customWidth="1"/>
    <col min="2" max="45" width="8.7109375" customWidth="1"/>
    <col min="46" max="46" width="4" customWidth="1"/>
    <col min="51" max="51" width="2.85546875" customWidth="1"/>
  </cols>
  <sheetData>
    <row r="1" spans="2:50" ht="15.75" thickBot="1" x14ac:dyDescent="0.3"/>
    <row r="2" spans="2:50" ht="49.5" customHeight="1" x14ac:dyDescent="0.25">
      <c r="B2" s="446" t="s">
        <v>101</v>
      </c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447"/>
      <c r="AA2" s="447"/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48"/>
    </row>
    <row r="3" spans="2:50" s="30" customFormat="1" ht="21" x14ac:dyDescent="0.35">
      <c r="B3" s="173" t="s">
        <v>27</v>
      </c>
      <c r="C3" s="35"/>
      <c r="D3" s="35"/>
      <c r="E3" s="35" t="s">
        <v>205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9"/>
    </row>
    <row r="4" spans="2:50" s="30" customFormat="1" ht="21" x14ac:dyDescent="0.35">
      <c r="B4" s="453"/>
      <c r="C4" s="452"/>
      <c r="D4" s="452"/>
      <c r="E4" s="452"/>
      <c r="F4" s="452"/>
      <c r="G4" s="452"/>
      <c r="H4" s="454"/>
      <c r="I4" s="454"/>
      <c r="J4" s="454"/>
      <c r="K4" s="181"/>
      <c r="L4" s="181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9"/>
    </row>
    <row r="5" spans="2:50" ht="21" x14ac:dyDescent="0.25">
      <c r="B5" s="173" t="s">
        <v>204</v>
      </c>
      <c r="C5" s="35"/>
      <c r="D5" s="172"/>
      <c r="E5" s="455">
        <v>42348</v>
      </c>
      <c r="F5" s="455"/>
      <c r="G5" s="455"/>
      <c r="H5" s="455"/>
      <c r="I5" s="45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7"/>
    </row>
    <row r="6" spans="2:50" x14ac:dyDescent="0.2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3"/>
    </row>
    <row r="7" spans="2:50" ht="31.5" x14ac:dyDescent="0.25">
      <c r="B7" s="449" t="s">
        <v>30</v>
      </c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O7" s="437"/>
      <c r="P7" s="437"/>
      <c r="Q7" s="437"/>
      <c r="R7" s="437"/>
      <c r="S7" s="437"/>
      <c r="T7" s="437"/>
      <c r="U7" s="437"/>
      <c r="V7" s="437"/>
      <c r="W7" s="437"/>
      <c r="X7" s="437"/>
      <c r="Y7" s="437"/>
      <c r="Z7" s="437"/>
      <c r="AA7" s="437"/>
      <c r="AB7" s="437"/>
      <c r="AC7" s="437"/>
      <c r="AD7" s="437"/>
      <c r="AE7" s="437"/>
      <c r="AF7" s="437"/>
      <c r="AG7" s="437"/>
      <c r="AH7" s="437"/>
      <c r="AI7" s="437"/>
      <c r="AJ7" s="437"/>
      <c r="AK7" s="437"/>
      <c r="AL7" s="437"/>
      <c r="AM7" s="437"/>
      <c r="AN7" s="437"/>
      <c r="AO7" s="437"/>
      <c r="AP7" s="437"/>
      <c r="AQ7" s="437"/>
      <c r="AR7" s="437"/>
      <c r="AS7" s="437"/>
      <c r="AT7" s="437"/>
      <c r="AU7" s="437"/>
      <c r="AV7" s="437"/>
      <c r="AW7" s="437"/>
      <c r="AX7" s="450"/>
    </row>
    <row r="8" spans="2:50" x14ac:dyDescent="0.25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3"/>
    </row>
    <row r="9" spans="2:50" x14ac:dyDescent="0.25">
      <c r="B9" s="11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2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2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3"/>
    </row>
    <row r="10" spans="2:50" s="43" customFormat="1" ht="31.5" x14ac:dyDescent="0.25">
      <c r="B10" s="175"/>
      <c r="C10" s="451" t="s">
        <v>21</v>
      </c>
      <c r="D10" s="451"/>
      <c r="E10" s="451"/>
      <c r="F10" s="451"/>
      <c r="G10" s="451"/>
      <c r="H10" s="451"/>
      <c r="I10" s="451"/>
      <c r="J10" s="451"/>
      <c r="K10" s="451"/>
      <c r="L10" s="451"/>
      <c r="M10" s="451"/>
      <c r="N10" s="451"/>
      <c r="O10" s="451"/>
      <c r="P10" s="451"/>
      <c r="Q10" s="451"/>
      <c r="R10" s="176"/>
      <c r="S10" s="451" t="s">
        <v>31</v>
      </c>
      <c r="T10" s="451"/>
      <c r="U10" s="451"/>
      <c r="V10" s="451"/>
      <c r="W10" s="451"/>
      <c r="X10" s="451"/>
      <c r="Y10" s="451"/>
      <c r="Z10" s="451"/>
      <c r="AA10" s="451"/>
      <c r="AB10" s="451"/>
      <c r="AC10" s="451"/>
      <c r="AD10" s="451"/>
      <c r="AE10" s="451"/>
      <c r="AF10" s="451"/>
      <c r="AG10" s="451"/>
      <c r="AH10" s="176"/>
      <c r="AI10" s="451" t="s">
        <v>32</v>
      </c>
      <c r="AJ10" s="451"/>
      <c r="AK10" s="451"/>
      <c r="AL10" s="451"/>
      <c r="AM10" s="451"/>
      <c r="AN10" s="451"/>
      <c r="AO10" s="451"/>
      <c r="AP10" s="451"/>
      <c r="AQ10" s="451"/>
      <c r="AR10" s="451"/>
      <c r="AS10" s="451"/>
      <c r="AT10" s="451"/>
      <c r="AU10" s="451"/>
      <c r="AV10" s="451"/>
      <c r="AW10" s="451"/>
      <c r="AX10" s="177"/>
    </row>
    <row r="11" spans="2:50" x14ac:dyDescent="0.25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3"/>
    </row>
    <row r="12" spans="2:50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3"/>
    </row>
    <row r="13" spans="2:50" ht="21" customHeight="1" x14ac:dyDescent="0.25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3"/>
    </row>
    <row r="14" spans="2:50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3"/>
    </row>
    <row r="15" spans="2:50" ht="21" customHeight="1" x14ac:dyDescent="0.2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82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4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3"/>
    </row>
    <row r="16" spans="2:50" ht="21" customHeight="1" x14ac:dyDescent="0.25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2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23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3"/>
    </row>
    <row r="17" spans="2:50" ht="21" customHeight="1" x14ac:dyDescent="0.25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23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3"/>
    </row>
    <row r="18" spans="2:50" ht="21" customHeight="1" x14ac:dyDescent="0.25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23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3"/>
    </row>
    <row r="19" spans="2:50" ht="21" customHeight="1" x14ac:dyDescent="0.25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23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3"/>
    </row>
    <row r="20" spans="2:50" ht="21" customHeight="1" x14ac:dyDescent="0.25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2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23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3"/>
    </row>
    <row r="21" spans="2:50" ht="21" customHeight="1" x14ac:dyDescent="0.25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2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23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3"/>
    </row>
    <row r="22" spans="2:50" ht="21" customHeight="1" x14ac:dyDescent="0.25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2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23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3"/>
    </row>
    <row r="23" spans="2:50" ht="21" customHeight="1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23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3"/>
    </row>
    <row r="24" spans="2:50" ht="21" customHeight="1" x14ac:dyDescent="0.25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2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23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3"/>
    </row>
    <row r="25" spans="2:50" ht="21" customHeight="1" x14ac:dyDescent="0.2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2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23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3"/>
    </row>
    <row r="26" spans="2:50" ht="21" customHeight="1" x14ac:dyDescent="0.2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2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23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3"/>
    </row>
    <row r="27" spans="2:50" ht="21" customHeight="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2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23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3"/>
    </row>
    <row r="28" spans="2:50" ht="21" customHeight="1" x14ac:dyDescent="0.25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2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23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3"/>
    </row>
    <row r="29" spans="2:50" ht="21" customHeight="1" x14ac:dyDescent="0.25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2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23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3"/>
    </row>
    <row r="30" spans="2:50" ht="21" customHeight="1" x14ac:dyDescent="0.25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2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23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3"/>
    </row>
    <row r="31" spans="2:50" ht="21" customHeight="1" x14ac:dyDescent="0.25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24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3"/>
    </row>
    <row r="32" spans="2:50" ht="21" customHeight="1" x14ac:dyDescent="0.25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3"/>
    </row>
    <row r="33" spans="2:50" ht="21" customHeight="1" x14ac:dyDescent="0.25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3"/>
    </row>
    <row r="34" spans="2:50" ht="21" customHeight="1" x14ac:dyDescent="0.25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3"/>
    </row>
    <row r="35" spans="2:50" ht="21" customHeight="1" x14ac:dyDescent="0.25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3"/>
    </row>
    <row r="36" spans="2:50" ht="21" customHeight="1" x14ac:dyDescent="0.25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3"/>
    </row>
    <row r="37" spans="2:50" ht="21" customHeight="1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3"/>
    </row>
    <row r="38" spans="2:50" ht="21" customHeight="1" x14ac:dyDescent="0.25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3"/>
    </row>
    <row r="39" spans="2:50" x14ac:dyDescent="0.25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3"/>
    </row>
    <row r="40" spans="2:50" x14ac:dyDescent="0.2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3"/>
    </row>
    <row r="41" spans="2:50" x14ac:dyDescent="0.25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3"/>
    </row>
    <row r="42" spans="2:50" x14ac:dyDescent="0.25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3"/>
    </row>
    <row r="43" spans="2:50" x14ac:dyDescent="0.25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3"/>
    </row>
    <row r="44" spans="2:50" x14ac:dyDescent="0.25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3"/>
    </row>
    <row r="45" spans="2:50" x14ac:dyDescent="0.25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3"/>
    </row>
    <row r="46" spans="2:50" x14ac:dyDescent="0.25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3"/>
    </row>
    <row r="47" spans="2:50" x14ac:dyDescent="0.25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3"/>
    </row>
    <row r="48" spans="2:50" x14ac:dyDescent="0.25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3"/>
    </row>
    <row r="49" spans="2:50" x14ac:dyDescent="0.25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3"/>
    </row>
    <row r="50" spans="2:50" x14ac:dyDescent="0.25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3"/>
    </row>
    <row r="51" spans="2:50" x14ac:dyDescent="0.25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3"/>
    </row>
    <row r="52" spans="2:50" x14ac:dyDescent="0.25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3"/>
    </row>
    <row r="53" spans="2:50" x14ac:dyDescent="0.25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3"/>
    </row>
    <row r="54" spans="2:50" x14ac:dyDescent="0.25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3"/>
    </row>
    <row r="55" spans="2:50" x14ac:dyDescent="0.25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3"/>
    </row>
    <row r="56" spans="2:50" x14ac:dyDescent="0.25"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3"/>
    </row>
    <row r="57" spans="2:50" x14ac:dyDescent="0.25"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3"/>
    </row>
    <row r="58" spans="2:50" x14ac:dyDescent="0.25"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3"/>
    </row>
    <row r="59" spans="2:50" x14ac:dyDescent="0.25"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3"/>
    </row>
    <row r="60" spans="2:50" x14ac:dyDescent="0.25"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3"/>
    </row>
    <row r="61" spans="2:50" x14ac:dyDescent="0.25"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3"/>
    </row>
    <row r="62" spans="2:50" x14ac:dyDescent="0.25"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3"/>
    </row>
    <row r="63" spans="2:50" x14ac:dyDescent="0.25"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3"/>
    </row>
    <row r="64" spans="2:50" x14ac:dyDescent="0.25"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3"/>
    </row>
    <row r="65" spans="2:50" x14ac:dyDescent="0.25"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3"/>
    </row>
    <row r="66" spans="2:50" x14ac:dyDescent="0.25"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3"/>
    </row>
    <row r="67" spans="2:50" x14ac:dyDescent="0.25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3"/>
    </row>
    <row r="68" spans="2:50" x14ac:dyDescent="0.25"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3"/>
    </row>
    <row r="69" spans="2:50" x14ac:dyDescent="0.25"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3"/>
    </row>
    <row r="70" spans="2:50" x14ac:dyDescent="0.25"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3"/>
    </row>
    <row r="71" spans="2:50" x14ac:dyDescent="0.25"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3"/>
    </row>
    <row r="72" spans="2:50" x14ac:dyDescent="0.25"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3"/>
    </row>
    <row r="73" spans="2:50" x14ac:dyDescent="0.25"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3"/>
    </row>
    <row r="74" spans="2:50" x14ac:dyDescent="0.25"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3"/>
    </row>
    <row r="75" spans="2:50" x14ac:dyDescent="0.25"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3"/>
    </row>
    <row r="76" spans="2:50" x14ac:dyDescent="0.25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3"/>
    </row>
    <row r="77" spans="2:50" x14ac:dyDescent="0.25"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3"/>
    </row>
    <row r="78" spans="2:50" x14ac:dyDescent="0.25"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3"/>
    </row>
    <row r="79" spans="2:50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3"/>
    </row>
    <row r="80" spans="2:50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3"/>
    </row>
    <row r="81" spans="2:5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3"/>
    </row>
    <row r="82" spans="2:5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3"/>
    </row>
    <row r="83" spans="2:5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3"/>
    </row>
    <row r="84" spans="2:5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3"/>
    </row>
    <row r="85" spans="2:50" ht="15" customHeight="1" x14ac:dyDescent="0.25">
      <c r="B85" s="11"/>
      <c r="C85" s="459" t="s">
        <v>34</v>
      </c>
      <c r="D85" s="460"/>
      <c r="E85" s="460"/>
      <c r="F85" s="460"/>
      <c r="G85" s="460"/>
      <c r="H85" s="460"/>
      <c r="I85" s="460"/>
      <c r="J85" s="460"/>
      <c r="K85" s="460"/>
      <c r="L85" s="460"/>
      <c r="M85" s="460"/>
      <c r="N85" s="460"/>
      <c r="O85" s="460"/>
      <c r="P85" s="460"/>
      <c r="Q85" s="46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3"/>
    </row>
    <row r="86" spans="2:50" ht="15" customHeight="1" x14ac:dyDescent="0.25">
      <c r="B86" s="11"/>
      <c r="C86" s="462"/>
      <c r="D86" s="463"/>
      <c r="E86" s="463"/>
      <c r="F86" s="463"/>
      <c r="G86" s="463"/>
      <c r="H86" s="463"/>
      <c r="I86" s="463"/>
      <c r="J86" s="463"/>
      <c r="K86" s="463"/>
      <c r="L86" s="463"/>
      <c r="M86" s="463"/>
      <c r="N86" s="463"/>
      <c r="O86" s="463"/>
      <c r="P86" s="463"/>
      <c r="Q86" s="464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3"/>
    </row>
    <row r="87" spans="2:50" x14ac:dyDescent="0.25">
      <c r="B87" s="11"/>
      <c r="C87" s="2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23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3"/>
    </row>
    <row r="88" spans="2:50" x14ac:dyDescent="0.25">
      <c r="B88" s="11"/>
      <c r="C88" s="2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23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3"/>
    </row>
    <row r="89" spans="2:50" x14ac:dyDescent="0.25">
      <c r="B89" s="11"/>
      <c r="C89" s="2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3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3"/>
    </row>
    <row r="90" spans="2:50" x14ac:dyDescent="0.25">
      <c r="B90" s="11"/>
      <c r="C90" s="2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3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3"/>
    </row>
    <row r="91" spans="2:50" x14ac:dyDescent="0.25">
      <c r="B91" s="11"/>
      <c r="C91" s="2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3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3"/>
    </row>
    <row r="92" spans="2:50" x14ac:dyDescent="0.25">
      <c r="B92" s="11"/>
      <c r="C92" s="2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3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3"/>
    </row>
    <row r="93" spans="2:50" x14ac:dyDescent="0.25">
      <c r="B93" s="11"/>
      <c r="C93" s="2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23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3"/>
    </row>
    <row r="94" spans="2:50" x14ac:dyDescent="0.25">
      <c r="B94" s="11"/>
      <c r="C94" s="2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23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3"/>
    </row>
    <row r="95" spans="2:50" x14ac:dyDescent="0.25">
      <c r="B95" s="11"/>
      <c r="C95" s="2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23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3"/>
    </row>
    <row r="96" spans="2:50" x14ac:dyDescent="0.25">
      <c r="B96" s="11"/>
      <c r="C96" s="2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23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3"/>
    </row>
    <row r="97" spans="2:50" x14ac:dyDescent="0.25">
      <c r="B97" s="11"/>
      <c r="C97" s="2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23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3"/>
    </row>
    <row r="98" spans="2:50" x14ac:dyDescent="0.25">
      <c r="B98" s="11"/>
      <c r="C98" s="2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23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3"/>
    </row>
    <row r="99" spans="2:50" x14ac:dyDescent="0.25">
      <c r="B99" s="11"/>
      <c r="C99" s="2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3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3"/>
    </row>
    <row r="100" spans="2:50" x14ac:dyDescent="0.25">
      <c r="B100" s="11"/>
      <c r="C100" s="2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3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3"/>
    </row>
    <row r="101" spans="2:50" x14ac:dyDescent="0.25">
      <c r="B101" s="11"/>
      <c r="C101" s="2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23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3"/>
    </row>
    <row r="102" spans="2:50" x14ac:dyDescent="0.25">
      <c r="B102" s="11"/>
      <c r="C102" s="2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23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3"/>
    </row>
    <row r="103" spans="2:50" x14ac:dyDescent="0.25">
      <c r="B103" s="11"/>
      <c r="C103" s="2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23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3"/>
    </row>
    <row r="104" spans="2:50" x14ac:dyDescent="0.25">
      <c r="B104" s="11"/>
      <c r="C104" s="2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23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3"/>
    </row>
    <row r="105" spans="2:50" x14ac:dyDescent="0.25">
      <c r="B105" s="11"/>
      <c r="C105" s="2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23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3"/>
    </row>
    <row r="106" spans="2:50" x14ac:dyDescent="0.25">
      <c r="B106" s="11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6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3"/>
    </row>
    <row r="107" spans="2:50" x14ac:dyDescent="0.25"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3"/>
    </row>
    <row r="108" spans="2:50" s="18" customFormat="1" ht="36" x14ac:dyDescent="0.55000000000000004">
      <c r="B108" s="465" t="s">
        <v>17</v>
      </c>
      <c r="C108" s="440"/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L108" s="440"/>
      <c r="AM108" s="440"/>
      <c r="AN108" s="440"/>
      <c r="AO108" s="440"/>
      <c r="AP108" s="440"/>
      <c r="AQ108" s="440"/>
      <c r="AR108" s="440"/>
      <c r="AS108" s="440"/>
      <c r="AT108" s="440"/>
      <c r="AU108" s="440"/>
      <c r="AV108" s="440"/>
      <c r="AW108" s="440"/>
      <c r="AX108" s="466"/>
    </row>
    <row r="109" spans="2:50" s="18" customFormat="1" ht="36" x14ac:dyDescent="0.55000000000000004">
      <c r="B109" s="456" t="s">
        <v>119</v>
      </c>
      <c r="C109" s="457"/>
      <c r="D109" s="457"/>
      <c r="E109" s="457"/>
      <c r="F109" s="457"/>
      <c r="G109" s="457"/>
      <c r="H109" s="457"/>
      <c r="I109" s="457"/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  <c r="X109" s="457"/>
      <c r="Y109" s="457"/>
      <c r="Z109" s="457"/>
      <c r="AA109" s="457"/>
      <c r="AB109" s="457"/>
      <c r="AC109" s="457"/>
      <c r="AD109" s="457"/>
      <c r="AE109" s="457"/>
      <c r="AF109" s="457"/>
      <c r="AG109" s="457"/>
      <c r="AH109" s="457"/>
      <c r="AI109" s="457"/>
      <c r="AJ109" s="457"/>
      <c r="AK109" s="457"/>
      <c r="AL109" s="457"/>
      <c r="AM109" s="457"/>
      <c r="AN109" s="457"/>
      <c r="AO109" s="457"/>
      <c r="AP109" s="457"/>
      <c r="AQ109" s="457"/>
      <c r="AR109" s="457"/>
      <c r="AS109" s="457"/>
      <c r="AT109" s="457"/>
      <c r="AU109" s="457"/>
      <c r="AV109" s="457"/>
      <c r="AW109" s="457"/>
      <c r="AX109" s="458"/>
    </row>
    <row r="110" spans="2:50" x14ac:dyDescent="0.25"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3"/>
    </row>
    <row r="111" spans="2:50" x14ac:dyDescent="0.25"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3"/>
    </row>
    <row r="112" spans="2:50" s="17" customFormat="1" ht="31.5" x14ac:dyDescent="0.5">
      <c r="B112" s="469" t="s">
        <v>33</v>
      </c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7"/>
      <c r="P112" s="467"/>
      <c r="Q112" s="467"/>
      <c r="R112" s="467"/>
      <c r="S112" s="467"/>
      <c r="T112" s="467"/>
      <c r="U112" s="467"/>
      <c r="V112" s="467"/>
      <c r="W112" s="467"/>
      <c r="X112" s="12"/>
      <c r="Y112" s="12"/>
      <c r="Z112" s="12"/>
      <c r="AA112" s="467" t="s">
        <v>20</v>
      </c>
      <c r="AB112" s="467"/>
      <c r="AC112" s="467"/>
      <c r="AD112" s="467"/>
      <c r="AE112" s="467"/>
      <c r="AF112" s="467"/>
      <c r="AG112" s="467"/>
      <c r="AH112" s="467"/>
      <c r="AI112" s="467"/>
      <c r="AJ112" s="467"/>
      <c r="AK112" s="467"/>
      <c r="AL112" s="467"/>
      <c r="AM112" s="467"/>
      <c r="AN112" s="467"/>
      <c r="AO112" s="467"/>
      <c r="AP112" s="467"/>
      <c r="AQ112" s="467"/>
      <c r="AR112" s="467"/>
      <c r="AS112" s="467"/>
      <c r="AT112" s="467"/>
      <c r="AU112" s="467"/>
      <c r="AV112" s="467"/>
      <c r="AW112" s="467"/>
      <c r="AX112" s="468"/>
    </row>
    <row r="113" spans="2:50" ht="112.5" customHeight="1" x14ac:dyDescent="0.25"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3"/>
    </row>
    <row r="114" spans="2:50" x14ac:dyDescent="0.25"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3"/>
    </row>
    <row r="115" spans="2:50" ht="21" customHeight="1" x14ac:dyDescent="0.25"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3"/>
    </row>
    <row r="116" spans="2:50" ht="131.25" customHeight="1" x14ac:dyDescent="0.25"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3"/>
    </row>
    <row r="117" spans="2:50" ht="21" customHeight="1" x14ac:dyDescent="0.25"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3"/>
    </row>
    <row r="118" spans="2:50" ht="21" customHeight="1" x14ac:dyDescent="0.25"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3"/>
    </row>
    <row r="119" spans="2:50" ht="131.25" customHeight="1" x14ac:dyDescent="0.25"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3"/>
    </row>
    <row r="120" spans="2:50" ht="21" customHeight="1" x14ac:dyDescent="0.25"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3"/>
    </row>
    <row r="121" spans="2:50" ht="21" customHeight="1" x14ac:dyDescent="0.25"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3"/>
    </row>
    <row r="122" spans="2:50" ht="21" customHeight="1" x14ac:dyDescent="0.25"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3"/>
    </row>
    <row r="123" spans="2:50" ht="21" customHeight="1" x14ac:dyDescent="0.25"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3"/>
    </row>
    <row r="124" spans="2:50" ht="21" customHeight="1" x14ac:dyDescent="0.25"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3"/>
    </row>
    <row r="125" spans="2:50" ht="112.5" customHeight="1" x14ac:dyDescent="0.25"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3"/>
    </row>
    <row r="126" spans="2:50" ht="21" customHeight="1" x14ac:dyDescent="0.25"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3"/>
    </row>
    <row r="127" spans="2:50" ht="15.75" customHeight="1" x14ac:dyDescent="0.25"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3"/>
    </row>
    <row r="128" spans="2:50" ht="21" customHeight="1" x14ac:dyDescent="0.25"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3"/>
    </row>
    <row r="129" spans="2:50" ht="21" customHeight="1" x14ac:dyDescent="0.25"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3"/>
    </row>
    <row r="130" spans="2:50" ht="21" customHeight="1" x14ac:dyDescent="0.25"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3"/>
    </row>
    <row r="131" spans="2:50" ht="21" customHeight="1" x14ac:dyDescent="0.25"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3"/>
    </row>
    <row r="132" spans="2:50" ht="21" customHeight="1" x14ac:dyDescent="0.25"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3"/>
    </row>
    <row r="133" spans="2:50" ht="21" customHeight="1" x14ac:dyDescent="0.25"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3"/>
    </row>
    <row r="134" spans="2:50" ht="21" customHeight="1" x14ac:dyDescent="0.25"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3"/>
    </row>
    <row r="135" spans="2:50" ht="21" customHeight="1" x14ac:dyDescent="0.25"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3"/>
    </row>
    <row r="136" spans="2:50" ht="21" customHeight="1" x14ac:dyDescent="0.25"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3"/>
    </row>
    <row r="137" spans="2:50" ht="21" customHeight="1" x14ac:dyDescent="0.25"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3"/>
    </row>
    <row r="138" spans="2:50" ht="21" customHeight="1" x14ac:dyDescent="0.25"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3"/>
    </row>
    <row r="139" spans="2:50" x14ac:dyDescent="0.25"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3"/>
    </row>
    <row r="140" spans="2:50" x14ac:dyDescent="0.25"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3"/>
    </row>
    <row r="141" spans="2:50" x14ac:dyDescent="0.25"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3"/>
    </row>
    <row r="142" spans="2:50" x14ac:dyDescent="0.25"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3"/>
    </row>
    <row r="143" spans="2:50" x14ac:dyDescent="0.25"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3"/>
    </row>
    <row r="144" spans="2:50" x14ac:dyDescent="0.25"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3"/>
    </row>
    <row r="145" spans="2:50" x14ac:dyDescent="0.25"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3"/>
    </row>
    <row r="146" spans="2:50" x14ac:dyDescent="0.25"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3"/>
    </row>
    <row r="147" spans="2:50" x14ac:dyDescent="0.25"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3"/>
    </row>
    <row r="148" spans="2:50" x14ac:dyDescent="0.25"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3"/>
    </row>
    <row r="149" spans="2:50" x14ac:dyDescent="0.25"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3"/>
    </row>
    <row r="150" spans="2:50" x14ac:dyDescent="0.25"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3"/>
    </row>
    <row r="151" spans="2:50" x14ac:dyDescent="0.25"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3"/>
    </row>
    <row r="152" spans="2:50" x14ac:dyDescent="0.25"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3"/>
    </row>
    <row r="153" spans="2:50" x14ac:dyDescent="0.25"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3"/>
    </row>
    <row r="154" spans="2:50" x14ac:dyDescent="0.25"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3"/>
    </row>
    <row r="155" spans="2:50" x14ac:dyDescent="0.25"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3"/>
    </row>
    <row r="156" spans="2:50" x14ac:dyDescent="0.25"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3"/>
    </row>
    <row r="157" spans="2:50" x14ac:dyDescent="0.25"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3"/>
    </row>
    <row r="158" spans="2:50" ht="15.75" thickBot="1" x14ac:dyDescent="0.3"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6"/>
    </row>
  </sheetData>
  <mergeCells count="14">
    <mergeCell ref="B7:AX7"/>
    <mergeCell ref="B2:AX2"/>
    <mergeCell ref="B4:C4"/>
    <mergeCell ref="D4:G4"/>
    <mergeCell ref="H4:J4"/>
    <mergeCell ref="E5:I5"/>
    <mergeCell ref="B112:W112"/>
    <mergeCell ref="AA112:AX112"/>
    <mergeCell ref="C10:Q10"/>
    <mergeCell ref="S10:AG10"/>
    <mergeCell ref="AI10:AW10"/>
    <mergeCell ref="C85:Q86"/>
    <mergeCell ref="B108:AX108"/>
    <mergeCell ref="B109:AX109"/>
  </mergeCells>
  <printOptions horizontalCentered="1"/>
  <pageMargins left="0.2" right="0.2" top="0.75" bottom="0.75" header="0.3" footer="0.3"/>
  <pageSetup paperSize="8" scale="3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A92112669B848BFA7DCDFDDF11A3B" ma:contentTypeVersion="8" ma:contentTypeDescription="Create a new document." ma:contentTypeScope="" ma:versionID="7293e6e7ca036694253682dd03102038">
  <xsd:schema xmlns:xsd="http://www.w3.org/2001/XMLSchema" xmlns:xs="http://www.w3.org/2001/XMLSchema" xmlns:p="http://schemas.microsoft.com/office/2006/metadata/properties" xmlns:ns2="8f49a3d9-f84e-4343-9284-9d727c47e585" xmlns:ns3="465f6746-bd9b-48bd-94b3-7e40fd1aa888" targetNamespace="http://schemas.microsoft.com/office/2006/metadata/properties" ma:root="true" ma:fieldsID="2f193ff36a9412e6708ffd4cf88a0382" ns2:_="" ns3:_="">
    <xsd:import namespace="8f49a3d9-f84e-4343-9284-9d727c47e585"/>
    <xsd:import namespace="465f6746-bd9b-48bd-94b3-7e40fd1aa888"/>
    <xsd:element name="properties">
      <xsd:complexType>
        <xsd:sequence>
          <xsd:element name="documentManagement">
            <xsd:complexType>
              <xsd:all>
                <xsd:element ref="ns2:yw9q" minOccurs="0"/>
                <xsd:element ref="ns2:_x0065_yl6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49a3d9-f84e-4343-9284-9d727c47e585" elementFormDefault="qualified">
    <xsd:import namespace="http://schemas.microsoft.com/office/2006/documentManagement/types"/>
    <xsd:import namespace="http://schemas.microsoft.com/office/infopath/2007/PartnerControls"/>
    <xsd:element name="yw9q" ma:index="8" nillable="true" ma:displayName="Person or Group" ma:list="UserInfo" ma:internalName="yw9q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x0065_yl6" ma:index="9" nillable="true" ma:displayName="Date and Time" ma:internalName="_x0065_yl6">
      <xsd:simpleType>
        <xsd:restriction base="dms:DateTime"/>
      </xsd:simpleType>
    </xsd:element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f6746-bd9b-48bd-94b3-7e40fd1aa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w9q xmlns="8f49a3d9-f84e-4343-9284-9d727c47e585">
      <UserInfo>
        <DisplayName/>
        <AccountId xsi:nil="true"/>
        <AccountType/>
      </UserInfo>
    </yw9q>
    <_x0065_yl6 xmlns="8f49a3d9-f84e-4343-9284-9d727c47e585" xsi:nil="true"/>
  </documentManagement>
</p:properties>
</file>

<file path=customXml/itemProps1.xml><?xml version="1.0" encoding="utf-8"?>
<ds:datastoreItem xmlns:ds="http://schemas.openxmlformats.org/officeDocument/2006/customXml" ds:itemID="{7169729A-9D13-44F3-A3BE-E34CD67B9EA8}"/>
</file>

<file path=customXml/itemProps2.xml><?xml version="1.0" encoding="utf-8"?>
<ds:datastoreItem xmlns:ds="http://schemas.openxmlformats.org/officeDocument/2006/customXml" ds:itemID="{1DF54101-B913-4977-B73F-0BEEF7769433}"/>
</file>

<file path=customXml/itemProps3.xml><?xml version="1.0" encoding="utf-8"?>
<ds:datastoreItem xmlns:ds="http://schemas.openxmlformats.org/officeDocument/2006/customXml" ds:itemID="{3551A9C7-06BD-4F44-9543-98BDC82A0A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KPI Matrix</vt:lpstr>
      <vt:lpstr>KPIs Tracking-Dev-Sch Phase</vt:lpstr>
      <vt:lpstr>KPIs Tracking-Exec-M&amp;C Phase</vt:lpstr>
      <vt:lpstr>KPIs Dashboard-Project</vt:lpstr>
      <vt:lpstr>KPIs Dashboard-Area-Comb-Sample</vt:lpstr>
      <vt:lpstr>KPIs Dashboard-Area-Comb-Sa (2</vt:lpstr>
      <vt:lpstr>'KPI Matrix'!Print_Area</vt:lpstr>
      <vt:lpstr>'KPIs Dashboard-Area-Comb-Sa (2'!Print_Area</vt:lpstr>
      <vt:lpstr>'KPIs Dashboard-Area-Comb-Sample'!Print_Area</vt:lpstr>
      <vt:lpstr>'KPIs Dashboard-Project'!Print_Area</vt:lpstr>
      <vt:lpstr>'KPIs Tracking-Dev-Sch Phase'!Print_Area</vt:lpstr>
      <vt:lpstr>'KPIs Tracking-Exec-M&amp;C Phase'!Print_Area</vt:lpstr>
      <vt:lpstr>'KPI Matrix'!Print_Titles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2015-12-22T06:44:31Z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0x010100119A92112669B848BFA7DCDFDDF11A3B</vt:lpwstr>
  </property>
</Properties>
</file>