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" sheetId="1" r:id="rId4"/>
    <sheet state="visible" name="Data" sheetId="2" r:id="rId5"/>
    <sheet state="visible" name="Sources" sheetId="3" r:id="rId6"/>
  </sheets>
  <definedNames>
    <definedName hidden="1" localSheetId="0" name="_xlnm._FilterDatabase">Pivot!$A$1:$B$65</definedName>
    <definedName hidden="1" localSheetId="1" name="_xlnm._FilterDatabase">Data!$A$1:$V$64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<sst xmlns="http://schemas.openxmlformats.org/spreadsheetml/2006/main" count="280" uniqueCount="163">
  <si>
    <t>Food</t>
  </si>
  <si>
    <t>SUM of Protein Score</t>
  </si>
  <si>
    <t>SUM of Cost per g Protein</t>
  </si>
  <si>
    <t>SUM of Avg(PDCAAS, DIAAS)</t>
  </si>
  <si>
    <t>SUM of Protein %</t>
  </si>
  <si>
    <t>Canned Tuna</t>
  </si>
  <si>
    <t>Unflavored Whey</t>
  </si>
  <si>
    <t>Unflavored Casein</t>
  </si>
  <si>
    <t>Boneless Skinless Chicken Breast</t>
  </si>
  <si>
    <t>Pork Loin</t>
  </si>
  <si>
    <t>Vital Wheat Gluten</t>
  </si>
  <si>
    <t>Canned Salmon</t>
  </si>
  <si>
    <t>Egg Whites</t>
  </si>
  <si>
    <t>Large Eggs</t>
  </si>
  <si>
    <t>Plain Nonfat Greek Yogurt</t>
  </si>
  <si>
    <t>Skim Milk</t>
  </si>
  <si>
    <t>Nonfat Cottage Cheese</t>
  </si>
  <si>
    <t>Bagged Red Lentils</t>
  </si>
  <si>
    <t>Bagged Pinto Beans</t>
  </si>
  <si>
    <t>Bagged Lentils</t>
  </si>
  <si>
    <t>Bagged Black Beans</t>
  </si>
  <si>
    <t>Bone In Skin On Chicken Thighs</t>
  </si>
  <si>
    <t>Bagged Small Red Beans</t>
  </si>
  <si>
    <t>Boneless Skinless Chicken Thighs</t>
  </si>
  <si>
    <t>93% Lean Ground Turkey</t>
  </si>
  <si>
    <t>Fairlife Fat Free Milk</t>
  </si>
  <si>
    <t>Bagged Green Split Peas</t>
  </si>
  <si>
    <t>Fresh Tilapia</t>
  </si>
  <si>
    <t>Bagged Light Red Kidney Beans</t>
  </si>
  <si>
    <t>Bagged Chickpeas</t>
  </si>
  <si>
    <t>Fresh Tuna</t>
  </si>
  <si>
    <t>Powdered Peanut Butter</t>
  </si>
  <si>
    <t>93% Lean Ground Beef</t>
  </si>
  <si>
    <t>Frozen Edamame</t>
  </si>
  <si>
    <t>Fresh Cod</t>
  </si>
  <si>
    <t>Beef Sirloin Tip Steak</t>
  </si>
  <si>
    <t>Frozen Raw Shrimp (Peeled, Deveined, Tail-off)</t>
  </si>
  <si>
    <t>Canned Black Beans</t>
  </si>
  <si>
    <t>Frozen Cooked Shrimp (Peeled, Deveined, Tail-off)</t>
  </si>
  <si>
    <t>Processed Peanut Butter</t>
  </si>
  <si>
    <t>Canned Light Red Kidney Beans</t>
  </si>
  <si>
    <t>Canned Sardines</t>
  </si>
  <si>
    <t>Canned Pinto Beans</t>
  </si>
  <si>
    <t>Canned Dark Red Kidney Beans</t>
  </si>
  <si>
    <t>Canned Lentils</t>
  </si>
  <si>
    <t>Canned Chickpeas</t>
  </si>
  <si>
    <t>Fresh Salmon</t>
  </si>
  <si>
    <t>Fresh Mozzarella</t>
  </si>
  <si>
    <t>Canned Peas</t>
  </si>
  <si>
    <t>Natural Peanut Butter</t>
  </si>
  <si>
    <t>Frozen Spinach</t>
  </si>
  <si>
    <t>Canned Clams</t>
  </si>
  <si>
    <t>Frozen Peas</t>
  </si>
  <si>
    <t>Tofu</t>
  </si>
  <si>
    <t>White Rice</t>
  </si>
  <si>
    <t>White Quinoa</t>
  </si>
  <si>
    <t>Brown Rice</t>
  </si>
  <si>
    <t>Tri-Color Quinoa</t>
  </si>
  <si>
    <t>Fresh Clams</t>
  </si>
  <si>
    <t>Russet Potatoes</t>
  </si>
  <si>
    <t>Canned Spinach</t>
  </si>
  <si>
    <t>Frozen String Beans</t>
  </si>
  <si>
    <t>Red Potatoes</t>
  </si>
  <si>
    <t>Yellow Potatoes</t>
  </si>
  <si>
    <t>Fresh Spinach</t>
  </si>
  <si>
    <t>Canned String Beans</t>
  </si>
  <si>
    <t>Fresh String Beans</t>
  </si>
  <si>
    <t>Sweet Potatoes</t>
  </si>
  <si>
    <t>Category</t>
  </si>
  <si>
    <t>Cost ($)</t>
  </si>
  <si>
    <t>Size (g)</t>
  </si>
  <si>
    <t>Cost/lb</t>
  </si>
  <si>
    <t>Calories (on label)</t>
  </si>
  <si>
    <t>Calories (calc)</t>
  </si>
  <si>
    <t>Serving Size (g)</t>
  </si>
  <si>
    <t>Num. of Servings</t>
  </si>
  <si>
    <t>Protein (g)</t>
  </si>
  <si>
    <t>Fat (g)</t>
  </si>
  <si>
    <t>Carbs (g)</t>
  </si>
  <si>
    <t>Fiber (g)</t>
  </si>
  <si>
    <t>Protein %</t>
  </si>
  <si>
    <t>Fat %</t>
  </si>
  <si>
    <t>Carb %</t>
  </si>
  <si>
    <t>Cost per g Protein</t>
  </si>
  <si>
    <t>PDCAAS</t>
  </si>
  <si>
    <t>DIAAS</t>
  </si>
  <si>
    <t>Avg(PDCAAS, DIAAS)</t>
  </si>
  <si>
    <t>Protein Score</t>
  </si>
  <si>
    <t>Link</t>
  </si>
  <si>
    <t>Meat</t>
  </si>
  <si>
    <t>https://www.walmart.com/ip/Boneless-Skinless-Chicken-Breasts-4-7-6-1-lb-Tray/27935840?athbdg=L1200&amp;from=/search</t>
  </si>
  <si>
    <t>https://www.walmart.com/ip/Boneless-Skinless-Chicken-Thighs-Family-Pack-4-7-6-lb-Tray/124782654?athbdg=L1600&amp;from=/search</t>
  </si>
  <si>
    <t>https://www.walmart.com/ip/Perdue-No-Antibiotics-Ever-Fresh-Chicken-Thighs-4-5-5-9-lb-Tray/51259012?from=/search</t>
  </si>
  <si>
    <t>https://www.walmart.com/ip/Shady-Brook-Farms-93-Lean-7-Fat-Ground-Turkey-Tray-Fresh-3-lbs/161873862?athbdg=L1300&amp;from=/search</t>
  </si>
  <si>
    <t>https://www.walmart.com/ip/All-Natural-93-Lean-7-Fat-Lean-Ground-Beef-4-5-lb-Tray/519269784?from=/search</t>
  </si>
  <si>
    <t>https://www.walmart.com/ip/Beef-Sirloin-Tip-Steak-Thin-0-85-1-61-lb-Tray/21553581?from=/search</t>
  </si>
  <si>
    <t>https://www.walmart.com/ip/AVA-Brand-Center-Cut-Loin-Roast-Boneless-Fresh-Pork-4-0-5-5-lb-Fresh/106173246?from=/search</t>
  </si>
  <si>
    <t>Fish</t>
  </si>
  <si>
    <t>https://www.walmart.com/ip/Great-Value-Chunk-Light-Tuna-in-Water-5-oz-4-Pack/33867594?athbdg=L1200&amp;from=/search</t>
  </si>
  <si>
    <t>https://www.walmart.com/ip/StarKist-Wild-Alaskan-Pink-Salmon-14-75-oz-Can/47044520?from=/search</t>
  </si>
  <si>
    <t>https://www.walmart.com/ip/Beach-Cliff-Sardines-in-Water-12g-Protein-per-serving-in-3-75-oz-Can/10295794?athbdg=L1600&amp;from=/search</t>
  </si>
  <si>
    <t>https://www.walmart.com/ip/Wild-Caught-Fresh-Tuna-Steaks-0-75-0-875-lb-27g-Protein-per-4-oz-112-g-Serving/834772435?athbdg=L1200&amp;from=/search</t>
  </si>
  <si>
    <t>https://www.walmart.com/ip/Fresh-Skinless-Atlantic-Salmon-Portions-0-95-1-2-lb-Tray-BAP-4-Star-Certified-23g-Protein-per-4-oz-113-g-Serving/146682853?athbdg=L1200&amp;from=/search</t>
  </si>
  <si>
    <t>https://www.walmart.com/ip/Fresh-Atlantic-Salmon-Whole-Portions-0-70-1-25-lb-BAP-Certified-23g-Protein-per-Serving/896766595?athbdg=L1600&amp;from=/search</t>
  </si>
  <si>
    <t>https://www.walmart.com/ip/Great-Value-Frozen-Tilapia-Skinless-Boneless-Fillets-2-lb/51259015?athbdg=L1600&amp;from=/search</t>
  </si>
  <si>
    <t>https://www.walmart.com/ip/Great-Value-Frozen-Wild-Caught-Pacific-Cod-Fillets-1-lb/129433826?athbdg=L1300&amp;from=/search</t>
  </si>
  <si>
    <t>https://www.walmart.com/ip/Sam-s-Choice-Frozen-Whole-Farm-Raised-Cooked-Clams-7-76-oz/762493587?from=/search</t>
  </si>
  <si>
    <t>https://www.walmart.com/ip/Great-Value-Frozen-Raw-Large-Peeled-Deveined-Tail-off-Shrimp-2-lb-31-40-Count-per-lb/791288879?athbdg=L1600&amp;from=/search</t>
  </si>
  <si>
    <t>https://www.walmart.com/ip/Great-Value-Frozen-Cooked-Extra-Small-Peeled-Deveined-Tail-off-Shrimp-12-oz-100-150-per-lb/32285837?from=/search</t>
  </si>
  <si>
    <t>Eggs</t>
  </si>
  <si>
    <t>https://www.walmart.com/ip/Great-Value-Large-White-Eggs-18-Count/172844767?athbdg=L1200&amp;from=/search</t>
  </si>
  <si>
    <t>https://www.walmart.com/ip/Great-Value-100-Liquid-Egg-Whites-32-oz/13925176?athbdg=L1200&amp;from=/search</t>
  </si>
  <si>
    <t>Peanut Butter</t>
  </si>
  <si>
    <t>https://www.walmart.com/ip/Great-Value-Creamy-Peanut-Butter-40-oz-Jar/10315479?athbdg=L1600&amp;from=/search</t>
  </si>
  <si>
    <t>https://www.walmart.com/ip/Teddie-All-Natural-Smooth-Peanut-Butter-36-oz/640652420?from=/search</t>
  </si>
  <si>
    <t>https://www.walmart.com/ip/Great-Value-Powdered-Peanut-Butter-30-oz/664689057?from=/search</t>
  </si>
  <si>
    <t>Dairy</t>
  </si>
  <si>
    <t>https://www.amazon.com/gp/product/B01KITQG0A/ref=ppx_yo_dt_b_search_asin_title?ie=UTF8&amp;psc=1</t>
  </si>
  <si>
    <t>https://www.amazon.com/gp/product/B08HSSFB2X/ref=ppx_yo_dt_b_search_asin_title?ie=UTF8&amp;psc=1</t>
  </si>
  <si>
    <t>https://www.walmart.com/ip/Great-Value-Milk-Fat-Free-Gallon-Plastic-Jug/10450117?athbdg=L1600&amp;from=/search</t>
  </si>
  <si>
    <t>https://www.walmart.com/ip/fairlife-Lactose-Free-Fat-Free-Ultra-Filtered-Milk-52-fl-oz/43984342?athbdg=L1600&amp;from=/search</t>
  </si>
  <si>
    <t>https://www.walmart.com/ip/Great-Value-Greek-Plain-Nonfat-Yogurt-32-oz-Tub/26559565?athbdg=L1200&amp;from=/search</t>
  </si>
  <si>
    <t>https://www.walmart.com/ip/Great-Value-0-Milkfat-Small-Curd-Fat-Free-Cottage-Cheese-24-oz/10315043?athbdg=L1600&amp;from=/search</t>
  </si>
  <si>
    <t>https://www.walmart.com/ip/Galbani-Fresh-Mozzarella-Cheese-Ball-Non-Marinated-6-oz-Refrigerated/2234531695?athbdg=L1600&amp;from=/search</t>
  </si>
  <si>
    <t>Beans</t>
  </si>
  <si>
    <t>https://www.walmart.com/ip/Great-Value-Pinto-Beans-15-5-oz-Can/10534043?athbdg=L1200&amp;from=/search</t>
  </si>
  <si>
    <t>https://www.walmart.com/ip/Great-Value-Black-Beans-15-oz-Can/10534038?athbdg=L1600&amp;from=/search</t>
  </si>
  <si>
    <t>https://www.walmart.com/ip/Great-Value-Dark-Red-Kidney-Beans-15-5-oz/10534045?athbdg=L1600&amp;from=/search</t>
  </si>
  <si>
    <t>https://www.walmart.com/ip/Great-Value-Light-Red-Kidney-Beans-15-5-oz/10534039?athbdg=L1600&amp;from=/search</t>
  </si>
  <si>
    <t>https://www.walmart.com/ip/Great-Value-Garbanzos-Chick-Peas-15-5-oz/10534041?from=/search</t>
  </si>
  <si>
    <t>https://www.walmart.com/ip/Great-Value-Pinto-Beans-1-lb/294723013?athbdg=L1600&amp;from=/search</t>
  </si>
  <si>
    <t>https://www.walmart.com/ip/Great-Value-Black-Beans-1-lb/284432452?athbdg=L1600&amp;from=/search</t>
  </si>
  <si>
    <t>https://www.walmart.com/ip/Great-Value-Small-Red-Beans-1-lb/716746746?athbdg=L1600&amp;from=/search</t>
  </si>
  <si>
    <t>https://www.walmart.com/ip/Great-Value-Light-Red-Kidney-Beans-1-lb/963577064?athbdg=L1200&amp;from=/search</t>
  </si>
  <si>
    <t>https://www.walmart.com/ip/Great-Value-Chick-Peas-Garbanzos-1-lb/455381301?athbdg=L1600&amp;from=/search</t>
  </si>
  <si>
    <t>https://www.walmart.com/ip/Wildwood-Natural-Foods-Organic-Super-Firm-High-Protein-Tofu-16-Ounce-6-per-case/683184835?from=/search</t>
  </si>
  <si>
    <t>Legumes</t>
  </si>
  <si>
    <t>https://www.walmart.com/ip/Great-Value-Organic-Lentils-15-oz-Can/169639264?athbdg=L1200&amp;from=/search</t>
  </si>
  <si>
    <t>https://www.walmart.com/ip/Great-Value-Lentils-1-lb/545884744?athbdg=L1600&amp;from=/search</t>
  </si>
  <si>
    <t>https://www.walmart.com/ip/Hurst-s-Hampeas-Green-Split-Peas-with-Ham-Flavor-20-oz/1006198191?from=/search</t>
  </si>
  <si>
    <t>https://www.walmart.com/ip/Goya-Red-Lentil-Beans-Lentejas-16-oz-Bag/43394104?wmlspartner=wlpa&amp;selectedSellerId=0&amp;wl13=2964&amp;adid=2222222227743394104_161193766053_21214199653&amp;wl0=&amp;wl1=g&amp;wl2=c&amp;wl3=697173827980&amp;wl4=pla-2300760861495&amp;wl5=9001881&amp;wl6=&amp;wl7=&amp;wl8=&amp;wl9=pla&amp;wl10=8175035&amp;wl11=local&amp;wl12=43394104&amp;veh=sem_LIA&amp;gad_source=1</t>
  </si>
  <si>
    <t>Vegetables</t>
  </si>
  <si>
    <t>https://www.walmart.com/ip/Great-Value-Sweet-Peas-Gluten-Free-15-oz-Can/10451509?athbdg=L1200&amp;from=/search</t>
  </si>
  <si>
    <t>https://www.walmart.com/ip/Great-Value-Cut-Green-Beans-Canned-Green-Beans-14-5-oz-Can/10448318?athbdg=L1600&amp;from=/search</t>
  </si>
  <si>
    <t>https://www.walmart.com/ip/Great-Value-Canned-Leaf-Spinach-13-5-oz-Can/10451500?athbdg=L1200&amp;from=/search</t>
  </si>
  <si>
    <t>https://www.walmart.com/ip/Great-Value-Frozen-Sweet-Peas-12-oz-Steamable-Bag/443429457?athbdg=L1600&amp;from=/search</t>
  </si>
  <si>
    <t>https://www.walmart.com/ip/Great-Value-Steamable-Fine-Green-Beans-Frozen-12-oz/872271913?athbdg=L1600&amp;from=/search</t>
  </si>
  <si>
    <t>https://www.walmart.com/ip/Great-Value-Chopped-Spinach-12-oz-Frozen/431513547?athbdg=L1600&amp;from=/search</t>
  </si>
  <si>
    <t>https://www.walmart.com/ip/Great-Value-Frozen-Edamame-12-oz/328567678?from=/search</t>
  </si>
  <si>
    <t>https://www.walmart.com/ip/Marketside-Fresh-Green-Beans-12-oz/14053328?athbdg=L1600&amp;from=/search</t>
  </si>
  <si>
    <t>https://www.walmart.com/ip/Marketside-Fresh-Spinach-10-oz-Bag-Fresh/13893738?athbdg=L1200&amp;from=/search</t>
  </si>
  <si>
    <t>Potatoes</t>
  </si>
  <si>
    <t>https://www.walmart.com/ip/Russet-Potatoes-10-lb-Bag-Whole/10449951?from=/search</t>
  </si>
  <si>
    <t>https://www.walmart.com/ip/Yellow-Potatoes-Whole-Fresh-5lb-Bag/184310759?from=/search</t>
  </si>
  <si>
    <t>https://www.walmart.com/ip/Red-Potatoes-Whole-Fresh-5-lb-Bag/10449950?from=/search</t>
  </si>
  <si>
    <t>https://www.walmart.com/ip/Sweet-Potatoes-Whole-Fresh-3-lb-Bag/132720824?from=/search</t>
  </si>
  <si>
    <t>Grains</t>
  </si>
  <si>
    <t>https://www.amazon.com/gp/product/B00PB8U7Y0/ref=ppx_yo_dt_b_search_asin_title?ie=UTF8&amp;psc=1</t>
  </si>
  <si>
    <t>https://www.walmart.com/ip/Great-Value-Organic-White-Quinoa-32-oz/51258806?athbdg=L1600&amp;from=/search</t>
  </si>
  <si>
    <t>https://www.walmart.com/ip/Great-Value-Organic-Tri-Color-Quinoa-16-oz/51258776?athbdg=L1200&amp;from=/search</t>
  </si>
  <si>
    <t>https://www.walmart.com/ip/Great-Value-Long-Grain-Enriched-Rice-5-lbs/10315395?athbdg=L1600&amp;from=/search</t>
  </si>
  <si>
    <t>https://www.walmart.com/ip/Great-Value-Natural-Brown-Long-Grain-Rice-32-oz/10898755?athbdg=L1200&amp;from=/search</t>
  </si>
  <si>
    <t>https://en.wikipedia.org/wiki/Digestible_Indispensable_Amino_Acid_Score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</si>
</sst>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#,##"/>
    <numFmt numFmtId="166" formatCode="#,##0.0"/>
    <numFmt numFmtId="167" formatCode="0.0"/>
    <numFmt numFmtId="168" formatCode="0.0%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8">
    <border/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" xfId="0" applyFont="1" applyNumberFormat="1"/>
    <xf borderId="0" fillId="0" fontId="1" numFmtId="164" xfId="0" applyFont="1" applyNumberFormat="1"/>
    <xf borderId="0" fillId="0" fontId="1" numFmtId="168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1" fillId="0" fontId="2" numFmtId="0" xfId="0" applyBorder="1" applyFont="1"/>
    <xf borderId="2" fillId="0" fontId="2" numFmtId="0" xfId="0" applyBorder="1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6" xfId="0" applyFont="1" applyNumberFormat="1"/>
    <xf borderId="0" fillId="0" fontId="1" numFmtId="167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3" numFmtId="0" xfId="0" applyAlignment="1" applyFont="1">
      <alignment readingOrder="0"/>
    </xf>
    <xf borderId="3" fillId="0" fontId="1" numFmtId="0" xfId="0" applyBorder="1" applyFont="1"/>
    <xf borderId="4" fillId="0" fontId="1" numFmtId="0" xfId="0" applyBorder="1" applyFont="1"/>
    <xf borderId="0" fillId="0" fontId="4" numFmtId="0" xfId="0" applyAlignment="1" applyFont="1">
      <alignment readingOrder="0"/>
    </xf>
    <xf borderId="5" fillId="0" fontId="1" numFmtId="0" xfId="0" applyBorder="1" applyFont="1"/>
    <xf borderId="0" fillId="0" fontId="1" numFmtId="165" xfId="0" applyFont="1" applyNumberFormat="1"/>
    <xf borderId="6" fillId="0" fontId="1" numFmtId="0" xfId="0" applyBorder="1" applyFont="1"/>
    <xf borderId="7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64" sheet="Data"/>
  </cacheSource>
  <cacheFields>
    <cacheField name="Food" numFmtId="0">
      <sharedItems>
        <s v="Boneless Skinless Chicken Breast"/>
        <s v="Boneless Skinless Chicken Thighs"/>
        <s v="Bone In Skin On Chicken Thighs"/>
        <s v="93% Lean Ground Turkey"/>
        <s v="93% Lean Ground Beef"/>
        <s v="Beef Sirloin Tip Steak"/>
        <s v="Pork Loin"/>
        <s v="Canned Tuna"/>
        <s v="Canned Salmon"/>
        <s v="Canned Sardines"/>
        <s v="Fresh Tuna"/>
        <s v="Fresh Salmon"/>
        <s v="Fresh Tilapia"/>
        <s v="Fresh Cod"/>
        <s v="Canned Clams"/>
        <s v="Fresh Clams"/>
        <s v="Frozen Raw Shrimp (Peeled, Deveined, Tail-off)"/>
        <s v="Frozen Cooked Shrimp (Peeled, Deveined, Tail-off)"/>
        <s v="Large Eggs"/>
        <s v="Egg Whites"/>
        <s v="Processed Peanut Butter"/>
        <s v="Natural Peanut Butter"/>
        <s v="Powdered Peanut Butter"/>
        <s v="Unflavored Whey"/>
        <s v="Unflavored Casein"/>
        <s v="Skim Milk"/>
        <s v="Fairlife Fat Free Milk"/>
        <s v="Plain Nonfat Greek Yogurt"/>
        <s v="Nonfat Cottage Cheese"/>
        <s v="Fresh Mozzarella"/>
        <s v="Canned Pinto Beans"/>
        <s v="Canned Black Beans"/>
        <s v="Canned Dark Red Kidney Beans"/>
        <s v="Canned Light Red Kidney Beans"/>
        <s v="Canned Chickpeas"/>
        <s v="Bagged Pinto Beans"/>
        <s v="Bagged Black Beans"/>
        <s v="Bagged Small Red Beans"/>
        <s v="Bagged Light Red Kidney Beans"/>
        <s v="Bagged Chickpeas"/>
        <s v="Tofu"/>
        <s v="Canned Lentils"/>
        <s v="Bagged Lentils"/>
        <s v="Bagged Green Split Peas"/>
        <s v="Bagged Red Lentils"/>
        <s v="Canned Peas"/>
        <s v="Canned String Beans"/>
        <s v="Canned Spinach"/>
        <s v="Frozen Peas"/>
        <s v="Frozen String Beans"/>
        <s v="Frozen Spinach"/>
        <s v="Frozen Edamame"/>
        <s v="Fresh String Beans"/>
        <s v="Fresh Spinach"/>
        <s v="Russet Potatoes"/>
        <s v="Yellow Potatoes"/>
        <s v="Red Potatoes"/>
        <s v="Sweet Potatoes"/>
        <s v="Vital Wheat Gluten"/>
        <s v="White Quinoa"/>
        <s v="Tri-Color Quinoa"/>
        <s v="White Rice"/>
        <s v="Brown Rice"/>
      </sharedItems>
    </cacheField>
    <cacheField name="Category" numFmtId="164">
      <sharedItems>
        <s v="Meat"/>
        <s v="Fish"/>
        <s v="Eggs"/>
        <s v="Peanut Butter"/>
        <s v="Dairy"/>
        <s v="Beans"/>
        <s v="Legumes"/>
        <s v="Vegetables"/>
        <s v="Potatoes"/>
        <s v="Grains"/>
      </sharedItems>
    </cacheField>
    <cacheField name="Cost ($)" numFmtId="164">
      <sharedItems containsSemiMixedTypes="0" containsString="0" containsNumber="1">
        <n v="12.18"/>
        <n v="14.06"/>
        <n v="9.06"/>
        <n v="11.98"/>
        <n v="27.97"/>
        <n v="9.93"/>
        <n v="11.0"/>
        <n v="3.28"/>
        <n v="3.0"/>
        <n v="0.98"/>
        <n v="7.47"/>
        <n v="8.7"/>
        <n v="10.78"/>
        <n v="7.96"/>
        <n v="2.18"/>
        <n v="8.98"/>
        <n v="12.94"/>
        <n v="5.46"/>
        <n v="2.33"/>
        <n v="3.98"/>
        <n v="6.57"/>
        <n v="10.48"/>
        <n v="50.96"/>
        <n v="60.26"/>
        <n v="2.67"/>
        <n v="4.48"/>
        <n v="3.54"/>
        <n v="2.94"/>
        <n v="2.74"/>
        <n v="0.82"/>
        <n v="1.24"/>
        <n v="1.76"/>
        <n v="1.87"/>
        <n v="1.92"/>
        <n v="1.46"/>
        <n v="71.97"/>
        <n v="1.16"/>
        <n v="9.08"/>
        <n v="1.58"/>
        <n v="0.64"/>
        <n v="1.32"/>
        <n v="1.97"/>
        <n v="2.57"/>
        <n v="1.98"/>
        <n v="6.44"/>
        <n v="5.68"/>
        <n v="5.34"/>
        <n v="3.78"/>
        <n v="23.74"/>
        <n v="6.22"/>
        <n v="3.46"/>
        <n v="3.34"/>
        <n v="1.64"/>
      </sharedItems>
    </cacheField>
    <cacheField name="Size (g)" numFmtId="165">
      <sharedItems containsSemiMixedTypes="0" containsString="0" containsNumber="1">
        <n v="2070.24"/>
        <n v="2156.5"/>
        <n v="2324.48"/>
        <n v="1362.0"/>
        <n v="2043.0"/>
        <n v="576.58"/>
        <n v="2133.8"/>
        <n v="566.0"/>
        <n v="417.425"/>
        <n v="106.125"/>
        <n v="340.5"/>
        <n v="408.6"/>
        <n v="908.0"/>
        <n v="454.0"/>
        <n v="183.95000000000002"/>
        <n v="219.608"/>
        <n v="339.6"/>
        <n v="1008.0"/>
        <n v="905.6"/>
        <n v="1132.0"/>
        <n v="1018.8000000000001"/>
        <n v="849.0"/>
        <n v="2268.0"/>
        <n v="3785.0"/>
        <n v="1419.6"/>
        <n v="679.2"/>
        <n v="169.8"/>
        <n v="438.65000000000003"/>
        <n v="431.575"/>
        <n v="2716.8"/>
        <n v="424.5"/>
        <n v="2264.0"/>
        <n v="452.8"/>
        <n v="410.35"/>
        <n v="382.05"/>
        <n v="283.0"/>
        <n v="4540.0"/>
        <n v="2270.0"/>
        <n v="1816.0"/>
      </sharedItems>
    </cacheField>
    <cacheField name="Cost/lb" numFmtId="164">
      <sharedItems containsSemiMixedTypes="0" containsString="0" containsNumber="1">
        <n v="2.671052631578948"/>
        <n v="2.96"/>
        <n v="1.7695312500000002"/>
        <n v="3.993333333333333"/>
        <n v="6.2155555555555555"/>
        <n v="7.818897637795275"/>
        <n v="2.340425531914893"/>
        <n v="2.63095406360424"/>
        <n v="3.262861591902737"/>
        <n v="4.192414605418139"/>
        <n v="9.96"/>
        <n v="9.666666666666664"/>
        <n v="5.39"/>
        <n v="7.96"/>
        <n v="5.3803751019298725"/>
        <n v="18.564533168190593"/>
        <n v="6.47"/>
        <n v="7.299293286219081"/>
        <n v="1.0494246031746033"/>
        <n v="1.9952738515901058"/>
        <n v="1.5962190812720847"/>
        <n v="2.92773851590106"/>
        <n v="5.60414605418139"/>
        <n v="10.200987654320988"/>
        <n v="12.062627865961199"/>
        <n v="0.32025891677675034"/>
        <n v="1.4327416173570022"/>
        <n v="1.774690812720848"/>
        <n v="1.9651943462897525"/>
        <n v="7.326030624263841"/>
        <n v="0.8486948592271741"/>
        <n v="0.8626078897063083"/>
        <n v="1.24"/>
        <n v="1.76"/>
        <n v="1.8699999999999999"/>
        <n v="1.92"/>
        <n v="1.46"/>
        <n v="12.026788869257949"/>
        <n v="1.2406124852767961"/>
        <n v="1.8208127208480565"/>
        <n v="1.5841872791519436"/>
        <n v="0.6844758539458187"/>
        <n v="0.7080784695991227"/>
        <n v="1.5685904986258343"/>
        <n v="1.3101295641931683"/>
        <n v="2.633627797408716"/>
        <n v="1.5507656065959952"/>
        <n v="2.5667844522968197"/>
        <n v="3.4357479387514718"/>
        <n v="3.1763957597173147"/>
        <n v="0.644"/>
        <n v="1.136"/>
        <n v="1.0679999999999998"/>
        <n v="1.26"/>
        <n v="5.935"/>
        <n v="3.1182420494699645"/>
        <n v="3.4691696113074206"/>
        <n v="0.668"/>
        <n v="0.8221731448763251"/>
      </sharedItems>
    </cacheField>
    <cacheField name="Calories (on label)" numFmtId="0">
      <sharedItems containsSemiMixedTypes="0" containsString="0" containsNumber="1" containsInteger="1">
        <n v="140.0"/>
        <n v="160.0"/>
        <n v="250.0"/>
        <n v="170.0"/>
        <n v="190.0"/>
        <n v="100.0"/>
        <n v="120.0"/>
        <n v="130.0"/>
        <n v="240.0"/>
        <n v="90.0"/>
        <n v="80.0"/>
        <n v="40.0"/>
        <n v="70.0"/>
        <n v="25.0"/>
        <n v="180.0"/>
        <n v="50.0"/>
        <n v="110.0"/>
        <n v="20.0"/>
        <n v="35.0"/>
        <n v="30.0"/>
        <n v="150.0"/>
      </sharedItems>
    </cacheField>
    <cacheField name="Calories (calc)" numFmtId="166">
      <sharedItems containsSemiMixedTypes="0" containsString="0" containsNumber="1">
        <n v="136.0"/>
        <n v="166.0"/>
        <n v="247.0"/>
        <n v="160.0"/>
        <n v="164.0"/>
        <n v="155.0"/>
        <n v="182.0"/>
        <n v="100.0"/>
        <n v="125.0"/>
        <n v="129.0"/>
        <n v="112.5"/>
        <n v="227.0"/>
        <n v="89.5"/>
        <n v="68.0"/>
        <n v="40.5"/>
        <n v="113.5"/>
        <n v="86.0"/>
        <n v="69.5"/>
        <n v="73.0"/>
        <n v="24.0"/>
        <n v="187.0"/>
        <n v="192.0"/>
        <n v="49.5"/>
        <n v="122.5"/>
        <n v="96.0"/>
        <n v="84.0"/>
        <n v="76.0"/>
        <n v="72.0"/>
        <n v="65.0"/>
        <n v="84.5"/>
        <n v="92.0"/>
        <n v="94.5"/>
        <n v="76.5"/>
        <n v="80.0"/>
        <n v="118.0"/>
        <n v="119.0"/>
        <n v="108.0"/>
        <n v="104.5"/>
        <n v="140.0"/>
        <n v="48.0"/>
        <n v="16.0"/>
        <n v="12.0"/>
        <n v="44.0"/>
        <n v="20.5"/>
        <n v="124.0"/>
        <n v="126.0"/>
        <n v="150.5"/>
        <n v="152.0"/>
        <n v="149.5"/>
      </sharedItems>
    </cacheField>
    <cacheField name="Serving Size (g)" numFmtId="0">
      <sharedItems containsSemiMixedTypes="0" containsString="0" containsNumber="1">
        <n v="112.0"/>
        <n v="113.0"/>
        <n v="85.0"/>
        <n v="70.0"/>
        <n v="84.0"/>
        <n v="56.0"/>
        <n v="46.0"/>
        <n v="32.0"/>
        <n v="12.0"/>
        <n v="31.0"/>
        <n v="30.0"/>
        <n v="236.6"/>
        <n v="170.0"/>
        <n v="28.0"/>
        <n v="130.0"/>
        <n v="35.0"/>
        <n v="91.0"/>
        <n v="52.0"/>
        <n v="125.0"/>
        <n v="121.0"/>
        <n v="86.0"/>
        <n v="81.0"/>
        <n v="100.0"/>
        <n v="148.0"/>
        <n v="45.0"/>
        <n v="42.0"/>
      </sharedItems>
    </cacheField>
    <cacheField name="Num. of Servings" numFmtId="167">
      <sharedItems containsSemiMixedTypes="0" containsString="0" containsNumber="1">
        <n v="18.48428571428571"/>
        <n v="19.254464285714285"/>
        <n v="20.754285714285714"/>
        <n v="12.160714285714286"/>
        <n v="18.241071428571427"/>
        <n v="5.148035714285714"/>
        <n v="19.051785714285717"/>
        <n v="4.0"/>
        <n v="4.910882352941177"/>
        <n v="1.0"/>
        <n v="3.0401785714285716"/>
        <n v="3.615929203539823"/>
        <n v="8.107142857142858"/>
        <n v="4.053571428571429"/>
        <n v="2.164117647058824"/>
        <n v="4.042857142857143"/>
        <n v="18.0"/>
        <n v="19.68695652173913"/>
        <n v="35.375"/>
        <n v="31.837500000000002"/>
        <n v="70.75"/>
        <n v="73.16129032258064"/>
        <n v="75.6"/>
        <n v="15.997464074387151"/>
        <n v="6.0"/>
        <n v="5.327058823529412"/>
        <n v="6.010619469026549"/>
        <n v="6.064285714285715"/>
        <n v="3.3742307692307696"/>
        <n v="3.319807692307692"/>
        <n v="12.971428571428572"/>
        <n v="29.854945054945055"/>
        <n v="3.2653846153846153"/>
        <n v="64.68571428571428"/>
        <n v="8.707692307692309"/>
        <n v="3.396"/>
        <n v="3.391322314049587"/>
        <n v="3.1574380165289258"/>
        <n v="3.995294117647059"/>
        <n v="3.948837209302326"/>
        <n v="4.192592592592593"/>
        <n v="3.3960000000000004"/>
        <n v="3.3294117647058825"/>
        <n v="30.675675675675677"/>
        <n v="15.337837837837839"/>
        <n v="10.476923076923077"/>
        <n v="60.53333333333333"/>
        <n v="20.124444444444446"/>
        <n v="10.062222222222223"/>
        <n v="50.44444444444444"/>
        <n v="21.561904761904763"/>
      </sharedItems>
    </cacheField>
    <cacheField name="Protein (g)" numFmtId="0">
      <sharedItems containsSemiMixedTypes="0" containsString="0" containsNumber="1" containsInteger="1">
        <n v="25.0"/>
        <n v="19.0"/>
        <n v="22.0"/>
        <n v="23.0"/>
        <n v="20.0"/>
        <n v="12.0"/>
        <n v="27.0"/>
        <n v="17.0"/>
        <n v="5.0"/>
        <n v="21.0"/>
        <n v="15.0"/>
        <n v="7.0"/>
        <n v="8.0"/>
        <n v="6.0"/>
        <n v="24.0"/>
        <n v="13.0"/>
        <n v="14.0"/>
        <n v="9.0"/>
        <n v="4.0"/>
        <n v="1.0"/>
        <n v="2.0"/>
        <n v="3.0"/>
        <n v="10.0"/>
      </sharedItems>
    </cacheField>
    <cacheField name="Fat (g)" numFmtId="0">
      <sharedItems containsSemiMixedTypes="0" containsString="0" containsNumber="1">
        <n v="4.0"/>
        <n v="10.0"/>
        <n v="19.0"/>
        <n v="8.0"/>
        <n v="7.0"/>
        <n v="0.0"/>
        <n v="5.0"/>
        <n v="9.0"/>
        <n v="0.5"/>
        <n v="15.0"/>
        <n v="1.5"/>
        <n v="2.0"/>
        <n v="16.0"/>
        <n v="2.5"/>
      </sharedItems>
    </cacheField>
    <cacheField name="Carbs (g)" numFmtId="0">
      <sharedItems containsSemiMixedTypes="0" containsString="0" containsNumber="1" containsInteger="1">
        <n v="0.0"/>
        <n v="4.0"/>
        <n v="2.0"/>
        <n v="1.0"/>
        <n v="8.0"/>
        <n v="7.0"/>
        <n v="13.0"/>
        <n v="6.0"/>
        <n v="20.0"/>
        <n v="22.0"/>
        <n v="21.0"/>
        <n v="19.0"/>
        <n v="18.0"/>
        <n v="31.0"/>
        <n v="12.0"/>
        <n v="5.0"/>
        <n v="3.0"/>
        <n v="26.0"/>
        <n v="33.0"/>
        <n v="29.0"/>
        <n v="36.0"/>
        <n v="32.0"/>
      </sharedItems>
    </cacheField>
    <cacheField name="Fiber (g)" numFmtId="0">
      <sharedItems containsSemiMixedTypes="0" containsString="0" containsNumber="1" containsInteger="1">
        <n v="0.0"/>
        <n v="2.0"/>
        <n v="3.0"/>
        <n v="1.0"/>
        <n v="6.0"/>
        <n v="9.0"/>
        <n v="5.0"/>
        <n v="7.0"/>
        <n v="11.0"/>
        <n v="4.0"/>
      </sharedItems>
    </cacheField>
    <cacheField name="Protein %" numFmtId="168">
      <sharedItems containsSemiMixedTypes="0" containsString="0" containsNumber="1">
        <n v="0.7142857142857143"/>
        <n v="0.475"/>
        <n v="0.304"/>
        <n v="0.55"/>
        <n v="0.5411764705882353"/>
        <n v="0.575"/>
        <n v="0.4842105263157895"/>
        <n v="1.0"/>
        <n v="0.6666666666666666"/>
        <n v="0.36923076923076925"/>
        <n v="0.9"/>
        <n v="0.38333333333333336"/>
        <n v="0.8444444444444444"/>
        <n v="0.85"/>
        <n v="0.5"/>
        <n v="0.7"/>
        <n v="0.75"/>
        <n v="0.6857142857142857"/>
        <n v="0.35"/>
        <n v="0.8"/>
        <n v="0.15555555555555556"/>
        <n v="0.16842105263157894"/>
        <n v="0.48"/>
        <n v="0.7692307692307693"/>
        <n v="0.8727272727272727"/>
        <n v="0.35555555555555557"/>
        <n v="0.65"/>
        <n v="0.68"/>
        <n v="0.2857142857142857"/>
        <n v="0.21818181818181817"/>
        <n v="0.26666666666666666"/>
        <n v="0.23333333333333334"/>
        <n v="0.2545454545454545"/>
        <n v="0.2"/>
        <n v="0.28"/>
        <n v="0.32"/>
        <n v="0.4"/>
        <n v="0.4307692307692308"/>
        <n v="0.32727272727272727"/>
        <n v="0.28888888888888886"/>
        <n v="0.22857142857142856"/>
        <n v="0.16"/>
        <n v="0.34285714285714286"/>
        <n v="0.4444444444444444"/>
        <n v="0.10909090909090909"/>
        <n v="0.06153846153846154"/>
        <n v="0.1411764705882353"/>
        <n v="0.075"/>
        <n v="0.08"/>
      </sharedItems>
    </cacheField>
    <cacheField name="Fat %" numFmtId="168">
      <sharedItems containsSemiMixedTypes="0" containsString="0" containsNumber="1">
        <n v="0.2571428571428571"/>
        <n v="0.5625"/>
        <n v="0.684"/>
        <n v="0.45"/>
        <n v="0.4235294117647059"/>
        <n v="0.39375"/>
        <n v="0.47368421052631576"/>
        <n v="0.0"/>
        <n v="0.375"/>
        <n v="0.6230769230769231"/>
        <n v="0.0375"/>
        <n v="0.15"/>
        <n v="0.1125"/>
        <n v="0.225"/>
        <n v="0.19285714285714287"/>
        <n v="0.75"/>
        <n v="0.7578947368421053"/>
        <n v="0.27"/>
        <n v="0.17307692307692307"/>
        <n v="0.6428571428571429"/>
        <n v="0.04090909090909091"/>
        <n v="0.1875"/>
        <n v="0.05625"/>
        <n v="0.4846153846153846"/>
        <n v="0.12857142857142856"/>
        <n v="0.4"/>
        <n v="0.1323529411764706"/>
        <n v="0.09"/>
      </sharedItems>
    </cacheField>
    <cacheField name="Carb %" numFmtId="168">
      <sharedItems containsSemiMixedTypes="0" containsString="0" containsNumber="1">
        <n v="0.0"/>
        <n v="0.4"/>
        <n v="0.13333333333333333"/>
        <n v="0.1"/>
        <n v="0.11428571428571428"/>
        <n v="0.16"/>
        <n v="0.17777777777777778"/>
        <n v="0.14736842105263157"/>
        <n v="0.32"/>
        <n v="0.03076923076923077"/>
        <n v="0.5777777777777777"/>
        <n v="0.3"/>
        <n v="0.28"/>
        <n v="0.34285714285714286"/>
        <n v="0.7272727272727273"/>
        <n v="0.7333333333333333"/>
        <n v="0.7"/>
        <n v="0.6909090909090909"/>
        <n v="0.6"/>
        <n v="0.88"/>
        <n v="1.05"/>
        <n v="0.9333333333333333"/>
        <n v="0.06153846153846154"/>
        <n v="0.7636363636363637"/>
        <n v="0.8"/>
        <n v="0.6888888888888889"/>
        <n v="0.6857142857142857"/>
        <n v="0.96"/>
        <n v="0.45714285714285713"/>
        <n v="0.26666666666666666"/>
        <n v="0.48"/>
        <n v="0.9454545454545454"/>
        <n v="1.0153846153846153"/>
        <n v="0.6823529411764706"/>
        <n v="0.9"/>
        <n v="0.8533333333333334"/>
      </sharedItems>
    </cacheField>
    <cacheField name="Cost per g Protein" numFmtId="164">
      <sharedItems containsSemiMixedTypes="0" containsString="0" containsNumber="1">
        <n v="0.026357523765360543"/>
        <n v="0.038432645490377934"/>
        <n v="0.02297559703222815"/>
        <n v="0.044779068215191564"/>
        <n v="0.06666751792972823"/>
        <n v="0.08386482813953944"/>
        <n v="0.02510320432622755"/>
        <n v="0.032799999999999996"/>
        <n v="0.030544409175300952"/>
        <n v="0.08166666666666667"/>
        <n v="0.0910034263338228"/>
        <n v="0.10460958947838854"/>
        <n v="0.06998376999768141"/>
        <n v="0.11551179061933142"/>
        <n v="0.20146779016036964"/>
        <n v="0.4276190476190476"/>
        <n v="0.10640822320117474"/>
        <n v="0.11254416961130742"/>
        <n v="0.018492063492063494"/>
        <n v="0.04043286219081272"/>
        <n v="0.01607269056032307"/>
        <n v="0.025795053003533568"/>
        <n v="0.024687868080094228"/>
        <n v="0.02786172839506173"/>
        <n v="0.033212081128747795"/>
        <n v="0.020862681638044913"/>
        <n v="0.05743589743589744"/>
        <n v="0.03909010600706714"/>
        <n v="0.040761189634864546"/>
        <n v="0.09036513545347467"/>
        <n v="0.04050305862684752"/>
        <n v="0.030875282395875572"/>
        <n v="0.03471690739444073"/>
        <n v="0.013656387665198238"/>
        <n v="0.016960352422907488"/>
        <n v="0.018020374449339207"/>
        <n v="0.018502202643171806"/>
        <n v="0.016079295154185023"/>
        <n v="0.17218970848056536"/>
        <n v="0.05074878007740198"/>
        <n v="0.01644640234948605"/>
        <n v="0.017546378091872792"/>
        <n v="0.013957597173144876"/>
        <n v="0.04711425206124853"/>
        <n v="0.18871694894602167"/>
        <n v="0.20903023164507264"/>
        <n v="0.06132214369846878"/>
        <n v="0.24944051825677266"/>
        <n v="0.09222614840989397"/>
        <n v="0.0480565371024735"/>
        <n v="0.37838633686690215"/>
        <n v="0.29734982332155474"/>
        <n v="0.06997944199706314"/>
        <n v="0.12344199706314242"/>
        <n v="0.11605286343612334"/>
        <n v="0.1803964757709251"/>
        <n v="0.016340859030837002"/>
        <n v="0.05151280918727915"/>
        <n v="0.05731007067137809"/>
        <n v="0.0220704845814978"/>
        <n v="0.025353356890459363"/>
      </sharedItems>
    </cacheField>
    <cacheField name="PDCAAS" numFmtId="4">
      <sharedItems containsString="0" containsBlank="1" containsNumber="1">
        <n v="1.0"/>
        <m/>
        <n v="0.509"/>
        <n v="0.7949999999999999"/>
        <n v="0.648"/>
        <n v="0.74"/>
        <n v="0.7"/>
        <n v="0.6895"/>
        <n v="0.81"/>
        <n v="0.99"/>
        <n v="0.463"/>
        <n v="0.677"/>
        <n v="0.616"/>
      </sharedItems>
    </cacheField>
    <cacheField name="DIAAS" numFmtId="4">
      <sharedItems containsString="0" containsBlank="1" containsNumber="1">
        <n v="1.08"/>
        <n v="1.116"/>
        <n v="1.17"/>
        <n v="1.0"/>
        <n v="1.13"/>
        <n v="0.434"/>
        <n v="1.18"/>
        <n v="1.14"/>
        <m/>
        <n v="0.588"/>
        <n v="0.83"/>
        <n v="0.97"/>
        <n v="0.613"/>
        <n v="0.44"/>
        <n v="0.5325"/>
      </sharedItems>
    </cacheField>
    <cacheField name="Avg(PDCAAS, DIAAS)" numFmtId="4">
      <sharedItems containsSemiMixedTypes="0" containsString="0" containsNumber="1">
        <n v="1.04"/>
        <n v="1.058"/>
        <n v="1.17"/>
        <n v="1.0"/>
        <n v="1.065"/>
        <n v="0.47150000000000003"/>
        <n v="1.0899999999999999"/>
        <n v="1.0699999999999998"/>
        <n v="0.7949999999999999"/>
        <n v="0.618"/>
        <n v="0.7849999999999999"/>
        <n v="0.835"/>
        <n v="0.65125"/>
        <n v="0.81"/>
        <n v="0.995"/>
        <n v="0.4515"/>
        <n v="0.677"/>
        <n v="0.5742499999999999"/>
      </sharedItems>
    </cacheField>
    <cacheField name="Protein Score" numFmtId="4">
      <sharedItems containsSemiMixedTypes="0" containsString="0" containsNumber="1">
        <n v="28.183874535035685"/>
        <n v="12.853655888030886"/>
        <n v="13.760687026174706"/>
        <n v="12.77382542332459"/>
        <n v="8.588360923919085"/>
        <n v="7.253934855596317"/>
        <n v="22.567888482570062"/>
        <n v="30.487804878048784"/>
        <n v="21.82614379084967"/>
        <n v="4.521193092621664"/>
        <n v="9.88973752151463"/>
        <n v="3.664418675617944"/>
        <n v="12.066289719350946"/>
        <n v="7.3585561737257725"/>
        <n v="2.481786292498651"/>
        <n v="1.6369710467706011"/>
        <n v="7.048327445352175"/>
        <n v="6.092845929580624"/>
        <n v="20.157296137339053"/>
        <n v="21.071968538343892"/>
        <n v="4.56329599385818"/>
        <n v="3.0785176640230714"/>
        <n v="9.16725572519084"/>
        <n v="30.093665639571345"/>
        <n v="28.64237033461062"/>
        <n v="18.23564444134885"/>
        <n v="12.109151785714282"/>
        <n v="18.61340564971751"/>
        <n v="18.000315797621198"/>
        <n v="3.3830999553105907"/>
        <n v="4.282504860992665"/>
        <n v="6.866333958724201"/>
        <n v="4.153595778611633"/>
        <n v="4.531195394849054"/>
        <n v="3.8762504690431525"/>
        <n v="16.300064516129034"/>
        <n v="14.99968831168831"/>
        <n v="13.717805958747135"/>
        <n v="11.876063492063492"/>
        <n v="11.39146118721461"/>
        <n v="2.0889303481973505"/>
        <n v="3.9875566674704603"/>
        <n v="15.819983766233767"/>
        <n v="12.082265575833855"/>
        <n v="16.454599156118142"/>
        <n v="3.159492857142857"/>
        <n v="0.6867427685950415"/>
        <n v="1.5500150262960182"/>
        <n v="2.4274614988852687"/>
        <n v="1.0391254869554956"/>
        <n v="3.011231527093597"/>
        <n v="7.491176470588235"/>
        <n v="0.5708451361867706"/>
        <n v="0.8717005347593585"/>
        <n v="1.5511048880614098"/>
        <n v="0.8793235456967853"/>
        <n v="0.9353104381194269"/>
        <n v="0.3394233117310041"/>
        <n v="22.104101095197983"/>
        <n v="1.855392320786836"/>
        <n v="1.6677081264875895"/>
        <n v="1.9514184131736523"/>
        <n v="1.8119888501742158"/>
      </sharedItems>
    </cacheField>
    <cacheField name="Link" numFmtId="0">
      <sharedItems>
        <s v="https://www.walmart.com/ip/Boneless-Skinless-Chicken-Breasts-4-7-6-1-lb-Tray/27935840?athbdg=L1200&amp;from=/search"/>
        <s v="https://www.walmart.com/ip/Boneless-Skinless-Chicken-Thighs-Family-Pack-4-7-6-lb-Tray/124782654?athbdg=L1600&amp;from=/search"/>
        <s v="https://www.walmart.com/ip/Perdue-No-Antibiotics-Ever-Fresh-Chicken-Thighs-4-5-5-9-lb-Tray/51259012?from=/search"/>
        <s v="https://www.walmart.com/ip/Shady-Brook-Farms-93-Lean-7-Fat-Ground-Turkey-Tray-Fresh-3-lbs/161873862?athbdg=L1300&amp;from=/search"/>
        <s v="https://www.walmart.com/ip/All-Natural-93-Lean-7-Fat-Lean-Ground-Beef-4-5-lb-Tray/519269784?from=/search"/>
        <s v="https://www.walmart.com/ip/Beef-Sirloin-Tip-Steak-Thin-0-85-1-61-lb-Tray/21553581?from=/search"/>
        <s v="https://www.walmart.com/ip/AVA-Brand-Center-Cut-Loin-Roast-Boneless-Fresh-Pork-4-0-5-5-lb-Fresh/106173246?from=/search"/>
        <s v="https://www.walmart.com/ip/Great-Value-Chunk-Light-Tuna-in-Water-5-oz-4-Pack/33867594?athbdg=L1200&amp;from=/search"/>
        <s v="https://www.walmart.com/ip/StarKist-Wild-Alaskan-Pink-Salmon-14-75-oz-Can/47044520?from=/search"/>
        <s v="https://www.walmart.com/ip/Beach-Cliff-Sardines-in-Water-12g-Protein-per-serving-in-3-75-oz-Can/10295794?athbdg=L1600&amp;from=/search"/>
        <s v="https://www.walmart.com/ip/Wild-Caught-Fresh-Tuna-Steaks-0-75-0-875-lb-27g-Protein-per-4-oz-112-g-Serving/834772435?athbdg=L1200&amp;from=/search"/>
        <s v="https://www.walmart.com/ip/Fresh-Skinless-Atlantic-Salmon-Portions-0-95-1-2-lb-Tray-BAP-4-Star-Certified-23g-Protein-per-4-oz-113-g-Serving/146682853?athbdg=L1200&amp;from=/search"/>
        <s v="https://www.walmart.com/ip/Fresh-Atlantic-Salmon-Whole-Portions-0-70-1-25-lb-BAP-Certified-23g-Protein-per-Serving/896766595?athbdg=L1600&amp;from=/search"/>
        <s v="https://www.walmart.com/ip/Great-Value-Frozen-Tilapia-Skinless-Boneless-Fillets-2-lb/51259015?athbdg=L1600&amp;from=/search"/>
        <s v="https://www.walmart.com/ip/Great-Value-Frozen-Wild-Caught-Pacific-Cod-Fillets-1-lb/129433826?athbdg=L1300&amp;from=/search"/>
        <s v="https://www.walmart.com/ip/Sam-s-Choice-Frozen-Whole-Farm-Raised-Cooked-Clams-7-76-oz/762493587?from=/search"/>
        <s v="https://www.walmart.com/ip/Great-Value-Frozen-Raw-Large-Peeled-Deveined-Tail-off-Shrimp-2-lb-31-40-Count-per-lb/791288879?athbdg=L1600&amp;from=/search"/>
        <s v="https://www.walmart.com/ip/Great-Value-Frozen-Cooked-Extra-Small-Peeled-Deveined-Tail-off-Shrimp-12-oz-100-150-per-lb/32285837?from=/search"/>
        <s v="https://www.walmart.com/ip/Great-Value-Large-White-Eggs-18-Count/172844767?athbdg=L1200&amp;from=/search"/>
        <s v="https://www.walmart.com/ip/Great-Value-100-Liquid-Egg-Whites-32-oz/13925176?athbdg=L1200&amp;from=/search"/>
        <s v="https://www.walmart.com/ip/Great-Value-Creamy-Peanut-Butter-40-oz-Jar/10315479?athbdg=L1600&amp;from=/search"/>
        <s v="https://www.walmart.com/ip/Teddie-All-Natural-Smooth-Peanut-Butter-36-oz/640652420?from=/search"/>
        <s v="https://www.walmart.com/ip/Great-Value-Powdered-Peanut-Butter-30-oz/664689057?from=/search"/>
        <s v="https://www.amazon.com/gp/product/B01KITQG0A/ref=ppx_yo_dt_b_search_asin_title?ie=UTF8&amp;psc=1"/>
        <s v="https://www.amazon.com/gp/product/B08HSSFB2X/ref=ppx_yo_dt_b_search_asin_title?ie=UTF8&amp;psc=1"/>
        <s v="https://www.walmart.com/ip/Great-Value-Milk-Fat-Free-Gallon-Plastic-Jug/10450117?athbdg=L1600&amp;from=/search"/>
        <s v="https://www.walmart.com/ip/fairlife-Lactose-Free-Fat-Free-Ultra-Filtered-Milk-52-fl-oz/43984342?athbdg=L1600&amp;from=/search"/>
        <s v="https://www.walmart.com/ip/Great-Value-Greek-Plain-Nonfat-Yogurt-32-oz-Tub/26559565?athbdg=L1200&amp;from=/search"/>
        <s v="https://www.walmart.com/ip/Great-Value-0-Milkfat-Small-Curd-Fat-Free-Cottage-Cheese-24-oz/10315043?athbdg=L1600&amp;from=/search"/>
        <s v="https://www.walmart.com/ip/Galbani-Fresh-Mozzarella-Cheese-Ball-Non-Marinated-6-oz-Refrigerated/2234531695?athbdg=L1600&amp;from=/search"/>
        <s v="https://www.walmart.com/ip/Great-Value-Pinto-Beans-15-5-oz-Can/10534043?athbdg=L1200&amp;from=/search"/>
        <s v="https://www.walmart.com/ip/Great-Value-Black-Beans-15-oz-Can/10534038?athbdg=L1600&amp;from=/search"/>
        <s v="https://www.walmart.com/ip/Great-Value-Dark-Red-Kidney-Beans-15-5-oz/10534045?athbdg=L1600&amp;from=/search"/>
        <s v="https://www.walmart.com/ip/Great-Value-Light-Red-Kidney-Beans-15-5-oz/10534039?athbdg=L1600&amp;from=/search"/>
        <s v="https://www.walmart.com/ip/Great-Value-Garbanzos-Chick-Peas-15-5-oz/10534041?from=/search"/>
        <s v="https://www.walmart.com/ip/Great-Value-Pinto-Beans-1-lb/294723013?athbdg=L1600&amp;from=/search"/>
        <s v="https://www.walmart.com/ip/Great-Value-Black-Beans-1-lb/284432452?athbdg=L1600&amp;from=/search"/>
        <s v="https://www.walmart.com/ip/Great-Value-Small-Red-Beans-1-lb/716746746?athbdg=L1600&amp;from=/search"/>
        <s v="https://www.walmart.com/ip/Great-Value-Light-Red-Kidney-Beans-1-lb/963577064?athbdg=L1200&amp;from=/search"/>
        <s v="https://www.walmart.com/ip/Great-Value-Chick-Peas-Garbanzos-1-lb/455381301?athbdg=L1600&amp;from=/search"/>
        <s v="https://www.walmart.com/ip/Wildwood-Natural-Foods-Organic-Super-Firm-High-Protein-Tofu-16-Ounce-6-per-case/683184835?from=/search"/>
        <s v="https://www.walmart.com/ip/Great-Value-Organic-Lentils-15-oz-Can/169639264?athbdg=L1200&amp;from=/search"/>
        <s v="https://www.walmart.com/ip/Great-Value-Lentils-1-lb/545884744?athbdg=L1600&amp;from=/search"/>
        <s v="https://www.walmart.com/ip/Hurst-s-Hampeas-Green-Split-Peas-with-Ham-Flavor-20-oz/1006198191?from=/search"/>
        <s v="https://www.walmart.com/ip/Goya-Red-Lentil-Beans-Lentejas-16-oz-Bag/43394104?wmlspartner=wlpa&amp;selectedSellerId=0&amp;wl13=2964&amp;adid=2222222227743394104_161193766053_21214199653&amp;wl0=&amp;wl1=g&amp;wl2=c&amp;wl3=697173827980&amp;wl4=pla-2300760861495&amp;wl5=9001881&amp;wl6=&amp;wl7=&amp;wl8="/>
        <s v="https://www.walmart.com/ip/Great-Value-Sweet-Peas-Gluten-Free-15-oz-Can/10451509?athbdg=L1200&amp;from=/search"/>
        <s v="https://www.walmart.com/ip/Great-Value-Cut-Green-Beans-Canned-Green-Beans-14-5-oz-Can/10448318?athbdg=L1600&amp;from=/search"/>
        <s v="https://www.walmart.com/ip/Great-Value-Canned-Leaf-Spinach-13-5-oz-Can/10451500?athbdg=L1200&amp;from=/search"/>
        <s v="https://www.walmart.com/ip/Great-Value-Frozen-Sweet-Peas-12-oz-Steamable-Bag/443429457?athbdg=L1600&amp;from=/search"/>
        <s v="https://www.walmart.com/ip/Great-Value-Steamable-Fine-Green-Beans-Frozen-12-oz/872271913?athbdg=L1600&amp;from=/search"/>
        <s v="https://www.walmart.com/ip/Great-Value-Chopped-Spinach-12-oz-Frozen/431513547?athbdg=L1600&amp;from=/search"/>
        <s v="https://www.walmart.com/ip/Great-Value-Frozen-Edamame-12-oz/328567678?from=/search"/>
        <s v="https://www.walmart.com/ip/Marketside-Fresh-Green-Beans-12-oz/14053328?athbdg=L1600&amp;from=/search"/>
        <s v="https://www.walmart.com/ip/Marketside-Fresh-Spinach-10-oz-Bag-Fresh/13893738?athbdg=L1200&amp;from=/search"/>
        <s v="https://www.walmart.com/ip/Russet-Potatoes-10-lb-Bag-Whole/10449951?from=/search"/>
        <s v="https://www.walmart.com/ip/Yellow-Potatoes-Whole-Fresh-5lb-Bag/184310759?from=/search"/>
        <s v="https://www.walmart.com/ip/Red-Potatoes-Whole-Fresh-5-lb-Bag/10449950?from=/search"/>
        <s v="https://www.walmart.com/ip/Sweet-Potatoes-Whole-Fresh-3-lb-Bag/132720824?from=/search"/>
        <s v="https://www.amazon.com/gp/product/B00PB8U7Y0/ref=ppx_yo_dt_b_search_asin_title?ie=UTF8&amp;psc=1"/>
        <s v="https://www.walmart.com/ip/Great-Value-Organic-White-Quinoa-32-oz/51258806?athbdg=L1600&amp;from=/search"/>
        <s v="https://www.walmart.com/ip/Great-Value-Organic-Tri-Color-Quinoa-16-oz/51258776?athbdg=L1200&amp;from=/search"/>
        <s v="https://www.walmart.com/ip/Great-Value-Long-Grain-Enriched-Rice-5-lbs/10315395?athbdg=L1600&amp;from=/search"/>
        <s v="https://www.walmart.com/ip/Great-Value-Natural-Brown-Long-Grain-Rice-32-oz/10898755?athbdg=L1200&amp;from=/searc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rowGrandTotals="0" compact="0" compactData="0">
  <location ref="A1:E64" firstHeaderRow="0" firstDataRow="2" firstDataCol="0"/>
  <pivotFields>
    <pivotField name="Food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tegory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st ($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ize (g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ost/lb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Calories (on labe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alories (calc)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erving Size (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Num. of Servings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Protein (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Fat (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arbs (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Fiber (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tein %" dataField="1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Fat %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arb %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Cost per g Protein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PDCAA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AA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vg(PDCAAS, DIAAS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rotein Scor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0"/>
  </rowFields>
  <colFields>
    <field x="-2"/>
  </colFields>
  <dataFields>
    <dataField name="SUM of Protein Score" fld="20" baseField="0"/>
    <dataField name="SUM of Cost per g Protein" fld="16" baseField="0"/>
    <dataField name="SUM of Avg(PDCAAS, DIAAS)" fld="19" baseField="0"/>
    <dataField name="SUM of Protein %" fld="1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almart.com/ip/Great-Value-Chick-Peas-Garbanzos-1-lb/455381301?athbdg=L1600&amp;from=/search" TargetMode="External"/><Relationship Id="rId42" Type="http://schemas.openxmlformats.org/officeDocument/2006/relationships/hyperlink" Target="https://www.walmart.com/ip/Great-Value-Organic-Lentils-15-oz-Can/169639264?athbdg=L1200&amp;from=/search" TargetMode="External"/><Relationship Id="rId41" Type="http://schemas.openxmlformats.org/officeDocument/2006/relationships/hyperlink" Target="https://www.walmart.com/ip/Wildwood-Natural-Foods-Organic-Super-Firm-High-Protein-Tofu-16-Ounce-6-per-case/683184835?from=/search" TargetMode="External"/><Relationship Id="rId44" Type="http://schemas.openxmlformats.org/officeDocument/2006/relationships/hyperlink" Target="https://www.walmart.com/ip/Hurst-s-Hampeas-Green-Split-Peas-with-Ham-Flavor-20-oz/1006198191?from=/search" TargetMode="External"/><Relationship Id="rId43" Type="http://schemas.openxmlformats.org/officeDocument/2006/relationships/hyperlink" Target="https://www.walmart.com/ip/Great-Value-Lentils-1-lb/545884744?athbdg=L1600&amp;from=/search" TargetMode="External"/><Relationship Id="rId46" Type="http://schemas.openxmlformats.org/officeDocument/2006/relationships/hyperlink" Target="https://www.walmart.com/ip/Great-Value-Sweet-Peas-Gluten-Free-15-oz-Can/10451509?athbdg=L1200&amp;from=/search" TargetMode="External"/><Relationship Id="rId45" Type="http://schemas.openxmlformats.org/officeDocument/2006/relationships/hyperlink" Target="https://www.walmart.com/ip/Goya-Red-Lentil-Beans-Lentejas-16-oz-Bag/43394104?wmlspartner=wlpa&amp;selectedSellerId=0&amp;wl13=2964&amp;adid=2222222227743394104_161193766053_21214199653&amp;wl0=&amp;wl1=g&amp;wl2=c&amp;wl3=697173827980&amp;wl4=pla-2300760861495&amp;wl5=9001881&amp;wl6=&amp;wl7=&amp;wl8=&amp;wl9=pla&amp;wl10=8175035&amp;wl11=local&amp;wl12=43394104&amp;veh=sem_LIA&amp;gad_source=1" TargetMode="External"/><Relationship Id="rId1" Type="http://schemas.openxmlformats.org/officeDocument/2006/relationships/hyperlink" Target="https://www.walmart.com/ip/Boneless-Skinless-Chicken-Breasts-4-7-6-1-lb-Tray/27935840?athbdg=L1200&amp;from=/search" TargetMode="External"/><Relationship Id="rId2" Type="http://schemas.openxmlformats.org/officeDocument/2006/relationships/hyperlink" Target="https://www.walmart.com/ip/Boneless-Skinless-Chicken-Thighs-Family-Pack-4-7-6-lb-Tray/124782654?athbdg=L1600&amp;from=/search" TargetMode="External"/><Relationship Id="rId3" Type="http://schemas.openxmlformats.org/officeDocument/2006/relationships/hyperlink" Target="https://www.walmart.com/ip/Perdue-No-Antibiotics-Ever-Fresh-Chicken-Thighs-4-5-5-9-lb-Tray/51259012?from=/search" TargetMode="External"/><Relationship Id="rId4" Type="http://schemas.openxmlformats.org/officeDocument/2006/relationships/hyperlink" Target="https://www.walmart.com/ip/Shady-Brook-Farms-93-Lean-7-Fat-Ground-Turkey-Tray-Fresh-3-lbs/161873862?athbdg=L1300&amp;from=/search" TargetMode="External"/><Relationship Id="rId9" Type="http://schemas.openxmlformats.org/officeDocument/2006/relationships/hyperlink" Target="https://www.walmart.com/ip/StarKist-Wild-Alaskan-Pink-Salmon-14-75-oz-Can/47044520?from=/search" TargetMode="External"/><Relationship Id="rId48" Type="http://schemas.openxmlformats.org/officeDocument/2006/relationships/hyperlink" Target="https://www.walmart.com/ip/Great-Value-Canned-Leaf-Spinach-13-5-oz-Can/10451500?athbdg=L1200&amp;from=/search" TargetMode="External"/><Relationship Id="rId47" Type="http://schemas.openxmlformats.org/officeDocument/2006/relationships/hyperlink" Target="https://www.walmart.com/ip/Great-Value-Cut-Green-Beans-Canned-Green-Beans-14-5-oz-Can/10448318?athbdg=L1600&amp;from=/search" TargetMode="External"/><Relationship Id="rId49" Type="http://schemas.openxmlformats.org/officeDocument/2006/relationships/hyperlink" Target="https://www.walmart.com/ip/Great-Value-Frozen-Sweet-Peas-12-oz-Steamable-Bag/443429457?athbdg=L1600&amp;from=/search" TargetMode="External"/><Relationship Id="rId5" Type="http://schemas.openxmlformats.org/officeDocument/2006/relationships/hyperlink" Target="https://www.walmart.com/ip/All-Natural-93-Lean-7-Fat-Lean-Ground-Beef-4-5-lb-Tray/519269784?from=/search" TargetMode="External"/><Relationship Id="rId6" Type="http://schemas.openxmlformats.org/officeDocument/2006/relationships/hyperlink" Target="https://www.walmart.com/ip/Beef-Sirloin-Tip-Steak-Thin-0-85-1-61-lb-Tray/21553581?from=/search" TargetMode="External"/><Relationship Id="rId7" Type="http://schemas.openxmlformats.org/officeDocument/2006/relationships/hyperlink" Target="https://www.walmart.com/ip/AVA-Brand-Center-Cut-Loin-Roast-Boneless-Fresh-Pork-4-0-5-5-lb-Fresh/106173246?from=/search" TargetMode="External"/><Relationship Id="rId8" Type="http://schemas.openxmlformats.org/officeDocument/2006/relationships/hyperlink" Target="https://www.walmart.com/ip/Great-Value-Chunk-Light-Tuna-in-Water-5-oz-4-Pack/33867594?athbdg=L1200&amp;from=/search" TargetMode="External"/><Relationship Id="rId31" Type="http://schemas.openxmlformats.org/officeDocument/2006/relationships/hyperlink" Target="https://www.walmart.com/ip/Great-Value-Pinto-Beans-15-5-oz-Can/10534043?athbdg=L1200&amp;from=/search" TargetMode="External"/><Relationship Id="rId30" Type="http://schemas.openxmlformats.org/officeDocument/2006/relationships/hyperlink" Target="https://www.walmart.com/ip/Galbani-Fresh-Mozzarella-Cheese-Ball-Non-Marinated-6-oz-Refrigerated/2234531695?athbdg=L1600&amp;from=/search" TargetMode="External"/><Relationship Id="rId33" Type="http://schemas.openxmlformats.org/officeDocument/2006/relationships/hyperlink" Target="https://www.walmart.com/ip/Great-Value-Dark-Red-Kidney-Beans-15-5-oz/10534045?athbdg=L1600&amp;from=/search" TargetMode="External"/><Relationship Id="rId32" Type="http://schemas.openxmlformats.org/officeDocument/2006/relationships/hyperlink" Target="https://www.walmart.com/ip/Great-Value-Black-Beans-15-oz-Can/10534038?athbdg=L1600&amp;from=/search" TargetMode="External"/><Relationship Id="rId35" Type="http://schemas.openxmlformats.org/officeDocument/2006/relationships/hyperlink" Target="https://www.walmart.com/ip/Great-Value-Garbanzos-Chick-Peas-15-5-oz/10534041?from=/search" TargetMode="External"/><Relationship Id="rId34" Type="http://schemas.openxmlformats.org/officeDocument/2006/relationships/hyperlink" Target="https://www.walmart.com/ip/Great-Value-Light-Red-Kidney-Beans-15-5-oz/10534039?athbdg=L1600&amp;from=/search" TargetMode="External"/><Relationship Id="rId37" Type="http://schemas.openxmlformats.org/officeDocument/2006/relationships/hyperlink" Target="https://www.walmart.com/ip/Great-Value-Black-Beans-1-lb/284432452?athbdg=L1600&amp;from=/search" TargetMode="External"/><Relationship Id="rId36" Type="http://schemas.openxmlformats.org/officeDocument/2006/relationships/hyperlink" Target="https://www.walmart.com/ip/Great-Value-Pinto-Beans-1-lb/294723013?athbdg=L1600&amp;from=/search" TargetMode="External"/><Relationship Id="rId39" Type="http://schemas.openxmlformats.org/officeDocument/2006/relationships/hyperlink" Target="https://www.walmart.com/ip/Great-Value-Light-Red-Kidney-Beans-1-lb/963577064?athbdg=L1200&amp;from=/search" TargetMode="External"/><Relationship Id="rId38" Type="http://schemas.openxmlformats.org/officeDocument/2006/relationships/hyperlink" Target="https://www.walmart.com/ip/Great-Value-Small-Red-Beans-1-lb/716746746?athbdg=L1600&amp;from=/search" TargetMode="External"/><Relationship Id="rId62" Type="http://schemas.openxmlformats.org/officeDocument/2006/relationships/hyperlink" Target="https://www.walmart.com/ip/Great-Value-Long-Grain-Enriched-Rice-5-lbs/10315395?athbdg=L1600&amp;from=/search" TargetMode="External"/><Relationship Id="rId61" Type="http://schemas.openxmlformats.org/officeDocument/2006/relationships/hyperlink" Target="https://www.walmart.com/ip/Great-Value-Organic-Tri-Color-Quinoa-16-oz/51258776?athbdg=L1200&amp;from=/search" TargetMode="External"/><Relationship Id="rId20" Type="http://schemas.openxmlformats.org/officeDocument/2006/relationships/hyperlink" Target="https://www.walmart.com/ip/Great-Value-100-Liquid-Egg-Whites-32-oz/13925176?athbdg=L1200&amp;from=/search" TargetMode="External"/><Relationship Id="rId64" Type="http://schemas.openxmlformats.org/officeDocument/2006/relationships/drawing" Target="../drawings/drawing2.xml"/><Relationship Id="rId63" Type="http://schemas.openxmlformats.org/officeDocument/2006/relationships/hyperlink" Target="https://www.walmart.com/ip/Great-Value-Natural-Brown-Long-Grain-Rice-32-oz/10898755?athbdg=L1200&amp;from=/search" TargetMode="External"/><Relationship Id="rId22" Type="http://schemas.openxmlformats.org/officeDocument/2006/relationships/hyperlink" Target="https://www.walmart.com/ip/Teddie-All-Natural-Smooth-Peanut-Butter-36-oz/640652420?from=/search" TargetMode="External"/><Relationship Id="rId21" Type="http://schemas.openxmlformats.org/officeDocument/2006/relationships/hyperlink" Target="https://www.walmart.com/ip/Great-Value-Creamy-Peanut-Butter-40-oz-Jar/10315479?athbdg=L1600&amp;from=/search" TargetMode="External"/><Relationship Id="rId24" Type="http://schemas.openxmlformats.org/officeDocument/2006/relationships/hyperlink" Target="https://www.amazon.com/gp/product/B01KITQG0A/ref=ppx_yo_dt_b_search_asin_title?ie=UTF8&amp;psc=1" TargetMode="External"/><Relationship Id="rId23" Type="http://schemas.openxmlformats.org/officeDocument/2006/relationships/hyperlink" Target="https://www.walmart.com/ip/Great-Value-Powdered-Peanut-Butter-30-oz/664689057?from=/search" TargetMode="External"/><Relationship Id="rId60" Type="http://schemas.openxmlformats.org/officeDocument/2006/relationships/hyperlink" Target="https://www.walmart.com/ip/Great-Value-Organic-White-Quinoa-32-oz/51258806?athbdg=L1600&amp;from=/search" TargetMode="External"/><Relationship Id="rId26" Type="http://schemas.openxmlformats.org/officeDocument/2006/relationships/hyperlink" Target="https://www.walmart.com/ip/Great-Value-Milk-Fat-Free-Gallon-Plastic-Jug/10450117?athbdg=L1600&amp;from=/search" TargetMode="External"/><Relationship Id="rId25" Type="http://schemas.openxmlformats.org/officeDocument/2006/relationships/hyperlink" Target="https://www.amazon.com/gp/product/B08HSSFB2X/ref=ppx_yo_dt_b_search_asin_title?ie=UTF8&amp;psc=1" TargetMode="External"/><Relationship Id="rId28" Type="http://schemas.openxmlformats.org/officeDocument/2006/relationships/hyperlink" Target="https://www.walmart.com/ip/Great-Value-Greek-Plain-Nonfat-Yogurt-32-oz-Tub/26559565?athbdg=L1200&amp;from=/search" TargetMode="External"/><Relationship Id="rId27" Type="http://schemas.openxmlformats.org/officeDocument/2006/relationships/hyperlink" Target="https://www.walmart.com/ip/fairlife-Lactose-Free-Fat-Free-Ultra-Filtered-Milk-52-fl-oz/43984342?athbdg=L1600&amp;from=/search" TargetMode="External"/><Relationship Id="rId29" Type="http://schemas.openxmlformats.org/officeDocument/2006/relationships/hyperlink" Target="https://www.walmart.com/ip/Great-Value-0-Milkfat-Small-Curd-Fat-Free-Cottage-Cheese-24-oz/10315043?athbdg=L1600&amp;from=/search" TargetMode="External"/><Relationship Id="rId51" Type="http://schemas.openxmlformats.org/officeDocument/2006/relationships/hyperlink" Target="https://www.walmart.com/ip/Great-Value-Chopped-Spinach-12-oz-Frozen/431513547?athbdg=L1600&amp;from=/search" TargetMode="External"/><Relationship Id="rId50" Type="http://schemas.openxmlformats.org/officeDocument/2006/relationships/hyperlink" Target="https://www.walmart.com/ip/Great-Value-Steamable-Fine-Green-Beans-Frozen-12-oz/872271913?athbdg=L1600&amp;from=/search" TargetMode="External"/><Relationship Id="rId53" Type="http://schemas.openxmlformats.org/officeDocument/2006/relationships/hyperlink" Target="https://www.walmart.com/ip/Marketside-Fresh-Green-Beans-12-oz/14053328?athbdg=L1600&amp;from=/search" TargetMode="External"/><Relationship Id="rId52" Type="http://schemas.openxmlformats.org/officeDocument/2006/relationships/hyperlink" Target="https://www.walmart.com/ip/Great-Value-Frozen-Edamame-12-oz/328567678?from=/search" TargetMode="External"/><Relationship Id="rId11" Type="http://schemas.openxmlformats.org/officeDocument/2006/relationships/hyperlink" Target="https://www.walmart.com/ip/Wild-Caught-Fresh-Tuna-Steaks-0-75-0-875-lb-27g-Protein-per-4-oz-112-g-Serving/834772435?athbdg=L1200&amp;from=/search" TargetMode="External"/><Relationship Id="rId55" Type="http://schemas.openxmlformats.org/officeDocument/2006/relationships/hyperlink" Target="https://www.walmart.com/ip/Russet-Potatoes-10-lb-Bag-Whole/10449951?from=/search" TargetMode="External"/><Relationship Id="rId10" Type="http://schemas.openxmlformats.org/officeDocument/2006/relationships/hyperlink" Target="https://www.walmart.com/ip/Beach-Cliff-Sardines-in-Water-12g-Protein-per-serving-in-3-75-oz-Can/10295794?athbdg=L1600&amp;from=/search" TargetMode="External"/><Relationship Id="rId54" Type="http://schemas.openxmlformats.org/officeDocument/2006/relationships/hyperlink" Target="https://www.walmart.com/ip/Marketside-Fresh-Spinach-10-oz-Bag-Fresh/13893738?athbdg=L1200&amp;from=/search" TargetMode="External"/><Relationship Id="rId13" Type="http://schemas.openxmlformats.org/officeDocument/2006/relationships/hyperlink" Target="https://www.walmart.com/ip/Fresh-Atlantic-Salmon-Whole-Portions-0-70-1-25-lb-BAP-Certified-23g-Protein-per-Serving/896766595?athbdg=L1600&amp;from=/search" TargetMode="External"/><Relationship Id="rId57" Type="http://schemas.openxmlformats.org/officeDocument/2006/relationships/hyperlink" Target="https://www.walmart.com/ip/Red-Potatoes-Whole-Fresh-5-lb-Bag/10449950?from=/search" TargetMode="External"/><Relationship Id="rId12" Type="http://schemas.openxmlformats.org/officeDocument/2006/relationships/hyperlink" Target="https://www.walmart.com/ip/Fresh-Skinless-Atlantic-Salmon-Portions-0-95-1-2-lb-Tray-BAP-4-Star-Certified-23g-Protein-per-4-oz-113-g-Serving/146682853?athbdg=L1200&amp;from=/search" TargetMode="External"/><Relationship Id="rId56" Type="http://schemas.openxmlformats.org/officeDocument/2006/relationships/hyperlink" Target="https://www.walmart.com/ip/Yellow-Potatoes-Whole-Fresh-5lb-Bag/184310759?from=/search" TargetMode="External"/><Relationship Id="rId15" Type="http://schemas.openxmlformats.org/officeDocument/2006/relationships/hyperlink" Target="https://www.walmart.com/ip/Great-Value-Frozen-Wild-Caught-Pacific-Cod-Fillets-1-lb/129433826?athbdg=L1300&amp;from=/search" TargetMode="External"/><Relationship Id="rId59" Type="http://schemas.openxmlformats.org/officeDocument/2006/relationships/hyperlink" Target="https://www.amazon.com/gp/product/B00PB8U7Y0/ref=ppx_yo_dt_b_search_asin_title?ie=UTF8&amp;psc=1" TargetMode="External"/><Relationship Id="rId14" Type="http://schemas.openxmlformats.org/officeDocument/2006/relationships/hyperlink" Target="https://www.walmart.com/ip/Great-Value-Frozen-Tilapia-Skinless-Boneless-Fillets-2-lb/51259015?athbdg=L1600&amp;from=/search" TargetMode="External"/><Relationship Id="rId58" Type="http://schemas.openxmlformats.org/officeDocument/2006/relationships/hyperlink" Target="https://www.walmart.com/ip/Sweet-Potatoes-Whole-Fresh-3-lb-Bag/132720824?from=/search" TargetMode="External"/><Relationship Id="rId17" Type="http://schemas.openxmlformats.org/officeDocument/2006/relationships/hyperlink" Target="https://www.walmart.com/ip/Great-Value-Frozen-Raw-Large-Peeled-Deveined-Tail-off-Shrimp-2-lb-31-40-Count-per-lb/791288879?athbdg=L1600&amp;from=/search" TargetMode="External"/><Relationship Id="rId16" Type="http://schemas.openxmlformats.org/officeDocument/2006/relationships/hyperlink" Target="https://www.walmart.com/ip/Sam-s-Choice-Frozen-Whole-Farm-Raised-Cooked-Clams-7-76-oz/762493587?from=/search" TargetMode="External"/><Relationship Id="rId19" Type="http://schemas.openxmlformats.org/officeDocument/2006/relationships/hyperlink" Target="https://www.walmart.com/ip/Great-Value-Large-White-Eggs-18-Count/172844767?athbdg=L1200&amp;from=/search" TargetMode="External"/><Relationship Id="rId18" Type="http://schemas.openxmlformats.org/officeDocument/2006/relationships/hyperlink" Target="https://www.walmart.com/ip/Great-Value-Frozen-Cooked-Extra-Small-Peeled-Deveined-Tail-off-Shrimp-12-oz-100-150-per-lb/32285837?from=/search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Digestible_Indispensable_Amino_Acid_Score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8.63"/>
    <col customWidth="1" min="2" max="3" width="20.5"/>
    <col customWidth="1" min="4" max="4" width="23.75"/>
    <col customWidth="1" min="5" max="5" width="14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</sheetData>
  <autoFilter ref="$A$1:$B$65">
    <sortState ref="A1:B65">
      <sortCondition descending="1" ref="B1:B65"/>
      <sortCondition ref="A1:A65"/>
    </sortState>
  </autoFil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88"/>
    <col customWidth="1" min="2" max="2" width="11.25"/>
    <col customWidth="1" min="3" max="3" width="9.75"/>
    <col customWidth="1" min="4" max="4" width="9.38"/>
    <col customWidth="1" min="5" max="5" width="9.13"/>
    <col customWidth="1" min="6" max="6" width="18.0"/>
    <col customWidth="1" min="7" max="7" width="14.88"/>
    <col customWidth="1" min="8" max="8" width="16.0"/>
    <col customWidth="1" min="9" max="9" width="17.25"/>
    <col customWidth="1" min="10" max="10" width="11.88"/>
    <col customWidth="1" min="11" max="11" width="8.63"/>
    <col customWidth="1" min="12" max="12" width="10.88"/>
    <col customWidth="1" min="13" max="13" width="10.13"/>
    <col customWidth="1" min="14" max="14" width="11.13"/>
    <col customWidth="1" min="15" max="15" width="8.0"/>
    <col customWidth="1" min="16" max="16" width="9.25"/>
    <col customWidth="1" min="17" max="17" width="18.0"/>
    <col customWidth="1" min="18" max="18" width="10.5"/>
    <col customWidth="1" min="19" max="19" width="8.63"/>
    <col customWidth="1" min="20" max="20" width="20.88"/>
    <col customWidth="1" min="21" max="21" width="18.0"/>
    <col customWidth="1" min="22" max="22" width="285.5"/>
  </cols>
  <sheetData>
    <row r="1">
      <c r="A1" s="5" t="s">
        <v>0</v>
      </c>
      <c r="B1" s="6" t="s">
        <v>68</v>
      </c>
      <c r="C1" s="6" t="s">
        <v>69</v>
      </c>
      <c r="D1" s="7" t="s">
        <v>70</v>
      </c>
      <c r="E1" s="6" t="s">
        <v>71</v>
      </c>
      <c r="F1" s="5" t="s">
        <v>72</v>
      </c>
      <c r="G1" s="8" t="s">
        <v>73</v>
      </c>
      <c r="H1" s="5" t="s">
        <v>74</v>
      </c>
      <c r="I1" s="9" t="s">
        <v>75</v>
      </c>
      <c r="J1" s="5" t="s">
        <v>76</v>
      </c>
      <c r="K1" s="5" t="s">
        <v>77</v>
      </c>
      <c r="L1" s="5" t="s">
        <v>78</v>
      </c>
      <c r="M1" s="5" t="s">
        <v>79</v>
      </c>
      <c r="N1" s="10" t="s">
        <v>80</v>
      </c>
      <c r="O1" s="10" t="s">
        <v>81</v>
      </c>
      <c r="P1" s="10" t="s">
        <v>82</v>
      </c>
      <c r="Q1" s="6" t="s">
        <v>83</v>
      </c>
      <c r="R1" s="11" t="s">
        <v>84</v>
      </c>
      <c r="S1" s="11" t="s">
        <v>85</v>
      </c>
      <c r="T1" s="11" t="s">
        <v>86</v>
      </c>
      <c r="U1" s="11" t="s">
        <v>87</v>
      </c>
      <c r="V1" s="5" t="s">
        <v>88</v>
      </c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3"/>
    </row>
    <row r="2">
      <c r="A2" s="5" t="s">
        <v>8</v>
      </c>
      <c r="B2" s="14" t="s">
        <v>89</v>
      </c>
      <c r="C2" s="14">
        <v>12.18</v>
      </c>
      <c r="D2" s="15">
        <f>4.56*454</f>
        <v>2070.24</v>
      </c>
      <c r="E2" s="3">
        <f t="shared" ref="E2:E64" si="1">C2/D2*454</f>
        <v>2.671052632</v>
      </c>
      <c r="F2" s="16">
        <v>140.0</v>
      </c>
      <c r="G2" s="17">
        <f t="shared" ref="G2:G64" si="2">(J2*4)+(K2*9)+((L2-M2)*4)</f>
        <v>136</v>
      </c>
      <c r="H2" s="16">
        <v>112.0</v>
      </c>
      <c r="I2" s="18">
        <f t="shared" ref="I2:I8" si="3">D2/H2</f>
        <v>18.48428571</v>
      </c>
      <c r="J2" s="16">
        <v>25.0</v>
      </c>
      <c r="K2" s="16">
        <v>4.0</v>
      </c>
      <c r="L2" s="16">
        <v>0.0</v>
      </c>
      <c r="M2" s="16">
        <v>0.0</v>
      </c>
      <c r="N2" s="4">
        <f t="shared" ref="N2:N64" si="4">(J2*4)/F2</f>
        <v>0.7142857143</v>
      </c>
      <c r="O2" s="4">
        <f t="shared" ref="O2:O64" si="5">(K2*9)/F2</f>
        <v>0.2571428571</v>
      </c>
      <c r="P2" s="4">
        <f t="shared" ref="P2:P64" si="6">(L2*4)/F2</f>
        <v>0</v>
      </c>
      <c r="Q2" s="14">
        <f t="shared" ref="Q2:Q64" si="7">C2/(J2*I2)</f>
        <v>0.02635752377</v>
      </c>
      <c r="R2" s="19">
        <v>1.0</v>
      </c>
      <c r="S2" s="19">
        <v>1.08</v>
      </c>
      <c r="T2" s="19">
        <f>AVERAGE(R2:S2)</f>
        <v>1.04</v>
      </c>
      <c r="U2" s="19">
        <f t="shared" ref="U2:U64" si="9">N2*T2/Q2</f>
        <v>28.18387454</v>
      </c>
      <c r="V2" s="20" t="s">
        <v>90</v>
      </c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2"/>
    </row>
    <row r="3">
      <c r="A3" s="5" t="s">
        <v>23</v>
      </c>
      <c r="B3" s="14" t="s">
        <v>89</v>
      </c>
      <c r="C3" s="14">
        <v>14.06</v>
      </c>
      <c r="D3" s="15">
        <f>4.75*454</f>
        <v>2156.5</v>
      </c>
      <c r="E3" s="3">
        <f t="shared" si="1"/>
        <v>2.96</v>
      </c>
      <c r="F3" s="16">
        <v>160.0</v>
      </c>
      <c r="G3" s="17">
        <f t="shared" si="2"/>
        <v>166</v>
      </c>
      <c r="H3" s="16">
        <v>112.0</v>
      </c>
      <c r="I3" s="18">
        <f t="shared" si="3"/>
        <v>19.25446429</v>
      </c>
      <c r="J3" s="16">
        <v>19.0</v>
      </c>
      <c r="K3" s="16">
        <v>10.0</v>
      </c>
      <c r="L3" s="16">
        <v>0.0</v>
      </c>
      <c r="M3" s="16">
        <v>0.0</v>
      </c>
      <c r="N3" s="4">
        <f t="shared" si="4"/>
        <v>0.475</v>
      </c>
      <c r="O3" s="4">
        <f t="shared" si="5"/>
        <v>0.5625</v>
      </c>
      <c r="P3" s="4">
        <f t="shared" si="6"/>
        <v>0</v>
      </c>
      <c r="Q3" s="14">
        <f t="shared" si="7"/>
        <v>0.03843264549</v>
      </c>
      <c r="R3" s="19">
        <f t="shared" ref="R3:S3" si="8">R2</f>
        <v>1</v>
      </c>
      <c r="S3" s="19">
        <f t="shared" si="8"/>
        <v>1.08</v>
      </c>
      <c r="T3" s="19">
        <f t="shared" ref="T3:T64" si="11">AVERAGE(R3,S3)</f>
        <v>1.04</v>
      </c>
      <c r="U3" s="19">
        <f t="shared" si="9"/>
        <v>12.85365589</v>
      </c>
      <c r="V3" s="23" t="s">
        <v>91</v>
      </c>
      <c r="AJ3" s="24"/>
    </row>
    <row r="4">
      <c r="A4" s="5" t="s">
        <v>21</v>
      </c>
      <c r="B4" s="14" t="s">
        <v>89</v>
      </c>
      <c r="C4" s="14">
        <v>9.06</v>
      </c>
      <c r="D4" s="15">
        <f>5.12*454</f>
        <v>2324.48</v>
      </c>
      <c r="E4" s="3">
        <f t="shared" si="1"/>
        <v>1.76953125</v>
      </c>
      <c r="F4" s="16">
        <v>250.0</v>
      </c>
      <c r="G4" s="17">
        <f t="shared" si="2"/>
        <v>247</v>
      </c>
      <c r="H4" s="16">
        <v>112.0</v>
      </c>
      <c r="I4" s="18">
        <f t="shared" si="3"/>
        <v>20.75428571</v>
      </c>
      <c r="J4" s="16">
        <v>19.0</v>
      </c>
      <c r="K4" s="16">
        <v>19.0</v>
      </c>
      <c r="L4" s="16">
        <v>0.0</v>
      </c>
      <c r="M4" s="16">
        <v>0.0</v>
      </c>
      <c r="N4" s="4">
        <f t="shared" si="4"/>
        <v>0.304</v>
      </c>
      <c r="O4" s="4">
        <f t="shared" si="5"/>
        <v>0.684</v>
      </c>
      <c r="P4" s="4">
        <f t="shared" si="6"/>
        <v>0</v>
      </c>
      <c r="Q4" s="14">
        <f t="shared" si="7"/>
        <v>0.02297559703</v>
      </c>
      <c r="R4" s="19">
        <f t="shared" ref="R4:S4" si="10">R2</f>
        <v>1</v>
      </c>
      <c r="S4" s="19">
        <f t="shared" si="10"/>
        <v>1.08</v>
      </c>
      <c r="T4" s="19">
        <f t="shared" si="11"/>
        <v>1.04</v>
      </c>
      <c r="U4" s="19">
        <f t="shared" si="9"/>
        <v>13.76068703</v>
      </c>
      <c r="V4" s="20" t="s">
        <v>92</v>
      </c>
      <c r="AJ4" s="24"/>
    </row>
    <row r="5">
      <c r="A5" s="5" t="s">
        <v>24</v>
      </c>
      <c r="B5" s="14" t="s">
        <v>89</v>
      </c>
      <c r="C5" s="14">
        <v>11.98</v>
      </c>
      <c r="D5" s="15">
        <f>3*454</f>
        <v>1362</v>
      </c>
      <c r="E5" s="3">
        <f t="shared" si="1"/>
        <v>3.993333333</v>
      </c>
      <c r="F5" s="16">
        <v>160.0</v>
      </c>
      <c r="G5" s="17">
        <f t="shared" si="2"/>
        <v>160</v>
      </c>
      <c r="H5" s="16">
        <v>112.0</v>
      </c>
      <c r="I5" s="18">
        <f t="shared" si="3"/>
        <v>12.16071429</v>
      </c>
      <c r="J5" s="16">
        <v>22.0</v>
      </c>
      <c r="K5" s="16">
        <v>8.0</v>
      </c>
      <c r="L5" s="16">
        <v>0.0</v>
      </c>
      <c r="M5" s="16">
        <v>0.0</v>
      </c>
      <c r="N5" s="4">
        <f t="shared" si="4"/>
        <v>0.55</v>
      </c>
      <c r="O5" s="4">
        <f t="shared" si="5"/>
        <v>0.45</v>
      </c>
      <c r="P5" s="4">
        <f t="shared" si="6"/>
        <v>0</v>
      </c>
      <c r="Q5" s="14">
        <f t="shared" si="7"/>
        <v>0.04477906822</v>
      </c>
      <c r="R5" s="19">
        <f t="shared" ref="R5:S5" si="12">R2</f>
        <v>1</v>
      </c>
      <c r="S5" s="19">
        <f t="shared" si="12"/>
        <v>1.08</v>
      </c>
      <c r="T5" s="19">
        <f t="shared" si="11"/>
        <v>1.04</v>
      </c>
      <c r="U5" s="19">
        <f t="shared" si="9"/>
        <v>12.77382542</v>
      </c>
      <c r="V5" s="20" t="s">
        <v>93</v>
      </c>
      <c r="AJ5" s="24"/>
    </row>
    <row r="6">
      <c r="A6" s="5" t="s">
        <v>32</v>
      </c>
      <c r="B6" s="14" t="s">
        <v>89</v>
      </c>
      <c r="C6" s="14">
        <v>27.97</v>
      </c>
      <c r="D6" s="25">
        <f>4.5*454</f>
        <v>2043</v>
      </c>
      <c r="E6" s="3">
        <f t="shared" si="1"/>
        <v>6.215555556</v>
      </c>
      <c r="F6" s="16">
        <v>170.0</v>
      </c>
      <c r="G6" s="17">
        <f t="shared" si="2"/>
        <v>164</v>
      </c>
      <c r="H6" s="16">
        <v>112.0</v>
      </c>
      <c r="I6" s="18">
        <f t="shared" si="3"/>
        <v>18.24107143</v>
      </c>
      <c r="J6" s="16">
        <v>23.0</v>
      </c>
      <c r="K6" s="16">
        <v>8.0</v>
      </c>
      <c r="L6" s="16">
        <v>0.0</v>
      </c>
      <c r="M6" s="16">
        <v>0.0</v>
      </c>
      <c r="N6" s="4">
        <f t="shared" si="4"/>
        <v>0.5411764706</v>
      </c>
      <c r="O6" s="4">
        <f t="shared" si="5"/>
        <v>0.4235294118</v>
      </c>
      <c r="P6" s="4">
        <f t="shared" si="6"/>
        <v>0</v>
      </c>
      <c r="Q6" s="14">
        <f t="shared" si="7"/>
        <v>0.06666751793</v>
      </c>
      <c r="R6" s="19">
        <v>1.0</v>
      </c>
      <c r="S6" s="19">
        <v>1.116</v>
      </c>
      <c r="T6" s="19">
        <f t="shared" si="11"/>
        <v>1.058</v>
      </c>
      <c r="U6" s="19">
        <f t="shared" si="9"/>
        <v>8.588360924</v>
      </c>
      <c r="V6" s="20" t="s">
        <v>94</v>
      </c>
      <c r="AJ6" s="24"/>
    </row>
    <row r="7">
      <c r="A7" s="5" t="s">
        <v>35</v>
      </c>
      <c r="B7" s="14" t="s">
        <v>89</v>
      </c>
      <c r="C7" s="14">
        <v>9.93</v>
      </c>
      <c r="D7" s="15">
        <f>1.27*454</f>
        <v>576.58</v>
      </c>
      <c r="E7" s="3">
        <f t="shared" si="1"/>
        <v>7.818897638</v>
      </c>
      <c r="F7" s="16">
        <v>160.0</v>
      </c>
      <c r="G7" s="17">
        <f t="shared" si="2"/>
        <v>155</v>
      </c>
      <c r="H7" s="16">
        <v>112.0</v>
      </c>
      <c r="I7" s="18">
        <f t="shared" si="3"/>
        <v>5.148035714</v>
      </c>
      <c r="J7" s="16">
        <v>23.0</v>
      </c>
      <c r="K7" s="16">
        <v>7.0</v>
      </c>
      <c r="L7" s="16">
        <v>0.0</v>
      </c>
      <c r="M7" s="16">
        <v>0.0</v>
      </c>
      <c r="N7" s="4">
        <f t="shared" si="4"/>
        <v>0.575</v>
      </c>
      <c r="O7" s="4">
        <f t="shared" si="5"/>
        <v>0.39375</v>
      </c>
      <c r="P7" s="4">
        <f t="shared" si="6"/>
        <v>0</v>
      </c>
      <c r="Q7" s="14">
        <f t="shared" si="7"/>
        <v>0.08386482814</v>
      </c>
      <c r="R7" s="19">
        <f t="shared" ref="R7:S7" si="13">R6</f>
        <v>1</v>
      </c>
      <c r="S7" s="19">
        <f t="shared" si="13"/>
        <v>1.116</v>
      </c>
      <c r="T7" s="19">
        <f t="shared" si="11"/>
        <v>1.058</v>
      </c>
      <c r="U7" s="19">
        <f t="shared" si="9"/>
        <v>7.253934856</v>
      </c>
      <c r="V7" s="20" t="s">
        <v>95</v>
      </c>
      <c r="AJ7" s="24"/>
    </row>
    <row r="8">
      <c r="A8" s="5" t="s">
        <v>9</v>
      </c>
      <c r="B8" s="14" t="s">
        <v>89</v>
      </c>
      <c r="C8" s="14">
        <v>11.0</v>
      </c>
      <c r="D8" s="15">
        <f>4.7*454</f>
        <v>2133.8</v>
      </c>
      <c r="E8" s="3">
        <f t="shared" si="1"/>
        <v>2.340425532</v>
      </c>
      <c r="F8" s="16">
        <v>190.0</v>
      </c>
      <c r="G8" s="17">
        <f t="shared" si="2"/>
        <v>182</v>
      </c>
      <c r="H8" s="16">
        <v>112.0</v>
      </c>
      <c r="I8" s="18">
        <f t="shared" si="3"/>
        <v>19.05178571</v>
      </c>
      <c r="J8" s="16">
        <v>23.0</v>
      </c>
      <c r="K8" s="16">
        <v>10.0</v>
      </c>
      <c r="L8" s="16">
        <v>0.0</v>
      </c>
      <c r="M8" s="16">
        <v>0.0</v>
      </c>
      <c r="N8" s="4">
        <f t="shared" si="4"/>
        <v>0.4842105263</v>
      </c>
      <c r="O8" s="4">
        <f t="shared" si="5"/>
        <v>0.4736842105</v>
      </c>
      <c r="P8" s="4">
        <f t="shared" si="6"/>
        <v>0</v>
      </c>
      <c r="Q8" s="14">
        <f t="shared" si="7"/>
        <v>0.02510320433</v>
      </c>
      <c r="R8" s="19"/>
      <c r="S8" s="19">
        <v>1.17</v>
      </c>
      <c r="T8" s="19">
        <f t="shared" si="11"/>
        <v>1.17</v>
      </c>
      <c r="U8" s="19">
        <f t="shared" si="9"/>
        <v>22.56788848</v>
      </c>
      <c r="V8" s="20" t="s">
        <v>96</v>
      </c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7"/>
    </row>
    <row r="9">
      <c r="A9" s="5" t="s">
        <v>5</v>
      </c>
      <c r="B9" s="14" t="s">
        <v>97</v>
      </c>
      <c r="C9" s="14">
        <v>3.28</v>
      </c>
      <c r="D9" s="25">
        <f>5*28.3*4</f>
        <v>566</v>
      </c>
      <c r="E9" s="3">
        <f t="shared" si="1"/>
        <v>2.630954064</v>
      </c>
      <c r="F9" s="16">
        <v>100.0</v>
      </c>
      <c r="G9" s="17">
        <f t="shared" si="2"/>
        <v>100</v>
      </c>
      <c r="H9" s="16">
        <v>113.0</v>
      </c>
      <c r="I9" s="18">
        <v>4.0</v>
      </c>
      <c r="J9" s="16">
        <v>25.0</v>
      </c>
      <c r="K9" s="16">
        <v>0.0</v>
      </c>
      <c r="L9" s="16">
        <v>0.0</v>
      </c>
      <c r="M9" s="16">
        <v>0.0</v>
      </c>
      <c r="N9" s="4">
        <f t="shared" si="4"/>
        <v>1</v>
      </c>
      <c r="O9" s="4">
        <f t="shared" si="5"/>
        <v>0</v>
      </c>
      <c r="P9" s="4">
        <f t="shared" si="6"/>
        <v>0</v>
      </c>
      <c r="Q9" s="14">
        <f t="shared" si="7"/>
        <v>0.0328</v>
      </c>
      <c r="R9" s="19">
        <v>1.0</v>
      </c>
      <c r="S9" s="19">
        <f>S14</f>
        <v>1</v>
      </c>
      <c r="T9" s="19">
        <f t="shared" si="11"/>
        <v>1</v>
      </c>
      <c r="U9" s="19">
        <f t="shared" si="9"/>
        <v>30.48780488</v>
      </c>
      <c r="V9" s="20" t="s">
        <v>98</v>
      </c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2"/>
    </row>
    <row r="10">
      <c r="A10" s="5" t="s">
        <v>11</v>
      </c>
      <c r="B10" s="14" t="s">
        <v>97</v>
      </c>
      <c r="C10" s="14">
        <v>3.0</v>
      </c>
      <c r="D10" s="25">
        <f>14.75*28.3</f>
        <v>417.425</v>
      </c>
      <c r="E10" s="3">
        <f t="shared" si="1"/>
        <v>3.262861592</v>
      </c>
      <c r="F10" s="16">
        <v>120.0</v>
      </c>
      <c r="G10" s="17">
        <f t="shared" si="2"/>
        <v>125</v>
      </c>
      <c r="H10" s="16">
        <v>85.0</v>
      </c>
      <c r="I10" s="18">
        <f>D10/H10</f>
        <v>4.910882353</v>
      </c>
      <c r="J10" s="16">
        <v>20.0</v>
      </c>
      <c r="K10" s="16">
        <v>5.0</v>
      </c>
      <c r="L10" s="16">
        <v>0.0</v>
      </c>
      <c r="M10" s="16">
        <v>0.0</v>
      </c>
      <c r="N10" s="4">
        <f t="shared" si="4"/>
        <v>0.6666666667</v>
      </c>
      <c r="O10" s="4">
        <f t="shared" si="5"/>
        <v>0.375</v>
      </c>
      <c r="P10" s="4">
        <f t="shared" si="6"/>
        <v>0</v>
      </c>
      <c r="Q10" s="14">
        <f t="shared" si="7"/>
        <v>0.03054440918</v>
      </c>
      <c r="R10" s="19">
        <f>R9</f>
        <v>1</v>
      </c>
      <c r="S10" s="19">
        <f>S14</f>
        <v>1</v>
      </c>
      <c r="T10" s="19">
        <f t="shared" si="11"/>
        <v>1</v>
      </c>
      <c r="U10" s="19">
        <f t="shared" si="9"/>
        <v>21.82614379</v>
      </c>
      <c r="V10" s="20" t="s">
        <v>99</v>
      </c>
      <c r="AJ10" s="24"/>
    </row>
    <row r="11">
      <c r="A11" s="5" t="s">
        <v>41</v>
      </c>
      <c r="B11" s="14" t="s">
        <v>97</v>
      </c>
      <c r="C11" s="14">
        <v>0.98</v>
      </c>
      <c r="D11" s="25">
        <f>3.75*28.3</f>
        <v>106.125</v>
      </c>
      <c r="E11" s="3">
        <f t="shared" si="1"/>
        <v>4.192414605</v>
      </c>
      <c r="F11" s="16">
        <v>130.0</v>
      </c>
      <c r="G11" s="17">
        <f t="shared" si="2"/>
        <v>129</v>
      </c>
      <c r="H11" s="16">
        <v>70.0</v>
      </c>
      <c r="I11" s="18">
        <v>1.0</v>
      </c>
      <c r="J11" s="16">
        <v>12.0</v>
      </c>
      <c r="K11" s="16">
        <v>9.0</v>
      </c>
      <c r="L11" s="16">
        <v>0.0</v>
      </c>
      <c r="M11" s="16">
        <v>0.0</v>
      </c>
      <c r="N11" s="4">
        <f t="shared" si="4"/>
        <v>0.3692307692</v>
      </c>
      <c r="O11" s="4">
        <f t="shared" si="5"/>
        <v>0.6230769231</v>
      </c>
      <c r="P11" s="4">
        <f t="shared" si="6"/>
        <v>0</v>
      </c>
      <c r="Q11" s="14">
        <f t="shared" si="7"/>
        <v>0.08166666667</v>
      </c>
      <c r="R11" s="19">
        <f>R9</f>
        <v>1</v>
      </c>
      <c r="S11" s="19">
        <f>S14</f>
        <v>1</v>
      </c>
      <c r="T11" s="19">
        <f t="shared" si="11"/>
        <v>1</v>
      </c>
      <c r="U11" s="19">
        <f t="shared" si="9"/>
        <v>4.521193093</v>
      </c>
      <c r="V11" s="20" t="s">
        <v>100</v>
      </c>
      <c r="AJ11" s="24"/>
    </row>
    <row r="12">
      <c r="A12" s="5" t="s">
        <v>30</v>
      </c>
      <c r="B12" s="14" t="s">
        <v>97</v>
      </c>
      <c r="C12" s="14">
        <v>7.47</v>
      </c>
      <c r="D12" s="15">
        <f>0.75*454</f>
        <v>340.5</v>
      </c>
      <c r="E12" s="3">
        <f t="shared" si="1"/>
        <v>9.96</v>
      </c>
      <c r="F12" s="16">
        <v>120.0</v>
      </c>
      <c r="G12" s="17">
        <f t="shared" si="2"/>
        <v>112.5</v>
      </c>
      <c r="H12" s="16">
        <v>112.0</v>
      </c>
      <c r="I12" s="18">
        <f t="shared" ref="I12:I16" si="15">D12/H12</f>
        <v>3.040178571</v>
      </c>
      <c r="J12" s="16">
        <v>27.0</v>
      </c>
      <c r="K12" s="16">
        <v>0.5</v>
      </c>
      <c r="L12" s="16">
        <v>0.0</v>
      </c>
      <c r="M12" s="16">
        <v>0.0</v>
      </c>
      <c r="N12" s="4">
        <f t="shared" si="4"/>
        <v>0.9</v>
      </c>
      <c r="O12" s="4">
        <f t="shared" si="5"/>
        <v>0.0375</v>
      </c>
      <c r="P12" s="4">
        <f t="shared" si="6"/>
        <v>0</v>
      </c>
      <c r="Q12" s="14">
        <f t="shared" si="7"/>
        <v>0.09100342633</v>
      </c>
      <c r="R12" s="19">
        <f t="shared" ref="R12:S12" si="14">R9</f>
        <v>1</v>
      </c>
      <c r="S12" s="19">
        <f t="shared" si="14"/>
        <v>1</v>
      </c>
      <c r="T12" s="19">
        <f t="shared" si="11"/>
        <v>1</v>
      </c>
      <c r="U12" s="19">
        <f t="shared" si="9"/>
        <v>9.889737522</v>
      </c>
      <c r="V12" s="20" t="s">
        <v>101</v>
      </c>
      <c r="AJ12" s="24"/>
    </row>
    <row r="13">
      <c r="A13" s="5" t="s">
        <v>46</v>
      </c>
      <c r="B13" s="14" t="s">
        <v>97</v>
      </c>
      <c r="C13" s="14">
        <v>8.7</v>
      </c>
      <c r="D13" s="25">
        <f>0.9*454</f>
        <v>408.6</v>
      </c>
      <c r="E13" s="3">
        <f t="shared" si="1"/>
        <v>9.666666667</v>
      </c>
      <c r="F13" s="16">
        <v>240.0</v>
      </c>
      <c r="G13" s="17">
        <f t="shared" si="2"/>
        <v>227</v>
      </c>
      <c r="H13" s="16">
        <v>113.0</v>
      </c>
      <c r="I13" s="18">
        <f t="shared" si="15"/>
        <v>3.615929204</v>
      </c>
      <c r="J13" s="16">
        <v>23.0</v>
      </c>
      <c r="K13" s="16">
        <v>15.0</v>
      </c>
      <c r="L13" s="16">
        <v>0.0</v>
      </c>
      <c r="M13" s="16">
        <v>0.0</v>
      </c>
      <c r="N13" s="4">
        <f t="shared" si="4"/>
        <v>0.3833333333</v>
      </c>
      <c r="O13" s="4">
        <f t="shared" si="5"/>
        <v>0.5625</v>
      </c>
      <c r="P13" s="4">
        <f t="shared" si="6"/>
        <v>0</v>
      </c>
      <c r="Q13" s="14">
        <f t="shared" si="7"/>
        <v>0.1046095895</v>
      </c>
      <c r="R13" s="19">
        <f>R9</f>
        <v>1</v>
      </c>
      <c r="S13" s="19">
        <f>S14</f>
        <v>1</v>
      </c>
      <c r="T13" s="19">
        <f t="shared" si="11"/>
        <v>1</v>
      </c>
      <c r="U13" s="19">
        <f t="shared" si="9"/>
        <v>3.664418676</v>
      </c>
      <c r="V13" s="20" t="s">
        <v>102</v>
      </c>
      <c r="AJ13" s="24"/>
    </row>
    <row r="14">
      <c r="A14" s="5" t="s">
        <v>27</v>
      </c>
      <c r="B14" s="14" t="s">
        <v>97</v>
      </c>
      <c r="C14" s="14">
        <v>10.78</v>
      </c>
      <c r="D14" s="25">
        <f>2*454</f>
        <v>908</v>
      </c>
      <c r="E14" s="3">
        <f t="shared" si="1"/>
        <v>5.39</v>
      </c>
      <c r="F14" s="16">
        <v>90.0</v>
      </c>
      <c r="G14" s="17">
        <f t="shared" si="2"/>
        <v>89.5</v>
      </c>
      <c r="H14" s="16">
        <v>112.0</v>
      </c>
      <c r="I14" s="18">
        <f t="shared" si="15"/>
        <v>8.107142857</v>
      </c>
      <c r="J14" s="16">
        <v>19.0</v>
      </c>
      <c r="K14" s="16">
        <v>1.5</v>
      </c>
      <c r="L14" s="16">
        <v>0.0</v>
      </c>
      <c r="M14" s="16">
        <v>0.0</v>
      </c>
      <c r="N14" s="4">
        <f t="shared" si="4"/>
        <v>0.8444444444</v>
      </c>
      <c r="O14" s="4">
        <f t="shared" si="5"/>
        <v>0.15</v>
      </c>
      <c r="P14" s="4">
        <f t="shared" si="6"/>
        <v>0</v>
      </c>
      <c r="Q14" s="14">
        <f t="shared" si="7"/>
        <v>0.06998377</v>
      </c>
      <c r="R14" s="19">
        <f>R9</f>
        <v>1</v>
      </c>
      <c r="S14" s="19">
        <v>1.0</v>
      </c>
      <c r="T14" s="19">
        <f t="shared" si="11"/>
        <v>1</v>
      </c>
      <c r="U14" s="19">
        <f t="shared" si="9"/>
        <v>12.06628972</v>
      </c>
      <c r="V14" s="20" t="s">
        <v>103</v>
      </c>
      <c r="AJ14" s="24"/>
    </row>
    <row r="15">
      <c r="A15" s="5" t="s">
        <v>34</v>
      </c>
      <c r="B15" s="14" t="s">
        <v>97</v>
      </c>
      <c r="C15" s="14">
        <v>7.96</v>
      </c>
      <c r="D15" s="15">
        <v>454.0</v>
      </c>
      <c r="E15" s="3">
        <f t="shared" si="1"/>
        <v>7.96</v>
      </c>
      <c r="F15" s="16">
        <v>80.0</v>
      </c>
      <c r="G15" s="17">
        <f t="shared" si="2"/>
        <v>68</v>
      </c>
      <c r="H15" s="16">
        <v>112.0</v>
      </c>
      <c r="I15" s="18">
        <f t="shared" si="15"/>
        <v>4.053571429</v>
      </c>
      <c r="J15" s="16">
        <v>17.0</v>
      </c>
      <c r="K15" s="16">
        <v>0.0</v>
      </c>
      <c r="L15" s="16">
        <v>0.0</v>
      </c>
      <c r="M15" s="16">
        <v>0.0</v>
      </c>
      <c r="N15" s="4">
        <f t="shared" si="4"/>
        <v>0.85</v>
      </c>
      <c r="O15" s="4">
        <f t="shared" si="5"/>
        <v>0</v>
      </c>
      <c r="P15" s="4">
        <f t="shared" si="6"/>
        <v>0</v>
      </c>
      <c r="Q15" s="14">
        <f t="shared" si="7"/>
        <v>0.1155117906</v>
      </c>
      <c r="R15" s="19">
        <f>R9</f>
        <v>1</v>
      </c>
      <c r="S15" s="19">
        <f>S14</f>
        <v>1</v>
      </c>
      <c r="T15" s="19">
        <f t="shared" si="11"/>
        <v>1</v>
      </c>
      <c r="U15" s="19">
        <f t="shared" si="9"/>
        <v>7.358556174</v>
      </c>
      <c r="V15" s="20" t="s">
        <v>104</v>
      </c>
      <c r="AJ15" s="24"/>
    </row>
    <row r="16">
      <c r="A16" s="5" t="s">
        <v>51</v>
      </c>
      <c r="B16" s="14" t="s">
        <v>97</v>
      </c>
      <c r="C16" s="14">
        <v>2.18</v>
      </c>
      <c r="D16" s="25">
        <f>6.5*28.3</f>
        <v>183.95</v>
      </c>
      <c r="E16" s="3">
        <f t="shared" si="1"/>
        <v>5.380375102</v>
      </c>
      <c r="F16" s="16">
        <v>40.0</v>
      </c>
      <c r="G16" s="17">
        <f t="shared" si="2"/>
        <v>40.5</v>
      </c>
      <c r="H16" s="16">
        <v>85.0</v>
      </c>
      <c r="I16" s="18">
        <f t="shared" si="15"/>
        <v>2.164117647</v>
      </c>
      <c r="J16" s="16">
        <v>5.0</v>
      </c>
      <c r="K16" s="16">
        <v>0.5</v>
      </c>
      <c r="L16" s="16">
        <v>4.0</v>
      </c>
      <c r="M16" s="16">
        <v>0.0</v>
      </c>
      <c r="N16" s="4">
        <f t="shared" si="4"/>
        <v>0.5</v>
      </c>
      <c r="O16" s="4">
        <f t="shared" si="5"/>
        <v>0.1125</v>
      </c>
      <c r="P16" s="4">
        <f t="shared" si="6"/>
        <v>0.4</v>
      </c>
      <c r="Q16" s="14">
        <f t="shared" si="7"/>
        <v>0.2014677902</v>
      </c>
      <c r="R16" s="19">
        <f>R9</f>
        <v>1</v>
      </c>
      <c r="S16" s="19">
        <f>S14</f>
        <v>1</v>
      </c>
      <c r="T16" s="19">
        <f t="shared" si="11"/>
        <v>1</v>
      </c>
      <c r="U16" s="19">
        <f t="shared" si="9"/>
        <v>2.481786292</v>
      </c>
      <c r="V16" s="20" t="s">
        <v>105</v>
      </c>
      <c r="AJ16" s="24"/>
    </row>
    <row r="17">
      <c r="A17" s="5" t="s">
        <v>58</v>
      </c>
      <c r="B17" s="14" t="s">
        <v>97</v>
      </c>
      <c r="C17" s="14">
        <v>8.98</v>
      </c>
      <c r="D17" s="25">
        <f>7.76*28.3</f>
        <v>219.608</v>
      </c>
      <c r="E17" s="3">
        <f t="shared" si="1"/>
        <v>18.56453317</v>
      </c>
      <c r="F17" s="16">
        <v>120.0</v>
      </c>
      <c r="G17" s="17">
        <f t="shared" si="2"/>
        <v>113.5</v>
      </c>
      <c r="H17" s="16">
        <v>84.0</v>
      </c>
      <c r="I17" s="18">
        <v>1.0</v>
      </c>
      <c r="J17" s="16">
        <v>21.0</v>
      </c>
      <c r="K17" s="16">
        <v>1.5</v>
      </c>
      <c r="L17" s="16">
        <v>4.0</v>
      </c>
      <c r="M17" s="16">
        <v>0.0</v>
      </c>
      <c r="N17" s="4">
        <f t="shared" si="4"/>
        <v>0.7</v>
      </c>
      <c r="O17" s="4">
        <f t="shared" si="5"/>
        <v>0.1125</v>
      </c>
      <c r="P17" s="4">
        <f t="shared" si="6"/>
        <v>0.1333333333</v>
      </c>
      <c r="Q17" s="14">
        <f t="shared" si="7"/>
        <v>0.4276190476</v>
      </c>
      <c r="R17" s="19">
        <f>R9</f>
        <v>1</v>
      </c>
      <c r="S17" s="19">
        <f>S14</f>
        <v>1</v>
      </c>
      <c r="T17" s="19">
        <f t="shared" si="11"/>
        <v>1</v>
      </c>
      <c r="U17" s="19">
        <f t="shared" si="9"/>
        <v>1.636971047</v>
      </c>
      <c r="V17" s="20" t="s">
        <v>106</v>
      </c>
      <c r="AJ17" s="24"/>
    </row>
    <row r="18">
      <c r="A18" s="5" t="s">
        <v>36</v>
      </c>
      <c r="B18" s="14" t="s">
        <v>97</v>
      </c>
      <c r="C18" s="14">
        <v>12.94</v>
      </c>
      <c r="D18" s="25">
        <f>2*454</f>
        <v>908</v>
      </c>
      <c r="E18" s="3">
        <f t="shared" si="1"/>
        <v>6.47</v>
      </c>
      <c r="F18" s="16">
        <v>80.0</v>
      </c>
      <c r="G18" s="17">
        <f t="shared" si="2"/>
        <v>86</v>
      </c>
      <c r="H18" s="16">
        <v>112.0</v>
      </c>
      <c r="I18" s="18">
        <f t="shared" ref="I18:I64" si="16">D18/H18</f>
        <v>8.107142857</v>
      </c>
      <c r="J18" s="16">
        <v>15.0</v>
      </c>
      <c r="K18" s="16">
        <v>2.0</v>
      </c>
      <c r="L18" s="16">
        <v>2.0</v>
      </c>
      <c r="M18" s="16">
        <v>0.0</v>
      </c>
      <c r="N18" s="4">
        <f t="shared" si="4"/>
        <v>0.75</v>
      </c>
      <c r="O18" s="4">
        <f t="shared" si="5"/>
        <v>0.225</v>
      </c>
      <c r="P18" s="4">
        <f t="shared" si="6"/>
        <v>0.1</v>
      </c>
      <c r="Q18" s="14">
        <f t="shared" si="7"/>
        <v>0.1064082232</v>
      </c>
      <c r="R18" s="19">
        <f>R9</f>
        <v>1</v>
      </c>
      <c r="S18" s="19">
        <f>S14</f>
        <v>1</v>
      </c>
      <c r="T18" s="19">
        <f t="shared" si="11"/>
        <v>1</v>
      </c>
      <c r="U18" s="19">
        <f t="shared" si="9"/>
        <v>7.048327445</v>
      </c>
      <c r="V18" s="20" t="s">
        <v>107</v>
      </c>
      <c r="AJ18" s="24"/>
    </row>
    <row r="19">
      <c r="A19" s="5" t="s">
        <v>38</v>
      </c>
      <c r="B19" s="14" t="s">
        <v>97</v>
      </c>
      <c r="C19" s="14">
        <v>5.46</v>
      </c>
      <c r="D19" s="25">
        <f>12*28.3</f>
        <v>339.6</v>
      </c>
      <c r="E19" s="3">
        <f t="shared" si="1"/>
        <v>7.299293286</v>
      </c>
      <c r="F19" s="16">
        <v>70.0</v>
      </c>
      <c r="G19" s="17">
        <f t="shared" si="2"/>
        <v>69.5</v>
      </c>
      <c r="H19" s="16">
        <v>84.0</v>
      </c>
      <c r="I19" s="18">
        <f t="shared" si="16"/>
        <v>4.042857143</v>
      </c>
      <c r="J19" s="16">
        <v>12.0</v>
      </c>
      <c r="K19" s="16">
        <v>1.5</v>
      </c>
      <c r="L19" s="16">
        <v>2.0</v>
      </c>
      <c r="M19" s="16">
        <v>0.0</v>
      </c>
      <c r="N19" s="4">
        <f t="shared" si="4"/>
        <v>0.6857142857</v>
      </c>
      <c r="O19" s="4">
        <f t="shared" si="5"/>
        <v>0.1928571429</v>
      </c>
      <c r="P19" s="4">
        <f t="shared" si="6"/>
        <v>0.1142857143</v>
      </c>
      <c r="Q19" s="14">
        <f t="shared" si="7"/>
        <v>0.1125441696</v>
      </c>
      <c r="R19" s="19">
        <f>R9</f>
        <v>1</v>
      </c>
      <c r="S19" s="19">
        <f>S14</f>
        <v>1</v>
      </c>
      <c r="T19" s="19">
        <f t="shared" si="11"/>
        <v>1</v>
      </c>
      <c r="U19" s="19">
        <f t="shared" si="9"/>
        <v>6.09284593</v>
      </c>
      <c r="V19" s="20" t="s">
        <v>108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7"/>
    </row>
    <row r="20">
      <c r="A20" s="5" t="s">
        <v>13</v>
      </c>
      <c r="B20" s="14" t="s">
        <v>109</v>
      </c>
      <c r="C20" s="14">
        <v>2.33</v>
      </c>
      <c r="D20" s="25">
        <f>56*18</f>
        <v>1008</v>
      </c>
      <c r="E20" s="3">
        <f t="shared" si="1"/>
        <v>1.049424603</v>
      </c>
      <c r="F20" s="16">
        <v>80.0</v>
      </c>
      <c r="G20" s="17">
        <f t="shared" si="2"/>
        <v>73</v>
      </c>
      <c r="H20" s="1">
        <f>D20/18</f>
        <v>56</v>
      </c>
      <c r="I20" s="18">
        <f t="shared" si="16"/>
        <v>18</v>
      </c>
      <c r="J20" s="16">
        <v>7.0</v>
      </c>
      <c r="K20" s="16">
        <v>5.0</v>
      </c>
      <c r="L20" s="16">
        <v>0.0</v>
      </c>
      <c r="M20" s="16">
        <v>0.0</v>
      </c>
      <c r="N20" s="4">
        <f t="shared" si="4"/>
        <v>0.35</v>
      </c>
      <c r="O20" s="4">
        <f t="shared" si="5"/>
        <v>0.5625</v>
      </c>
      <c r="P20" s="4">
        <f t="shared" si="6"/>
        <v>0</v>
      </c>
      <c r="Q20" s="14">
        <f t="shared" si="7"/>
        <v>0.01849206349</v>
      </c>
      <c r="R20" s="19">
        <v>1.0</v>
      </c>
      <c r="S20" s="19">
        <v>1.13</v>
      </c>
      <c r="T20" s="19">
        <f t="shared" si="11"/>
        <v>1.065</v>
      </c>
      <c r="U20" s="19">
        <f t="shared" si="9"/>
        <v>20.15729614</v>
      </c>
      <c r="V20" s="20" t="s">
        <v>110</v>
      </c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2"/>
    </row>
    <row r="21">
      <c r="A21" s="5" t="s">
        <v>12</v>
      </c>
      <c r="B21" s="14" t="s">
        <v>109</v>
      </c>
      <c r="C21" s="14">
        <v>3.98</v>
      </c>
      <c r="D21" s="25">
        <f>32*28.3</f>
        <v>905.6</v>
      </c>
      <c r="E21" s="3">
        <f t="shared" si="1"/>
        <v>1.995273852</v>
      </c>
      <c r="F21" s="16">
        <v>25.0</v>
      </c>
      <c r="G21" s="17">
        <f t="shared" si="2"/>
        <v>24</v>
      </c>
      <c r="H21" s="16">
        <v>46.0</v>
      </c>
      <c r="I21" s="18">
        <f t="shared" si="16"/>
        <v>19.68695652</v>
      </c>
      <c r="J21" s="16">
        <v>5.0</v>
      </c>
      <c r="K21" s="16">
        <v>0.0</v>
      </c>
      <c r="L21" s="16">
        <v>1.0</v>
      </c>
      <c r="M21" s="16">
        <v>0.0</v>
      </c>
      <c r="N21" s="4">
        <f t="shared" si="4"/>
        <v>0.8</v>
      </c>
      <c r="O21" s="4">
        <f t="shared" si="5"/>
        <v>0</v>
      </c>
      <c r="P21" s="4">
        <f t="shared" si="6"/>
        <v>0.16</v>
      </c>
      <c r="Q21" s="14">
        <f t="shared" si="7"/>
        <v>0.04043286219</v>
      </c>
      <c r="R21" s="19">
        <f t="shared" ref="R21:S21" si="17">R20</f>
        <v>1</v>
      </c>
      <c r="S21" s="19">
        <f t="shared" si="17"/>
        <v>1.13</v>
      </c>
      <c r="T21" s="19">
        <f t="shared" si="11"/>
        <v>1.065</v>
      </c>
      <c r="U21" s="19">
        <f t="shared" si="9"/>
        <v>21.07196854</v>
      </c>
      <c r="V21" s="20" t="s">
        <v>111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7"/>
    </row>
    <row r="22">
      <c r="A22" s="5" t="s">
        <v>39</v>
      </c>
      <c r="B22" s="14" t="s">
        <v>112</v>
      </c>
      <c r="C22" s="14">
        <v>3.98</v>
      </c>
      <c r="D22" s="25">
        <f>40*28.3</f>
        <v>1132</v>
      </c>
      <c r="E22" s="3">
        <f t="shared" si="1"/>
        <v>1.596219081</v>
      </c>
      <c r="F22" s="16">
        <v>180.0</v>
      </c>
      <c r="G22" s="17">
        <f t="shared" si="2"/>
        <v>187</v>
      </c>
      <c r="H22" s="16">
        <v>32.0</v>
      </c>
      <c r="I22" s="18">
        <f t="shared" si="16"/>
        <v>35.375</v>
      </c>
      <c r="J22" s="16">
        <v>7.0</v>
      </c>
      <c r="K22" s="16">
        <v>15.0</v>
      </c>
      <c r="L22" s="16">
        <v>8.0</v>
      </c>
      <c r="M22" s="16">
        <v>2.0</v>
      </c>
      <c r="N22" s="4">
        <f t="shared" si="4"/>
        <v>0.1555555556</v>
      </c>
      <c r="O22" s="4">
        <f t="shared" si="5"/>
        <v>0.75</v>
      </c>
      <c r="P22" s="4">
        <f t="shared" si="6"/>
        <v>0.1777777778</v>
      </c>
      <c r="Q22" s="14">
        <f t="shared" si="7"/>
        <v>0.01607269056</v>
      </c>
      <c r="R22" s="19">
        <v>0.509</v>
      </c>
      <c r="S22" s="19">
        <v>0.434</v>
      </c>
      <c r="T22" s="19">
        <f t="shared" si="11"/>
        <v>0.4715</v>
      </c>
      <c r="U22" s="19">
        <f t="shared" si="9"/>
        <v>4.563295994</v>
      </c>
      <c r="V22" s="20" t="s">
        <v>113</v>
      </c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2"/>
    </row>
    <row r="23">
      <c r="A23" s="5" t="s">
        <v>49</v>
      </c>
      <c r="B23" s="14" t="s">
        <v>112</v>
      </c>
      <c r="C23" s="14">
        <v>6.57</v>
      </c>
      <c r="D23" s="25">
        <f>36*28.3</f>
        <v>1018.8</v>
      </c>
      <c r="E23" s="3">
        <f t="shared" si="1"/>
        <v>2.927738516</v>
      </c>
      <c r="F23" s="16">
        <v>190.0</v>
      </c>
      <c r="G23" s="17">
        <f t="shared" si="2"/>
        <v>192</v>
      </c>
      <c r="H23" s="16">
        <v>32.0</v>
      </c>
      <c r="I23" s="18">
        <f t="shared" si="16"/>
        <v>31.8375</v>
      </c>
      <c r="J23" s="16">
        <v>8.0</v>
      </c>
      <c r="K23" s="16">
        <v>16.0</v>
      </c>
      <c r="L23" s="16">
        <v>7.0</v>
      </c>
      <c r="M23" s="16">
        <v>3.0</v>
      </c>
      <c r="N23" s="4">
        <f t="shared" si="4"/>
        <v>0.1684210526</v>
      </c>
      <c r="O23" s="4">
        <f t="shared" si="5"/>
        <v>0.7578947368</v>
      </c>
      <c r="P23" s="4">
        <f t="shared" si="6"/>
        <v>0.1473684211</v>
      </c>
      <c r="Q23" s="14">
        <f t="shared" si="7"/>
        <v>0.025795053</v>
      </c>
      <c r="R23" s="19">
        <f t="shared" ref="R23:S23" si="18">R22</f>
        <v>0.509</v>
      </c>
      <c r="S23" s="19">
        <f t="shared" si="18"/>
        <v>0.434</v>
      </c>
      <c r="T23" s="19">
        <f t="shared" si="11"/>
        <v>0.4715</v>
      </c>
      <c r="U23" s="19">
        <f t="shared" si="9"/>
        <v>3.078517664</v>
      </c>
      <c r="V23" s="20" t="s">
        <v>114</v>
      </c>
      <c r="AJ23" s="24"/>
    </row>
    <row r="24">
      <c r="A24" s="5" t="s">
        <v>31</v>
      </c>
      <c r="B24" s="14" t="s">
        <v>112</v>
      </c>
      <c r="C24" s="14">
        <v>10.48</v>
      </c>
      <c r="D24" s="25">
        <f>30*28.3</f>
        <v>849</v>
      </c>
      <c r="E24" s="3">
        <f t="shared" si="1"/>
        <v>5.604146054</v>
      </c>
      <c r="F24" s="16">
        <v>50.0</v>
      </c>
      <c r="G24" s="17">
        <f t="shared" si="2"/>
        <v>49.5</v>
      </c>
      <c r="H24" s="16">
        <v>12.0</v>
      </c>
      <c r="I24" s="18">
        <f t="shared" si="16"/>
        <v>70.75</v>
      </c>
      <c r="J24" s="16">
        <v>6.0</v>
      </c>
      <c r="K24" s="16">
        <v>1.5</v>
      </c>
      <c r="L24" s="16">
        <v>4.0</v>
      </c>
      <c r="M24" s="16">
        <v>1.0</v>
      </c>
      <c r="N24" s="4">
        <f t="shared" si="4"/>
        <v>0.48</v>
      </c>
      <c r="O24" s="4">
        <f t="shared" si="5"/>
        <v>0.27</v>
      </c>
      <c r="P24" s="4">
        <f t="shared" si="6"/>
        <v>0.32</v>
      </c>
      <c r="Q24" s="14">
        <f t="shared" si="7"/>
        <v>0.02468786808</v>
      </c>
      <c r="R24" s="19">
        <f t="shared" ref="R24:S24" si="19">R22</f>
        <v>0.509</v>
      </c>
      <c r="S24" s="19">
        <f t="shared" si="19"/>
        <v>0.434</v>
      </c>
      <c r="T24" s="19">
        <f t="shared" si="11"/>
        <v>0.4715</v>
      </c>
      <c r="U24" s="19">
        <f t="shared" si="9"/>
        <v>9.167255725</v>
      </c>
      <c r="V24" s="20" t="s">
        <v>115</v>
      </c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7"/>
    </row>
    <row r="25">
      <c r="A25" s="5" t="s">
        <v>6</v>
      </c>
      <c r="B25" s="14" t="s">
        <v>116</v>
      </c>
      <c r="C25" s="14">
        <v>50.96</v>
      </c>
      <c r="D25" s="15">
        <v>2268.0</v>
      </c>
      <c r="E25" s="3">
        <f t="shared" si="1"/>
        <v>10.20098765</v>
      </c>
      <c r="F25" s="16">
        <v>130.0</v>
      </c>
      <c r="G25" s="17">
        <f t="shared" si="2"/>
        <v>122.5</v>
      </c>
      <c r="H25" s="16">
        <v>31.0</v>
      </c>
      <c r="I25" s="18">
        <f t="shared" si="16"/>
        <v>73.16129032</v>
      </c>
      <c r="J25" s="16">
        <v>25.0</v>
      </c>
      <c r="K25" s="16">
        <v>2.5</v>
      </c>
      <c r="L25" s="16">
        <v>1.0</v>
      </c>
      <c r="M25" s="16">
        <v>1.0</v>
      </c>
      <c r="N25" s="4">
        <f t="shared" si="4"/>
        <v>0.7692307692</v>
      </c>
      <c r="O25" s="4">
        <f t="shared" si="5"/>
        <v>0.1730769231</v>
      </c>
      <c r="P25" s="4">
        <f t="shared" si="6"/>
        <v>0.03076923077</v>
      </c>
      <c r="Q25" s="14">
        <f t="shared" si="7"/>
        <v>0.0278617284</v>
      </c>
      <c r="R25" s="19">
        <v>1.0</v>
      </c>
      <c r="S25" s="19">
        <v>1.18</v>
      </c>
      <c r="T25" s="19">
        <f t="shared" si="11"/>
        <v>1.09</v>
      </c>
      <c r="U25" s="19">
        <f t="shared" si="9"/>
        <v>30.09366564</v>
      </c>
      <c r="V25" s="20" t="s">
        <v>117</v>
      </c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2"/>
    </row>
    <row r="26">
      <c r="A26" s="5" t="s">
        <v>7</v>
      </c>
      <c r="B26" s="14" t="s">
        <v>116</v>
      </c>
      <c r="C26" s="14">
        <v>60.26</v>
      </c>
      <c r="D26" s="15">
        <v>2268.0</v>
      </c>
      <c r="E26" s="3">
        <f t="shared" si="1"/>
        <v>12.06262787</v>
      </c>
      <c r="F26" s="16">
        <v>110.0</v>
      </c>
      <c r="G26" s="17">
        <f t="shared" si="2"/>
        <v>96</v>
      </c>
      <c r="H26" s="16">
        <v>30.0</v>
      </c>
      <c r="I26" s="18">
        <f t="shared" si="16"/>
        <v>75.6</v>
      </c>
      <c r="J26" s="16">
        <v>24.0</v>
      </c>
      <c r="K26" s="16">
        <v>0.0</v>
      </c>
      <c r="L26" s="16">
        <v>0.0</v>
      </c>
      <c r="M26" s="16">
        <v>0.0</v>
      </c>
      <c r="N26" s="4">
        <f t="shared" si="4"/>
        <v>0.8727272727</v>
      </c>
      <c r="O26" s="4">
        <f t="shared" si="5"/>
        <v>0</v>
      </c>
      <c r="P26" s="4">
        <f t="shared" si="6"/>
        <v>0</v>
      </c>
      <c r="Q26" s="14">
        <f t="shared" si="7"/>
        <v>0.03321208113</v>
      </c>
      <c r="R26" s="19">
        <f t="shared" ref="R26:S26" si="20">R25</f>
        <v>1</v>
      </c>
      <c r="S26" s="19">
        <f t="shared" si="20"/>
        <v>1.18</v>
      </c>
      <c r="T26" s="19">
        <f t="shared" si="11"/>
        <v>1.09</v>
      </c>
      <c r="U26" s="19">
        <f t="shared" si="9"/>
        <v>28.64237033</v>
      </c>
      <c r="V26" s="20" t="s">
        <v>118</v>
      </c>
      <c r="AJ26" s="24"/>
    </row>
    <row r="27">
      <c r="A27" s="5" t="s">
        <v>15</v>
      </c>
      <c r="B27" s="14" t="s">
        <v>116</v>
      </c>
      <c r="C27" s="14">
        <v>2.67</v>
      </c>
      <c r="D27" s="15">
        <v>3785.0</v>
      </c>
      <c r="E27" s="3">
        <f t="shared" si="1"/>
        <v>0.3202589168</v>
      </c>
      <c r="F27" s="16">
        <v>90.0</v>
      </c>
      <c r="G27" s="17">
        <f t="shared" si="2"/>
        <v>84</v>
      </c>
      <c r="H27" s="16">
        <v>236.6</v>
      </c>
      <c r="I27" s="18">
        <f t="shared" si="16"/>
        <v>15.99746407</v>
      </c>
      <c r="J27" s="16">
        <v>8.0</v>
      </c>
      <c r="K27" s="16">
        <v>0.0</v>
      </c>
      <c r="L27" s="16">
        <v>13.0</v>
      </c>
      <c r="M27" s="16">
        <v>0.0</v>
      </c>
      <c r="N27" s="4">
        <f t="shared" si="4"/>
        <v>0.3555555556</v>
      </c>
      <c r="O27" s="4">
        <f t="shared" si="5"/>
        <v>0</v>
      </c>
      <c r="P27" s="4">
        <f t="shared" si="6"/>
        <v>0.5777777778</v>
      </c>
      <c r="Q27" s="14">
        <f t="shared" si="7"/>
        <v>0.02086268164</v>
      </c>
      <c r="R27" s="19">
        <v>1.0</v>
      </c>
      <c r="S27" s="19">
        <v>1.14</v>
      </c>
      <c r="T27" s="19">
        <f t="shared" si="11"/>
        <v>1.07</v>
      </c>
      <c r="U27" s="19">
        <f t="shared" si="9"/>
        <v>18.23564444</v>
      </c>
      <c r="V27" s="20" t="s">
        <v>119</v>
      </c>
      <c r="AJ27" s="24"/>
    </row>
    <row r="28">
      <c r="A28" s="5" t="s">
        <v>25</v>
      </c>
      <c r="B28" s="14" t="s">
        <v>116</v>
      </c>
      <c r="C28" s="14">
        <v>4.48</v>
      </c>
      <c r="D28" s="25">
        <f>H28*6</f>
        <v>1419.6</v>
      </c>
      <c r="E28" s="3">
        <f t="shared" si="1"/>
        <v>1.432741617</v>
      </c>
      <c r="F28" s="16">
        <v>80.0</v>
      </c>
      <c r="G28" s="17">
        <f t="shared" si="2"/>
        <v>76</v>
      </c>
      <c r="H28" s="16">
        <f>H27</f>
        <v>236.6</v>
      </c>
      <c r="I28" s="18">
        <f t="shared" si="16"/>
        <v>6</v>
      </c>
      <c r="J28" s="16">
        <v>13.0</v>
      </c>
      <c r="K28" s="16">
        <v>0.0</v>
      </c>
      <c r="L28" s="16">
        <v>6.0</v>
      </c>
      <c r="M28" s="16">
        <v>0.0</v>
      </c>
      <c r="N28" s="4">
        <f t="shared" si="4"/>
        <v>0.65</v>
      </c>
      <c r="O28" s="4">
        <f t="shared" si="5"/>
        <v>0</v>
      </c>
      <c r="P28" s="4">
        <f t="shared" si="6"/>
        <v>0.3</v>
      </c>
      <c r="Q28" s="14">
        <f t="shared" si="7"/>
        <v>0.05743589744</v>
      </c>
      <c r="R28" s="19">
        <f t="shared" ref="R28:S28" si="21">R27</f>
        <v>1</v>
      </c>
      <c r="S28" s="19">
        <f t="shared" si="21"/>
        <v>1.14</v>
      </c>
      <c r="T28" s="19">
        <f t="shared" si="11"/>
        <v>1.07</v>
      </c>
      <c r="U28" s="19">
        <f t="shared" si="9"/>
        <v>12.10915179</v>
      </c>
      <c r="V28" s="20" t="s">
        <v>120</v>
      </c>
      <c r="AJ28" s="24"/>
    </row>
    <row r="29">
      <c r="A29" s="5" t="s">
        <v>14</v>
      </c>
      <c r="B29" s="14" t="s">
        <v>116</v>
      </c>
      <c r="C29" s="14">
        <v>3.54</v>
      </c>
      <c r="D29" s="25">
        <f>32*28.3</f>
        <v>905.6</v>
      </c>
      <c r="E29" s="3">
        <f t="shared" si="1"/>
        <v>1.774690813</v>
      </c>
      <c r="F29" s="16">
        <v>100.0</v>
      </c>
      <c r="G29" s="17">
        <f t="shared" si="2"/>
        <v>96</v>
      </c>
      <c r="H29" s="16">
        <v>170.0</v>
      </c>
      <c r="I29" s="18">
        <f t="shared" si="16"/>
        <v>5.327058824</v>
      </c>
      <c r="J29" s="16">
        <v>17.0</v>
      </c>
      <c r="K29" s="16">
        <v>0.0</v>
      </c>
      <c r="L29" s="16">
        <v>7.0</v>
      </c>
      <c r="M29" s="16">
        <v>0.0</v>
      </c>
      <c r="N29" s="4">
        <f t="shared" si="4"/>
        <v>0.68</v>
      </c>
      <c r="O29" s="4">
        <f t="shared" si="5"/>
        <v>0</v>
      </c>
      <c r="P29" s="4">
        <f t="shared" si="6"/>
        <v>0.28</v>
      </c>
      <c r="Q29" s="14">
        <f t="shared" si="7"/>
        <v>0.03909010601</v>
      </c>
      <c r="R29" s="19">
        <f t="shared" ref="R29:S29" si="22">R27</f>
        <v>1</v>
      </c>
      <c r="S29" s="19">
        <f t="shared" si="22"/>
        <v>1.14</v>
      </c>
      <c r="T29" s="19">
        <f t="shared" si="11"/>
        <v>1.07</v>
      </c>
      <c r="U29" s="19">
        <f t="shared" si="9"/>
        <v>18.61340565</v>
      </c>
      <c r="V29" s="20" t="s">
        <v>121</v>
      </c>
      <c r="AJ29" s="24"/>
    </row>
    <row r="30">
      <c r="A30" s="5" t="s">
        <v>16</v>
      </c>
      <c r="B30" s="14" t="s">
        <v>116</v>
      </c>
      <c r="C30" s="14">
        <v>2.94</v>
      </c>
      <c r="D30" s="25">
        <f>24*28.3</f>
        <v>679.2</v>
      </c>
      <c r="E30" s="3">
        <f t="shared" si="1"/>
        <v>1.965194346</v>
      </c>
      <c r="F30" s="16">
        <v>70.0</v>
      </c>
      <c r="G30" s="17">
        <f t="shared" si="2"/>
        <v>72</v>
      </c>
      <c r="H30" s="16">
        <v>113.0</v>
      </c>
      <c r="I30" s="18">
        <f t="shared" si="16"/>
        <v>6.010619469</v>
      </c>
      <c r="J30" s="16">
        <v>12.0</v>
      </c>
      <c r="K30" s="16">
        <v>0.0</v>
      </c>
      <c r="L30" s="16">
        <v>6.0</v>
      </c>
      <c r="M30" s="16">
        <v>0.0</v>
      </c>
      <c r="N30" s="4">
        <f t="shared" si="4"/>
        <v>0.6857142857</v>
      </c>
      <c r="O30" s="4">
        <f t="shared" si="5"/>
        <v>0</v>
      </c>
      <c r="P30" s="4">
        <f t="shared" si="6"/>
        <v>0.3428571429</v>
      </c>
      <c r="Q30" s="14">
        <f t="shared" si="7"/>
        <v>0.04076118963</v>
      </c>
      <c r="R30" s="19">
        <f t="shared" ref="R30:S30" si="23">R27</f>
        <v>1</v>
      </c>
      <c r="S30" s="19">
        <f t="shared" si="23"/>
        <v>1.14</v>
      </c>
      <c r="T30" s="19">
        <f t="shared" si="11"/>
        <v>1.07</v>
      </c>
      <c r="U30" s="19">
        <f t="shared" si="9"/>
        <v>18.0003158</v>
      </c>
      <c r="V30" s="20" t="s">
        <v>122</v>
      </c>
      <c r="AJ30" s="24"/>
    </row>
    <row r="31">
      <c r="A31" s="5" t="s">
        <v>47</v>
      </c>
      <c r="B31" s="14" t="s">
        <v>116</v>
      </c>
      <c r="C31" s="14">
        <v>2.74</v>
      </c>
      <c r="D31" s="25">
        <f>6*28.3</f>
        <v>169.8</v>
      </c>
      <c r="E31" s="3">
        <f t="shared" si="1"/>
        <v>7.326030624</v>
      </c>
      <c r="F31" s="16">
        <v>70.0</v>
      </c>
      <c r="G31" s="17">
        <f t="shared" si="2"/>
        <v>65</v>
      </c>
      <c r="H31" s="16">
        <v>28.0</v>
      </c>
      <c r="I31" s="18">
        <f t="shared" si="16"/>
        <v>6.064285714</v>
      </c>
      <c r="J31" s="16">
        <v>5.0</v>
      </c>
      <c r="K31" s="16">
        <v>5.0</v>
      </c>
      <c r="L31" s="16">
        <v>0.0</v>
      </c>
      <c r="M31" s="16">
        <v>0.0</v>
      </c>
      <c r="N31" s="4">
        <f t="shared" si="4"/>
        <v>0.2857142857</v>
      </c>
      <c r="O31" s="4">
        <f t="shared" si="5"/>
        <v>0.6428571429</v>
      </c>
      <c r="P31" s="4">
        <f t="shared" si="6"/>
        <v>0</v>
      </c>
      <c r="Q31" s="14">
        <f t="shared" si="7"/>
        <v>0.09036513545</v>
      </c>
      <c r="R31" s="19">
        <f t="shared" ref="R31:S31" si="24">R27</f>
        <v>1</v>
      </c>
      <c r="S31" s="19">
        <f t="shared" si="24"/>
        <v>1.14</v>
      </c>
      <c r="T31" s="19">
        <f t="shared" si="11"/>
        <v>1.07</v>
      </c>
      <c r="U31" s="19">
        <f t="shared" si="9"/>
        <v>3.383099955</v>
      </c>
      <c r="V31" s="20" t="s">
        <v>123</v>
      </c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7"/>
    </row>
    <row r="32">
      <c r="A32" s="5" t="s">
        <v>42</v>
      </c>
      <c r="B32" s="14" t="s">
        <v>124</v>
      </c>
      <c r="C32" s="14">
        <v>0.82</v>
      </c>
      <c r="D32" s="25">
        <f>15.5*28.3</f>
        <v>438.65</v>
      </c>
      <c r="E32" s="3">
        <f t="shared" si="1"/>
        <v>0.8486948592</v>
      </c>
      <c r="F32" s="16">
        <v>110.0</v>
      </c>
      <c r="G32" s="17">
        <f t="shared" si="2"/>
        <v>84.5</v>
      </c>
      <c r="H32" s="16">
        <v>130.0</v>
      </c>
      <c r="I32" s="18">
        <f t="shared" si="16"/>
        <v>3.374230769</v>
      </c>
      <c r="J32" s="16">
        <v>6.0</v>
      </c>
      <c r="K32" s="16">
        <v>0.5</v>
      </c>
      <c r="L32" s="16">
        <v>20.0</v>
      </c>
      <c r="M32" s="16">
        <v>6.0</v>
      </c>
      <c r="N32" s="4">
        <f t="shared" si="4"/>
        <v>0.2181818182</v>
      </c>
      <c r="O32" s="4">
        <f t="shared" si="5"/>
        <v>0.04090909091</v>
      </c>
      <c r="P32" s="4">
        <f t="shared" si="6"/>
        <v>0.7272727273</v>
      </c>
      <c r="Q32" s="14">
        <f t="shared" si="7"/>
        <v>0.04050305863</v>
      </c>
      <c r="R32" s="19">
        <f>AVERAGE(0.7,0.89)</f>
        <v>0.795</v>
      </c>
      <c r="S32" s="19"/>
      <c r="T32" s="19">
        <f t="shared" si="11"/>
        <v>0.795</v>
      </c>
      <c r="U32" s="19">
        <f t="shared" si="9"/>
        <v>4.282504861</v>
      </c>
      <c r="V32" s="20" t="s">
        <v>125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2"/>
    </row>
    <row r="33">
      <c r="A33" s="5" t="s">
        <v>37</v>
      </c>
      <c r="B33" s="14" t="s">
        <v>124</v>
      </c>
      <c r="C33" s="14">
        <v>0.82</v>
      </c>
      <c r="D33" s="25">
        <f>15.25*28.3</f>
        <v>431.575</v>
      </c>
      <c r="E33" s="3">
        <f t="shared" si="1"/>
        <v>0.8626078897</v>
      </c>
      <c r="F33" s="16">
        <v>120.0</v>
      </c>
      <c r="G33" s="17">
        <f t="shared" si="2"/>
        <v>84</v>
      </c>
      <c r="H33" s="16">
        <v>130.0</v>
      </c>
      <c r="I33" s="18">
        <f t="shared" si="16"/>
        <v>3.319807692</v>
      </c>
      <c r="J33" s="16">
        <v>8.0</v>
      </c>
      <c r="K33" s="16">
        <v>0.0</v>
      </c>
      <c r="L33" s="16">
        <v>22.0</v>
      </c>
      <c r="M33" s="16">
        <v>9.0</v>
      </c>
      <c r="N33" s="4">
        <f t="shared" si="4"/>
        <v>0.2666666667</v>
      </c>
      <c r="O33" s="4">
        <f t="shared" si="5"/>
        <v>0</v>
      </c>
      <c r="P33" s="4">
        <f t="shared" si="6"/>
        <v>0.7333333333</v>
      </c>
      <c r="Q33" s="14">
        <f t="shared" si="7"/>
        <v>0.0308752824</v>
      </c>
      <c r="R33" s="19">
        <f t="shared" ref="R33:S33" si="25">R32</f>
        <v>0.795</v>
      </c>
      <c r="S33" s="19" t="str">
        <f t="shared" si="25"/>
        <v/>
      </c>
      <c r="T33" s="19">
        <f t="shared" si="11"/>
        <v>0.795</v>
      </c>
      <c r="U33" s="19">
        <f t="shared" si="9"/>
        <v>6.866333959</v>
      </c>
      <c r="V33" s="20" t="s">
        <v>126</v>
      </c>
      <c r="AJ33" s="24"/>
    </row>
    <row r="34">
      <c r="A34" s="5" t="s">
        <v>43</v>
      </c>
      <c r="B34" s="14" t="s">
        <v>124</v>
      </c>
      <c r="C34" s="14">
        <v>0.82</v>
      </c>
      <c r="D34" s="25">
        <f t="shared" ref="D34:D36" si="26">15.5*28.3</f>
        <v>438.65</v>
      </c>
      <c r="E34" s="3">
        <f t="shared" si="1"/>
        <v>0.8486948592</v>
      </c>
      <c r="F34" s="16">
        <v>120.0</v>
      </c>
      <c r="G34" s="17">
        <f t="shared" si="2"/>
        <v>92</v>
      </c>
      <c r="H34" s="16">
        <v>130.0</v>
      </c>
      <c r="I34" s="18">
        <f t="shared" si="16"/>
        <v>3.374230769</v>
      </c>
      <c r="J34" s="16">
        <v>7.0</v>
      </c>
      <c r="K34" s="16">
        <v>0.0</v>
      </c>
      <c r="L34" s="16">
        <v>21.0</v>
      </c>
      <c r="M34" s="16">
        <v>5.0</v>
      </c>
      <c r="N34" s="4">
        <f t="shared" si="4"/>
        <v>0.2333333333</v>
      </c>
      <c r="O34" s="4">
        <f t="shared" si="5"/>
        <v>0</v>
      </c>
      <c r="P34" s="4">
        <f t="shared" si="6"/>
        <v>0.7</v>
      </c>
      <c r="Q34" s="14">
        <f t="shared" si="7"/>
        <v>0.03471690739</v>
      </c>
      <c r="R34" s="19">
        <v>0.648</v>
      </c>
      <c r="S34" s="19">
        <v>0.588</v>
      </c>
      <c r="T34" s="19">
        <f t="shared" si="11"/>
        <v>0.618</v>
      </c>
      <c r="U34" s="19">
        <f t="shared" si="9"/>
        <v>4.153595779</v>
      </c>
      <c r="V34" s="20" t="s">
        <v>127</v>
      </c>
      <c r="AJ34" s="24"/>
    </row>
    <row r="35">
      <c r="A35" s="5" t="s">
        <v>40</v>
      </c>
      <c r="B35" s="14" t="s">
        <v>124</v>
      </c>
      <c r="C35" s="14">
        <v>0.82</v>
      </c>
      <c r="D35" s="25">
        <f t="shared" si="26"/>
        <v>438.65</v>
      </c>
      <c r="E35" s="3">
        <f t="shared" si="1"/>
        <v>0.8486948592</v>
      </c>
      <c r="F35" s="16">
        <v>110.0</v>
      </c>
      <c r="G35" s="17">
        <f t="shared" si="2"/>
        <v>76</v>
      </c>
      <c r="H35" s="16">
        <v>130.0</v>
      </c>
      <c r="I35" s="18">
        <f t="shared" si="16"/>
        <v>3.374230769</v>
      </c>
      <c r="J35" s="16">
        <v>7.0</v>
      </c>
      <c r="K35" s="16">
        <v>0.0</v>
      </c>
      <c r="L35" s="16">
        <v>19.0</v>
      </c>
      <c r="M35" s="16">
        <v>7.0</v>
      </c>
      <c r="N35" s="4">
        <f t="shared" si="4"/>
        <v>0.2545454545</v>
      </c>
      <c r="O35" s="4">
        <f t="shared" si="5"/>
        <v>0</v>
      </c>
      <c r="P35" s="4">
        <f t="shared" si="6"/>
        <v>0.6909090909</v>
      </c>
      <c r="Q35" s="14">
        <f t="shared" si="7"/>
        <v>0.03471690739</v>
      </c>
      <c r="R35" s="19">
        <f t="shared" ref="R35:S35" si="27">R34</f>
        <v>0.648</v>
      </c>
      <c r="S35" s="19">
        <f t="shared" si="27"/>
        <v>0.588</v>
      </c>
      <c r="T35" s="19">
        <f t="shared" si="11"/>
        <v>0.618</v>
      </c>
      <c r="U35" s="19">
        <f t="shared" si="9"/>
        <v>4.531195395</v>
      </c>
      <c r="V35" s="20" t="s">
        <v>128</v>
      </c>
      <c r="AJ35" s="24"/>
    </row>
    <row r="36">
      <c r="A36" s="5" t="s">
        <v>45</v>
      </c>
      <c r="B36" s="14" t="s">
        <v>124</v>
      </c>
      <c r="C36" s="14">
        <v>0.82</v>
      </c>
      <c r="D36" s="25">
        <f t="shared" si="26"/>
        <v>438.65</v>
      </c>
      <c r="E36" s="3">
        <f t="shared" si="1"/>
        <v>0.8486948592</v>
      </c>
      <c r="F36" s="16">
        <v>120.0</v>
      </c>
      <c r="G36" s="17">
        <f t="shared" si="2"/>
        <v>94.5</v>
      </c>
      <c r="H36" s="16">
        <v>130.0</v>
      </c>
      <c r="I36" s="18">
        <f t="shared" si="16"/>
        <v>3.374230769</v>
      </c>
      <c r="J36" s="16">
        <v>6.0</v>
      </c>
      <c r="K36" s="16">
        <v>2.5</v>
      </c>
      <c r="L36" s="16">
        <v>18.0</v>
      </c>
      <c r="M36" s="16">
        <v>6.0</v>
      </c>
      <c r="N36" s="4">
        <f t="shared" si="4"/>
        <v>0.2</v>
      </c>
      <c r="O36" s="4">
        <f t="shared" si="5"/>
        <v>0.1875</v>
      </c>
      <c r="P36" s="4">
        <f t="shared" si="6"/>
        <v>0.6</v>
      </c>
      <c r="Q36" s="14">
        <f t="shared" si="7"/>
        <v>0.04050305863</v>
      </c>
      <c r="R36" s="19">
        <v>0.74</v>
      </c>
      <c r="S36" s="19">
        <v>0.83</v>
      </c>
      <c r="T36" s="19">
        <f t="shared" si="11"/>
        <v>0.785</v>
      </c>
      <c r="U36" s="19">
        <f t="shared" si="9"/>
        <v>3.876250469</v>
      </c>
      <c r="V36" s="20" t="s">
        <v>129</v>
      </c>
      <c r="AJ36" s="24"/>
    </row>
    <row r="37">
      <c r="A37" s="5" t="s">
        <v>18</v>
      </c>
      <c r="B37" s="14" t="s">
        <v>124</v>
      </c>
      <c r="C37" s="14">
        <v>1.24</v>
      </c>
      <c r="D37" s="15">
        <v>454.0</v>
      </c>
      <c r="E37" s="3">
        <f t="shared" si="1"/>
        <v>1.24</v>
      </c>
      <c r="F37" s="16">
        <v>100.0</v>
      </c>
      <c r="G37" s="17">
        <f t="shared" si="2"/>
        <v>96</v>
      </c>
      <c r="H37" s="16">
        <v>35.0</v>
      </c>
      <c r="I37" s="18">
        <f t="shared" si="16"/>
        <v>12.97142857</v>
      </c>
      <c r="J37" s="16">
        <v>7.0</v>
      </c>
      <c r="K37" s="16">
        <v>0.0</v>
      </c>
      <c r="L37" s="16">
        <v>22.0</v>
      </c>
      <c r="M37" s="16">
        <v>5.0</v>
      </c>
      <c r="N37" s="4">
        <f t="shared" si="4"/>
        <v>0.28</v>
      </c>
      <c r="O37" s="4">
        <f t="shared" si="5"/>
        <v>0</v>
      </c>
      <c r="P37" s="4">
        <f t="shared" si="6"/>
        <v>0.88</v>
      </c>
      <c r="Q37" s="14">
        <f t="shared" si="7"/>
        <v>0.01365638767</v>
      </c>
      <c r="R37" s="19">
        <f t="shared" ref="R37:S37" si="28">R32</f>
        <v>0.795</v>
      </c>
      <c r="S37" s="19" t="str">
        <f t="shared" si="28"/>
        <v/>
      </c>
      <c r="T37" s="19">
        <f t="shared" si="11"/>
        <v>0.795</v>
      </c>
      <c r="U37" s="19">
        <f t="shared" si="9"/>
        <v>16.30006452</v>
      </c>
      <c r="V37" s="23" t="s">
        <v>130</v>
      </c>
      <c r="AJ37" s="24"/>
    </row>
    <row r="38">
      <c r="A38" s="5" t="s">
        <v>20</v>
      </c>
      <c r="B38" s="14" t="s">
        <v>124</v>
      </c>
      <c r="C38" s="14">
        <v>1.76</v>
      </c>
      <c r="D38" s="15">
        <v>454.0</v>
      </c>
      <c r="E38" s="3">
        <f t="shared" si="1"/>
        <v>1.76</v>
      </c>
      <c r="F38" s="16">
        <v>100.0</v>
      </c>
      <c r="G38" s="17">
        <f t="shared" si="2"/>
        <v>100</v>
      </c>
      <c r="H38" s="16">
        <v>35.0</v>
      </c>
      <c r="I38" s="18">
        <f t="shared" si="16"/>
        <v>12.97142857</v>
      </c>
      <c r="J38" s="16">
        <v>8.0</v>
      </c>
      <c r="K38" s="16">
        <v>0.0</v>
      </c>
      <c r="L38" s="16">
        <v>22.0</v>
      </c>
      <c r="M38" s="16">
        <v>5.0</v>
      </c>
      <c r="N38" s="4">
        <f t="shared" si="4"/>
        <v>0.32</v>
      </c>
      <c r="O38" s="4">
        <f t="shared" si="5"/>
        <v>0</v>
      </c>
      <c r="P38" s="4">
        <f t="shared" si="6"/>
        <v>0.88</v>
      </c>
      <c r="Q38" s="14">
        <f t="shared" si="7"/>
        <v>0.01696035242</v>
      </c>
      <c r="R38" s="19">
        <f t="shared" ref="R38:S38" si="29">R32</f>
        <v>0.795</v>
      </c>
      <c r="S38" s="19" t="str">
        <f t="shared" si="29"/>
        <v/>
      </c>
      <c r="T38" s="19">
        <f t="shared" si="11"/>
        <v>0.795</v>
      </c>
      <c r="U38" s="19">
        <f t="shared" si="9"/>
        <v>14.99968831</v>
      </c>
      <c r="V38" s="20" t="s">
        <v>131</v>
      </c>
      <c r="AJ38" s="24"/>
    </row>
    <row r="39">
      <c r="A39" s="5" t="s">
        <v>22</v>
      </c>
      <c r="B39" s="14" t="s">
        <v>124</v>
      </c>
      <c r="C39" s="14">
        <v>1.87</v>
      </c>
      <c r="D39" s="15">
        <v>454.0</v>
      </c>
      <c r="E39" s="3">
        <f t="shared" si="1"/>
        <v>1.87</v>
      </c>
      <c r="F39" s="16">
        <v>80.0</v>
      </c>
      <c r="G39" s="17">
        <f t="shared" si="2"/>
        <v>76.5</v>
      </c>
      <c r="H39" s="16">
        <v>35.0</v>
      </c>
      <c r="I39" s="18">
        <f t="shared" si="16"/>
        <v>12.97142857</v>
      </c>
      <c r="J39" s="16">
        <v>8.0</v>
      </c>
      <c r="K39" s="16">
        <v>0.5</v>
      </c>
      <c r="L39" s="16">
        <v>21.0</v>
      </c>
      <c r="M39" s="16">
        <v>11.0</v>
      </c>
      <c r="N39" s="4">
        <f t="shared" si="4"/>
        <v>0.4</v>
      </c>
      <c r="O39" s="4">
        <f t="shared" si="5"/>
        <v>0.05625</v>
      </c>
      <c r="P39" s="4">
        <f t="shared" si="6"/>
        <v>1.05</v>
      </c>
      <c r="Q39" s="14">
        <f t="shared" si="7"/>
        <v>0.01802037445</v>
      </c>
      <c r="R39" s="19">
        <f t="shared" ref="R39:S39" si="30">R34</f>
        <v>0.648</v>
      </c>
      <c r="S39" s="19">
        <f t="shared" si="30"/>
        <v>0.588</v>
      </c>
      <c r="T39" s="19">
        <f t="shared" si="11"/>
        <v>0.618</v>
      </c>
      <c r="U39" s="19">
        <f t="shared" si="9"/>
        <v>13.71780596</v>
      </c>
      <c r="V39" s="20" t="s">
        <v>132</v>
      </c>
      <c r="AJ39" s="24"/>
    </row>
    <row r="40">
      <c r="A40" s="5" t="s">
        <v>28</v>
      </c>
      <c r="B40" s="14" t="s">
        <v>124</v>
      </c>
      <c r="C40" s="14">
        <v>1.92</v>
      </c>
      <c r="D40" s="15">
        <v>454.0</v>
      </c>
      <c r="E40" s="3">
        <f t="shared" si="1"/>
        <v>1.92</v>
      </c>
      <c r="F40" s="16">
        <v>90.0</v>
      </c>
      <c r="G40" s="17">
        <f t="shared" si="2"/>
        <v>80</v>
      </c>
      <c r="H40" s="16">
        <v>35.0</v>
      </c>
      <c r="I40" s="18">
        <f t="shared" si="16"/>
        <v>12.97142857</v>
      </c>
      <c r="J40" s="16">
        <v>8.0</v>
      </c>
      <c r="K40" s="16">
        <v>0.0</v>
      </c>
      <c r="L40" s="16">
        <v>21.0</v>
      </c>
      <c r="M40" s="16">
        <v>9.0</v>
      </c>
      <c r="N40" s="4">
        <f t="shared" si="4"/>
        <v>0.3555555556</v>
      </c>
      <c r="O40" s="4">
        <f t="shared" si="5"/>
        <v>0</v>
      </c>
      <c r="P40" s="4">
        <f t="shared" si="6"/>
        <v>0.9333333333</v>
      </c>
      <c r="Q40" s="14">
        <f t="shared" si="7"/>
        <v>0.01850220264</v>
      </c>
      <c r="R40" s="19">
        <f>R34</f>
        <v>0.648</v>
      </c>
      <c r="S40" s="19">
        <f>S35</f>
        <v>0.588</v>
      </c>
      <c r="T40" s="19">
        <f t="shared" si="11"/>
        <v>0.618</v>
      </c>
      <c r="U40" s="19">
        <f t="shared" si="9"/>
        <v>11.87606349</v>
      </c>
      <c r="V40" s="20" t="s">
        <v>133</v>
      </c>
      <c r="AJ40" s="24"/>
    </row>
    <row r="41">
      <c r="A41" s="5" t="s">
        <v>29</v>
      </c>
      <c r="B41" s="14" t="s">
        <v>124</v>
      </c>
      <c r="C41" s="14">
        <v>1.46</v>
      </c>
      <c r="D41" s="15">
        <v>454.0</v>
      </c>
      <c r="E41" s="3">
        <f t="shared" si="1"/>
        <v>1.46</v>
      </c>
      <c r="F41" s="16">
        <v>120.0</v>
      </c>
      <c r="G41" s="17">
        <f t="shared" si="2"/>
        <v>118</v>
      </c>
      <c r="H41" s="16">
        <v>35.0</v>
      </c>
      <c r="I41" s="18">
        <f t="shared" si="16"/>
        <v>12.97142857</v>
      </c>
      <c r="J41" s="16">
        <v>7.0</v>
      </c>
      <c r="K41" s="16">
        <v>2.0</v>
      </c>
      <c r="L41" s="16">
        <v>22.0</v>
      </c>
      <c r="M41" s="16">
        <v>4.0</v>
      </c>
      <c r="N41" s="4">
        <f t="shared" si="4"/>
        <v>0.2333333333</v>
      </c>
      <c r="O41" s="4">
        <f t="shared" si="5"/>
        <v>0.15</v>
      </c>
      <c r="P41" s="4">
        <f t="shared" si="6"/>
        <v>0.7333333333</v>
      </c>
      <c r="Q41" s="14">
        <f t="shared" si="7"/>
        <v>0.01607929515</v>
      </c>
      <c r="R41" s="19">
        <f t="shared" ref="R41:S41" si="31">R36</f>
        <v>0.74</v>
      </c>
      <c r="S41" s="19">
        <f t="shared" si="31"/>
        <v>0.83</v>
      </c>
      <c r="T41" s="19">
        <f t="shared" si="11"/>
        <v>0.785</v>
      </c>
      <c r="U41" s="19">
        <f t="shared" si="9"/>
        <v>11.39146119</v>
      </c>
      <c r="V41" s="20" t="s">
        <v>134</v>
      </c>
      <c r="AJ41" s="24"/>
    </row>
    <row r="42">
      <c r="A42" s="5" t="s">
        <v>53</v>
      </c>
      <c r="B42" s="14" t="s">
        <v>124</v>
      </c>
      <c r="C42" s="14">
        <v>71.97</v>
      </c>
      <c r="D42" s="25">
        <f>16*28.3*6</f>
        <v>2716.8</v>
      </c>
      <c r="E42" s="3">
        <f t="shared" si="1"/>
        <v>12.02678887</v>
      </c>
      <c r="F42" s="16">
        <v>130.0</v>
      </c>
      <c r="G42" s="17">
        <f t="shared" si="2"/>
        <v>119</v>
      </c>
      <c r="H42" s="16">
        <v>91.0</v>
      </c>
      <c r="I42" s="18">
        <f t="shared" si="16"/>
        <v>29.85494505</v>
      </c>
      <c r="J42" s="16">
        <v>14.0</v>
      </c>
      <c r="K42" s="16">
        <v>7.0</v>
      </c>
      <c r="L42" s="16">
        <v>2.0</v>
      </c>
      <c r="M42" s="16">
        <v>2.0</v>
      </c>
      <c r="N42" s="4">
        <f t="shared" si="4"/>
        <v>0.4307692308</v>
      </c>
      <c r="O42" s="4">
        <f t="shared" si="5"/>
        <v>0.4846153846</v>
      </c>
      <c r="P42" s="4">
        <f t="shared" si="6"/>
        <v>0.06153846154</v>
      </c>
      <c r="Q42" s="14">
        <f t="shared" si="7"/>
        <v>0.1721897085</v>
      </c>
      <c r="R42" s="19">
        <v>0.7</v>
      </c>
      <c r="S42" s="19">
        <v>0.97</v>
      </c>
      <c r="T42" s="19">
        <f t="shared" si="11"/>
        <v>0.835</v>
      </c>
      <c r="U42" s="19">
        <f t="shared" si="9"/>
        <v>2.088930348</v>
      </c>
      <c r="V42" s="20" t="s">
        <v>135</v>
      </c>
      <c r="AJ42" s="24"/>
    </row>
    <row r="43">
      <c r="A43" s="5" t="s">
        <v>44</v>
      </c>
      <c r="B43" s="14" t="s">
        <v>136</v>
      </c>
      <c r="C43" s="14">
        <v>1.16</v>
      </c>
      <c r="D43" s="25">
        <f>15*28.3</f>
        <v>424.5</v>
      </c>
      <c r="E43" s="3">
        <f t="shared" si="1"/>
        <v>1.240612485</v>
      </c>
      <c r="F43" s="16">
        <v>110.0</v>
      </c>
      <c r="G43" s="17">
        <f t="shared" si="2"/>
        <v>100</v>
      </c>
      <c r="H43" s="16">
        <v>130.0</v>
      </c>
      <c r="I43" s="18">
        <f t="shared" si="16"/>
        <v>3.265384615</v>
      </c>
      <c r="J43" s="16">
        <v>7.0</v>
      </c>
      <c r="K43" s="16">
        <v>0.0</v>
      </c>
      <c r="L43" s="16">
        <v>21.0</v>
      </c>
      <c r="M43" s="16">
        <v>3.0</v>
      </c>
      <c r="N43" s="4">
        <f t="shared" si="4"/>
        <v>0.2545454545</v>
      </c>
      <c r="O43" s="4">
        <f t="shared" si="5"/>
        <v>0</v>
      </c>
      <c r="P43" s="4">
        <f t="shared" si="6"/>
        <v>0.7636363636</v>
      </c>
      <c r="Q43" s="14">
        <f t="shared" si="7"/>
        <v>0.05074878008</v>
      </c>
      <c r="R43" s="19">
        <f t="shared" ref="R43:S43" si="32">R32</f>
        <v>0.795</v>
      </c>
      <c r="S43" s="19" t="str">
        <f t="shared" si="32"/>
        <v/>
      </c>
      <c r="T43" s="19">
        <f t="shared" si="11"/>
        <v>0.795</v>
      </c>
      <c r="U43" s="19">
        <f t="shared" si="9"/>
        <v>3.987556667</v>
      </c>
      <c r="V43" s="20" t="s">
        <v>137</v>
      </c>
      <c r="AJ43" s="24"/>
    </row>
    <row r="44">
      <c r="A44" s="5" t="s">
        <v>19</v>
      </c>
      <c r="B44" s="14" t="s">
        <v>136</v>
      </c>
      <c r="C44" s="14">
        <v>1.92</v>
      </c>
      <c r="D44" s="15">
        <v>454.0</v>
      </c>
      <c r="E44" s="3">
        <f t="shared" si="1"/>
        <v>1.92</v>
      </c>
      <c r="F44" s="16">
        <v>110.0</v>
      </c>
      <c r="G44" s="17">
        <f t="shared" si="2"/>
        <v>108</v>
      </c>
      <c r="H44" s="16">
        <v>35.0</v>
      </c>
      <c r="I44" s="18">
        <f t="shared" si="16"/>
        <v>12.97142857</v>
      </c>
      <c r="J44" s="16">
        <v>9.0</v>
      </c>
      <c r="K44" s="16">
        <v>0.0</v>
      </c>
      <c r="L44" s="16">
        <v>22.0</v>
      </c>
      <c r="M44" s="16">
        <v>4.0</v>
      </c>
      <c r="N44" s="4">
        <f t="shared" si="4"/>
        <v>0.3272727273</v>
      </c>
      <c r="O44" s="4">
        <f t="shared" si="5"/>
        <v>0</v>
      </c>
      <c r="P44" s="4">
        <f t="shared" si="6"/>
        <v>0.8</v>
      </c>
      <c r="Q44" s="14">
        <f t="shared" si="7"/>
        <v>0.01644640235</v>
      </c>
      <c r="R44" s="19">
        <f t="shared" ref="R44:S44" si="33">R32</f>
        <v>0.795</v>
      </c>
      <c r="S44" s="19" t="str">
        <f t="shared" si="33"/>
        <v/>
      </c>
      <c r="T44" s="19">
        <f t="shared" si="11"/>
        <v>0.795</v>
      </c>
      <c r="U44" s="19">
        <f t="shared" si="9"/>
        <v>15.81998377</v>
      </c>
      <c r="V44" s="20" t="s">
        <v>138</v>
      </c>
      <c r="AJ44" s="24"/>
    </row>
    <row r="45">
      <c r="A45" s="5" t="s">
        <v>26</v>
      </c>
      <c r="B45" s="14" t="s">
        <v>136</v>
      </c>
      <c r="C45" s="14">
        <v>9.08</v>
      </c>
      <c r="D45" s="25">
        <f>20*28.3*4</f>
        <v>2264</v>
      </c>
      <c r="E45" s="3">
        <f t="shared" si="1"/>
        <v>1.820812721</v>
      </c>
      <c r="F45" s="16">
        <v>120.0</v>
      </c>
      <c r="G45" s="17">
        <f t="shared" si="2"/>
        <v>104.5</v>
      </c>
      <c r="H45" s="16">
        <v>35.0</v>
      </c>
      <c r="I45" s="18">
        <f t="shared" si="16"/>
        <v>64.68571429</v>
      </c>
      <c r="J45" s="16">
        <v>8.0</v>
      </c>
      <c r="K45" s="16">
        <v>0.5</v>
      </c>
      <c r="L45" s="16">
        <v>21.0</v>
      </c>
      <c r="M45" s="16">
        <v>4.0</v>
      </c>
      <c r="N45" s="4">
        <f t="shared" si="4"/>
        <v>0.2666666667</v>
      </c>
      <c r="O45" s="4">
        <f t="shared" si="5"/>
        <v>0.0375</v>
      </c>
      <c r="P45" s="4">
        <f t="shared" si="6"/>
        <v>0.7</v>
      </c>
      <c r="Q45" s="14">
        <f t="shared" si="7"/>
        <v>0.01754637809</v>
      </c>
      <c r="R45" s="19">
        <f t="shared" ref="R45:S45" si="34">R32</f>
        <v>0.795</v>
      </c>
      <c r="S45" s="19" t="str">
        <f t="shared" si="34"/>
        <v/>
      </c>
      <c r="T45" s="19">
        <f t="shared" si="11"/>
        <v>0.795</v>
      </c>
      <c r="U45" s="19">
        <f t="shared" si="9"/>
        <v>12.08226558</v>
      </c>
      <c r="V45" s="20" t="s">
        <v>139</v>
      </c>
      <c r="AJ45" s="24"/>
    </row>
    <row r="46">
      <c r="A46" s="5" t="s">
        <v>17</v>
      </c>
      <c r="B46" s="14" t="s">
        <v>136</v>
      </c>
      <c r="C46" s="14">
        <v>1.58</v>
      </c>
      <c r="D46" s="25">
        <f>16*28.3</f>
        <v>452.8</v>
      </c>
      <c r="E46" s="3">
        <f t="shared" si="1"/>
        <v>1.584187279</v>
      </c>
      <c r="F46" s="16">
        <v>180.0</v>
      </c>
      <c r="G46" s="17">
        <f t="shared" si="2"/>
        <v>140</v>
      </c>
      <c r="H46" s="16">
        <v>52.0</v>
      </c>
      <c r="I46" s="18">
        <f t="shared" si="16"/>
        <v>8.707692308</v>
      </c>
      <c r="J46" s="16">
        <v>13.0</v>
      </c>
      <c r="K46" s="16">
        <v>0.0</v>
      </c>
      <c r="L46" s="16">
        <v>31.0</v>
      </c>
      <c r="M46" s="16">
        <v>9.0</v>
      </c>
      <c r="N46" s="4">
        <f t="shared" si="4"/>
        <v>0.2888888889</v>
      </c>
      <c r="O46" s="4">
        <f t="shared" si="5"/>
        <v>0</v>
      </c>
      <c r="P46" s="4">
        <f t="shared" si="6"/>
        <v>0.6888888889</v>
      </c>
      <c r="Q46" s="14">
        <f t="shared" si="7"/>
        <v>0.01395759717</v>
      </c>
      <c r="R46" s="19">
        <f t="shared" ref="R46:S46" si="35">R32</f>
        <v>0.795</v>
      </c>
      <c r="S46" s="19" t="str">
        <f t="shared" si="35"/>
        <v/>
      </c>
      <c r="T46" s="19">
        <f t="shared" si="11"/>
        <v>0.795</v>
      </c>
      <c r="U46" s="19">
        <f t="shared" si="9"/>
        <v>16.45459916</v>
      </c>
      <c r="V46" s="20" t="s">
        <v>140</v>
      </c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7"/>
    </row>
    <row r="47">
      <c r="A47" s="5" t="s">
        <v>48</v>
      </c>
      <c r="B47" s="14" t="s">
        <v>141</v>
      </c>
      <c r="C47" s="14">
        <v>0.64</v>
      </c>
      <c r="D47" s="25">
        <f>15*28.3</f>
        <v>424.5</v>
      </c>
      <c r="E47" s="3">
        <f t="shared" si="1"/>
        <v>0.6844758539</v>
      </c>
      <c r="F47" s="16">
        <v>70.0</v>
      </c>
      <c r="G47" s="17">
        <f t="shared" si="2"/>
        <v>48</v>
      </c>
      <c r="H47" s="16">
        <v>125.0</v>
      </c>
      <c r="I47" s="18">
        <f t="shared" si="16"/>
        <v>3.396</v>
      </c>
      <c r="J47" s="16">
        <v>4.0</v>
      </c>
      <c r="K47" s="16">
        <v>0.0</v>
      </c>
      <c r="L47" s="16">
        <v>12.0</v>
      </c>
      <c r="M47" s="16">
        <v>4.0</v>
      </c>
      <c r="N47" s="4">
        <f t="shared" si="4"/>
        <v>0.2285714286</v>
      </c>
      <c r="O47" s="4">
        <f t="shared" si="5"/>
        <v>0</v>
      </c>
      <c r="P47" s="4">
        <f t="shared" si="6"/>
        <v>0.6857142857</v>
      </c>
      <c r="Q47" s="14">
        <f t="shared" si="7"/>
        <v>0.04711425206</v>
      </c>
      <c r="R47" s="19">
        <f>AVERAGE(0.597,0.782)</f>
        <v>0.6895</v>
      </c>
      <c r="S47" s="19">
        <f>AVERAGE(0.579,0.647)</f>
        <v>0.613</v>
      </c>
      <c r="T47" s="19">
        <f t="shared" si="11"/>
        <v>0.65125</v>
      </c>
      <c r="U47" s="19">
        <f t="shared" si="9"/>
        <v>3.159492857</v>
      </c>
      <c r="V47" s="20" t="s">
        <v>142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2"/>
    </row>
    <row r="48">
      <c r="A48" s="5" t="s">
        <v>65</v>
      </c>
      <c r="B48" s="14" t="s">
        <v>141</v>
      </c>
      <c r="C48" s="14">
        <v>0.64</v>
      </c>
      <c r="D48" s="25">
        <f>14.5*28.3</f>
        <v>410.35</v>
      </c>
      <c r="E48" s="3">
        <f t="shared" si="1"/>
        <v>0.7080784696</v>
      </c>
      <c r="F48" s="16">
        <v>25.0</v>
      </c>
      <c r="G48" s="17">
        <f t="shared" si="2"/>
        <v>16</v>
      </c>
      <c r="H48" s="16">
        <v>121.0</v>
      </c>
      <c r="I48" s="18">
        <f t="shared" si="16"/>
        <v>3.391322314</v>
      </c>
      <c r="J48" s="16">
        <v>1.0</v>
      </c>
      <c r="K48" s="16">
        <v>0.0</v>
      </c>
      <c r="L48" s="16">
        <v>5.0</v>
      </c>
      <c r="M48" s="16">
        <v>2.0</v>
      </c>
      <c r="N48" s="4">
        <f t="shared" si="4"/>
        <v>0.16</v>
      </c>
      <c r="O48" s="4">
        <f t="shared" si="5"/>
        <v>0</v>
      </c>
      <c r="P48" s="4">
        <f t="shared" si="6"/>
        <v>0.8</v>
      </c>
      <c r="Q48" s="14">
        <f t="shared" si="7"/>
        <v>0.1887169489</v>
      </c>
      <c r="R48" s="19">
        <f>AVERAGE(0.73,0.89)</f>
        <v>0.81</v>
      </c>
      <c r="S48" s="19"/>
      <c r="T48" s="19">
        <f t="shared" si="11"/>
        <v>0.81</v>
      </c>
      <c r="U48" s="19">
        <f t="shared" si="9"/>
        <v>0.6867427686</v>
      </c>
      <c r="V48" s="20" t="s">
        <v>143</v>
      </c>
      <c r="AJ48" s="24"/>
    </row>
    <row r="49">
      <c r="A49" s="5" t="s">
        <v>60</v>
      </c>
      <c r="B49" s="14" t="s">
        <v>141</v>
      </c>
      <c r="C49" s="14">
        <v>1.32</v>
      </c>
      <c r="D49" s="25">
        <f>13.5*28.3</f>
        <v>382.05</v>
      </c>
      <c r="E49" s="3">
        <f t="shared" si="1"/>
        <v>1.568590499</v>
      </c>
      <c r="F49" s="16">
        <v>20.0</v>
      </c>
      <c r="G49" s="17">
        <f t="shared" si="2"/>
        <v>12</v>
      </c>
      <c r="H49" s="16">
        <v>121.0</v>
      </c>
      <c r="I49" s="18">
        <f t="shared" si="16"/>
        <v>3.157438017</v>
      </c>
      <c r="J49" s="16">
        <v>2.0</v>
      </c>
      <c r="K49" s="16">
        <v>0.0</v>
      </c>
      <c r="L49" s="16">
        <v>3.0</v>
      </c>
      <c r="M49" s="16">
        <v>2.0</v>
      </c>
      <c r="N49" s="4">
        <f t="shared" si="4"/>
        <v>0.4</v>
      </c>
      <c r="O49" s="4">
        <f t="shared" si="5"/>
        <v>0</v>
      </c>
      <c r="P49" s="4">
        <f t="shared" si="6"/>
        <v>0.6</v>
      </c>
      <c r="Q49" s="14">
        <f t="shared" si="7"/>
        <v>0.2090302316</v>
      </c>
      <c r="R49" s="19">
        <f t="shared" ref="R49:S49" si="36">R48</f>
        <v>0.81</v>
      </c>
      <c r="S49" s="19" t="str">
        <f t="shared" si="36"/>
        <v/>
      </c>
      <c r="T49" s="19">
        <f t="shared" si="11"/>
        <v>0.81</v>
      </c>
      <c r="U49" s="19">
        <f t="shared" si="9"/>
        <v>1.550015026</v>
      </c>
      <c r="V49" s="20" t="s">
        <v>144</v>
      </c>
      <c r="AJ49" s="24"/>
    </row>
    <row r="50">
      <c r="A50" s="5" t="s">
        <v>52</v>
      </c>
      <c r="B50" s="14" t="s">
        <v>141</v>
      </c>
      <c r="C50" s="14">
        <v>0.98</v>
      </c>
      <c r="D50" s="25">
        <f t="shared" ref="D50:D54" si="38">12*28.3</f>
        <v>339.6</v>
      </c>
      <c r="E50" s="3">
        <f t="shared" si="1"/>
        <v>1.310129564</v>
      </c>
      <c r="F50" s="16">
        <v>70.0</v>
      </c>
      <c r="G50" s="17">
        <f t="shared" si="2"/>
        <v>44</v>
      </c>
      <c r="H50" s="16">
        <v>85.0</v>
      </c>
      <c r="I50" s="18">
        <f t="shared" si="16"/>
        <v>3.995294118</v>
      </c>
      <c r="J50" s="16">
        <v>4.0</v>
      </c>
      <c r="K50" s="16">
        <v>0.0</v>
      </c>
      <c r="L50" s="16">
        <v>12.0</v>
      </c>
      <c r="M50" s="16">
        <v>5.0</v>
      </c>
      <c r="N50" s="4">
        <f t="shared" si="4"/>
        <v>0.2285714286</v>
      </c>
      <c r="O50" s="4">
        <f t="shared" si="5"/>
        <v>0</v>
      </c>
      <c r="P50" s="4">
        <f t="shared" si="6"/>
        <v>0.6857142857</v>
      </c>
      <c r="Q50" s="14">
        <f t="shared" si="7"/>
        <v>0.0613221437</v>
      </c>
      <c r="R50" s="19">
        <f t="shared" ref="R50:S50" si="37">R47</f>
        <v>0.6895</v>
      </c>
      <c r="S50" s="19">
        <f t="shared" si="37"/>
        <v>0.613</v>
      </c>
      <c r="T50" s="19">
        <f t="shared" si="11"/>
        <v>0.65125</v>
      </c>
      <c r="U50" s="19">
        <f t="shared" si="9"/>
        <v>2.427461499</v>
      </c>
      <c r="V50" s="20" t="s">
        <v>145</v>
      </c>
      <c r="AJ50" s="24"/>
    </row>
    <row r="51">
      <c r="A51" s="5" t="s">
        <v>61</v>
      </c>
      <c r="B51" s="14" t="s">
        <v>141</v>
      </c>
      <c r="C51" s="14">
        <v>1.97</v>
      </c>
      <c r="D51" s="25">
        <f t="shared" si="38"/>
        <v>339.6</v>
      </c>
      <c r="E51" s="3">
        <f t="shared" si="1"/>
        <v>2.633627797</v>
      </c>
      <c r="F51" s="16">
        <v>25.0</v>
      </c>
      <c r="G51" s="17">
        <f t="shared" si="2"/>
        <v>24</v>
      </c>
      <c r="H51" s="16">
        <v>86.0</v>
      </c>
      <c r="I51" s="18">
        <f t="shared" si="16"/>
        <v>3.948837209</v>
      </c>
      <c r="J51" s="16">
        <v>2.0</v>
      </c>
      <c r="K51" s="16">
        <v>0.0</v>
      </c>
      <c r="L51" s="16">
        <v>6.0</v>
      </c>
      <c r="M51" s="16">
        <v>2.0</v>
      </c>
      <c r="N51" s="4">
        <f t="shared" si="4"/>
        <v>0.32</v>
      </c>
      <c r="O51" s="4">
        <f t="shared" si="5"/>
        <v>0</v>
      </c>
      <c r="P51" s="4">
        <f t="shared" si="6"/>
        <v>0.96</v>
      </c>
      <c r="Q51" s="14">
        <f t="shared" si="7"/>
        <v>0.2494405183</v>
      </c>
      <c r="R51" s="19">
        <f t="shared" ref="R51:S51" si="39">R48</f>
        <v>0.81</v>
      </c>
      <c r="S51" s="19" t="str">
        <f t="shared" si="39"/>
        <v/>
      </c>
      <c r="T51" s="19">
        <f t="shared" si="11"/>
        <v>0.81</v>
      </c>
      <c r="U51" s="19">
        <f t="shared" si="9"/>
        <v>1.039125487</v>
      </c>
      <c r="V51" s="20" t="s">
        <v>146</v>
      </c>
      <c r="AJ51" s="24"/>
    </row>
    <row r="52">
      <c r="A52" s="5" t="s">
        <v>50</v>
      </c>
      <c r="B52" s="14" t="s">
        <v>141</v>
      </c>
      <c r="C52" s="14">
        <v>1.16</v>
      </c>
      <c r="D52" s="25">
        <f t="shared" si="38"/>
        <v>339.6</v>
      </c>
      <c r="E52" s="3">
        <f t="shared" si="1"/>
        <v>1.550765607</v>
      </c>
      <c r="F52" s="16">
        <v>35.0</v>
      </c>
      <c r="G52" s="17">
        <f t="shared" si="2"/>
        <v>20.5</v>
      </c>
      <c r="H52" s="16">
        <v>81.0</v>
      </c>
      <c r="I52" s="18">
        <f t="shared" si="16"/>
        <v>4.192592593</v>
      </c>
      <c r="J52" s="16">
        <v>3.0</v>
      </c>
      <c r="K52" s="16">
        <v>0.5</v>
      </c>
      <c r="L52" s="16">
        <v>4.0</v>
      </c>
      <c r="M52" s="16">
        <v>3.0</v>
      </c>
      <c r="N52" s="4">
        <f t="shared" si="4"/>
        <v>0.3428571429</v>
      </c>
      <c r="O52" s="4">
        <f t="shared" si="5"/>
        <v>0.1285714286</v>
      </c>
      <c r="P52" s="4">
        <f t="shared" si="6"/>
        <v>0.4571428571</v>
      </c>
      <c r="Q52" s="14">
        <f t="shared" si="7"/>
        <v>0.09222614841</v>
      </c>
      <c r="R52" s="19">
        <f t="shared" ref="R52:S52" si="40">R48</f>
        <v>0.81</v>
      </c>
      <c r="S52" s="19" t="str">
        <f t="shared" si="40"/>
        <v/>
      </c>
      <c r="T52" s="19">
        <f t="shared" si="11"/>
        <v>0.81</v>
      </c>
      <c r="U52" s="19">
        <f t="shared" si="9"/>
        <v>3.011231527</v>
      </c>
      <c r="V52" s="20" t="s">
        <v>147</v>
      </c>
      <c r="AJ52" s="24"/>
    </row>
    <row r="53">
      <c r="A53" s="5" t="s">
        <v>33</v>
      </c>
      <c r="B53" s="14" t="s">
        <v>141</v>
      </c>
      <c r="C53" s="14">
        <v>1.92</v>
      </c>
      <c r="D53" s="25">
        <f t="shared" si="38"/>
        <v>339.6</v>
      </c>
      <c r="E53" s="3">
        <f t="shared" si="1"/>
        <v>2.566784452</v>
      </c>
      <c r="F53" s="16">
        <v>90.0</v>
      </c>
      <c r="G53" s="17">
        <f t="shared" si="2"/>
        <v>84</v>
      </c>
      <c r="H53" s="16">
        <v>85.0</v>
      </c>
      <c r="I53" s="18">
        <f t="shared" si="16"/>
        <v>3.995294118</v>
      </c>
      <c r="J53" s="16">
        <v>10.0</v>
      </c>
      <c r="K53" s="16">
        <v>4.0</v>
      </c>
      <c r="L53" s="16">
        <v>6.0</v>
      </c>
      <c r="M53" s="16">
        <v>4.0</v>
      </c>
      <c r="N53" s="4">
        <f t="shared" si="4"/>
        <v>0.4444444444</v>
      </c>
      <c r="O53" s="4">
        <f t="shared" si="5"/>
        <v>0.4</v>
      </c>
      <c r="P53" s="4">
        <f t="shared" si="6"/>
        <v>0.2666666667</v>
      </c>
      <c r="Q53" s="14">
        <f t="shared" si="7"/>
        <v>0.0480565371</v>
      </c>
      <c r="R53" s="19">
        <f t="shared" ref="R53:S53" si="41">R48</f>
        <v>0.81</v>
      </c>
      <c r="S53" s="19" t="str">
        <f t="shared" si="41"/>
        <v/>
      </c>
      <c r="T53" s="19">
        <f t="shared" si="11"/>
        <v>0.81</v>
      </c>
      <c r="U53" s="19">
        <f t="shared" si="9"/>
        <v>7.491176471</v>
      </c>
      <c r="V53" s="20" t="s">
        <v>148</v>
      </c>
      <c r="AJ53" s="24"/>
    </row>
    <row r="54">
      <c r="A54" s="5" t="s">
        <v>66</v>
      </c>
      <c r="B54" s="14" t="s">
        <v>141</v>
      </c>
      <c r="C54" s="14">
        <v>2.57</v>
      </c>
      <c r="D54" s="25">
        <f t="shared" si="38"/>
        <v>339.6</v>
      </c>
      <c r="E54" s="3">
        <f t="shared" si="1"/>
        <v>3.435747939</v>
      </c>
      <c r="F54" s="16">
        <v>30.0</v>
      </c>
      <c r="G54" s="17">
        <f t="shared" si="2"/>
        <v>24</v>
      </c>
      <c r="H54" s="16">
        <v>100.0</v>
      </c>
      <c r="I54" s="18">
        <f t="shared" si="16"/>
        <v>3.396</v>
      </c>
      <c r="J54" s="16">
        <v>2.0</v>
      </c>
      <c r="K54" s="16">
        <v>0.0</v>
      </c>
      <c r="L54" s="16">
        <v>7.0</v>
      </c>
      <c r="M54" s="16">
        <v>3.0</v>
      </c>
      <c r="N54" s="4">
        <f t="shared" si="4"/>
        <v>0.2666666667</v>
      </c>
      <c r="O54" s="4">
        <f t="shared" si="5"/>
        <v>0</v>
      </c>
      <c r="P54" s="4">
        <f t="shared" si="6"/>
        <v>0.9333333333</v>
      </c>
      <c r="Q54" s="14">
        <f t="shared" si="7"/>
        <v>0.3783863369</v>
      </c>
      <c r="R54" s="19">
        <f t="shared" ref="R54:S54" si="42">R48</f>
        <v>0.81</v>
      </c>
      <c r="S54" s="19" t="str">
        <f t="shared" si="42"/>
        <v/>
      </c>
      <c r="T54" s="19">
        <f t="shared" si="11"/>
        <v>0.81</v>
      </c>
      <c r="U54" s="19">
        <f t="shared" si="9"/>
        <v>0.5708451362</v>
      </c>
      <c r="V54" s="20" t="s">
        <v>149</v>
      </c>
      <c r="AJ54" s="24"/>
    </row>
    <row r="55">
      <c r="A55" s="5" t="s">
        <v>64</v>
      </c>
      <c r="B55" s="14" t="s">
        <v>141</v>
      </c>
      <c r="C55" s="14">
        <v>1.98</v>
      </c>
      <c r="D55" s="25">
        <f>10*28.3</f>
        <v>283</v>
      </c>
      <c r="E55" s="3">
        <f t="shared" si="1"/>
        <v>3.17639576</v>
      </c>
      <c r="F55" s="16">
        <v>25.0</v>
      </c>
      <c r="G55" s="17">
        <f t="shared" si="2"/>
        <v>12</v>
      </c>
      <c r="H55" s="16">
        <v>85.0</v>
      </c>
      <c r="I55" s="18">
        <f t="shared" si="16"/>
        <v>3.329411765</v>
      </c>
      <c r="J55" s="16">
        <v>2.0</v>
      </c>
      <c r="K55" s="16">
        <v>0.0</v>
      </c>
      <c r="L55" s="16">
        <v>3.0</v>
      </c>
      <c r="M55" s="16">
        <v>2.0</v>
      </c>
      <c r="N55" s="4">
        <f t="shared" si="4"/>
        <v>0.32</v>
      </c>
      <c r="O55" s="4">
        <f t="shared" si="5"/>
        <v>0</v>
      </c>
      <c r="P55" s="4">
        <f t="shared" si="6"/>
        <v>0.48</v>
      </c>
      <c r="Q55" s="14">
        <f t="shared" si="7"/>
        <v>0.2973498233</v>
      </c>
      <c r="R55" s="19">
        <f t="shared" ref="R55:S55" si="43">R48</f>
        <v>0.81</v>
      </c>
      <c r="S55" s="19" t="str">
        <f t="shared" si="43"/>
        <v/>
      </c>
      <c r="T55" s="19">
        <f t="shared" si="11"/>
        <v>0.81</v>
      </c>
      <c r="U55" s="19">
        <f t="shared" si="9"/>
        <v>0.8717005348</v>
      </c>
      <c r="V55" s="20" t="s">
        <v>150</v>
      </c>
      <c r="AJ55" s="24"/>
    </row>
    <row r="56">
      <c r="A56" s="5" t="s">
        <v>59</v>
      </c>
      <c r="B56" s="14" t="s">
        <v>151</v>
      </c>
      <c r="C56" s="14">
        <v>6.44</v>
      </c>
      <c r="D56" s="25">
        <f>10*454</f>
        <v>4540</v>
      </c>
      <c r="E56" s="3">
        <f t="shared" si="1"/>
        <v>0.644</v>
      </c>
      <c r="F56" s="16">
        <v>110.0</v>
      </c>
      <c r="G56" s="17">
        <f t="shared" si="2"/>
        <v>108</v>
      </c>
      <c r="H56" s="16">
        <v>148.0</v>
      </c>
      <c r="I56" s="18">
        <f t="shared" si="16"/>
        <v>30.67567568</v>
      </c>
      <c r="J56" s="16">
        <v>3.0</v>
      </c>
      <c r="K56" s="16">
        <v>0.0</v>
      </c>
      <c r="L56" s="16">
        <v>26.0</v>
      </c>
      <c r="M56" s="16">
        <v>2.0</v>
      </c>
      <c r="N56" s="4">
        <f t="shared" si="4"/>
        <v>0.1090909091</v>
      </c>
      <c r="O56" s="4">
        <f t="shared" si="5"/>
        <v>0</v>
      </c>
      <c r="P56" s="4">
        <f t="shared" si="6"/>
        <v>0.9454545455</v>
      </c>
      <c r="Q56" s="14">
        <f t="shared" si="7"/>
        <v>0.069979442</v>
      </c>
      <c r="R56" s="19">
        <v>0.99</v>
      </c>
      <c r="S56" s="19">
        <v>1.0</v>
      </c>
      <c r="T56" s="19">
        <f t="shared" si="11"/>
        <v>0.995</v>
      </c>
      <c r="U56" s="19">
        <f t="shared" si="9"/>
        <v>1.551104888</v>
      </c>
      <c r="V56" s="20" t="s">
        <v>152</v>
      </c>
      <c r="AJ56" s="24"/>
    </row>
    <row r="57">
      <c r="A57" s="5" t="s">
        <v>63</v>
      </c>
      <c r="B57" s="14" t="s">
        <v>151</v>
      </c>
      <c r="C57" s="14">
        <v>5.68</v>
      </c>
      <c r="D57" s="25">
        <f t="shared" ref="D57:D58" si="45">5*454</f>
        <v>2270</v>
      </c>
      <c r="E57" s="3">
        <f t="shared" si="1"/>
        <v>1.136</v>
      </c>
      <c r="F57" s="16">
        <v>110.0</v>
      </c>
      <c r="G57" s="17">
        <f t="shared" si="2"/>
        <v>108</v>
      </c>
      <c r="H57" s="16">
        <v>148.0</v>
      </c>
      <c r="I57" s="18">
        <f t="shared" si="16"/>
        <v>15.33783784</v>
      </c>
      <c r="J57" s="16">
        <v>3.0</v>
      </c>
      <c r="K57" s="16">
        <v>0.0</v>
      </c>
      <c r="L57" s="16">
        <v>26.0</v>
      </c>
      <c r="M57" s="16">
        <v>2.0</v>
      </c>
      <c r="N57" s="4">
        <f t="shared" si="4"/>
        <v>0.1090909091</v>
      </c>
      <c r="O57" s="4">
        <f t="shared" si="5"/>
        <v>0</v>
      </c>
      <c r="P57" s="4">
        <f t="shared" si="6"/>
        <v>0.9454545455</v>
      </c>
      <c r="Q57" s="14">
        <f t="shared" si="7"/>
        <v>0.1234419971</v>
      </c>
      <c r="R57" s="19">
        <f t="shared" ref="R57:S57" si="44">R56</f>
        <v>0.99</v>
      </c>
      <c r="S57" s="19">
        <f t="shared" si="44"/>
        <v>1</v>
      </c>
      <c r="T57" s="19">
        <f t="shared" si="11"/>
        <v>0.995</v>
      </c>
      <c r="U57" s="19">
        <f t="shared" si="9"/>
        <v>0.8793235457</v>
      </c>
      <c r="V57" s="20" t="s">
        <v>153</v>
      </c>
      <c r="AJ57" s="24"/>
    </row>
    <row r="58">
      <c r="A58" s="5" t="s">
        <v>62</v>
      </c>
      <c r="B58" s="14" t="s">
        <v>151</v>
      </c>
      <c r="C58" s="14">
        <v>5.34</v>
      </c>
      <c r="D58" s="25">
        <f t="shared" si="45"/>
        <v>2270</v>
      </c>
      <c r="E58" s="3">
        <f t="shared" si="1"/>
        <v>1.068</v>
      </c>
      <c r="F58" s="16">
        <v>110.0</v>
      </c>
      <c r="G58" s="17">
        <f t="shared" si="2"/>
        <v>108</v>
      </c>
      <c r="H58" s="16">
        <v>148.0</v>
      </c>
      <c r="I58" s="18">
        <f t="shared" si="16"/>
        <v>15.33783784</v>
      </c>
      <c r="J58" s="16">
        <v>3.0</v>
      </c>
      <c r="K58" s="16">
        <v>0.0</v>
      </c>
      <c r="L58" s="16">
        <v>26.0</v>
      </c>
      <c r="M58" s="16">
        <v>2.0</v>
      </c>
      <c r="N58" s="4">
        <f t="shared" si="4"/>
        <v>0.1090909091</v>
      </c>
      <c r="O58" s="4">
        <f t="shared" si="5"/>
        <v>0</v>
      </c>
      <c r="P58" s="4">
        <f t="shared" si="6"/>
        <v>0.9454545455</v>
      </c>
      <c r="Q58" s="14">
        <f t="shared" si="7"/>
        <v>0.1160528634</v>
      </c>
      <c r="R58" s="19">
        <f t="shared" ref="R58:S58" si="46">R56</f>
        <v>0.99</v>
      </c>
      <c r="S58" s="19">
        <f t="shared" si="46"/>
        <v>1</v>
      </c>
      <c r="T58" s="19">
        <f t="shared" si="11"/>
        <v>0.995</v>
      </c>
      <c r="U58" s="19">
        <f t="shared" si="9"/>
        <v>0.9353104381</v>
      </c>
      <c r="V58" s="20" t="s">
        <v>154</v>
      </c>
      <c r="AJ58" s="24"/>
    </row>
    <row r="59">
      <c r="A59" s="5" t="s">
        <v>67</v>
      </c>
      <c r="B59" s="14" t="s">
        <v>151</v>
      </c>
      <c r="C59" s="14">
        <v>3.78</v>
      </c>
      <c r="D59" s="25">
        <f>3*454</f>
        <v>1362</v>
      </c>
      <c r="E59" s="3">
        <f t="shared" si="1"/>
        <v>1.26</v>
      </c>
      <c r="F59" s="16">
        <v>130.0</v>
      </c>
      <c r="G59" s="17">
        <f t="shared" si="2"/>
        <v>124</v>
      </c>
      <c r="H59" s="16">
        <v>130.0</v>
      </c>
      <c r="I59" s="18">
        <f t="shared" si="16"/>
        <v>10.47692308</v>
      </c>
      <c r="J59" s="16">
        <v>2.0</v>
      </c>
      <c r="K59" s="16">
        <v>0.0</v>
      </c>
      <c r="L59" s="16">
        <v>33.0</v>
      </c>
      <c r="M59" s="16">
        <v>4.0</v>
      </c>
      <c r="N59" s="4">
        <f t="shared" si="4"/>
        <v>0.06153846154</v>
      </c>
      <c r="O59" s="4">
        <f t="shared" si="5"/>
        <v>0</v>
      </c>
      <c r="P59" s="4">
        <f t="shared" si="6"/>
        <v>1.015384615</v>
      </c>
      <c r="Q59" s="14">
        <f t="shared" si="7"/>
        <v>0.1803964758</v>
      </c>
      <c r="R59" s="19">
        <f t="shared" ref="R59:S59" si="47">R56</f>
        <v>0.99</v>
      </c>
      <c r="S59" s="19">
        <f t="shared" si="47"/>
        <v>1</v>
      </c>
      <c r="T59" s="19">
        <f t="shared" si="11"/>
        <v>0.995</v>
      </c>
      <c r="U59" s="19">
        <f t="shared" si="9"/>
        <v>0.3394233117</v>
      </c>
      <c r="V59" s="20" t="s">
        <v>155</v>
      </c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7"/>
    </row>
    <row r="60">
      <c r="A60" s="5" t="s">
        <v>10</v>
      </c>
      <c r="B60" s="14" t="s">
        <v>156</v>
      </c>
      <c r="C60" s="14">
        <v>23.74</v>
      </c>
      <c r="D60" s="25">
        <f>4*454</f>
        <v>1816</v>
      </c>
      <c r="E60" s="3">
        <f t="shared" si="1"/>
        <v>5.935</v>
      </c>
      <c r="F60" s="16">
        <v>120.0</v>
      </c>
      <c r="G60" s="17">
        <f t="shared" si="2"/>
        <v>126</v>
      </c>
      <c r="H60" s="16">
        <v>30.0</v>
      </c>
      <c r="I60" s="18">
        <f t="shared" si="16"/>
        <v>60.53333333</v>
      </c>
      <c r="J60" s="16">
        <v>24.0</v>
      </c>
      <c r="K60" s="16">
        <v>2.0</v>
      </c>
      <c r="L60" s="16">
        <v>3.0</v>
      </c>
      <c r="M60" s="16">
        <v>0.0</v>
      </c>
      <c r="N60" s="4">
        <f t="shared" si="4"/>
        <v>0.8</v>
      </c>
      <c r="O60" s="4">
        <f t="shared" si="5"/>
        <v>0.15</v>
      </c>
      <c r="P60" s="4">
        <f t="shared" si="6"/>
        <v>0.1</v>
      </c>
      <c r="Q60" s="14">
        <f t="shared" si="7"/>
        <v>0.01634085903</v>
      </c>
      <c r="R60" s="19">
        <v>0.463</v>
      </c>
      <c r="S60" s="19">
        <f>AVERAGE(0.4,0.48)</f>
        <v>0.44</v>
      </c>
      <c r="T60" s="19">
        <f t="shared" si="11"/>
        <v>0.4515</v>
      </c>
      <c r="U60" s="19">
        <f t="shared" si="9"/>
        <v>22.1041011</v>
      </c>
      <c r="V60" s="20" t="s">
        <v>157</v>
      </c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2"/>
    </row>
    <row r="61">
      <c r="A61" s="5" t="s">
        <v>55</v>
      </c>
      <c r="B61" s="14" t="s">
        <v>156</v>
      </c>
      <c r="C61" s="14">
        <v>6.22</v>
      </c>
      <c r="D61" s="25">
        <f>32*28.3</f>
        <v>905.6</v>
      </c>
      <c r="E61" s="3">
        <f t="shared" si="1"/>
        <v>3.118242049</v>
      </c>
      <c r="F61" s="16">
        <v>170.0</v>
      </c>
      <c r="G61" s="17">
        <f t="shared" si="2"/>
        <v>150.5</v>
      </c>
      <c r="H61" s="16">
        <v>45.0</v>
      </c>
      <c r="I61" s="18">
        <f t="shared" si="16"/>
        <v>20.12444444</v>
      </c>
      <c r="J61" s="16">
        <v>6.0</v>
      </c>
      <c r="K61" s="16">
        <v>2.5</v>
      </c>
      <c r="L61" s="16">
        <v>29.0</v>
      </c>
      <c r="M61" s="16">
        <v>3.0</v>
      </c>
      <c r="N61" s="4">
        <f t="shared" si="4"/>
        <v>0.1411764706</v>
      </c>
      <c r="O61" s="4">
        <f t="shared" si="5"/>
        <v>0.1323529412</v>
      </c>
      <c r="P61" s="4">
        <f t="shared" si="6"/>
        <v>0.6823529412</v>
      </c>
      <c r="Q61" s="14">
        <f t="shared" si="7"/>
        <v>0.05151280919</v>
      </c>
      <c r="R61" s="19">
        <v>0.677</v>
      </c>
      <c r="S61" s="19"/>
      <c r="T61" s="19">
        <f t="shared" si="11"/>
        <v>0.677</v>
      </c>
      <c r="U61" s="19">
        <f t="shared" si="9"/>
        <v>1.855392321</v>
      </c>
      <c r="V61" s="23" t="s">
        <v>158</v>
      </c>
      <c r="AJ61" s="24"/>
    </row>
    <row r="62">
      <c r="A62" s="5" t="s">
        <v>57</v>
      </c>
      <c r="B62" s="14" t="s">
        <v>156</v>
      </c>
      <c r="C62" s="14">
        <v>3.46</v>
      </c>
      <c r="D62" s="25">
        <f>16*28.3</f>
        <v>452.8</v>
      </c>
      <c r="E62" s="3">
        <f t="shared" si="1"/>
        <v>3.469169611</v>
      </c>
      <c r="F62" s="16">
        <v>170.0</v>
      </c>
      <c r="G62" s="17">
        <f t="shared" si="2"/>
        <v>150.5</v>
      </c>
      <c r="H62" s="16">
        <v>45.0</v>
      </c>
      <c r="I62" s="18">
        <f t="shared" si="16"/>
        <v>10.06222222</v>
      </c>
      <c r="J62" s="16">
        <v>6.0</v>
      </c>
      <c r="K62" s="16">
        <v>2.5</v>
      </c>
      <c r="L62" s="16">
        <v>29.0</v>
      </c>
      <c r="M62" s="16">
        <v>3.0</v>
      </c>
      <c r="N62" s="4">
        <f t="shared" si="4"/>
        <v>0.1411764706</v>
      </c>
      <c r="O62" s="4">
        <f t="shared" si="5"/>
        <v>0.1323529412</v>
      </c>
      <c r="P62" s="4">
        <f t="shared" si="6"/>
        <v>0.6823529412</v>
      </c>
      <c r="Q62" s="14">
        <f t="shared" si="7"/>
        <v>0.05731007067</v>
      </c>
      <c r="R62" s="19">
        <f t="shared" ref="R62:S62" si="48">R61</f>
        <v>0.677</v>
      </c>
      <c r="S62" s="19" t="str">
        <f t="shared" si="48"/>
        <v/>
      </c>
      <c r="T62" s="19">
        <f t="shared" si="11"/>
        <v>0.677</v>
      </c>
      <c r="U62" s="19">
        <f t="shared" si="9"/>
        <v>1.667708126</v>
      </c>
      <c r="V62" s="20" t="s">
        <v>159</v>
      </c>
      <c r="AJ62" s="24"/>
    </row>
    <row r="63">
      <c r="A63" s="5" t="s">
        <v>54</v>
      </c>
      <c r="B63" s="14" t="s">
        <v>156</v>
      </c>
      <c r="C63" s="14">
        <v>3.34</v>
      </c>
      <c r="D63" s="25">
        <f>5*454</f>
        <v>2270</v>
      </c>
      <c r="E63" s="3">
        <f t="shared" si="1"/>
        <v>0.668</v>
      </c>
      <c r="F63" s="16">
        <v>160.0</v>
      </c>
      <c r="G63" s="17">
        <f t="shared" si="2"/>
        <v>152</v>
      </c>
      <c r="H63" s="16">
        <v>45.0</v>
      </c>
      <c r="I63" s="18">
        <f t="shared" si="16"/>
        <v>50.44444444</v>
      </c>
      <c r="J63" s="16">
        <v>3.0</v>
      </c>
      <c r="K63" s="16">
        <v>0.0</v>
      </c>
      <c r="L63" s="16">
        <v>36.0</v>
      </c>
      <c r="M63" s="16">
        <v>1.0</v>
      </c>
      <c r="N63" s="4">
        <f t="shared" si="4"/>
        <v>0.075</v>
      </c>
      <c r="O63" s="4">
        <f t="shared" si="5"/>
        <v>0</v>
      </c>
      <c r="P63" s="4">
        <f t="shared" si="6"/>
        <v>0.9</v>
      </c>
      <c r="Q63" s="14">
        <f t="shared" si="7"/>
        <v>0.02207048458</v>
      </c>
      <c r="R63" s="19">
        <v>0.616</v>
      </c>
      <c r="S63" s="19">
        <f>AVERAGE(0.595,0.47)</f>
        <v>0.5325</v>
      </c>
      <c r="T63" s="19">
        <f t="shared" si="11"/>
        <v>0.57425</v>
      </c>
      <c r="U63" s="19">
        <f t="shared" si="9"/>
        <v>1.951418413</v>
      </c>
      <c r="V63" s="20" t="s">
        <v>160</v>
      </c>
      <c r="AJ63" s="24"/>
    </row>
    <row r="64">
      <c r="A64" s="5" t="s">
        <v>56</v>
      </c>
      <c r="B64" s="14" t="s">
        <v>156</v>
      </c>
      <c r="C64" s="14">
        <v>1.64</v>
      </c>
      <c r="D64" s="25">
        <f>32*28.3</f>
        <v>905.6</v>
      </c>
      <c r="E64" s="3">
        <f t="shared" si="1"/>
        <v>0.8221731449</v>
      </c>
      <c r="F64" s="16">
        <v>150.0</v>
      </c>
      <c r="G64" s="17">
        <f t="shared" si="2"/>
        <v>149.5</v>
      </c>
      <c r="H64" s="16">
        <v>42.0</v>
      </c>
      <c r="I64" s="18">
        <f t="shared" si="16"/>
        <v>21.56190476</v>
      </c>
      <c r="J64" s="16">
        <v>3.0</v>
      </c>
      <c r="K64" s="16">
        <v>1.5</v>
      </c>
      <c r="L64" s="16">
        <v>32.0</v>
      </c>
      <c r="M64" s="16">
        <v>1.0</v>
      </c>
      <c r="N64" s="4">
        <f t="shared" si="4"/>
        <v>0.08</v>
      </c>
      <c r="O64" s="4">
        <f t="shared" si="5"/>
        <v>0.09</v>
      </c>
      <c r="P64" s="4">
        <f t="shared" si="6"/>
        <v>0.8533333333</v>
      </c>
      <c r="Q64" s="14">
        <f t="shared" si="7"/>
        <v>0.02535335689</v>
      </c>
      <c r="R64" s="19">
        <f t="shared" ref="R64:S64" si="49">R63</f>
        <v>0.616</v>
      </c>
      <c r="S64" s="19">
        <f t="shared" si="49"/>
        <v>0.5325</v>
      </c>
      <c r="T64" s="19">
        <f t="shared" si="11"/>
        <v>0.57425</v>
      </c>
      <c r="U64" s="19">
        <f t="shared" si="9"/>
        <v>1.81198885</v>
      </c>
      <c r="V64" s="20" t="s">
        <v>161</v>
      </c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7"/>
    </row>
  </sheetData>
  <autoFilter ref="$A$1:$V$64"/>
  <hyperlinks>
    <hyperlink r:id="rId1" ref="V2"/>
    <hyperlink r:id="rId2" ref="V3"/>
    <hyperlink r:id="rId3" ref="V4"/>
    <hyperlink r:id="rId4" ref="V5"/>
    <hyperlink r:id="rId5" ref="V6"/>
    <hyperlink r:id="rId6" ref="V7"/>
    <hyperlink r:id="rId7" ref="V8"/>
    <hyperlink r:id="rId8" ref="V9"/>
    <hyperlink r:id="rId9" ref="V10"/>
    <hyperlink r:id="rId10" ref="V11"/>
    <hyperlink r:id="rId11" ref="V12"/>
    <hyperlink r:id="rId12" ref="V13"/>
    <hyperlink r:id="rId13" ref="V14"/>
    <hyperlink r:id="rId14" ref="V15"/>
    <hyperlink r:id="rId15" ref="V16"/>
    <hyperlink r:id="rId16" ref="V17"/>
    <hyperlink r:id="rId17" ref="V18"/>
    <hyperlink r:id="rId18" ref="V19"/>
    <hyperlink r:id="rId19" ref="V20"/>
    <hyperlink r:id="rId20" ref="V21"/>
    <hyperlink r:id="rId21" ref="V22"/>
    <hyperlink r:id="rId22" ref="V23"/>
    <hyperlink r:id="rId23" ref="V24"/>
    <hyperlink r:id="rId24" ref="V25"/>
    <hyperlink r:id="rId25" ref="V26"/>
    <hyperlink r:id="rId26" ref="V27"/>
    <hyperlink r:id="rId27" ref="V28"/>
    <hyperlink r:id="rId28" ref="V29"/>
    <hyperlink r:id="rId29" ref="V30"/>
    <hyperlink r:id="rId30" ref="V31"/>
    <hyperlink r:id="rId31" ref="V32"/>
    <hyperlink r:id="rId32" ref="V33"/>
    <hyperlink r:id="rId33" ref="V34"/>
    <hyperlink r:id="rId34" ref="V35"/>
    <hyperlink r:id="rId35" ref="V36"/>
    <hyperlink r:id="rId36" ref="V37"/>
    <hyperlink r:id="rId37" ref="V38"/>
    <hyperlink r:id="rId38" ref="V39"/>
    <hyperlink r:id="rId39" ref="V40"/>
    <hyperlink r:id="rId40" ref="V41"/>
    <hyperlink r:id="rId41" ref="V42"/>
    <hyperlink r:id="rId42" ref="V43"/>
    <hyperlink r:id="rId43" ref="V44"/>
    <hyperlink r:id="rId44" ref="V45"/>
    <hyperlink r:id="rId45" ref="V46"/>
    <hyperlink r:id="rId46" ref="V47"/>
    <hyperlink r:id="rId47" ref="V48"/>
    <hyperlink r:id="rId48" ref="V49"/>
    <hyperlink r:id="rId49" ref="V50"/>
    <hyperlink r:id="rId50" ref="V51"/>
    <hyperlink r:id="rId51" ref="V52"/>
    <hyperlink r:id="rId52" ref="V53"/>
    <hyperlink r:id="rId53" ref="V54"/>
    <hyperlink r:id="rId54" ref="V55"/>
    <hyperlink r:id="rId55" ref="V56"/>
    <hyperlink r:id="rId56" ref="V57"/>
    <hyperlink r:id="rId57" ref="V58"/>
    <hyperlink r:id="rId58" ref="V59"/>
    <hyperlink r:id="rId59" ref="V60"/>
    <hyperlink r:id="rId60" ref="V61"/>
    <hyperlink r:id="rId61" ref="V62"/>
    <hyperlink r:id="rId62" ref="V63"/>
    <hyperlink r:id="rId63" ref="V64"/>
  </hyperlinks>
  <drawing r:id="rId6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162</v>
      </c>
    </row>
  </sheetData>
  <hyperlinks>
    <hyperlink r:id="rId1" ref="A1"/>
  </hyperlinks>
  <drawing r:id="rId2"/>
</worksheet>
</file>