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sad\IITM-Academics\SEM-II\Design Project\Official\"/>
    </mc:Choice>
  </mc:AlternateContent>
  <bookViews>
    <workbookView xWindow="0" yWindow="0" windowWidth="19200" windowHeight="7310" firstSheet="3" activeTab="7"/>
  </bookViews>
  <sheets>
    <sheet name="forward20Canew" sheetId="20" r:id="rId1"/>
    <sheet name="reverse20Canew" sheetId="21" r:id="rId2"/>
    <sheet name="forward20Ctnew" sheetId="24" r:id="rId3"/>
    <sheet name="reverse20Ctnew" sheetId="25" r:id="rId4"/>
    <sheet name="0.481" sheetId="7" r:id="rId5"/>
    <sheet name="0.6" sheetId="9" r:id="rId6"/>
    <sheet name="0.7" sheetId="26" r:id="rId7"/>
    <sheet name="0.8" sheetId="11" r:id="rId8"/>
    <sheet name="0.9" sheetId="27" r:id="rId9"/>
    <sheet name="1.0" sheetId="10" r:id="rId10"/>
    <sheet name="1.2" sheetId="12" r:id="rId11"/>
    <sheet name="1.6" sheetId="13" r:id="rId12"/>
    <sheet name="2.1" sheetId="15" r:id="rId13"/>
    <sheet name="2.6" sheetId="16" r:id="rId14"/>
    <sheet name="3.2" sheetId="17" r:id="rId15"/>
    <sheet name="plots" sheetId="28" r:id="rId16"/>
  </sheets>
  <calcPr calcId="152511"/>
</workbook>
</file>

<file path=xl/calcChain.xml><?xml version="1.0" encoding="utf-8"?>
<calcChain xmlns="http://schemas.openxmlformats.org/spreadsheetml/2006/main">
  <c r="C12" i="11" l="1"/>
  <c r="C13" i="11"/>
  <c r="C14" i="11"/>
  <c r="C15" i="11"/>
  <c r="C16" i="11"/>
  <c r="C11" i="11"/>
  <c r="G6" i="11"/>
  <c r="G5" i="11"/>
  <c r="G4" i="11"/>
  <c r="G3" i="11"/>
  <c r="B18" i="11"/>
  <c r="B12" i="11"/>
  <c r="B13" i="11"/>
  <c r="B14" i="11"/>
  <c r="B15" i="11"/>
  <c r="B16" i="11"/>
  <c r="B11" i="11"/>
  <c r="C10" i="28" l="1"/>
  <c r="C9" i="28"/>
  <c r="C8" i="28"/>
  <c r="C7" i="28"/>
  <c r="C6" i="28"/>
  <c r="C5" i="28"/>
  <c r="C3" i="28"/>
  <c r="C2" i="28"/>
  <c r="B3" i="28"/>
  <c r="B5" i="28"/>
  <c r="B6" i="28"/>
  <c r="B7" i="28"/>
  <c r="B8" i="28"/>
  <c r="B9" i="28"/>
  <c r="B10" i="28"/>
  <c r="B2" i="28"/>
  <c r="C26" i="17"/>
  <c r="H20" i="17"/>
  <c r="H26" i="17" s="1"/>
  <c r="G20" i="17"/>
  <c r="I20" i="17" s="1"/>
  <c r="E20" i="17"/>
  <c r="C20" i="17"/>
  <c r="H19" i="17"/>
  <c r="G19" i="17" s="1"/>
  <c r="I19" i="17" s="1"/>
  <c r="C19" i="17"/>
  <c r="E19" i="17" s="1"/>
  <c r="H18" i="17"/>
  <c r="G18" i="17" s="1"/>
  <c r="I18" i="17" s="1"/>
  <c r="C18" i="17"/>
  <c r="E18" i="17" s="1"/>
  <c r="H17" i="17"/>
  <c r="G17" i="17" s="1"/>
  <c r="I17" i="17" s="1"/>
  <c r="C17" i="17"/>
  <c r="E17" i="17" s="1"/>
  <c r="H16" i="17"/>
  <c r="G16" i="17" s="1"/>
  <c r="I16" i="17" s="1"/>
  <c r="E16" i="17"/>
  <c r="C16" i="17"/>
  <c r="H15" i="17"/>
  <c r="G15" i="17" s="1"/>
  <c r="I15" i="17" s="1"/>
  <c r="C15" i="17"/>
  <c r="E15" i="17" s="1"/>
  <c r="B10" i="17"/>
  <c r="I5" i="17"/>
  <c r="I6" i="17" s="1"/>
  <c r="I4" i="17"/>
  <c r="L3" i="17"/>
  <c r="C30" i="17" l="1"/>
  <c r="G10" i="17"/>
  <c r="K16" i="17"/>
  <c r="K18" i="17"/>
  <c r="K15" i="17"/>
  <c r="K19" i="17"/>
  <c r="I29" i="17"/>
  <c r="L4" i="17"/>
  <c r="I30" i="17"/>
  <c r="K17" i="17"/>
  <c r="K20" i="17"/>
  <c r="C26" i="27"/>
  <c r="H20" i="27"/>
  <c r="H26" i="27" s="1"/>
  <c r="G20" i="27"/>
  <c r="I20" i="27" s="1"/>
  <c r="E20" i="27"/>
  <c r="K20" i="27" s="1"/>
  <c r="C20" i="27"/>
  <c r="H19" i="27"/>
  <c r="G19" i="27" s="1"/>
  <c r="I19" i="27" s="1"/>
  <c r="C19" i="27"/>
  <c r="E19" i="27" s="1"/>
  <c r="H18" i="27"/>
  <c r="G18" i="27" s="1"/>
  <c r="I18" i="27" s="1"/>
  <c r="C18" i="27"/>
  <c r="E18" i="27" s="1"/>
  <c r="H17" i="27"/>
  <c r="G17" i="27" s="1"/>
  <c r="I17" i="27" s="1"/>
  <c r="C17" i="27"/>
  <c r="E17" i="27" s="1"/>
  <c r="H16" i="27"/>
  <c r="G16" i="27"/>
  <c r="I16" i="27" s="1"/>
  <c r="C16" i="27"/>
  <c r="E16" i="27" s="1"/>
  <c r="K16" i="27" s="1"/>
  <c r="H15" i="27"/>
  <c r="G15" i="27" s="1"/>
  <c r="I15" i="27" s="1"/>
  <c r="C15" i="27"/>
  <c r="E15" i="27" s="1"/>
  <c r="B10" i="27"/>
  <c r="I5" i="27"/>
  <c r="I6" i="27" s="1"/>
  <c r="I4" i="27"/>
  <c r="L3" i="27"/>
  <c r="C26" i="26"/>
  <c r="H20" i="26"/>
  <c r="H26" i="26" s="1"/>
  <c r="G20" i="26"/>
  <c r="I20" i="26" s="1"/>
  <c r="E20" i="26"/>
  <c r="C30" i="26" s="1"/>
  <c r="C20" i="26"/>
  <c r="H19" i="26"/>
  <c r="G19" i="26" s="1"/>
  <c r="I19" i="26" s="1"/>
  <c r="C19" i="26"/>
  <c r="E19" i="26" s="1"/>
  <c r="H18" i="26"/>
  <c r="G18" i="26" s="1"/>
  <c r="I18" i="26" s="1"/>
  <c r="C18" i="26"/>
  <c r="E18" i="26" s="1"/>
  <c r="H17" i="26"/>
  <c r="G17" i="26" s="1"/>
  <c r="I17" i="26" s="1"/>
  <c r="C17" i="26"/>
  <c r="E17" i="26" s="1"/>
  <c r="H16" i="26"/>
  <c r="G16" i="26" s="1"/>
  <c r="I16" i="26" s="1"/>
  <c r="E16" i="26"/>
  <c r="C16" i="26"/>
  <c r="H15" i="26"/>
  <c r="G15" i="26" s="1"/>
  <c r="I15" i="26" s="1"/>
  <c r="C15" i="26"/>
  <c r="E15" i="26" s="1"/>
  <c r="B10" i="26"/>
  <c r="I5" i="26"/>
  <c r="I6" i="26" s="1"/>
  <c r="I4" i="26"/>
  <c r="L3" i="26"/>
  <c r="C26" i="16"/>
  <c r="H20" i="16"/>
  <c r="H26" i="16" s="1"/>
  <c r="C20" i="16"/>
  <c r="B10" i="16" s="1"/>
  <c r="H19" i="16"/>
  <c r="G19" i="16" s="1"/>
  <c r="I19" i="16" s="1"/>
  <c r="C19" i="16"/>
  <c r="E19" i="16" s="1"/>
  <c r="H18" i="16"/>
  <c r="G18" i="16" s="1"/>
  <c r="I18" i="16" s="1"/>
  <c r="E18" i="16"/>
  <c r="C18" i="16"/>
  <c r="H17" i="16"/>
  <c r="G17" i="16" s="1"/>
  <c r="I17" i="16" s="1"/>
  <c r="C17" i="16"/>
  <c r="E17" i="16" s="1"/>
  <c r="H16" i="16"/>
  <c r="G16" i="16" s="1"/>
  <c r="I16" i="16" s="1"/>
  <c r="C16" i="16"/>
  <c r="E16" i="16" s="1"/>
  <c r="H15" i="16"/>
  <c r="G15" i="16" s="1"/>
  <c r="I15" i="16" s="1"/>
  <c r="C15" i="16"/>
  <c r="E15" i="16" s="1"/>
  <c r="I5" i="16"/>
  <c r="I6" i="16" s="1"/>
  <c r="I4" i="16"/>
  <c r="L3" i="16"/>
  <c r="C26" i="15"/>
  <c r="H20" i="15"/>
  <c r="H26" i="15" s="1"/>
  <c r="C20" i="15"/>
  <c r="E20" i="15" s="1"/>
  <c r="H19" i="15"/>
  <c r="G19" i="15" s="1"/>
  <c r="I19" i="15" s="1"/>
  <c r="C19" i="15"/>
  <c r="E19" i="15" s="1"/>
  <c r="H18" i="15"/>
  <c r="G18" i="15" s="1"/>
  <c r="I18" i="15" s="1"/>
  <c r="C18" i="15"/>
  <c r="E18" i="15" s="1"/>
  <c r="H17" i="15"/>
  <c r="G17" i="15" s="1"/>
  <c r="I17" i="15" s="1"/>
  <c r="E17" i="15"/>
  <c r="C17" i="15"/>
  <c r="H16" i="15"/>
  <c r="G16" i="15" s="1"/>
  <c r="I16" i="15" s="1"/>
  <c r="E16" i="15"/>
  <c r="K16" i="15" s="1"/>
  <c r="C16" i="15"/>
  <c r="H15" i="15"/>
  <c r="G15" i="15" s="1"/>
  <c r="I15" i="15" s="1"/>
  <c r="E15" i="15"/>
  <c r="C15" i="15"/>
  <c r="I4" i="15"/>
  <c r="I5" i="15" s="1"/>
  <c r="I6" i="15" s="1"/>
  <c r="L3" i="15"/>
  <c r="C26" i="13"/>
  <c r="H20" i="13"/>
  <c r="H26" i="13" s="1"/>
  <c r="G20" i="13"/>
  <c r="I20" i="13" s="1"/>
  <c r="E20" i="13"/>
  <c r="C20" i="13"/>
  <c r="B10" i="13" s="1"/>
  <c r="H19" i="13"/>
  <c r="G19" i="13" s="1"/>
  <c r="I19" i="13" s="1"/>
  <c r="C19" i="13"/>
  <c r="E19" i="13" s="1"/>
  <c r="H18" i="13"/>
  <c r="G18" i="13" s="1"/>
  <c r="I18" i="13" s="1"/>
  <c r="C18" i="13"/>
  <c r="E18" i="13" s="1"/>
  <c r="H17" i="13"/>
  <c r="G17" i="13" s="1"/>
  <c r="I17" i="13" s="1"/>
  <c r="C17" i="13"/>
  <c r="E17" i="13" s="1"/>
  <c r="H16" i="13"/>
  <c r="G16" i="13"/>
  <c r="I16" i="13" s="1"/>
  <c r="E16" i="13"/>
  <c r="C16" i="13"/>
  <c r="H15" i="13"/>
  <c r="G15" i="13" s="1"/>
  <c r="I15" i="13" s="1"/>
  <c r="C15" i="13"/>
  <c r="E15" i="13" s="1"/>
  <c r="I5" i="13"/>
  <c r="I6" i="13" s="1"/>
  <c r="I4" i="13"/>
  <c r="L3" i="13"/>
  <c r="C26" i="12"/>
  <c r="H20" i="12"/>
  <c r="H26" i="12" s="1"/>
  <c r="C20" i="12"/>
  <c r="E20" i="12" s="1"/>
  <c r="H19" i="12"/>
  <c r="G19" i="12" s="1"/>
  <c r="I19" i="12" s="1"/>
  <c r="C19" i="12"/>
  <c r="E19" i="12" s="1"/>
  <c r="H18" i="12"/>
  <c r="G18" i="12" s="1"/>
  <c r="I18" i="12" s="1"/>
  <c r="E18" i="12"/>
  <c r="C18" i="12"/>
  <c r="H17" i="12"/>
  <c r="G17" i="12" s="1"/>
  <c r="I17" i="12" s="1"/>
  <c r="C17" i="12"/>
  <c r="E17" i="12" s="1"/>
  <c r="H16" i="12"/>
  <c r="G16" i="12" s="1"/>
  <c r="I16" i="12" s="1"/>
  <c r="C16" i="12"/>
  <c r="E16" i="12" s="1"/>
  <c r="H15" i="12"/>
  <c r="G15" i="12" s="1"/>
  <c r="I15" i="12" s="1"/>
  <c r="C15" i="12"/>
  <c r="E15" i="12" s="1"/>
  <c r="B10" i="12"/>
  <c r="I5" i="12"/>
  <c r="I6" i="12" s="1"/>
  <c r="I4" i="12"/>
  <c r="L3" i="12"/>
  <c r="C26" i="10"/>
  <c r="H20" i="10"/>
  <c r="H26" i="10" s="1"/>
  <c r="C20" i="10"/>
  <c r="B10" i="10" s="1"/>
  <c r="H19" i="10"/>
  <c r="G19" i="10" s="1"/>
  <c r="I19" i="10" s="1"/>
  <c r="C19" i="10"/>
  <c r="E19" i="10" s="1"/>
  <c r="H18" i="10"/>
  <c r="G18" i="10" s="1"/>
  <c r="I18" i="10" s="1"/>
  <c r="C18" i="10"/>
  <c r="E18" i="10" s="1"/>
  <c r="H17" i="10"/>
  <c r="G17" i="10" s="1"/>
  <c r="I17" i="10" s="1"/>
  <c r="C17" i="10"/>
  <c r="E17" i="10" s="1"/>
  <c r="H16" i="10"/>
  <c r="G16" i="10"/>
  <c r="I16" i="10" s="1"/>
  <c r="C16" i="10"/>
  <c r="E16" i="10" s="1"/>
  <c r="H15" i="10"/>
  <c r="G15" i="10" s="1"/>
  <c r="I15" i="10" s="1"/>
  <c r="C15" i="10"/>
  <c r="E15" i="10" s="1"/>
  <c r="I4" i="10"/>
  <c r="I5" i="10" s="1"/>
  <c r="I6" i="10" s="1"/>
  <c r="L3" i="10"/>
  <c r="C26" i="9"/>
  <c r="H20" i="9"/>
  <c r="H26" i="9" s="1"/>
  <c r="C20" i="9"/>
  <c r="E20" i="9" s="1"/>
  <c r="H19" i="9"/>
  <c r="G19" i="9" s="1"/>
  <c r="I19" i="9" s="1"/>
  <c r="C19" i="9"/>
  <c r="E19" i="9" s="1"/>
  <c r="H18" i="9"/>
  <c r="G18" i="9" s="1"/>
  <c r="I18" i="9" s="1"/>
  <c r="C18" i="9"/>
  <c r="E18" i="9" s="1"/>
  <c r="H17" i="9"/>
  <c r="G17" i="9" s="1"/>
  <c r="I17" i="9" s="1"/>
  <c r="C17" i="9"/>
  <c r="E17" i="9" s="1"/>
  <c r="H16" i="9"/>
  <c r="G16" i="9" s="1"/>
  <c r="I16" i="9" s="1"/>
  <c r="E16" i="9"/>
  <c r="C16" i="9"/>
  <c r="H15" i="9"/>
  <c r="G15" i="9" s="1"/>
  <c r="I15" i="9" s="1"/>
  <c r="C15" i="9"/>
  <c r="E15" i="9" s="1"/>
  <c r="I5" i="9"/>
  <c r="I6" i="9" s="1"/>
  <c r="I4" i="9"/>
  <c r="L3" i="9"/>
  <c r="C26" i="7"/>
  <c r="H26" i="7"/>
  <c r="G16" i="7"/>
  <c r="G17" i="7"/>
  <c r="G18" i="7"/>
  <c r="G15" i="7"/>
  <c r="C16" i="7"/>
  <c r="C17" i="7"/>
  <c r="C18" i="7"/>
  <c r="C19" i="7"/>
  <c r="C20" i="7"/>
  <c r="C15" i="7"/>
  <c r="G16" i="11"/>
  <c r="G15" i="11"/>
  <c r="F15" i="11" s="1"/>
  <c r="H15" i="11" s="1"/>
  <c r="E15" i="11"/>
  <c r="G14" i="11"/>
  <c r="F14" i="11" s="1"/>
  <c r="H14" i="11" s="1"/>
  <c r="E14" i="11"/>
  <c r="G13" i="11"/>
  <c r="F13" i="11" s="1"/>
  <c r="H13" i="11" s="1"/>
  <c r="E13" i="11"/>
  <c r="G12" i="11"/>
  <c r="F12" i="11" s="1"/>
  <c r="H12" i="11" s="1"/>
  <c r="E12" i="11"/>
  <c r="G11" i="11"/>
  <c r="F11" i="11" s="1"/>
  <c r="H11" i="11" s="1"/>
  <c r="E11" i="11"/>
  <c r="J1" i="11"/>
  <c r="C6" i="11"/>
  <c r="I4" i="7"/>
  <c r="I6" i="7"/>
  <c r="I5" i="7"/>
  <c r="I3" i="7"/>
  <c r="E16" i="11" l="1"/>
  <c r="C4" i="28" s="1"/>
  <c r="B8" i="11"/>
  <c r="F16" i="11"/>
  <c r="G18" i="11"/>
  <c r="J2" i="11" s="1"/>
  <c r="C29" i="17"/>
  <c r="C31" i="17" s="1"/>
  <c r="G10" i="27"/>
  <c r="K18" i="27"/>
  <c r="K15" i="27"/>
  <c r="K19" i="27"/>
  <c r="I29" i="27"/>
  <c r="L4" i="27"/>
  <c r="I30" i="27"/>
  <c r="K17" i="27"/>
  <c r="C30" i="27"/>
  <c r="G10" i="26"/>
  <c r="K19" i="26"/>
  <c r="K16" i="26"/>
  <c r="K18" i="26"/>
  <c r="K15" i="26"/>
  <c r="L4" i="26"/>
  <c r="I29" i="26"/>
  <c r="I30" i="26"/>
  <c r="K17" i="26"/>
  <c r="K20" i="26"/>
  <c r="E20" i="16"/>
  <c r="K16" i="16"/>
  <c r="G20" i="16"/>
  <c r="K18" i="16"/>
  <c r="K17" i="16"/>
  <c r="I30" i="16"/>
  <c r="K15" i="16"/>
  <c r="K19" i="16"/>
  <c r="I29" i="16"/>
  <c r="L4" i="16"/>
  <c r="B10" i="15"/>
  <c r="K17" i="15"/>
  <c r="K19" i="15"/>
  <c r="K15" i="15"/>
  <c r="I30" i="15"/>
  <c r="L4" i="15"/>
  <c r="I29" i="15"/>
  <c r="K18" i="15"/>
  <c r="G20" i="15"/>
  <c r="K20" i="13"/>
  <c r="G10" i="13"/>
  <c r="K16" i="13"/>
  <c r="K18" i="13"/>
  <c r="K15" i="13"/>
  <c r="K19" i="13"/>
  <c r="I29" i="13"/>
  <c r="L4" i="13"/>
  <c r="I30" i="13"/>
  <c r="K17" i="13"/>
  <c r="C30" i="13"/>
  <c r="G20" i="12"/>
  <c r="K16" i="12"/>
  <c r="K18" i="12"/>
  <c r="K15" i="12"/>
  <c r="K19" i="12"/>
  <c r="I29" i="12"/>
  <c r="L4" i="12"/>
  <c r="I30" i="12"/>
  <c r="K17" i="12"/>
  <c r="I12" i="11"/>
  <c r="I11" i="11"/>
  <c r="E20" i="10"/>
  <c r="G20" i="10"/>
  <c r="K16" i="10"/>
  <c r="K18" i="10"/>
  <c r="B10" i="9"/>
  <c r="K18" i="9"/>
  <c r="K16" i="9"/>
  <c r="G20" i="9"/>
  <c r="K19" i="10"/>
  <c r="K15" i="10"/>
  <c r="I29" i="10"/>
  <c r="L4" i="10"/>
  <c r="I30" i="10"/>
  <c r="K17" i="10"/>
  <c r="K15" i="9"/>
  <c r="K19" i="9"/>
  <c r="I30" i="9"/>
  <c r="L4" i="9"/>
  <c r="I29" i="9"/>
  <c r="K17" i="9"/>
  <c r="I14" i="11"/>
  <c r="I15" i="11"/>
  <c r="I13" i="11"/>
  <c r="J3" i="11" l="1"/>
  <c r="H16" i="11"/>
  <c r="J4" i="11" s="1"/>
  <c r="G8" i="11"/>
  <c r="C29" i="27"/>
  <c r="C31" i="27" s="1"/>
  <c r="C29" i="26"/>
  <c r="C31" i="26" s="1"/>
  <c r="I20" i="16"/>
  <c r="G10" i="16"/>
  <c r="C29" i="16"/>
  <c r="C29" i="15"/>
  <c r="I20" i="15"/>
  <c r="G10" i="15"/>
  <c r="C29" i="13"/>
  <c r="C31" i="13" s="1"/>
  <c r="I20" i="12"/>
  <c r="G10" i="12"/>
  <c r="C29" i="12"/>
  <c r="I20" i="10"/>
  <c r="C30" i="10" s="1"/>
  <c r="G10" i="10"/>
  <c r="K20" i="10"/>
  <c r="I20" i="9"/>
  <c r="G10" i="9"/>
  <c r="C29" i="10"/>
  <c r="C31" i="10" s="1"/>
  <c r="C29" i="9"/>
  <c r="I29" i="7"/>
  <c r="H16" i="7"/>
  <c r="H17" i="7"/>
  <c r="H18" i="7"/>
  <c r="H19" i="7"/>
  <c r="H20" i="7"/>
  <c r="G20" i="7" s="1"/>
  <c r="H15" i="7"/>
  <c r="I18" i="7"/>
  <c r="E16" i="7"/>
  <c r="E17" i="7"/>
  <c r="E18" i="7"/>
  <c r="E19" i="7"/>
  <c r="B10" i="7"/>
  <c r="E15" i="7"/>
  <c r="L4" i="7"/>
  <c r="J5" i="11" l="1"/>
  <c r="B4" i="28" s="1"/>
  <c r="I16" i="11"/>
  <c r="C30" i="16"/>
  <c r="C31" i="16" s="1"/>
  <c r="K20" i="16"/>
  <c r="C30" i="15"/>
  <c r="C31" i="15" s="1"/>
  <c r="K20" i="15"/>
  <c r="C30" i="12"/>
  <c r="C31" i="12" s="1"/>
  <c r="K20" i="12"/>
  <c r="C30" i="9"/>
  <c r="C31" i="9" s="1"/>
  <c r="K20" i="9"/>
  <c r="G19" i="7"/>
  <c r="I19" i="7" s="1"/>
  <c r="K19" i="7" s="1"/>
  <c r="K18" i="7"/>
  <c r="I17" i="7"/>
  <c r="K17" i="7" s="1"/>
  <c r="I16" i="7"/>
  <c r="K16" i="7" s="1"/>
  <c r="G10" i="7"/>
  <c r="I15" i="7"/>
  <c r="K15" i="7" s="1"/>
  <c r="I30" i="7"/>
  <c r="C29" i="7" s="1"/>
  <c r="E20" i="7"/>
  <c r="I20" i="7"/>
  <c r="C30" i="7" l="1"/>
  <c r="C31" i="7" s="1"/>
  <c r="K20" i="7"/>
</calcChain>
</file>

<file path=xl/connections.xml><?xml version="1.0" encoding="utf-8"?>
<connections xmlns="http://schemas.openxmlformats.org/spreadsheetml/2006/main">
  <connection id="1" name="20forward.csv" type="4" refreshedVersion="0" background="1">
    <webPr xml="1" sourceData="1" url="C:\Users\hp\Downloads\PlotDigitizer_2.6.9_Windows\PlotDigitizer_Windows\20forward.csv.xml" htmlTables="1" htmlFormat="all"/>
  </connection>
</connections>
</file>

<file path=xl/sharedStrings.xml><?xml version="1.0" encoding="utf-8"?>
<sst xmlns="http://schemas.openxmlformats.org/spreadsheetml/2006/main" count="587" uniqueCount="57">
  <si>
    <t>dx</t>
  </si>
  <si>
    <t>dy</t>
  </si>
  <si>
    <t xml:space="preserve">Guide vane angle </t>
  </si>
  <si>
    <t>deg</t>
  </si>
  <si>
    <t>Air Density</t>
  </si>
  <si>
    <t>kg/m^3</t>
  </si>
  <si>
    <t>Hub ratio</t>
  </si>
  <si>
    <t>Flow rate</t>
  </si>
  <si>
    <t>m^3/sec</t>
  </si>
  <si>
    <t>Inner diameter</t>
  </si>
  <si>
    <t>Rotational Speed</t>
  </si>
  <si>
    <t>rpm</t>
  </si>
  <si>
    <t>m</t>
  </si>
  <si>
    <t>Cross sectional area</t>
  </si>
  <si>
    <t>m/s</t>
  </si>
  <si>
    <t>m^2</t>
  </si>
  <si>
    <t>Flow coeff</t>
  </si>
  <si>
    <t>u</t>
  </si>
  <si>
    <t>Caf</t>
  </si>
  <si>
    <t>Forward Input coeff</t>
  </si>
  <si>
    <t>Flow coeff forward</t>
  </si>
  <si>
    <r>
      <t>F</t>
    </r>
    <r>
      <rPr>
        <sz val="11"/>
        <color theme="1"/>
        <rFont val="Calibri"/>
        <family val="2"/>
        <scheme val="minor"/>
      </rPr>
      <t>f</t>
    </r>
  </si>
  <si>
    <t>pressure drop</t>
  </si>
  <si>
    <t>▲pf</t>
  </si>
  <si>
    <t>Car</t>
  </si>
  <si>
    <r>
      <t>F</t>
    </r>
    <r>
      <rPr>
        <sz val="11"/>
        <color theme="1"/>
        <rFont val="Calibri"/>
        <family val="2"/>
        <scheme val="minor"/>
      </rPr>
      <t>r</t>
    </r>
  </si>
  <si>
    <t>▲pr</t>
  </si>
  <si>
    <r>
      <t>y = -0.3692x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+ 3.2334x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- 9.9211x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+ 11.101x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+ 2.5501x - 0.4597</t>
    </r>
  </si>
  <si>
    <t>tangential velo</t>
  </si>
  <si>
    <t>y= -0.3357x5 + 3.0338x4 - 9.8999x3 + 13.149x2 - 2.1762x - 0.1569</t>
  </si>
  <si>
    <t xml:space="preserve">Ctf </t>
  </si>
  <si>
    <r>
      <t>y = 0.0849x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- 0.7271x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+ 1.9264x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- 1.0196x - 0.0848</t>
    </r>
  </si>
  <si>
    <t xml:space="preserve">Ctr </t>
  </si>
  <si>
    <t>Po</t>
  </si>
  <si>
    <t>Pi</t>
  </si>
  <si>
    <t>effi</t>
  </si>
  <si>
    <t>mean radius</t>
  </si>
  <si>
    <t>tangential velo u</t>
  </si>
  <si>
    <t>Axial flow velo v</t>
  </si>
  <si>
    <t>w</t>
  </si>
  <si>
    <r>
      <t>y= -1.2126x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+ 9.7809x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- 26.612x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+ 24.413x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+ 7.4154x + 0.3595</t>
    </r>
  </si>
  <si>
    <t>Backward Input coeff</t>
  </si>
  <si>
    <t>Flow coeff reverse</t>
  </si>
  <si>
    <t>▲p</t>
  </si>
  <si>
    <t>Tof</t>
  </si>
  <si>
    <t>Tor</t>
  </si>
  <si>
    <t>F</t>
  </si>
  <si>
    <t>y = -0.3078x6 + 2.2651x5 - 4.751x4 + 0.2832x3 + 5.9876x2 + 3.6672x - 0.2951</t>
  </si>
  <si>
    <t>y = 0.9808x6 - 9.1296x5 + 32.097x4 - 52.719x3 + 35.366x2 + 6.8355x + 0.7557</t>
  </si>
  <si>
    <t>y = -0.266x6 + 1.8555x5 - 3.4393x4 - 1.4822x3 + 8.492x2 - 1.321x - 0.0869</t>
  </si>
  <si>
    <t>y= -0.129x6 + 1.0756x5 - 3.0752x4 + 3.1771x3 + 0.0649x2 - 0.7917x - 0.1795</t>
  </si>
  <si>
    <t>rad/sec</t>
  </si>
  <si>
    <t>phi</t>
  </si>
  <si>
    <t>del p</t>
  </si>
  <si>
    <t>efficiency of the twin turbine without fluidic diode</t>
  </si>
  <si>
    <t>Ctf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</si>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</sst>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image" form="unqualified">
              <xsd:complexType>
                <xsd:attribute name="file" form="unqualified" type="xsd:string"/>
              </xsd:complexType>
            </xsd:element>
            <xsd:element minOccurs="0" nillable="true" name="axesnames" form="unqualified">
              <xsd:complexType>
                <xsd:attribute name="x" form="unqualified" type="xsd:string"/>
                <xsd:attribute name="y" form="unqualified" type="xsd:string"/>
              </xsd:complexType>
            </xsd:element>
            <xsd:element minOccurs="0" nillable="true" name="calibpoints" form="unqualified">
              <xsd:complexType>
                <xsd:attribute name="minXaxisX" form="unqualified" type="xsd:double"/>
                <xsd:attribute name="minXaxisY" form="unqualified" type="xsd:double"/>
                <xsd:attribute name="maxXaxisX" form="unqualified" type="xsd:double"/>
                <xsd:attribute name="maxXaxisY" form="unqualified" type="xsd:double"/>
                <xsd:attribute name="minYaxisX" form="unqualified" type="xsd:double"/>
                <xsd:attribute name="minYaxisY" form="unqualified" type="xsd:double"/>
                <xsd:attribute name="maxYaxisX" form="unqualified" type="xsd:double"/>
                <xsd:attribute name="maxYaxisY" form="unqualified" type="xsd:double"/>
                <xsd:attribute name="aX1" form="unqualified" type="xsd:double"/>
                <xsd:attribute name="aX2" form="unqualified" type="xsd:double"/>
                <xsd:attribute name="aY1" form="unqualified" type="xsd:double"/>
                <xsd:attribute name="aY2" form="unqualified" type="xsd:double"/>
                <xsd:attribute name="isXLog" form="unqualified" type="xsd:boolean"/>
                <xsd:attribute name="isYLog" form="unqualified" type="xsd:boolean"/>
              </xsd:complexType>
            </xsd:element>
            <xsd:element minOccurs="0" maxOccurs="unbounded" nillable="true" name="point" form="unqualified">
              <xsd:complexType>
                <xsd:attribute name="n" form="unqualified" type="xsd:integer"/>
                <xsd:attribute name="x" form="unqualified" type="xsd:double"/>
                <xsd:attribute name="y" form="unqualified" type="xsd:double"/>
                <xsd:attribute name="dx" form="unqualified" type="xsd:double"/>
                <xsd:attribute name="dy" form="unqualified" type="xsd:double"/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253543307086615"/>
                  <c:y val="0.3892195246427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forward20Canew!$A$2:$A$15</c:f>
              <c:numCache>
                <c:formatCode>General</c:formatCode>
                <c:ptCount val="14"/>
                <c:pt idx="0">
                  <c:v>1.2461059190031154E-2</c:v>
                </c:pt>
                <c:pt idx="1">
                  <c:v>0.22429906542056077</c:v>
                </c:pt>
                <c:pt idx="2">
                  <c:v>0.36137071651090336</c:v>
                </c:pt>
                <c:pt idx="3">
                  <c:v>0.46105919003115259</c:v>
                </c:pt>
                <c:pt idx="4">
                  <c:v>0.57320872274143297</c:v>
                </c:pt>
                <c:pt idx="5">
                  <c:v>0.66043613707165105</c:v>
                </c:pt>
                <c:pt idx="6">
                  <c:v>0.76012461059190028</c:v>
                </c:pt>
                <c:pt idx="7">
                  <c:v>0.82242990654205606</c:v>
                </c:pt>
                <c:pt idx="8">
                  <c:v>0.95950155763239875</c:v>
                </c:pt>
                <c:pt idx="9">
                  <c:v>1.1214953271028039</c:v>
                </c:pt>
                <c:pt idx="10">
                  <c:v>1.333333333333333</c:v>
                </c:pt>
                <c:pt idx="11">
                  <c:v>1.6822429906542054</c:v>
                </c:pt>
                <c:pt idx="12">
                  <c:v>2.2429906542056073</c:v>
                </c:pt>
                <c:pt idx="13">
                  <c:v>3.3769470404984419</c:v>
                </c:pt>
              </c:numCache>
            </c:numRef>
          </c:xVal>
          <c:yVal>
            <c:numRef>
              <c:f>forward20Canew!$B$2:$B$15</c:f>
              <c:numCache>
                <c:formatCode>General</c:formatCode>
                <c:ptCount val="14"/>
                <c:pt idx="0">
                  <c:v>-0.26153846153845706</c:v>
                </c:pt>
                <c:pt idx="1">
                  <c:v>0.8461538461538467</c:v>
                </c:pt>
                <c:pt idx="2">
                  <c:v>1.815384615384616</c:v>
                </c:pt>
                <c:pt idx="3">
                  <c:v>2.5076923076923094</c:v>
                </c:pt>
                <c:pt idx="4">
                  <c:v>3.3384615384615408</c:v>
                </c:pt>
                <c:pt idx="5">
                  <c:v>4.1692307692307722</c:v>
                </c:pt>
                <c:pt idx="6">
                  <c:v>4.861538461538462</c:v>
                </c:pt>
                <c:pt idx="7">
                  <c:v>5.6923076923076934</c:v>
                </c:pt>
                <c:pt idx="8">
                  <c:v>6.6615384615384627</c:v>
                </c:pt>
                <c:pt idx="9">
                  <c:v>7.6307692307692321</c:v>
                </c:pt>
                <c:pt idx="10">
                  <c:v>8.6000000000000014</c:v>
                </c:pt>
                <c:pt idx="11">
                  <c:v>9.7076923076923087</c:v>
                </c:pt>
                <c:pt idx="12">
                  <c:v>10.400000000000002</c:v>
                </c:pt>
                <c:pt idx="13">
                  <c:v>11.784615384615385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5280"/>
        <c:axId val="340208808"/>
      </c:scatterChart>
      <c:valAx>
        <c:axId val="3402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8808"/>
        <c:crosses val="autoZero"/>
        <c:crossBetween val="midCat"/>
      </c:valAx>
      <c:valAx>
        <c:axId val="340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019903762029749"/>
                  <c:y val="0.49032407407407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reverse20Canew!$A$2:$A$15</c:f>
              <c:numCache>
                <c:formatCode>General</c:formatCode>
                <c:ptCount val="14"/>
                <c:pt idx="0">
                  <c:v>0.13973781961832521</c:v>
                </c:pt>
                <c:pt idx="1">
                  <c:v>0.24048269491558727</c:v>
                </c:pt>
                <c:pt idx="2">
                  <c:v>0.34118826280930026</c:v>
                </c:pt>
                <c:pt idx="3">
                  <c:v>0.41693362944910672</c:v>
                </c:pt>
                <c:pt idx="4">
                  <c:v>0.51767850474636889</c:v>
                </c:pt>
                <c:pt idx="5">
                  <c:v>0.60588431831135392</c:v>
                </c:pt>
                <c:pt idx="6">
                  <c:v>0.74424637880544797</c:v>
                </c:pt>
                <c:pt idx="7">
                  <c:v>0.8951868084353688</c:v>
                </c:pt>
                <c:pt idx="8">
                  <c:v>1.0460486232581907</c:v>
                </c:pt>
                <c:pt idx="9">
                  <c:v>1.1968318232739135</c:v>
                </c:pt>
                <c:pt idx="10">
                  <c:v>1.3851929010829189</c:v>
                </c:pt>
                <c:pt idx="11">
                  <c:v>1.6989839036182466</c:v>
                </c:pt>
                <c:pt idx="12">
                  <c:v>2.2633596037813724</c:v>
                </c:pt>
                <c:pt idx="13">
                  <c:v>3.4295709596902584</c:v>
                </c:pt>
              </c:numCache>
            </c:numRef>
          </c:xVal>
          <c:yVal>
            <c:numRef>
              <c:f>reverse20Canew!$B$2:$B$15</c:f>
              <c:numCache>
                <c:formatCode>General</c:formatCode>
                <c:ptCount val="14"/>
                <c:pt idx="0">
                  <c:v>2.3157970303545135</c:v>
                </c:pt>
                <c:pt idx="1">
                  <c:v>3.8237834862824371</c:v>
                </c:pt>
                <c:pt idx="2">
                  <c:v>5.1943670060661127</c:v>
                </c:pt>
                <c:pt idx="3">
                  <c:v>6.9780207946972297</c:v>
                </c:pt>
                <c:pt idx="4">
                  <c:v>8.4860072506251534</c:v>
                </c:pt>
                <c:pt idx="5">
                  <c:v>9.9944244367604291</c:v>
                </c:pt>
                <c:pt idx="6">
                  <c:v>11.501118702066307</c:v>
                </c:pt>
                <c:pt idx="7">
                  <c:v>13.144785173309081</c:v>
                </c:pt>
                <c:pt idx="8">
                  <c:v>14.513645772263366</c:v>
                </c:pt>
                <c:pt idx="9">
                  <c:v>15.607700498929155</c:v>
                </c:pt>
                <c:pt idx="10">
                  <c:v>16.563060098828654</c:v>
                </c:pt>
                <c:pt idx="11">
                  <c:v>17.651515332798912</c:v>
                </c:pt>
                <c:pt idx="12">
                  <c:v>18.044341281900955</c:v>
                </c:pt>
                <c:pt idx="13">
                  <c:v>18.279089244906018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14256"/>
        <c:axId val="394311904"/>
      </c:scatterChart>
      <c:valAx>
        <c:axId val="3943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1904"/>
        <c:crosses val="autoZero"/>
        <c:crossBetween val="midCat"/>
      </c:valAx>
      <c:valAx>
        <c:axId val="3943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890069991251094"/>
                  <c:y val="-0.2040806357538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forward20Ctnew!$A$2:$A$22</c:f>
              <c:numCache>
                <c:formatCode>General</c:formatCode>
                <c:ptCount val="21"/>
                <c:pt idx="0">
                  <c:v>-2.2126255519433258E-2</c:v>
                </c:pt>
                <c:pt idx="1">
                  <c:v>5.2559561356688933E-2</c:v>
                </c:pt>
                <c:pt idx="2">
                  <c:v>0.10240186326362277</c:v>
                </c:pt>
                <c:pt idx="3">
                  <c:v>0.18970352758503572</c:v>
                </c:pt>
                <c:pt idx="4">
                  <c:v>0.25223931292153923</c:v>
                </c:pt>
                <c:pt idx="5">
                  <c:v>0.31493037022660009</c:v>
                </c:pt>
                <c:pt idx="6">
                  <c:v>0.40254257848512776</c:v>
                </c:pt>
                <c:pt idx="7">
                  <c:v>0.46523363579018895</c:v>
                </c:pt>
                <c:pt idx="8">
                  <c:v>0.54030763258770431</c:v>
                </c:pt>
                <c:pt idx="9">
                  <c:v>0.59053811441603199</c:v>
                </c:pt>
                <c:pt idx="10">
                  <c:v>0.61584744529089219</c:v>
                </c:pt>
                <c:pt idx="11">
                  <c:v>0.67869377456451074</c:v>
                </c:pt>
                <c:pt idx="12">
                  <c:v>0.74146246785385039</c:v>
                </c:pt>
                <c:pt idx="13">
                  <c:v>0.8043864331117474</c:v>
                </c:pt>
                <c:pt idx="14">
                  <c:v>0.82954049201805047</c:v>
                </c:pt>
                <c:pt idx="15">
                  <c:v>0.94253966713571757</c:v>
                </c:pt>
                <c:pt idx="16">
                  <c:v>1.118152263574167</c:v>
                </c:pt>
                <c:pt idx="17">
                  <c:v>1.3311465864428167</c:v>
                </c:pt>
                <c:pt idx="18">
                  <c:v>1.6690572080159158</c:v>
                </c:pt>
                <c:pt idx="19">
                  <c:v>2.2190305206463199</c:v>
                </c:pt>
                <c:pt idx="20">
                  <c:v>3.3792614876995479</c:v>
                </c:pt>
              </c:numCache>
            </c:numRef>
          </c:xVal>
          <c:yVal>
            <c:numRef>
              <c:f>forward20Ctnew!$B$2:$B$22</c:f>
              <c:numCache>
                <c:formatCode>General</c:formatCode>
                <c:ptCount val="21"/>
                <c:pt idx="0">
                  <c:v>-6.8343219984962289E-2</c:v>
                </c:pt>
                <c:pt idx="1">
                  <c:v>-0.12398696632968509</c:v>
                </c:pt>
                <c:pt idx="2">
                  <c:v>-0.12532375302865795</c:v>
                </c:pt>
                <c:pt idx="3">
                  <c:v>-7.4024563455594716E-2</c:v>
                </c:pt>
                <c:pt idx="4">
                  <c:v>8.5220152059486409E-2</c:v>
                </c:pt>
                <c:pt idx="5">
                  <c:v>0.35174200016709811</c:v>
                </c:pt>
                <c:pt idx="6">
                  <c:v>0.6175954549252225</c:v>
                </c:pt>
                <c:pt idx="7">
                  <c:v>0.8841173030328342</c:v>
                </c:pt>
                <c:pt idx="8">
                  <c:v>1.0966663881694387</c:v>
                </c:pt>
                <c:pt idx="9">
                  <c:v>1.3635224329517914</c:v>
                </c:pt>
                <c:pt idx="10">
                  <c:v>1.6310468710836332</c:v>
                </c:pt>
                <c:pt idx="11">
                  <c:v>2.0048458517837737</c:v>
                </c:pt>
                <c:pt idx="12">
                  <c:v>2.3250062661876516</c:v>
                </c:pt>
                <c:pt idx="13">
                  <c:v>2.7524438131840583</c:v>
                </c:pt>
                <c:pt idx="14">
                  <c:v>2.9126911187233695</c:v>
                </c:pt>
                <c:pt idx="15">
                  <c:v>3.4997075779095983</c:v>
                </c:pt>
                <c:pt idx="16">
                  <c:v>4.2996073189071762</c:v>
                </c:pt>
                <c:pt idx="17">
                  <c:v>5.098504469880524</c:v>
                </c:pt>
                <c:pt idx="18">
                  <c:v>6.1086139192915025</c:v>
                </c:pt>
                <c:pt idx="19">
                  <c:v>7.2739577241206455</c:v>
                </c:pt>
                <c:pt idx="20">
                  <c:v>8.2083716267023146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14648"/>
        <c:axId val="394313472"/>
      </c:scatterChart>
      <c:valAx>
        <c:axId val="3943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3472"/>
        <c:crosses val="autoZero"/>
        <c:crossBetween val="midCat"/>
      </c:valAx>
      <c:valAx>
        <c:axId val="3943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68591426071742"/>
                  <c:y val="-0.22019211140274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reverse20Ctnew!$A$2:$A$16</c:f>
              <c:numCache>
                <c:formatCode>General</c:formatCode>
                <c:ptCount val="15"/>
                <c:pt idx="0">
                  <c:v>1.1110575300188108E-2</c:v>
                </c:pt>
                <c:pt idx="1">
                  <c:v>9.8143415151661251E-2</c:v>
                </c:pt>
                <c:pt idx="2">
                  <c:v>0.20998215749626281</c:v>
                </c:pt>
                <c:pt idx="3">
                  <c:v>0.29697641896127702</c:v>
                </c:pt>
                <c:pt idx="4">
                  <c:v>0.40873800453296061</c:v>
                </c:pt>
                <c:pt idx="5">
                  <c:v>0.49565510922505684</c:v>
                </c:pt>
                <c:pt idx="6">
                  <c:v>0.61983893523653377</c:v>
                </c:pt>
                <c:pt idx="7">
                  <c:v>0.75648358007426342</c:v>
                </c:pt>
                <c:pt idx="8">
                  <c:v>0.84332352799344179</c:v>
                </c:pt>
                <c:pt idx="9">
                  <c:v>0.94262429473887266</c:v>
                </c:pt>
                <c:pt idx="10">
                  <c:v>1.128765009403482</c:v>
                </c:pt>
                <c:pt idx="11">
                  <c:v>1.3149828808410091</c:v>
                </c:pt>
                <c:pt idx="12">
                  <c:v>1.6626512996093941</c:v>
                </c:pt>
                <c:pt idx="13">
                  <c:v>2.2586873704007333</c:v>
                </c:pt>
                <c:pt idx="14">
                  <c:v>3.3764189612769453</c:v>
                </c:pt>
              </c:numCache>
            </c:numRef>
          </c:xVal>
          <c:yVal>
            <c:numRef>
              <c:f>reverse20Ctnew!$B$2:$B$16</c:f>
              <c:numCache>
                <c:formatCode>General</c:formatCode>
                <c:ptCount val="15"/>
                <c:pt idx="0">
                  <c:v>-0.16906354515050381</c:v>
                </c:pt>
                <c:pt idx="1">
                  <c:v>-0.27558528428093609</c:v>
                </c:pt>
                <c:pt idx="2">
                  <c:v>-0.32792642140468153</c:v>
                </c:pt>
                <c:pt idx="3">
                  <c:v>-0.38060200668896371</c:v>
                </c:pt>
                <c:pt idx="4">
                  <c:v>-0.32525083612040184</c:v>
                </c:pt>
                <c:pt idx="5">
                  <c:v>-0.27023411371237316</c:v>
                </c:pt>
                <c:pt idx="6">
                  <c:v>-0.21471571906354647</c:v>
                </c:pt>
                <c:pt idx="7">
                  <c:v>-0.2128762541806033</c:v>
                </c:pt>
                <c:pt idx="8">
                  <c:v>-5.0167224080269079E-2</c:v>
                </c:pt>
                <c:pt idx="9">
                  <c:v>5.8862876254179852E-2</c:v>
                </c:pt>
                <c:pt idx="10">
                  <c:v>0.330602006688963</c:v>
                </c:pt>
                <c:pt idx="11">
                  <c:v>0.49464882943143706</c:v>
                </c:pt>
                <c:pt idx="12">
                  <c:v>0.7147157190635447</c:v>
                </c:pt>
                <c:pt idx="13">
                  <c:v>1.045819397993311</c:v>
                </c:pt>
                <c:pt idx="14">
                  <c:v>1.437792642140467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7592"/>
        <c:axId val="394309160"/>
      </c:scatterChart>
      <c:valAx>
        <c:axId val="3943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9160"/>
        <c:crosses val="autoZero"/>
        <c:crossBetween val="midCat"/>
      </c:valAx>
      <c:valAx>
        <c:axId val="3943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Flow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efficiency of the twin turbine without fluidic diode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plots!$A$2:$A$10</c:f>
              <c:numCache>
                <c:formatCode>General</c:formatCode>
                <c:ptCount val="9"/>
                <c:pt idx="0">
                  <c:v>0.48099999999999998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2.1</c:v>
                </c:pt>
                <c:pt idx="8">
                  <c:v>2.6</c:v>
                </c:pt>
              </c:numCache>
            </c:numRef>
          </c:xVal>
          <c:yVal>
            <c:numRef>
              <c:f>plots!$B$2:$B$10</c:f>
              <c:numCache>
                <c:formatCode>General</c:formatCode>
                <c:ptCount val="9"/>
                <c:pt idx="0">
                  <c:v>0.1720134342008422</c:v>
                </c:pt>
                <c:pt idx="1">
                  <c:v>0.25980434659521273</c:v>
                </c:pt>
                <c:pt idx="2">
                  <c:v>0.32600000000000001</c:v>
                </c:pt>
                <c:pt idx="3">
                  <c:v>0.31162102853760815</c:v>
                </c:pt>
                <c:pt idx="4">
                  <c:v>0.25469518473207053</c:v>
                </c:pt>
                <c:pt idx="5">
                  <c:v>0.22108331977486756</c:v>
                </c:pt>
                <c:pt idx="6">
                  <c:v>0.16023206355573294</c:v>
                </c:pt>
                <c:pt idx="7">
                  <c:v>0.10720808548000928</c:v>
                </c:pt>
                <c:pt idx="8">
                  <c:v>7.3410233282366191E-2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9552"/>
        <c:axId val="394308768"/>
      </c:scatterChart>
      <c:valAx>
        <c:axId val="3943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8768"/>
        <c:crosses val="autoZero"/>
        <c:crossBetween val="midCat"/>
      </c:valAx>
      <c:valAx>
        <c:axId val="394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779090113735785"/>
          <c:y val="0.21626502022234809"/>
          <c:w val="0.31083486439195102"/>
          <c:h val="0.191689103378206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4</xdr:row>
      <xdr:rowOff>101600</xdr:rowOff>
    </xdr:from>
    <xdr:to>
      <xdr:col>12</xdr:col>
      <xdr:colOff>536575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101600</xdr:rowOff>
    </xdr:from>
    <xdr:to>
      <xdr:col>12</xdr:col>
      <xdr:colOff>447675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146050</xdr:rowOff>
    </xdr:from>
    <xdr:to>
      <xdr:col>12</xdr:col>
      <xdr:colOff>447675</xdr:colOff>
      <xdr:row>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6" displayName="Table16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1" displayName="Table1" ref="A1:B22" totalsRowShown="0">
  <autoFilter ref="A1:B22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1:B16" totalsRowShown="0">
  <autoFilter ref="A1:B16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6" sqref="E1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1.2461059190031154E-2</v>
      </c>
      <c r="B2">
        <v>-0.26153846153845706</v>
      </c>
    </row>
    <row r="3" spans="1:2" x14ac:dyDescent="0.35">
      <c r="A3">
        <v>0.22429906542056077</v>
      </c>
      <c r="B3">
        <v>0.8461538461538467</v>
      </c>
    </row>
    <row r="4" spans="1:2" x14ac:dyDescent="0.35">
      <c r="A4">
        <v>0.36137071651090336</v>
      </c>
      <c r="B4">
        <v>1.815384615384616</v>
      </c>
    </row>
    <row r="5" spans="1:2" x14ac:dyDescent="0.35">
      <c r="A5">
        <v>0.46105919003115259</v>
      </c>
      <c r="B5">
        <v>2.5076923076923094</v>
      </c>
    </row>
    <row r="6" spans="1:2" x14ac:dyDescent="0.35">
      <c r="A6">
        <v>0.57320872274143297</v>
      </c>
      <c r="B6">
        <v>3.3384615384615408</v>
      </c>
    </row>
    <row r="7" spans="1:2" x14ac:dyDescent="0.35">
      <c r="A7">
        <v>0.66043613707165105</v>
      </c>
      <c r="B7">
        <v>4.1692307692307722</v>
      </c>
    </row>
    <row r="8" spans="1:2" x14ac:dyDescent="0.35">
      <c r="A8">
        <v>0.76012461059190028</v>
      </c>
      <c r="B8">
        <v>4.861538461538462</v>
      </c>
    </row>
    <row r="9" spans="1:2" x14ac:dyDescent="0.35">
      <c r="A9">
        <v>0.82242990654205606</v>
      </c>
      <c r="B9">
        <v>5.6923076923076934</v>
      </c>
    </row>
    <row r="10" spans="1:2" x14ac:dyDescent="0.35">
      <c r="A10">
        <v>0.95950155763239875</v>
      </c>
      <c r="B10">
        <v>6.6615384615384627</v>
      </c>
    </row>
    <row r="11" spans="1:2" x14ac:dyDescent="0.35">
      <c r="A11">
        <v>1.1214953271028039</v>
      </c>
      <c r="B11">
        <v>7.6307692307692321</v>
      </c>
    </row>
    <row r="12" spans="1:2" x14ac:dyDescent="0.35">
      <c r="A12">
        <v>1.333333333333333</v>
      </c>
      <c r="B12">
        <v>8.6000000000000014</v>
      </c>
    </row>
    <row r="13" spans="1:2" x14ac:dyDescent="0.35">
      <c r="A13">
        <v>1.6822429906542054</v>
      </c>
      <c r="B13">
        <v>9.7076923076923087</v>
      </c>
    </row>
    <row r="14" spans="1:2" x14ac:dyDescent="0.35">
      <c r="A14">
        <v>2.2429906542056073</v>
      </c>
      <c r="B14">
        <v>10.400000000000002</v>
      </c>
    </row>
    <row r="15" spans="1:2" x14ac:dyDescent="0.35">
      <c r="A15">
        <v>3.3769470404984419</v>
      </c>
      <c r="B15">
        <v>11.784615384615385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31" sqref="D3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1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63.739484449849151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6.5014274138846133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4.2018236419419281</v>
      </c>
      <c r="F10" s="3" t="s">
        <v>24</v>
      </c>
      <c r="G10" s="8">
        <f>G20</f>
        <v>5.423545545875343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1</v>
      </c>
      <c r="B15">
        <v>6.5014274140000001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17.756387146704107</v>
      </c>
      <c r="G15">
        <f xml:space="preserve"> 0.9808*H15^6 - 9.1296*H15^5 + 32.097*H15^4 - 52.719*H15^3 + 35.366*H15^2 + 6.8355*H15 + 0.7557</f>
        <v>12.278666707200003</v>
      </c>
      <c r="H15">
        <f t="shared" ref="H15:H20" si="0">A15-D15</f>
        <v>0.8</v>
      </c>
      <c r="I15">
        <f t="shared" ref="I15:I20" si="1">1.2*B15^2*G15*(H15^2+1)/2</f>
        <v>510.6975163705531</v>
      </c>
      <c r="K15">
        <f>E15-I15</f>
        <v>-492.94112922384898</v>
      </c>
    </row>
    <row r="16" spans="1:12" x14ac:dyDescent="0.35">
      <c r="A16">
        <v>1</v>
      </c>
      <c r="B16">
        <v>6.5014274140000001</v>
      </c>
      <c r="C16">
        <f t="shared" ref="C16:C20" si="2" xml:space="preserve"> -0.3078*D16^6 + 2.2651*D16^5 - 4.751*D16^4 + 0.2832*D16^3 + 5.9876*D16^2 + 3.6672*D16 - 0.2951</f>
        <v>2.0482290751999996</v>
      </c>
      <c r="D16">
        <v>0.4</v>
      </c>
      <c r="E16">
        <f t="shared" ref="E16:E20" si="3">1.2*B16^2*C16*(D16^2+1)/2</f>
        <v>60.256680463855616</v>
      </c>
      <c r="G16">
        <f t="shared" ref="G16:G20" si="4" xml:space="preserve"> 0.9808*H16^6 - 9.1296*H16^5 + 32.097*H16^4 - 52.719*H16^3 + 35.366*H16^2 + 6.8355*H16 + 0.7557</f>
        <v>9.6970697087999973</v>
      </c>
      <c r="H16">
        <f t="shared" si="0"/>
        <v>0.6</v>
      </c>
      <c r="I16">
        <f t="shared" si="1"/>
        <v>334.46302450733612</v>
      </c>
      <c r="K16">
        <f t="shared" ref="K16:K20" si="5">E16-I16</f>
        <v>-274.2063440434805</v>
      </c>
    </row>
    <row r="17" spans="1:11" x14ac:dyDescent="0.35">
      <c r="A17">
        <v>1</v>
      </c>
      <c r="B17">
        <v>6.5014274140000001</v>
      </c>
      <c r="C17">
        <f t="shared" si="2"/>
        <v>4.5067694947999994</v>
      </c>
      <c r="D17">
        <v>0.7</v>
      </c>
      <c r="E17">
        <f t="shared" si="3"/>
        <v>170.30221680875502</v>
      </c>
      <c r="G17">
        <f t="shared" si="4"/>
        <v>4.8043927752000011</v>
      </c>
      <c r="H17">
        <f t="shared" si="0"/>
        <v>0.30000000000000004</v>
      </c>
      <c r="I17">
        <f t="shared" si="1"/>
        <v>132.81089087448603</v>
      </c>
      <c r="K17">
        <f t="shared" si="5"/>
        <v>37.491325934268986</v>
      </c>
    </row>
    <row r="18" spans="1:11" x14ac:dyDescent="0.35">
      <c r="A18">
        <v>1</v>
      </c>
      <c r="B18">
        <v>6.5014274140000001</v>
      </c>
      <c r="C18">
        <f t="shared" si="2"/>
        <v>3.6679710591999992</v>
      </c>
      <c r="D18">
        <v>0.6</v>
      </c>
      <c r="E18">
        <f t="shared" si="3"/>
        <v>126.51251678144575</v>
      </c>
      <c r="G18">
        <f t="shared" si="4"/>
        <v>6.5066574528000007</v>
      </c>
      <c r="H18">
        <f t="shared" si="0"/>
        <v>0.4</v>
      </c>
      <c r="I18">
        <f t="shared" si="1"/>
        <v>191.41881333895753</v>
      </c>
      <c r="K18">
        <f t="shared" si="5"/>
        <v>-64.90629655751178</v>
      </c>
    </row>
    <row r="19" spans="1:11" x14ac:dyDescent="0.35">
      <c r="A19">
        <v>1</v>
      </c>
      <c r="B19">
        <v>6.5014274140000001</v>
      </c>
      <c r="C19">
        <f t="shared" si="2"/>
        <v>4.2555277108449516</v>
      </c>
      <c r="D19">
        <v>0.67</v>
      </c>
      <c r="E19">
        <f t="shared" si="3"/>
        <v>156.37255132268595</v>
      </c>
      <c r="G19">
        <f t="shared" si="4"/>
        <v>5.3143923837607145</v>
      </c>
      <c r="H19">
        <f t="shared" si="0"/>
        <v>0.32999999999999996</v>
      </c>
      <c r="I19">
        <f t="shared" si="1"/>
        <v>149.45645856291176</v>
      </c>
      <c r="K19">
        <f t="shared" si="5"/>
        <v>6.9160927597741875</v>
      </c>
    </row>
    <row r="20" spans="1:11" x14ac:dyDescent="0.35">
      <c r="A20" s="2">
        <v>1</v>
      </c>
      <c r="B20" s="2">
        <v>6.5014274140000001</v>
      </c>
      <c r="C20" s="2">
        <f t="shared" si="2"/>
        <v>4.2018236419419281</v>
      </c>
      <c r="D20" s="2">
        <v>0.66359999999999997</v>
      </c>
      <c r="E20" s="2">
        <f t="shared" si="3"/>
        <v>153.4896354979372</v>
      </c>
      <c r="F20" s="2"/>
      <c r="G20" s="2">
        <f t="shared" si="4"/>
        <v>5.423545545875343</v>
      </c>
      <c r="H20" s="2">
        <f t="shared" si="0"/>
        <v>0.33640000000000003</v>
      </c>
      <c r="I20" s="2">
        <f t="shared" si="1"/>
        <v>153.11280247428445</v>
      </c>
      <c r="K20">
        <f t="shared" si="5"/>
        <v>0.3768330236527504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1.8920342852537795</v>
      </c>
      <c r="G26" s="3" t="s">
        <v>32</v>
      </c>
      <c r="H26" s="7">
        <f xml:space="preserve"> -0.129*H20^6 + 1.0756*H20^5 - 3.0752*H20^4 + 3.1771*H20^3 + 0.0649*H20^2 - 0.7917*H20 - 0.1795</f>
        <v>-0.3524706099253811</v>
      </c>
    </row>
    <row r="29" spans="1:11" x14ac:dyDescent="0.35">
      <c r="B29" s="3" t="s">
        <v>33</v>
      </c>
      <c r="C29">
        <f>(I29+I30)*L4</f>
        <v>5.8567623433978637</v>
      </c>
      <c r="H29" s="3" t="s">
        <v>44</v>
      </c>
      <c r="I29" s="6">
        <f>C26*1.2*I6^2*I4*L3/2</f>
        <v>0.11292247837405503</v>
      </c>
    </row>
    <row r="30" spans="1:11" x14ac:dyDescent="0.35">
      <c r="B30" s="3" t="s">
        <v>34</v>
      </c>
      <c r="C30">
        <f>(E20+I20)*D5/2</f>
        <v>22.995182847916624</v>
      </c>
      <c r="H30" s="3" t="s">
        <v>45</v>
      </c>
      <c r="I30" s="6">
        <f>H26*1.2*I6^2*I4*L3/2</f>
        <v>-2.1036539949089873E-2</v>
      </c>
    </row>
    <row r="31" spans="1:11" x14ac:dyDescent="0.35">
      <c r="B31" s="3" t="s">
        <v>35</v>
      </c>
      <c r="C31" s="6">
        <f>C29/C30</f>
        <v>0.25469518473207053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C31" sqref="C3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1.2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53.11623704154097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5.4178561782371784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5.1277697127422366</v>
      </c>
      <c r="F10" s="3" t="s">
        <v>24</v>
      </c>
      <c r="G10" s="8">
        <f>G20</f>
        <v>6.9281321191863272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1.2</v>
      </c>
      <c r="B15">
        <v>5.4178561780000001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12.330824405916101</v>
      </c>
      <c r="G15">
        <f xml:space="preserve"> 0.9808*H15^6 - 9.1296*H15^5 + 32.097*H15^4 - 52.719*H15^3 + 35.366*H15^2 + 6.8355*H15 + 0.7557</f>
        <v>14.186399999999999</v>
      </c>
      <c r="H15">
        <f t="shared" ref="H15:H20" si="0">A15-D15</f>
        <v>1</v>
      </c>
      <c r="I15">
        <f t="shared" ref="I15:I20" si="1">1.2*B15^2*G15*(H15^2+1)/2</f>
        <v>499.69889757396788</v>
      </c>
      <c r="K15">
        <f>E15-I15</f>
        <v>-487.36807316805181</v>
      </c>
    </row>
    <row r="16" spans="1:12" x14ac:dyDescent="0.35">
      <c r="A16">
        <v>1.2</v>
      </c>
      <c r="B16">
        <v>5.4178561780000001</v>
      </c>
      <c r="C16">
        <f t="shared" ref="C16:C20" si="2" xml:space="preserve"> -0.3078*D16^6 + 2.2651*D16^5 - 4.751*D16^4 + 0.2832*D16^3 + 5.9876*D16^2 + 3.6672*D16 - 0.2951</f>
        <v>5.3312528447999998</v>
      </c>
      <c r="D16">
        <v>0.8</v>
      </c>
      <c r="E16">
        <f t="shared" ref="E16:E20" si="3">1.2*B16^2*C16*(D16^2+1)/2</f>
        <v>153.98532106612001</v>
      </c>
      <c r="G16">
        <f t="shared" ref="G16:G20" si="4" xml:space="preserve"> 0.9808*H16^6 - 9.1296*H16^5 + 32.097*H16^4 - 52.719*H16^3 + 35.366*H16^2 + 6.8355*H16 + 0.7557</f>
        <v>6.5066574527999981</v>
      </c>
      <c r="H16">
        <f t="shared" si="0"/>
        <v>0.39999999999999991</v>
      </c>
      <c r="I16">
        <f t="shared" si="1"/>
        <v>132.92973146903009</v>
      </c>
      <c r="K16">
        <f t="shared" ref="K16:K20" si="5">E16-I16</f>
        <v>21.05558959708992</v>
      </c>
    </row>
    <row r="17" spans="1:11" x14ac:dyDescent="0.35">
      <c r="A17">
        <v>1.2</v>
      </c>
      <c r="B17">
        <v>5.4178561780000001</v>
      </c>
      <c r="C17">
        <f t="shared" si="2"/>
        <v>4.5067694947999994</v>
      </c>
      <c r="D17">
        <v>0.7</v>
      </c>
      <c r="E17">
        <f t="shared" si="3"/>
        <v>118.26542832486066</v>
      </c>
      <c r="G17">
        <f t="shared" si="4"/>
        <v>8.1611624999999997</v>
      </c>
      <c r="H17">
        <f t="shared" si="0"/>
        <v>0.5</v>
      </c>
      <c r="I17">
        <f t="shared" si="1"/>
        <v>179.66696555204317</v>
      </c>
      <c r="K17">
        <f t="shared" si="5"/>
        <v>-61.401537227182502</v>
      </c>
    </row>
    <row r="18" spans="1:11" x14ac:dyDescent="0.35">
      <c r="A18">
        <v>1.2</v>
      </c>
      <c r="B18">
        <v>5.4178561780000001</v>
      </c>
      <c r="C18">
        <f t="shared" si="2"/>
        <v>5.0868224785006753</v>
      </c>
      <c r="D18">
        <v>0.77</v>
      </c>
      <c r="E18">
        <f t="shared" si="3"/>
        <v>142.70568961847022</v>
      </c>
      <c r="G18">
        <f t="shared" si="4"/>
        <v>7.0119285887271792</v>
      </c>
      <c r="H18">
        <f t="shared" si="0"/>
        <v>0.42999999999999994</v>
      </c>
      <c r="I18">
        <f t="shared" si="1"/>
        <v>146.32730652955826</v>
      </c>
      <c r="K18">
        <f t="shared" si="5"/>
        <v>-3.6216169110880401</v>
      </c>
    </row>
    <row r="19" spans="1:11" x14ac:dyDescent="0.35">
      <c r="A19">
        <v>1.2</v>
      </c>
      <c r="B19">
        <v>5.4178561780000001</v>
      </c>
      <c r="C19">
        <f t="shared" si="2"/>
        <v>5.1277697127422366</v>
      </c>
      <c r="D19">
        <v>0.77500000000000002</v>
      </c>
      <c r="E19">
        <f t="shared" si="3"/>
        <v>144.55206602795843</v>
      </c>
      <c r="G19">
        <f t="shared" si="4"/>
        <v>6.9281321191863272</v>
      </c>
      <c r="H19">
        <f t="shared" si="0"/>
        <v>0.42499999999999993</v>
      </c>
      <c r="I19">
        <f t="shared" si="1"/>
        <v>144.05698825952464</v>
      </c>
      <c r="K19">
        <f t="shared" si="5"/>
        <v>0.49507776843378792</v>
      </c>
    </row>
    <row r="20" spans="1:11" x14ac:dyDescent="0.35">
      <c r="A20" s="2">
        <v>1.2</v>
      </c>
      <c r="B20" s="2">
        <v>5.4178561780000001</v>
      </c>
      <c r="C20" s="2">
        <f t="shared" si="2"/>
        <v>5.1277697127422366</v>
      </c>
      <c r="D20" s="2">
        <v>0.77500000000000002</v>
      </c>
      <c r="E20" s="2">
        <f t="shared" si="3"/>
        <v>144.55206602795843</v>
      </c>
      <c r="F20" s="2"/>
      <c r="G20" s="2">
        <f t="shared" si="4"/>
        <v>6.9281321191863272</v>
      </c>
      <c r="H20" s="2">
        <f t="shared" si="0"/>
        <v>0.42499999999999993</v>
      </c>
      <c r="I20" s="2">
        <f t="shared" si="1"/>
        <v>144.05698825952464</v>
      </c>
      <c r="K20">
        <f t="shared" si="5"/>
        <v>0.49507776843378792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2.5202905749008795</v>
      </c>
      <c r="G26" s="3" t="s">
        <v>32</v>
      </c>
      <c r="H26" s="7">
        <f xml:space="preserve"> -0.129*H20^6 + 1.0756*H20^5 - 3.0752*H20^4 + 3.1771*H20^3 + 0.0649*H20^2 - 0.7917*H20 - 0.1795</f>
        <v>-0.3465336187385254</v>
      </c>
    </row>
    <row r="29" spans="1:11" x14ac:dyDescent="0.35">
      <c r="B29" s="3" t="s">
        <v>33</v>
      </c>
      <c r="C29">
        <f>(I29+I30)*L4</f>
        <v>4.7854985879221301</v>
      </c>
      <c r="H29" s="3" t="s">
        <v>44</v>
      </c>
      <c r="I29" s="6">
        <f>C26*1.2*I6^2*I4*L3/2</f>
        <v>0.10445747474567439</v>
      </c>
    </row>
    <row r="30" spans="1:11" x14ac:dyDescent="0.35">
      <c r="B30" s="3" t="s">
        <v>34</v>
      </c>
      <c r="C30">
        <f>(E20+I20)*D5/2</f>
        <v>21.645679071561233</v>
      </c>
      <c r="H30" s="3" t="s">
        <v>45</v>
      </c>
      <c r="I30" s="6">
        <f>H26*1.2*I6^2*I4*L3/2</f>
        <v>-1.436264020045796E-2</v>
      </c>
    </row>
    <row r="31" spans="1:11" x14ac:dyDescent="0.35">
      <c r="B31" s="3" t="s">
        <v>35</v>
      </c>
      <c r="C31" s="6">
        <f>C29/C30</f>
        <v>0.22108331977486756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E30" sqref="E30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1.6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39.837177781155724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4.0633921336778833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6.7932349204137319</v>
      </c>
      <c r="F10" s="3" t="s">
        <v>24</v>
      </c>
      <c r="G10" s="8">
        <f>G20</f>
        <v>9.8134476497276637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1.6</v>
      </c>
      <c r="B15">
        <v>4.0633921339999999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6.9360887300347756</v>
      </c>
      <c r="G15">
        <f xml:space="preserve"> 0.9808*H15^6 - 9.1296*H15^5 + 32.097*H15^4 - 52.719*H15^3 + 35.366*H15^2 + 6.8355*H15 + 0.7557</f>
        <v>16.569448204799997</v>
      </c>
      <c r="H15">
        <f t="shared" ref="H15:H20" si="0">A15-D15</f>
        <v>1.4000000000000001</v>
      </c>
      <c r="I15">
        <f t="shared" ref="I15:I20" si="1">1.2*B15^2*G15*(H15^2+1)/2</f>
        <v>485.8793908474417</v>
      </c>
      <c r="K15">
        <f>E15-I15</f>
        <v>-478.94330211740692</v>
      </c>
    </row>
    <row r="16" spans="1:12" x14ac:dyDescent="0.35">
      <c r="A16">
        <v>1.6</v>
      </c>
      <c r="B16">
        <v>4.0633921339999999</v>
      </c>
      <c r="C16">
        <f t="shared" ref="C16:C20" si="2" xml:space="preserve"> -0.3078*D16^6 + 2.2651*D16^5 - 4.751*D16^4 + 0.2832*D16^3 + 5.9876*D16^2 + 3.6672*D16 - 0.2951</f>
        <v>5.3312528447999998</v>
      </c>
      <c r="D16">
        <v>0.8</v>
      </c>
      <c r="E16">
        <f t="shared" ref="E16:E20" si="3">1.2*B16^2*C16*(D16^2+1)/2</f>
        <v>86.616743121008867</v>
      </c>
      <c r="G16">
        <f t="shared" ref="G16:G20" si="4" xml:space="preserve"> 0.9808*H16^6 - 9.1296*H16^5 + 32.097*H16^4 - 52.719*H16^3 + 35.366*H16^2 + 6.8355*H16 + 0.7557</f>
        <v>12.278666707200003</v>
      </c>
      <c r="H16">
        <f t="shared" si="0"/>
        <v>0.8</v>
      </c>
      <c r="I16">
        <f t="shared" si="1"/>
        <v>199.49121735679464</v>
      </c>
      <c r="K16">
        <f t="shared" ref="K16:K20" si="5">E16-I16</f>
        <v>-112.87447423578577</v>
      </c>
    </row>
    <row r="17" spans="1:11" x14ac:dyDescent="0.35">
      <c r="A17">
        <v>1.6</v>
      </c>
      <c r="B17">
        <v>4.0633921339999999</v>
      </c>
      <c r="C17">
        <f t="shared" si="2"/>
        <v>6.8491999999999997</v>
      </c>
      <c r="D17">
        <v>1</v>
      </c>
      <c r="E17">
        <f t="shared" si="3"/>
        <v>135.70584860743898</v>
      </c>
      <c r="G17">
        <f t="shared" si="4"/>
        <v>9.6970697088000009</v>
      </c>
      <c r="H17">
        <f t="shared" si="0"/>
        <v>0.60000000000000009</v>
      </c>
      <c r="I17">
        <f t="shared" si="1"/>
        <v>130.64961896425464</v>
      </c>
      <c r="K17">
        <f t="shared" si="5"/>
        <v>5.0562296431843379</v>
      </c>
    </row>
    <row r="18" spans="1:11" x14ac:dyDescent="0.35">
      <c r="A18">
        <v>1.6</v>
      </c>
      <c r="B18">
        <v>4.0633921339999999</v>
      </c>
      <c r="C18">
        <f t="shared" si="2"/>
        <v>6.7084301982417394</v>
      </c>
      <c r="D18">
        <v>0.98</v>
      </c>
      <c r="E18">
        <f t="shared" si="3"/>
        <v>130.28497098365025</v>
      </c>
      <c r="G18">
        <f t="shared" si="4"/>
        <v>9.9860641746780665</v>
      </c>
      <c r="H18">
        <f t="shared" si="0"/>
        <v>0.62000000000000011</v>
      </c>
      <c r="I18">
        <f t="shared" si="1"/>
        <v>136.95713573981672</v>
      </c>
      <c r="K18">
        <f t="shared" si="5"/>
        <v>-6.6721647561664668</v>
      </c>
    </row>
    <row r="19" spans="1:11" x14ac:dyDescent="0.35">
      <c r="A19">
        <v>1.6</v>
      </c>
      <c r="B19">
        <v>4.0633921339999999</v>
      </c>
      <c r="C19">
        <f t="shared" si="2"/>
        <v>6.7791717653328618</v>
      </c>
      <c r="D19">
        <v>0.99</v>
      </c>
      <c r="E19">
        <f t="shared" si="3"/>
        <v>132.98188450625602</v>
      </c>
      <c r="G19">
        <f t="shared" si="4"/>
        <v>9.8423803909823064</v>
      </c>
      <c r="H19">
        <f t="shared" si="0"/>
        <v>0.6100000000000001</v>
      </c>
      <c r="I19">
        <f t="shared" si="1"/>
        <v>133.78722063250262</v>
      </c>
      <c r="K19">
        <f t="shared" si="5"/>
        <v>-0.80533612624660122</v>
      </c>
    </row>
    <row r="20" spans="1:11" x14ac:dyDescent="0.35">
      <c r="A20" s="2">
        <v>1.6</v>
      </c>
      <c r="B20" s="2">
        <v>4.0633921339999999</v>
      </c>
      <c r="C20" s="2">
        <f t="shared" si="2"/>
        <v>6.7932349204137319</v>
      </c>
      <c r="D20" s="2">
        <v>0.99199999999999999</v>
      </c>
      <c r="E20" s="2">
        <f t="shared" si="3"/>
        <v>133.52452201743671</v>
      </c>
      <c r="F20" s="2"/>
      <c r="G20" s="2">
        <f t="shared" si="4"/>
        <v>9.8134476497276637</v>
      </c>
      <c r="H20" s="2">
        <f t="shared" si="0"/>
        <v>0.6080000000000001</v>
      </c>
      <c r="I20" s="2">
        <f t="shared" si="1"/>
        <v>133.15711359532716</v>
      </c>
      <c r="K20">
        <f t="shared" si="5"/>
        <v>0.36740842210954838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3.7108458082144549</v>
      </c>
      <c r="G26" s="3" t="s">
        <v>32</v>
      </c>
      <c r="H26" s="7">
        <f xml:space="preserve"> -0.129*H20^6 + 1.0756*H20^5 - 3.0752*H20^4 + 3.1771*H20^3 + 0.0649*H20^2 - 0.7917*H20 - 0.1795</f>
        <v>-0.26017284189232598</v>
      </c>
    </row>
    <row r="29" spans="1:11" x14ac:dyDescent="0.35">
      <c r="B29" s="3" t="s">
        <v>33</v>
      </c>
      <c r="C29">
        <f>(I29+I30)*L4</f>
        <v>3.2048211589988393</v>
      </c>
      <c r="H29" s="3" t="s">
        <v>44</v>
      </c>
      <c r="I29" s="6">
        <f>C26*1.2*I6^2*I4*L3/2</f>
        <v>8.6513591810913559E-2</v>
      </c>
    </row>
    <row r="30" spans="1:11" x14ac:dyDescent="0.35">
      <c r="B30" s="3" t="s">
        <v>34</v>
      </c>
      <c r="C30">
        <f>(E20+I20)*D5/2</f>
        <v>20.00112267095729</v>
      </c>
      <c r="H30" s="3" t="s">
        <v>45</v>
      </c>
      <c r="I30" s="6">
        <f>H26*1.2*I6^2*I4*L3/2</f>
        <v>-6.0655948015766346E-3</v>
      </c>
    </row>
    <row r="31" spans="1:11" x14ac:dyDescent="0.35">
      <c r="B31" s="3" t="s">
        <v>35</v>
      </c>
      <c r="C31" s="6">
        <f>C29/C30</f>
        <v>0.16023206355573294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E30" sqref="E30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2.1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30.352135452309117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3.0959178161355299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8.3850560780822256</v>
      </c>
      <c r="F10" s="3" t="s">
        <v>24</v>
      </c>
      <c r="G10" s="8">
        <f>G20</f>
        <v>12.711629825993935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2.1</v>
      </c>
      <c r="B15">
        <v>3.095917816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4.0263916427481137</v>
      </c>
      <c r="G15">
        <f xml:space="preserve"> 0.9808*H15^6 - 9.1296*H15^5 + 32.097*H15^4 - 52.719*H15^3 + 35.366*H15^2 + 6.8355*H15 + 0.7557</f>
        <v>18.190768480799964</v>
      </c>
      <c r="H15">
        <f t="shared" ref="H15:H20" si="0">A15-D15</f>
        <v>1.9000000000000001</v>
      </c>
      <c r="I15">
        <f t="shared" ref="I15:I20" si="1">1.2*B15^2*G15*(H15^2+1)/2</f>
        <v>482.26091866774738</v>
      </c>
      <c r="K15">
        <f>E15-I15</f>
        <v>-478.23452702499924</v>
      </c>
    </row>
    <row r="16" spans="1:12" x14ac:dyDescent="0.35">
      <c r="A16">
        <v>2.1</v>
      </c>
      <c r="B16">
        <v>3.095917816</v>
      </c>
      <c r="C16">
        <f t="shared" ref="C16:C20" si="2" xml:space="preserve"> -0.3078*D16^6 + 2.2651*D16^5 - 4.751*D16^4 + 0.2832*D16^3 + 5.9876*D16^2 + 3.6672*D16 - 0.2951</f>
        <v>5.3312528447999998</v>
      </c>
      <c r="D16">
        <v>0.8</v>
      </c>
      <c r="E16">
        <f t="shared" ref="E16:E20" si="3">1.2*B16^2*C16*(D16^2+1)/2</f>
        <v>50.280921164447356</v>
      </c>
      <c r="G16">
        <f t="shared" ref="G16:G20" si="4" xml:space="preserve"> 0.9808*H16^6 - 9.1296*H16^5 + 32.097*H16^4 - 52.719*H16^3 + 35.366*H16^2 + 6.8355*H16 + 0.7557</f>
        <v>16.09555723919998</v>
      </c>
      <c r="H16">
        <f t="shared" si="0"/>
        <v>1.3</v>
      </c>
      <c r="I16">
        <f t="shared" si="1"/>
        <v>248.99372023148402</v>
      </c>
      <c r="K16">
        <f t="shared" ref="K16:K20" si="5">E16-I16</f>
        <v>-198.71279906703666</v>
      </c>
    </row>
    <row r="17" spans="1:11" x14ac:dyDescent="0.35">
      <c r="A17">
        <v>2.1</v>
      </c>
      <c r="B17">
        <v>3.095917816</v>
      </c>
      <c r="C17">
        <f t="shared" si="2"/>
        <v>6.8491999999999997</v>
      </c>
      <c r="D17">
        <v>1</v>
      </c>
      <c r="E17">
        <f t="shared" si="3"/>
        <v>78.777091235724939</v>
      </c>
      <c r="G17">
        <f t="shared" si="4"/>
        <v>14.926073632799994</v>
      </c>
      <c r="H17">
        <f t="shared" si="0"/>
        <v>1.1000000000000001</v>
      </c>
      <c r="I17">
        <f t="shared" si="1"/>
        <v>189.70027070610701</v>
      </c>
      <c r="K17">
        <f t="shared" si="5"/>
        <v>-110.92317947038207</v>
      </c>
    </row>
    <row r="18" spans="1:11" x14ac:dyDescent="0.35">
      <c r="A18">
        <v>2.1</v>
      </c>
      <c r="B18">
        <v>3.095917816</v>
      </c>
      <c r="C18">
        <f t="shared" si="2"/>
        <v>8.5686292327999976</v>
      </c>
      <c r="D18">
        <v>1.3</v>
      </c>
      <c r="E18">
        <f t="shared" si="3"/>
        <v>132.55427185602454</v>
      </c>
      <c r="G18">
        <f t="shared" si="4"/>
        <v>12.278666707200003</v>
      </c>
      <c r="H18">
        <f t="shared" si="0"/>
        <v>0.8</v>
      </c>
      <c r="I18">
        <f t="shared" si="1"/>
        <v>115.80442546660129</v>
      </c>
      <c r="K18">
        <f t="shared" si="5"/>
        <v>16.749846389423254</v>
      </c>
    </row>
    <row r="19" spans="1:11" x14ac:dyDescent="0.35">
      <c r="A19">
        <v>2.1</v>
      </c>
      <c r="B19">
        <v>3.095917816</v>
      </c>
      <c r="C19">
        <f t="shared" si="2"/>
        <v>8.0825877567999971</v>
      </c>
      <c r="D19">
        <v>1.2</v>
      </c>
      <c r="E19">
        <f t="shared" si="3"/>
        <v>113.41496216033813</v>
      </c>
      <c r="G19">
        <f t="shared" si="4"/>
        <v>13.311100528800004</v>
      </c>
      <c r="H19">
        <f t="shared" si="0"/>
        <v>0.90000000000000013</v>
      </c>
      <c r="I19">
        <f t="shared" si="1"/>
        <v>138.55513806410855</v>
      </c>
      <c r="K19">
        <f t="shared" si="5"/>
        <v>-25.140175903770412</v>
      </c>
    </row>
    <row r="20" spans="1:11" x14ac:dyDescent="0.35">
      <c r="A20" s="2">
        <v>2.1</v>
      </c>
      <c r="B20" s="2">
        <v>3.095917816</v>
      </c>
      <c r="C20" s="2">
        <f t="shared" si="2"/>
        <v>8.3850560780822256</v>
      </c>
      <c r="D20" s="2">
        <v>1.26</v>
      </c>
      <c r="E20" s="2">
        <f t="shared" si="3"/>
        <v>124.77661828418869</v>
      </c>
      <c r="F20" s="2"/>
      <c r="G20" s="2">
        <f t="shared" si="4"/>
        <v>12.711629825993935</v>
      </c>
      <c r="H20" s="2">
        <f t="shared" si="0"/>
        <v>0.84000000000000008</v>
      </c>
      <c r="I20" s="2">
        <f t="shared" si="1"/>
        <v>124.68336707888272</v>
      </c>
      <c r="K20">
        <f t="shared" si="5"/>
        <v>9.3251205305961093E-2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4.9252076061427861</v>
      </c>
      <c r="G26" s="3" t="s">
        <v>32</v>
      </c>
      <c r="H26" s="7">
        <f xml:space="preserve"> -0.129*H20^6 + 1.0756*H20^5 - 3.0752*H20^4 + 3.1771*H20^3 + 0.0649*H20^2 - 0.7917*H20 - 0.1795</f>
        <v>-4.2197368705024441E-2</v>
      </c>
    </row>
    <row r="29" spans="1:11" x14ac:dyDescent="0.35">
      <c r="B29" s="3" t="s">
        <v>33</v>
      </c>
      <c r="C29">
        <f>(I29+I30)*L4</f>
        <v>2.0058095575984516</v>
      </c>
      <c r="H29" s="3" t="s">
        <v>44</v>
      </c>
      <c r="I29" s="6">
        <f>C26*1.2*I6^2*I4*L3/2</f>
        <v>6.6655708866617772E-2</v>
      </c>
    </row>
    <row r="30" spans="1:11" x14ac:dyDescent="0.35">
      <c r="B30" s="3" t="s">
        <v>34</v>
      </c>
      <c r="C30">
        <f>(E20+I20)*D5/2</f>
        <v>18.709498902230354</v>
      </c>
      <c r="H30" s="3" t="s">
        <v>45</v>
      </c>
      <c r="I30" s="6">
        <f>H26*1.2*I6^2*I4*L3/2</f>
        <v>-5.7108161691121501E-4</v>
      </c>
    </row>
    <row r="31" spans="1:11" x14ac:dyDescent="0.35">
      <c r="B31" s="3" t="s">
        <v>35</v>
      </c>
      <c r="C31" s="6">
        <f>C29/C30</f>
        <v>0.10720808548000928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22" sqref="D22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2.6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24.515186326865059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2.5005490053402357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9.3666603865422484</v>
      </c>
      <c r="F10" s="3" t="s">
        <v>24</v>
      </c>
      <c r="G10" s="8">
        <f>G20</f>
        <v>14.681106587760461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2.6</v>
      </c>
      <c r="B15">
        <v>2.5005489999999999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2.6266844778449476</v>
      </c>
      <c r="G15">
        <f xml:space="preserve"> 0.9808*H15^6 - 9.1296*H15^5 + 32.097*H15^4 - 52.719*H15^3 + 35.366*H15^2 + 6.8355*H15 + 0.7557</f>
        <v>17.461109356799852</v>
      </c>
      <c r="H15">
        <f t="shared" ref="H15:H20" si="0">A15-D15</f>
        <v>2.4</v>
      </c>
      <c r="I15">
        <f t="shared" ref="I15:I20" si="1">1.2*B15^2*G15*(H15^2+1)/2</f>
        <v>442.833550643244</v>
      </c>
      <c r="K15">
        <f>E15-I15</f>
        <v>-440.20686616539905</v>
      </c>
    </row>
    <row r="16" spans="1:12" x14ac:dyDescent="0.35">
      <c r="A16">
        <v>2.6</v>
      </c>
      <c r="B16">
        <v>2.5005489999999999</v>
      </c>
      <c r="C16">
        <f t="shared" ref="C16:C20" si="2" xml:space="preserve"> -0.3078*D16^6 + 2.2651*D16^5 - 4.751*D16^4 + 0.2832*D16^3 + 5.9876*D16^2 + 3.6672*D16 - 0.2951</f>
        <v>6.8491999999999997</v>
      </c>
      <c r="D16">
        <v>1</v>
      </c>
      <c r="E16">
        <f t="shared" ref="E16:E20" si="3">1.2*B16^2*C16*(D16^2+1)/2</f>
        <v>51.391563742026868</v>
      </c>
      <c r="G16">
        <f t="shared" ref="G16:G20" si="4" xml:space="preserve"> 0.9808*H16^6 - 9.1296*H16^5 + 32.097*H16^4 - 52.719*H16^3 + 35.366*H16^2 + 6.8355*H16 + 0.7557</f>
        <v>17.367634156800026</v>
      </c>
      <c r="H16">
        <f t="shared" si="0"/>
        <v>1.6</v>
      </c>
      <c r="I16">
        <f t="shared" si="1"/>
        <v>231.95975917113782</v>
      </c>
      <c r="K16">
        <f t="shared" ref="K16:K20" si="5">E16-I16</f>
        <v>-180.56819542911094</v>
      </c>
    </row>
    <row r="17" spans="1:11" x14ac:dyDescent="0.35">
      <c r="A17">
        <v>2.6</v>
      </c>
      <c r="B17">
        <v>2.5005489999999999</v>
      </c>
      <c r="C17">
        <f t="shared" si="2"/>
        <v>8.5686292327999976</v>
      </c>
      <c r="D17">
        <v>1.3</v>
      </c>
      <c r="E17">
        <f t="shared" si="3"/>
        <v>86.474014266187638</v>
      </c>
      <c r="G17">
        <f t="shared" si="4"/>
        <v>16.09555723919998</v>
      </c>
      <c r="H17">
        <f t="shared" si="0"/>
        <v>1.3</v>
      </c>
      <c r="I17">
        <f t="shared" si="1"/>
        <v>162.43525171995338</v>
      </c>
      <c r="K17">
        <f t="shared" si="5"/>
        <v>-75.961237453765747</v>
      </c>
    </row>
    <row r="18" spans="1:11" x14ac:dyDescent="0.35">
      <c r="A18">
        <v>2.6</v>
      </c>
      <c r="B18">
        <v>2.5005489999999999</v>
      </c>
      <c r="C18">
        <f t="shared" si="2"/>
        <v>9.2762312499999986</v>
      </c>
      <c r="D18">
        <v>1.5</v>
      </c>
      <c r="E18">
        <f t="shared" si="3"/>
        <v>113.1037271581359</v>
      </c>
      <c r="G18">
        <f t="shared" si="4"/>
        <v>14.926073632799994</v>
      </c>
      <c r="H18">
        <f t="shared" si="0"/>
        <v>1.1000000000000001</v>
      </c>
      <c r="I18">
        <f t="shared" si="1"/>
        <v>123.75417016478441</v>
      </c>
      <c r="K18">
        <f t="shared" si="5"/>
        <v>-10.650443006648516</v>
      </c>
    </row>
    <row r="19" spans="1:11" x14ac:dyDescent="0.35">
      <c r="A19">
        <v>2.6</v>
      </c>
      <c r="B19">
        <v>2.5005489999999999</v>
      </c>
      <c r="C19">
        <f t="shared" si="2"/>
        <v>9.4026962935968736</v>
      </c>
      <c r="D19">
        <v>1.55</v>
      </c>
      <c r="E19">
        <f t="shared" si="3"/>
        <v>120.02522574099386</v>
      </c>
      <c r="G19">
        <f t="shared" si="4"/>
        <v>14.571687382574993</v>
      </c>
      <c r="H19">
        <f t="shared" si="0"/>
        <v>1.05</v>
      </c>
      <c r="I19">
        <f t="shared" si="1"/>
        <v>114.93911234147113</v>
      </c>
      <c r="K19">
        <f t="shared" si="5"/>
        <v>5.0861133995227306</v>
      </c>
    </row>
    <row r="20" spans="1:11" x14ac:dyDescent="0.35">
      <c r="A20" s="2">
        <v>2.6</v>
      </c>
      <c r="B20" s="2">
        <v>2.5005489999999999</v>
      </c>
      <c r="C20" s="2">
        <f t="shared" si="2"/>
        <v>9.3666603865422484</v>
      </c>
      <c r="D20" s="2">
        <v>1.5349999999999999</v>
      </c>
      <c r="E20" s="2">
        <f t="shared" si="3"/>
        <v>117.93910588209035</v>
      </c>
      <c r="F20" s="2"/>
      <c r="G20" s="2">
        <f t="shared" si="4"/>
        <v>14.681106587760461</v>
      </c>
      <c r="H20" s="2">
        <f t="shared" si="0"/>
        <v>1.0650000000000002</v>
      </c>
      <c r="I20" s="2">
        <f t="shared" si="1"/>
        <v>117.54955341488896</v>
      </c>
      <c r="K20">
        <f t="shared" si="5"/>
        <v>0.38955246720138348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5.7722695928713996</v>
      </c>
      <c r="G26" s="3" t="s">
        <v>32</v>
      </c>
      <c r="H26" s="7">
        <f xml:space="preserve"> -0.129*H20^6 + 1.0756*H20^5 - 3.0752*H20^4 + 3.1771*H20^3 + 0.0649*H20^2 - 0.7917*H20 - 0.1795</f>
        <v>0.21802199356198948</v>
      </c>
    </row>
    <row r="29" spans="1:11" x14ac:dyDescent="0.35">
      <c r="B29" s="3" t="s">
        <v>33</v>
      </c>
      <c r="C29">
        <f>(I29+I30)*L4</f>
        <v>1.2965458060757176</v>
      </c>
      <c r="H29" s="3" t="s">
        <v>44</v>
      </c>
      <c r="I29" s="6">
        <f>C26*1.2*I6^2*I4*L3/2</f>
        <v>5.0962568707351621E-2</v>
      </c>
    </row>
    <row r="30" spans="1:11" x14ac:dyDescent="0.35">
      <c r="B30" s="3" t="s">
        <v>34</v>
      </c>
      <c r="C30">
        <f>(E20+I20)*D5/2</f>
        <v>17.661649447273447</v>
      </c>
      <c r="H30" s="3" t="s">
        <v>45</v>
      </c>
      <c r="I30" s="6">
        <f>H26*1.2*I6^2*I4*L3/2</f>
        <v>1.9248859825151629E-3</v>
      </c>
    </row>
    <row r="31" spans="1:11" x14ac:dyDescent="0.35">
      <c r="B31" s="3" t="s">
        <v>35</v>
      </c>
      <c r="C31" s="6">
        <f>C29/C30</f>
        <v>7.3410233282366191E-2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21" sqref="D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4" t="s">
        <v>16</v>
      </c>
      <c r="L2">
        <v>3.2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4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4" t="s">
        <v>39</v>
      </c>
      <c r="L4">
        <f>I6/L3</f>
        <v>19.918588890577862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2.0316960668389417</v>
      </c>
      <c r="J6" t="s">
        <v>14</v>
      </c>
    </row>
    <row r="7" spans="1:12" x14ac:dyDescent="0.35">
      <c r="G7" s="4"/>
      <c r="H7" s="4"/>
    </row>
    <row r="8" spans="1:12" x14ac:dyDescent="0.35">
      <c r="A8" s="4" t="s">
        <v>18</v>
      </c>
      <c r="B8" s="23" t="s">
        <v>47</v>
      </c>
      <c r="C8" s="23"/>
      <c r="D8" s="23"/>
      <c r="E8" s="23"/>
      <c r="F8" s="4" t="s">
        <v>24</v>
      </c>
      <c r="G8" s="23" t="s">
        <v>48</v>
      </c>
      <c r="H8" s="23"/>
      <c r="I8" s="23"/>
      <c r="J8" s="23"/>
      <c r="K8" s="23"/>
    </row>
    <row r="9" spans="1:12" x14ac:dyDescent="0.35">
      <c r="A9" s="4"/>
      <c r="F9" s="4"/>
      <c r="G9" s="4"/>
      <c r="H9" s="4"/>
    </row>
    <row r="10" spans="1:12" x14ac:dyDescent="0.35">
      <c r="A10" s="4" t="s">
        <v>18</v>
      </c>
      <c r="B10" s="7">
        <f>C20</f>
        <v>9.8969516081213644</v>
      </c>
      <c r="F10" s="4" t="s">
        <v>24</v>
      </c>
      <c r="G10" s="8">
        <f>G20</f>
        <v>16.209860347031984</v>
      </c>
      <c r="H10" s="4"/>
    </row>
    <row r="13" spans="1:12" x14ac:dyDescent="0.35">
      <c r="A13" s="4" t="s">
        <v>16</v>
      </c>
      <c r="B13" s="4" t="s">
        <v>28</v>
      </c>
      <c r="C13" s="4" t="s">
        <v>19</v>
      </c>
      <c r="D13" s="4" t="s">
        <v>20</v>
      </c>
      <c r="E13" s="4" t="s">
        <v>22</v>
      </c>
      <c r="F13" s="4"/>
      <c r="G13" s="4" t="s">
        <v>41</v>
      </c>
      <c r="H13" s="4" t="s">
        <v>42</v>
      </c>
      <c r="I13" s="4" t="s">
        <v>22</v>
      </c>
      <c r="J13" s="4"/>
      <c r="K13" s="4"/>
    </row>
    <row r="14" spans="1:12" x14ac:dyDescent="0.35">
      <c r="A14" s="5" t="s">
        <v>46</v>
      </c>
      <c r="B14" s="4" t="s">
        <v>17</v>
      </c>
      <c r="C14" s="4" t="s">
        <v>18</v>
      </c>
      <c r="D14" s="5" t="s">
        <v>21</v>
      </c>
      <c r="E14" s="4" t="s">
        <v>23</v>
      </c>
      <c r="F14" s="4"/>
      <c r="G14" s="4" t="s">
        <v>24</v>
      </c>
      <c r="H14" s="5" t="s">
        <v>25</v>
      </c>
      <c r="I14" s="4" t="s">
        <v>26</v>
      </c>
      <c r="J14" s="4"/>
      <c r="K14" s="4" t="s">
        <v>43</v>
      </c>
    </row>
    <row r="15" spans="1:12" x14ac:dyDescent="0.35">
      <c r="A15">
        <v>3.2</v>
      </c>
      <c r="B15">
        <v>2.0316900000000002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1.7340118263367803</v>
      </c>
      <c r="G15">
        <f xml:space="preserve"> 0.9808*H15^6 - 9.1296*H15^5 + 32.097*H15^4 - 52.719*H15^3 + 35.366*H15^2 + 6.8355*H15 + 0.7557</f>
        <v>12.510600000000061</v>
      </c>
      <c r="H15">
        <f t="shared" ref="H15:H20" si="0">A15-D15</f>
        <v>3</v>
      </c>
      <c r="I15">
        <f t="shared" ref="I15:I20" si="1">1.2*B15^2*G15*(H15^2+1)/2</f>
        <v>309.84484501418956</v>
      </c>
      <c r="K15">
        <f>E15-I15</f>
        <v>-308.11083318785279</v>
      </c>
    </row>
    <row r="16" spans="1:12" x14ac:dyDescent="0.35">
      <c r="A16">
        <v>3.2</v>
      </c>
      <c r="B16">
        <v>2.0316900000000002</v>
      </c>
      <c r="C16">
        <f t="shared" ref="C16:C20" si="2" xml:space="preserve"> -0.3078*D16^6 + 2.2651*D16^5 - 4.751*D16^4 + 0.2832*D16^3 + 5.9876*D16^2 + 3.6672*D16 - 0.2951</f>
        <v>6.8491999999999997</v>
      </c>
      <c r="D16">
        <v>1</v>
      </c>
      <c r="E16">
        <f t="shared" ref="E16:E20" si="3">1.2*B16^2*C16*(D16^2+1)/2</f>
        <v>33.926259531456147</v>
      </c>
      <c r="G16">
        <f t="shared" ref="G16:G20" si="4" xml:space="preserve"> 0.9808*H16^6 - 9.1296*H16^5 + 32.097*H16^4 - 52.719*H16^3 + 35.366*H16^2 + 6.8355*H16 + 0.7557</f>
        <v>18.201833971199985</v>
      </c>
      <c r="H16">
        <f t="shared" si="0"/>
        <v>2.2000000000000002</v>
      </c>
      <c r="I16">
        <f t="shared" si="1"/>
        <v>263.26561033489827</v>
      </c>
      <c r="K16">
        <f t="shared" ref="K16:K20" si="5">E16-I16</f>
        <v>-229.33935080344213</v>
      </c>
    </row>
    <row r="17" spans="1:11" x14ac:dyDescent="0.35">
      <c r="A17">
        <v>3.2</v>
      </c>
      <c r="B17">
        <v>2.0316900000000002</v>
      </c>
      <c r="C17">
        <f t="shared" si="2"/>
        <v>9.2762312499999986</v>
      </c>
      <c r="D17">
        <v>1.5</v>
      </c>
      <c r="E17">
        <f t="shared" si="3"/>
        <v>74.665686780882254</v>
      </c>
      <c r="G17">
        <f t="shared" si="4"/>
        <v>17.699559703200062</v>
      </c>
      <c r="H17">
        <f t="shared" si="0"/>
        <v>1.7000000000000002</v>
      </c>
      <c r="I17">
        <f t="shared" si="1"/>
        <v>170.52112948694111</v>
      </c>
      <c r="K17">
        <f t="shared" si="5"/>
        <v>-95.855442706058852</v>
      </c>
    </row>
    <row r="18" spans="1:11" x14ac:dyDescent="0.35">
      <c r="A18">
        <v>3.2</v>
      </c>
      <c r="B18">
        <v>2.0316900000000002</v>
      </c>
      <c r="C18">
        <f t="shared" si="2"/>
        <v>10.023299999999983</v>
      </c>
      <c r="D18">
        <v>2</v>
      </c>
      <c r="E18">
        <f t="shared" si="3"/>
        <v>124.12145840450121</v>
      </c>
      <c r="G18">
        <f t="shared" si="4"/>
        <v>15.554534035200007</v>
      </c>
      <c r="H18">
        <f t="shared" si="0"/>
        <v>1.2000000000000002</v>
      </c>
      <c r="I18">
        <f t="shared" si="1"/>
        <v>93.996778230195844</v>
      </c>
      <c r="K18">
        <f t="shared" si="5"/>
        <v>30.124680174305368</v>
      </c>
    </row>
    <row r="19" spans="1:11" x14ac:dyDescent="0.35">
      <c r="A19">
        <v>3.2</v>
      </c>
      <c r="B19">
        <v>2.0316900000000002</v>
      </c>
      <c r="C19">
        <f t="shared" si="2"/>
        <v>9.8148510207999937</v>
      </c>
      <c r="D19">
        <v>1.8</v>
      </c>
      <c r="E19">
        <f t="shared" si="3"/>
        <v>103.06606727030666</v>
      </c>
      <c r="G19">
        <f t="shared" si="4"/>
        <v>16.569448204799997</v>
      </c>
      <c r="H19">
        <f t="shared" si="0"/>
        <v>1.4000000000000001</v>
      </c>
      <c r="I19">
        <f t="shared" si="1"/>
        <v>121.46912225249899</v>
      </c>
      <c r="K19">
        <f t="shared" si="5"/>
        <v>-18.40305498219233</v>
      </c>
    </row>
    <row r="20" spans="1:11" x14ac:dyDescent="0.35">
      <c r="A20" s="2">
        <v>3.2</v>
      </c>
      <c r="B20" s="2">
        <v>2.0316900000000002</v>
      </c>
      <c r="C20" s="2">
        <f t="shared" si="2"/>
        <v>9.8969516081213644</v>
      </c>
      <c r="D20" s="2">
        <v>1.877</v>
      </c>
      <c r="E20" s="2">
        <f t="shared" si="3"/>
        <v>110.86808782274377</v>
      </c>
      <c r="F20" s="2"/>
      <c r="G20" s="2">
        <f t="shared" si="4"/>
        <v>16.209860347031984</v>
      </c>
      <c r="H20" s="2">
        <f t="shared" si="0"/>
        <v>1.3230000000000002</v>
      </c>
      <c r="I20" s="2">
        <f t="shared" si="1"/>
        <v>110.41550365497862</v>
      </c>
      <c r="K20">
        <f t="shared" si="5"/>
        <v>0.45258416776515276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4" t="s">
        <v>30</v>
      </c>
      <c r="C26" s="7">
        <f xml:space="preserve"> -0.266*D20^6 + 1.8555*D20^5 - 3.4393*D20^4 - 1.4822*D20^3 + 8.492*D20^2 - 1.321*D20 - 0.0869</f>
        <v>6.4576017956899694</v>
      </c>
      <c r="G26" s="4" t="s">
        <v>32</v>
      </c>
      <c r="H26" s="7">
        <f xml:space="preserve"> -0.129*H20^6 + 1.0756*H20^5 - 3.0752*H20^4 + 3.1771*H20^3 + 0.0649*H20^2 - 0.7917*H20 - 0.1795</f>
        <v>0.49038394840184263</v>
      </c>
    </row>
    <row r="29" spans="1:11" x14ac:dyDescent="0.35">
      <c r="B29" s="4" t="s">
        <v>33</v>
      </c>
      <c r="C29">
        <f>(I29+I30)*L4</f>
        <v>0.80661989495997088</v>
      </c>
      <c r="H29" s="4" t="s">
        <v>44</v>
      </c>
      <c r="I29" s="6">
        <f>C26*1.2*I6^2*I4*L3/2</f>
        <v>3.7637667711297298E-2</v>
      </c>
    </row>
    <row r="30" spans="1:11" x14ac:dyDescent="0.35">
      <c r="B30" s="4" t="s">
        <v>34</v>
      </c>
      <c r="C30">
        <f>(E20+I20)*D5/2</f>
        <v>16.596269360829179</v>
      </c>
      <c r="H30" s="4" t="s">
        <v>45</v>
      </c>
      <c r="I30" s="6">
        <f>H26*1.2*I6^2*I4*L3/2</f>
        <v>2.858167580605744E-3</v>
      </c>
    </row>
    <row r="31" spans="1:11" x14ac:dyDescent="0.35">
      <c r="B31" s="4" t="s">
        <v>35</v>
      </c>
      <c r="C31" s="6">
        <f>C29/C30</f>
        <v>4.860248272806237E-2</v>
      </c>
    </row>
  </sheetData>
  <mergeCells count="13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5" sqref="B15"/>
    </sheetView>
  </sheetViews>
  <sheetFormatPr defaultRowHeight="14.5" x14ac:dyDescent="0.35"/>
  <sheetData>
    <row r="1" spans="1:3" x14ac:dyDescent="0.35">
      <c r="A1" t="s">
        <v>52</v>
      </c>
      <c r="B1" t="s">
        <v>54</v>
      </c>
      <c r="C1" t="s">
        <v>53</v>
      </c>
    </row>
    <row r="2" spans="1:3" x14ac:dyDescent="0.35">
      <c r="A2">
        <v>0.48099999999999998</v>
      </c>
      <c r="B2">
        <f>'0.481'!C31</f>
        <v>0.1720134342008422</v>
      </c>
      <c r="C2">
        <f>'0.481'!E20</f>
        <v>219.55128590871541</v>
      </c>
    </row>
    <row r="3" spans="1:3" x14ac:dyDescent="0.35">
      <c r="A3">
        <v>0.6</v>
      </c>
      <c r="B3">
        <f>'0.6'!C31</f>
        <v>0.25980434659521273</v>
      </c>
      <c r="C3">
        <f>'0.6'!E20</f>
        <v>193.52649178652544</v>
      </c>
    </row>
    <row r="4" spans="1:3" x14ac:dyDescent="0.35">
      <c r="A4">
        <v>0.8</v>
      </c>
      <c r="B4">
        <f>'0.8'!J5</f>
        <v>0.32600000000000001</v>
      </c>
      <c r="C4">
        <f>'0.8'!E16</f>
        <v>147.4367</v>
      </c>
    </row>
    <row r="5" spans="1:3" x14ac:dyDescent="0.35">
      <c r="A5">
        <v>0.9</v>
      </c>
      <c r="B5">
        <f>'0.9'!C31</f>
        <v>0.31162102853760815</v>
      </c>
      <c r="C5">
        <f>'0.9'!E20</f>
        <v>141.2105406256839</v>
      </c>
    </row>
    <row r="6" spans="1:3" x14ac:dyDescent="0.35">
      <c r="A6">
        <v>1</v>
      </c>
      <c r="B6">
        <f>'1.0'!C31</f>
        <v>0.25469518473207053</v>
      </c>
      <c r="C6">
        <f>'1.0'!E20</f>
        <v>153.4896354979372</v>
      </c>
    </row>
    <row r="7" spans="1:3" x14ac:dyDescent="0.35">
      <c r="A7">
        <v>1.2</v>
      </c>
      <c r="B7">
        <f>'1.2'!C31</f>
        <v>0.22108331977486756</v>
      </c>
      <c r="C7">
        <f>'1.2'!E20</f>
        <v>144.55206602795843</v>
      </c>
    </row>
    <row r="8" spans="1:3" x14ac:dyDescent="0.35">
      <c r="A8">
        <v>1.6</v>
      </c>
      <c r="B8">
        <f>'1.6'!C31</f>
        <v>0.16023206355573294</v>
      </c>
      <c r="C8">
        <f>'1.6'!E20</f>
        <v>133.52452201743671</v>
      </c>
    </row>
    <row r="9" spans="1:3" x14ac:dyDescent="0.35">
      <c r="A9">
        <v>2.1</v>
      </c>
      <c r="B9">
        <f>'2.1'!C31</f>
        <v>0.10720808548000928</v>
      </c>
      <c r="C9">
        <f>'2.1'!E20</f>
        <v>124.77661828418869</v>
      </c>
    </row>
    <row r="10" spans="1:3" x14ac:dyDescent="0.35">
      <c r="A10">
        <v>2.6</v>
      </c>
      <c r="B10">
        <f>'2.6'!C31</f>
        <v>7.3410233282366191E-2</v>
      </c>
      <c r="C10">
        <f>'2.6'!C31</f>
        <v>7.3410233282366191E-2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6" sqref="O16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0.13973781961832521</v>
      </c>
      <c r="B2">
        <v>2.3157970303545135</v>
      </c>
    </row>
    <row r="3" spans="1:2" x14ac:dyDescent="0.35">
      <c r="A3">
        <v>0.24048269491558727</v>
      </c>
      <c r="B3">
        <v>3.8237834862824371</v>
      </c>
    </row>
    <row r="4" spans="1:2" x14ac:dyDescent="0.35">
      <c r="A4">
        <v>0.34118826280930026</v>
      </c>
      <c r="B4">
        <v>5.1943670060661127</v>
      </c>
    </row>
    <row r="5" spans="1:2" x14ac:dyDescent="0.35">
      <c r="A5">
        <v>0.41693362944910672</v>
      </c>
      <c r="B5">
        <v>6.9780207946972297</v>
      </c>
    </row>
    <row r="6" spans="1:2" x14ac:dyDescent="0.35">
      <c r="A6">
        <v>0.51767850474636889</v>
      </c>
      <c r="B6">
        <v>8.4860072506251534</v>
      </c>
    </row>
    <row r="7" spans="1:2" x14ac:dyDescent="0.35">
      <c r="A7">
        <v>0.60588431831135392</v>
      </c>
      <c r="B7">
        <v>9.9944244367604291</v>
      </c>
    </row>
    <row r="8" spans="1:2" x14ac:dyDescent="0.35">
      <c r="A8">
        <v>0.74424637880544797</v>
      </c>
      <c r="B8">
        <v>11.501118702066307</v>
      </c>
    </row>
    <row r="9" spans="1:2" x14ac:dyDescent="0.35">
      <c r="A9">
        <v>0.8951868084353688</v>
      </c>
      <c r="B9">
        <v>13.144785173309081</v>
      </c>
    </row>
    <row r="10" spans="1:2" x14ac:dyDescent="0.35">
      <c r="A10">
        <v>1.0460486232581907</v>
      </c>
      <c r="B10">
        <v>14.513645772263366</v>
      </c>
    </row>
    <row r="11" spans="1:2" x14ac:dyDescent="0.35">
      <c r="A11">
        <v>1.1968318232739135</v>
      </c>
      <c r="B11">
        <v>15.607700498929155</v>
      </c>
    </row>
    <row r="12" spans="1:2" x14ac:dyDescent="0.35">
      <c r="A12">
        <v>1.3851929010829189</v>
      </c>
      <c r="B12">
        <v>16.563060098828654</v>
      </c>
    </row>
    <row r="13" spans="1:2" x14ac:dyDescent="0.35">
      <c r="A13">
        <v>1.6989839036182466</v>
      </c>
      <c r="B13">
        <v>17.651515332798912</v>
      </c>
    </row>
    <row r="14" spans="1:2" x14ac:dyDescent="0.35">
      <c r="A14">
        <v>2.2633596037813724</v>
      </c>
      <c r="B14">
        <v>18.044341281900955</v>
      </c>
    </row>
    <row r="15" spans="1:2" x14ac:dyDescent="0.35">
      <c r="A15">
        <v>3.4295709596902584</v>
      </c>
      <c r="B15">
        <v>18.279089244906018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O9" sqref="O9"/>
    </sheetView>
  </sheetViews>
  <sheetFormatPr defaultRowHeight="14.5" x14ac:dyDescent="0.35"/>
  <cols>
    <col min="1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-2.2126255519433258E-2</v>
      </c>
      <c r="B2">
        <v>-6.8343219984962289E-2</v>
      </c>
    </row>
    <row r="3" spans="1:2" x14ac:dyDescent="0.35">
      <c r="A3">
        <v>5.2559561356688933E-2</v>
      </c>
      <c r="B3">
        <v>-0.12398696632968509</v>
      </c>
    </row>
    <row r="4" spans="1:2" x14ac:dyDescent="0.35">
      <c r="A4">
        <v>0.10240186326362277</v>
      </c>
      <c r="B4">
        <v>-0.12532375302865795</v>
      </c>
    </row>
    <row r="5" spans="1:2" x14ac:dyDescent="0.35">
      <c r="A5">
        <v>0.18970352758503572</v>
      </c>
      <c r="B5">
        <v>-7.4024563455594716E-2</v>
      </c>
    </row>
    <row r="6" spans="1:2" x14ac:dyDescent="0.35">
      <c r="A6">
        <v>0.25223931292153923</v>
      </c>
      <c r="B6">
        <v>8.5220152059486409E-2</v>
      </c>
    </row>
    <row r="7" spans="1:2" x14ac:dyDescent="0.35">
      <c r="A7">
        <v>0.31493037022660009</v>
      </c>
      <c r="B7">
        <v>0.35174200016709811</v>
      </c>
    </row>
    <row r="8" spans="1:2" x14ac:dyDescent="0.35">
      <c r="A8">
        <v>0.40254257848512776</v>
      </c>
      <c r="B8">
        <v>0.6175954549252225</v>
      </c>
    </row>
    <row r="9" spans="1:2" x14ac:dyDescent="0.35">
      <c r="A9">
        <v>0.46523363579018895</v>
      </c>
      <c r="B9">
        <v>0.8841173030328342</v>
      </c>
    </row>
    <row r="10" spans="1:2" x14ac:dyDescent="0.35">
      <c r="A10">
        <v>0.54030763258770431</v>
      </c>
      <c r="B10">
        <v>1.0966663881694387</v>
      </c>
    </row>
    <row r="11" spans="1:2" x14ac:dyDescent="0.35">
      <c r="A11">
        <v>0.59053811441603199</v>
      </c>
      <c r="B11">
        <v>1.3635224329517914</v>
      </c>
    </row>
    <row r="12" spans="1:2" x14ac:dyDescent="0.35">
      <c r="A12">
        <v>0.61584744529089219</v>
      </c>
      <c r="B12">
        <v>1.6310468710836332</v>
      </c>
    </row>
    <row r="13" spans="1:2" x14ac:dyDescent="0.35">
      <c r="A13">
        <v>0.67869377456451074</v>
      </c>
      <c r="B13">
        <v>2.0048458517837737</v>
      </c>
    </row>
    <row r="14" spans="1:2" x14ac:dyDescent="0.35">
      <c r="A14">
        <v>0.74146246785385039</v>
      </c>
      <c r="B14">
        <v>2.3250062661876516</v>
      </c>
    </row>
    <row r="15" spans="1:2" x14ac:dyDescent="0.35">
      <c r="A15">
        <v>0.8043864331117474</v>
      </c>
      <c r="B15">
        <v>2.7524438131840583</v>
      </c>
    </row>
    <row r="16" spans="1:2" x14ac:dyDescent="0.35">
      <c r="A16">
        <v>0.82954049201805047</v>
      </c>
      <c r="B16">
        <v>2.9126911187233695</v>
      </c>
    </row>
    <row r="17" spans="1:2" x14ac:dyDescent="0.35">
      <c r="A17">
        <v>0.94253966713571757</v>
      </c>
      <c r="B17">
        <v>3.4997075779095983</v>
      </c>
    </row>
    <row r="18" spans="1:2" x14ac:dyDescent="0.35">
      <c r="A18">
        <v>1.118152263574167</v>
      </c>
      <c r="B18">
        <v>4.2996073189071762</v>
      </c>
    </row>
    <row r="19" spans="1:2" x14ac:dyDescent="0.35">
      <c r="A19">
        <v>1.3311465864428167</v>
      </c>
      <c r="B19">
        <v>5.098504469880524</v>
      </c>
    </row>
    <row r="20" spans="1:2" x14ac:dyDescent="0.35">
      <c r="A20">
        <v>1.6690572080159158</v>
      </c>
      <c r="B20">
        <v>6.1086139192915025</v>
      </c>
    </row>
    <row r="21" spans="1:2" x14ac:dyDescent="0.35">
      <c r="A21">
        <v>2.2190305206463199</v>
      </c>
      <c r="B21">
        <v>7.2739577241206455</v>
      </c>
    </row>
    <row r="22" spans="1:2" x14ac:dyDescent="0.35">
      <c r="A22">
        <v>3.3792614876995479</v>
      </c>
      <c r="B22">
        <v>8.2083716267023146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O18" sqref="O18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1.1110575300188108E-2</v>
      </c>
      <c r="B2">
        <v>-0.16906354515050381</v>
      </c>
    </row>
    <row r="3" spans="1:2" x14ac:dyDescent="0.35">
      <c r="A3">
        <v>9.8143415151661251E-2</v>
      </c>
      <c r="B3">
        <v>-0.27558528428093609</v>
      </c>
    </row>
    <row r="4" spans="1:2" x14ac:dyDescent="0.35">
      <c r="A4">
        <v>0.20998215749626281</v>
      </c>
      <c r="B4">
        <v>-0.32792642140468153</v>
      </c>
    </row>
    <row r="5" spans="1:2" x14ac:dyDescent="0.35">
      <c r="A5">
        <v>0.29697641896127702</v>
      </c>
      <c r="B5">
        <v>-0.38060200668896371</v>
      </c>
    </row>
    <row r="6" spans="1:2" x14ac:dyDescent="0.35">
      <c r="A6">
        <v>0.40873800453296061</v>
      </c>
      <c r="B6">
        <v>-0.32525083612040184</v>
      </c>
    </row>
    <row r="7" spans="1:2" x14ac:dyDescent="0.35">
      <c r="A7">
        <v>0.49565510922505684</v>
      </c>
      <c r="B7">
        <v>-0.27023411371237316</v>
      </c>
    </row>
    <row r="8" spans="1:2" x14ac:dyDescent="0.35">
      <c r="A8">
        <v>0.61983893523653377</v>
      </c>
      <c r="B8">
        <v>-0.21471571906354647</v>
      </c>
    </row>
    <row r="9" spans="1:2" x14ac:dyDescent="0.35">
      <c r="A9">
        <v>0.75648358007426342</v>
      </c>
      <c r="B9">
        <v>-0.2128762541806033</v>
      </c>
    </row>
    <row r="10" spans="1:2" x14ac:dyDescent="0.35">
      <c r="A10">
        <v>0.84332352799344179</v>
      </c>
      <c r="B10">
        <v>-5.0167224080269079E-2</v>
      </c>
    </row>
    <row r="11" spans="1:2" x14ac:dyDescent="0.35">
      <c r="A11">
        <v>0.94262429473887266</v>
      </c>
      <c r="B11">
        <v>5.8862876254179852E-2</v>
      </c>
    </row>
    <row r="12" spans="1:2" x14ac:dyDescent="0.35">
      <c r="A12">
        <v>1.128765009403482</v>
      </c>
      <c r="B12">
        <v>0.330602006688963</v>
      </c>
    </row>
    <row r="13" spans="1:2" x14ac:dyDescent="0.35">
      <c r="A13">
        <v>1.3149828808410091</v>
      </c>
      <c r="B13">
        <v>0.49464882943143706</v>
      </c>
    </row>
    <row r="14" spans="1:2" x14ac:dyDescent="0.35">
      <c r="A14">
        <v>1.6626512996093941</v>
      </c>
      <c r="B14">
        <v>0.7147157190635447</v>
      </c>
    </row>
    <row r="15" spans="1:2" x14ac:dyDescent="0.35">
      <c r="A15">
        <v>2.2586873704007333</v>
      </c>
      <c r="B15">
        <v>1.045819397993311</v>
      </c>
    </row>
    <row r="16" spans="1:2" x14ac:dyDescent="0.35">
      <c r="A16">
        <v>3.3764189612769453</v>
      </c>
      <c r="B16">
        <v>1.437792642140467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1" workbookViewId="0">
      <selection activeCell="I23" sqref="I23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9.90625" customWidth="1"/>
    <col min="8" max="8" width="15.08984375" customWidth="1"/>
    <col min="9" max="9" width="12.36328125" customWidth="1"/>
    <col min="11" max="11" width="13" customWidth="1"/>
  </cols>
  <sheetData>
    <row r="2" spans="1:13" x14ac:dyDescent="0.35">
      <c r="B2" s="20" t="s">
        <v>2</v>
      </c>
      <c r="C2" s="20"/>
      <c r="D2" s="12">
        <v>20</v>
      </c>
      <c r="E2" s="12" t="s">
        <v>3</v>
      </c>
      <c r="F2" s="16"/>
      <c r="G2" s="20" t="s">
        <v>9</v>
      </c>
      <c r="H2" s="20"/>
      <c r="I2" s="12">
        <v>0.24</v>
      </c>
      <c r="J2" s="12" t="s">
        <v>12</v>
      </c>
      <c r="K2" s="11" t="s">
        <v>16</v>
      </c>
      <c r="L2" s="12">
        <v>0.48099999999999998</v>
      </c>
    </row>
    <row r="3" spans="1:13" x14ac:dyDescent="0.35">
      <c r="B3" s="20" t="s">
        <v>4</v>
      </c>
      <c r="C3" s="20"/>
      <c r="D3" s="12">
        <v>1.2</v>
      </c>
      <c r="E3" s="12" t="s">
        <v>5</v>
      </c>
      <c r="F3" s="16"/>
      <c r="G3" s="21" t="s">
        <v>36</v>
      </c>
      <c r="H3" s="22"/>
      <c r="I3" s="12">
        <f>(I2+I2*D4)/4</f>
        <v>0.10199999999999999</v>
      </c>
      <c r="J3" s="12" t="s">
        <v>12</v>
      </c>
    </row>
    <row r="4" spans="1:13" x14ac:dyDescent="0.35">
      <c r="B4" s="20" t="s">
        <v>6</v>
      </c>
      <c r="C4" s="20"/>
      <c r="D4" s="12">
        <v>0.7</v>
      </c>
      <c r="E4" s="12"/>
      <c r="F4" s="16"/>
      <c r="G4" s="20" t="s">
        <v>13</v>
      </c>
      <c r="H4" s="20"/>
      <c r="I4" s="12">
        <f>(PI()/4)*(I2^2-I2^2*D4^2)</f>
        <v>2.3071856447963442E-2</v>
      </c>
      <c r="J4" s="12" t="s">
        <v>15</v>
      </c>
      <c r="K4" s="11" t="s">
        <v>39</v>
      </c>
      <c r="L4" s="12">
        <f>I6/I3</f>
        <v>132.51452068575708</v>
      </c>
      <c r="M4" s="12" t="s">
        <v>51</v>
      </c>
    </row>
    <row r="5" spans="1:13" x14ac:dyDescent="0.35">
      <c r="B5" s="20" t="s">
        <v>7</v>
      </c>
      <c r="C5" s="20"/>
      <c r="D5" s="12">
        <v>0.15</v>
      </c>
      <c r="E5" s="12" t="s">
        <v>8</v>
      </c>
      <c r="F5" s="16"/>
      <c r="G5" s="20" t="s">
        <v>38</v>
      </c>
      <c r="H5" s="20"/>
      <c r="I5" s="12">
        <f>D5/I4</f>
        <v>6.5014274138846133</v>
      </c>
      <c r="J5" s="12" t="s">
        <v>14</v>
      </c>
    </row>
    <row r="6" spans="1:13" x14ac:dyDescent="0.35">
      <c r="B6" s="12"/>
      <c r="C6" s="12"/>
      <c r="D6" s="12"/>
      <c r="E6" s="12"/>
      <c r="F6" s="16"/>
      <c r="G6" s="20" t="s">
        <v>37</v>
      </c>
      <c r="H6" s="20"/>
      <c r="I6" s="12">
        <f>I5/L2</f>
        <v>13.516481109947222</v>
      </c>
      <c r="J6" s="12" t="s">
        <v>14</v>
      </c>
    </row>
    <row r="7" spans="1:13" x14ac:dyDescent="0.35">
      <c r="G7" s="1"/>
      <c r="H7" s="1"/>
    </row>
    <row r="8" spans="1:13" x14ac:dyDescent="0.35">
      <c r="A8" s="11" t="s">
        <v>18</v>
      </c>
      <c r="B8" s="20" t="s">
        <v>47</v>
      </c>
      <c r="C8" s="20"/>
      <c r="D8" s="20"/>
      <c r="E8" s="20"/>
      <c r="F8" s="11" t="s">
        <v>24</v>
      </c>
      <c r="G8" s="20" t="s">
        <v>48</v>
      </c>
      <c r="H8" s="20"/>
      <c r="I8" s="20"/>
      <c r="J8" s="20"/>
      <c r="K8" s="20"/>
    </row>
    <row r="9" spans="1:13" x14ac:dyDescent="0.35">
      <c r="A9" s="3"/>
      <c r="F9" s="3"/>
      <c r="G9" s="1"/>
      <c r="H9" s="1"/>
    </row>
    <row r="10" spans="1:13" x14ac:dyDescent="0.35">
      <c r="A10" s="11" t="s">
        <v>18</v>
      </c>
      <c r="B10" s="10">
        <f>C20</f>
        <v>1.7697000249715493</v>
      </c>
      <c r="F10" s="11" t="s">
        <v>24</v>
      </c>
      <c r="G10" s="9">
        <f>G20</f>
        <v>1.9741228595588205</v>
      </c>
      <c r="H10" s="1"/>
    </row>
    <row r="13" spans="1:13" x14ac:dyDescent="0.35">
      <c r="A13" s="11" t="s">
        <v>16</v>
      </c>
      <c r="B13" s="11" t="s">
        <v>28</v>
      </c>
      <c r="C13" s="11" t="s">
        <v>19</v>
      </c>
      <c r="D13" s="11" t="s">
        <v>20</v>
      </c>
      <c r="E13" s="11" t="s">
        <v>22</v>
      </c>
      <c r="F13" s="3"/>
      <c r="G13" s="11" t="s">
        <v>41</v>
      </c>
      <c r="H13" s="11" t="s">
        <v>42</v>
      </c>
      <c r="I13" s="11" t="s">
        <v>22</v>
      </c>
      <c r="J13" s="11"/>
      <c r="K13" s="11"/>
    </row>
    <row r="14" spans="1:13" x14ac:dyDescent="0.35">
      <c r="A14" s="17" t="s">
        <v>46</v>
      </c>
      <c r="B14" s="11" t="s">
        <v>17</v>
      </c>
      <c r="C14" s="11" t="s">
        <v>18</v>
      </c>
      <c r="D14" s="17" t="s">
        <v>21</v>
      </c>
      <c r="E14" s="11" t="s">
        <v>23</v>
      </c>
      <c r="F14" s="3"/>
      <c r="G14" s="11" t="s">
        <v>24</v>
      </c>
      <c r="H14" s="17" t="s">
        <v>25</v>
      </c>
      <c r="I14" s="11" t="s">
        <v>26</v>
      </c>
      <c r="J14" s="11"/>
      <c r="K14" s="11" t="s">
        <v>43</v>
      </c>
    </row>
    <row r="15" spans="1:13" x14ac:dyDescent="0.35">
      <c r="A15" s="12">
        <v>0.48099999999999998</v>
      </c>
      <c r="B15" s="12">
        <v>13.516481110000001</v>
      </c>
      <c r="C15" s="12">
        <f xml:space="preserve"> -0.3078*D15^6 + 2.2651*D15^5 - 4.751*D15^4 + 0.2832*D15^3 + 5.9876*D15^2 + 3.6672*D15 - 0.2951</f>
        <v>0.67321313279999995</v>
      </c>
      <c r="D15" s="12">
        <v>0.2</v>
      </c>
      <c r="E15" s="12">
        <f>1.2*B15^2*C15*(D15^2+1)/2</f>
        <v>76.747538030231979</v>
      </c>
      <c r="G15" s="12">
        <f xml:space="preserve"> 0.9808*H15^6 - 9.1296*H15^5 + 32.097*H15^4 - 52.719*H15^3 + 35.366*H15^2 + 6.8355*H15 + 0.7557</f>
        <v>4.4838864264136671</v>
      </c>
      <c r="H15" s="12">
        <f t="shared" ref="H15:H20" si="0">A15-D15</f>
        <v>0.28099999999999997</v>
      </c>
      <c r="I15" s="12">
        <f t="shared" ref="I15:I20" si="1">1.2*B15^2*G15*(H15^2+1)/2</f>
        <v>530.3210729552535</v>
      </c>
      <c r="J15" s="12"/>
      <c r="K15" s="12">
        <f>E15-I15</f>
        <v>-453.57353492502153</v>
      </c>
    </row>
    <row r="16" spans="1:13" x14ac:dyDescent="0.35">
      <c r="A16" s="12">
        <v>0.48099999999999998</v>
      </c>
      <c r="B16" s="12">
        <v>13.516481110000001</v>
      </c>
      <c r="C16" s="12">
        <f t="shared" ref="C16:C20" si="2" xml:space="preserve"> -0.3078*D16^6 + 2.2651*D16^5 - 4.751*D16^4 + 0.2832*D16^3 + 5.9876*D16^2 + 3.6672*D16 - 0.2951</f>
        <v>1.1149964265880559</v>
      </c>
      <c r="D16" s="12">
        <v>0.27</v>
      </c>
      <c r="E16" s="12">
        <f t="shared" ref="E16:E20" si="3">1.2*B16^2*C16*(D16^2+1)/2</f>
        <v>131.13277592327833</v>
      </c>
      <c r="G16" s="12">
        <f t="shared" ref="G16:G20" si="4" xml:space="preserve"> 0.9808*H16^6 - 9.1296*H16^5 + 32.097*H16^4 - 52.719*H16^3 + 35.366*H16^2 + 6.8355*H16 + 0.7557</f>
        <v>3.3371699298625233</v>
      </c>
      <c r="H16" s="12">
        <f t="shared" si="0"/>
        <v>0.21099999999999997</v>
      </c>
      <c r="I16" s="12">
        <f t="shared" si="1"/>
        <v>382.09735509048568</v>
      </c>
      <c r="J16" s="12"/>
      <c r="K16" s="12">
        <f t="shared" ref="K16:K20" si="5">E16-I16</f>
        <v>-250.96457916720735</v>
      </c>
    </row>
    <row r="17" spans="1:11" x14ac:dyDescent="0.35">
      <c r="A17" s="12">
        <v>0.48099999999999998</v>
      </c>
      <c r="B17" s="12">
        <v>13.516481110000001</v>
      </c>
      <c r="C17" s="12">
        <f t="shared" si="2"/>
        <v>0.85666281909629594</v>
      </c>
      <c r="D17" s="12">
        <v>0.23</v>
      </c>
      <c r="E17" s="12">
        <f t="shared" si="3"/>
        <v>98.872514170015563</v>
      </c>
      <c r="G17" s="12">
        <f t="shared" si="4"/>
        <v>3.9843920118438465</v>
      </c>
      <c r="H17" s="12">
        <f t="shared" si="0"/>
        <v>0.251</v>
      </c>
      <c r="I17" s="12">
        <f t="shared" si="1"/>
        <v>464.27389794932935</v>
      </c>
      <c r="J17" s="12"/>
      <c r="K17" s="12">
        <f t="shared" si="5"/>
        <v>-365.40138377931379</v>
      </c>
    </row>
    <row r="18" spans="1:11" x14ac:dyDescent="0.35">
      <c r="A18" s="12">
        <v>0.48099999999999998</v>
      </c>
      <c r="B18" s="12">
        <v>13.516481110000001</v>
      </c>
      <c r="C18" s="12">
        <f t="shared" si="2"/>
        <v>1.6740794179968745</v>
      </c>
      <c r="D18" s="12">
        <v>0.35</v>
      </c>
      <c r="E18" s="12">
        <f t="shared" si="3"/>
        <v>205.98753504761501</v>
      </c>
      <c r="G18" s="12">
        <f t="shared" si="4"/>
        <v>2.1486546221046314</v>
      </c>
      <c r="H18" s="12">
        <f t="shared" si="0"/>
        <v>0.13100000000000001</v>
      </c>
      <c r="I18" s="12">
        <f t="shared" si="1"/>
        <v>239.57133118167613</v>
      </c>
      <c r="J18" s="12"/>
      <c r="K18" s="12">
        <f t="shared" si="5"/>
        <v>-33.583796134061117</v>
      </c>
    </row>
    <row r="19" spans="1:11" x14ac:dyDescent="0.35">
      <c r="A19" s="12">
        <v>0.48099999999999998</v>
      </c>
      <c r="B19" s="12">
        <v>13.516481110000001</v>
      </c>
      <c r="C19" s="12">
        <f t="shared" si="2"/>
        <v>1.7475255629627389</v>
      </c>
      <c r="D19" s="12">
        <v>0.36</v>
      </c>
      <c r="E19" s="12">
        <f t="shared" si="3"/>
        <v>216.38480232025623</v>
      </c>
      <c r="G19" s="12">
        <f t="shared" si="4"/>
        <v>2.0138407385033714</v>
      </c>
      <c r="H19" s="12">
        <f t="shared" si="0"/>
        <v>0.121</v>
      </c>
      <c r="I19" s="12">
        <f t="shared" si="1"/>
        <v>223.98351897896609</v>
      </c>
      <c r="J19" s="12"/>
      <c r="K19" s="12">
        <f t="shared" si="5"/>
        <v>-7.5987166587098613</v>
      </c>
    </row>
    <row r="20" spans="1:11" x14ac:dyDescent="0.35">
      <c r="A20" s="18">
        <v>0.48099999999999998</v>
      </c>
      <c r="B20" s="18">
        <v>13.516481110000001</v>
      </c>
      <c r="C20" s="18">
        <f t="shared" si="2"/>
        <v>1.7697000249715493</v>
      </c>
      <c r="D20" s="18">
        <v>0.36299999999999999</v>
      </c>
      <c r="E20" s="18">
        <f t="shared" si="3"/>
        <v>219.55128590871541</v>
      </c>
      <c r="F20" s="2"/>
      <c r="G20" s="18">
        <f t="shared" si="4"/>
        <v>1.9741228595588205</v>
      </c>
      <c r="H20" s="18">
        <f t="shared" si="0"/>
        <v>0.11799999999999999</v>
      </c>
      <c r="I20" s="18">
        <f t="shared" si="1"/>
        <v>219.41085741804179</v>
      </c>
      <c r="J20" s="12"/>
      <c r="K20" s="12">
        <f t="shared" si="5"/>
        <v>0.14042849067362795</v>
      </c>
    </row>
    <row r="25" spans="1:11" x14ac:dyDescent="0.35">
      <c r="B25" s="20" t="s">
        <v>49</v>
      </c>
      <c r="C25" s="20"/>
      <c r="D25" s="20"/>
      <c r="E25" s="20"/>
      <c r="G25" s="20" t="s">
        <v>50</v>
      </c>
      <c r="H25" s="20"/>
      <c r="I25" s="20"/>
      <c r="J25" s="20"/>
      <c r="K25" s="20"/>
    </row>
    <row r="26" spans="1:11" x14ac:dyDescent="0.35">
      <c r="B26" s="14" t="s">
        <v>30</v>
      </c>
      <c r="C26" s="15">
        <f xml:space="preserve"> -0.266*D20^6 + 1.8555*D20^5 - 3.4393*D20^4 - 1.4822*D20^3 + 8.492*D20^2 - 1.321*D20 - 0.0869</f>
        <v>0.43303198466042825</v>
      </c>
      <c r="G26" s="14" t="s">
        <v>32</v>
      </c>
      <c r="H26" s="15">
        <f xml:space="preserve"> -0.129*H20^6 + 1.0756*H20^5 - 3.0752*H20^4 + 3.1771*H20^3 + 0.0649*H20^2 - 0.7917*H20 - 0.1795</f>
        <v>-0.26736880948960878</v>
      </c>
    </row>
    <row r="29" spans="1:11" x14ac:dyDescent="0.35">
      <c r="B29" s="11" t="s">
        <v>33</v>
      </c>
      <c r="C29" s="12">
        <f>(I29+I30)*L4</f>
        <v>5.6630539318348356</v>
      </c>
      <c r="H29" s="11" t="s">
        <v>44</v>
      </c>
      <c r="I29" s="13">
        <f>C26*1.2*I6^2*I4*I3/2</f>
        <v>0.11170721438941895</v>
      </c>
    </row>
    <row r="30" spans="1:11" x14ac:dyDescent="0.35">
      <c r="B30" s="11" t="s">
        <v>34</v>
      </c>
      <c r="C30" s="12">
        <f>(E20+I20)*D5/2</f>
        <v>32.922160749506787</v>
      </c>
      <c r="H30" s="11" t="s">
        <v>45</v>
      </c>
      <c r="I30" s="13">
        <f>H26*1.2*I6^2*I4*I3/2</f>
        <v>-6.8971868085264745E-2</v>
      </c>
    </row>
    <row r="31" spans="1:11" x14ac:dyDescent="0.35">
      <c r="B31" s="11" t="s">
        <v>35</v>
      </c>
      <c r="C31" s="13">
        <f>C29/C30</f>
        <v>0.1720134342008422</v>
      </c>
    </row>
  </sheetData>
  <mergeCells count="13">
    <mergeCell ref="B2:C2"/>
    <mergeCell ref="B3:C3"/>
    <mergeCell ref="B4:C4"/>
    <mergeCell ref="B5:C5"/>
    <mergeCell ref="G2:H2"/>
    <mergeCell ref="G3:H3"/>
    <mergeCell ref="G4:H4"/>
    <mergeCell ref="B8:E8"/>
    <mergeCell ref="G8:K8"/>
    <mergeCell ref="B25:E25"/>
    <mergeCell ref="G25:K25"/>
    <mergeCell ref="G5:H5"/>
    <mergeCell ref="G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30" sqref="D30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0.6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106.23247408308194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10.835712356474357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2.3116797804038165</v>
      </c>
      <c r="F10" s="3" t="s">
        <v>24</v>
      </c>
      <c r="G10" s="8">
        <f>G20</f>
        <v>2.6470282435872177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0.6</v>
      </c>
      <c r="B15">
        <v>10.83571236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49.32329766007976</v>
      </c>
      <c r="G15">
        <f xml:space="preserve"> 0.9808*H15^6 - 9.1296*H15^5 + 32.097*H15^4 - 52.719*H15^3 + 35.366*H15^2 + 6.8355*H15 + 0.7557</f>
        <v>6.506657452799999</v>
      </c>
      <c r="H15">
        <f t="shared" ref="H15:H20" si="0">A15-D15</f>
        <v>0.39999999999999997</v>
      </c>
      <c r="I15">
        <f t="shared" ref="I15:I20" si="1">1.2*B15^2*G15*(H15^2+1)/2</f>
        <v>531.71892626868816</v>
      </c>
      <c r="K15">
        <f>E15-I15</f>
        <v>-482.39562860860838</v>
      </c>
    </row>
    <row r="16" spans="1:12" x14ac:dyDescent="0.35">
      <c r="A16">
        <v>0.6</v>
      </c>
      <c r="B16">
        <v>10.83571236</v>
      </c>
      <c r="C16">
        <f t="shared" ref="C16:C20" si="2" xml:space="preserve"> -0.3078*D16^6 + 2.2651*D16^5 - 4.751*D16^4 + 0.2832*D16^3 + 5.9876*D16^2 + 3.6672*D16 - 0.2951</f>
        <v>1.6740794179968745</v>
      </c>
      <c r="D16">
        <v>0.35</v>
      </c>
      <c r="E16">
        <f t="shared" ref="E16:E20" si="3">1.2*B16^2*C16*(D16^2+1)/2</f>
        <v>132.3818947966443</v>
      </c>
      <c r="G16">
        <f t="shared" ref="G16:G20" si="4" xml:space="preserve"> 0.9808*H16^6 - 9.1296*H16^5 + 32.097*H16^4 - 52.719*H16^3 + 35.366*H16^2 + 6.8355*H16 + 0.7557</f>
        <v>3.967918359375</v>
      </c>
      <c r="H16">
        <f t="shared" si="0"/>
        <v>0.25</v>
      </c>
      <c r="I16">
        <f t="shared" si="1"/>
        <v>297.00095982966224</v>
      </c>
      <c r="K16">
        <f t="shared" ref="K16:K20" si="5">E16-I16</f>
        <v>-164.61906503301793</v>
      </c>
    </row>
    <row r="17" spans="1:11" x14ac:dyDescent="0.35">
      <c r="A17">
        <v>0.6</v>
      </c>
      <c r="B17">
        <v>10.83571236</v>
      </c>
      <c r="C17">
        <f t="shared" si="2"/>
        <v>2.8398374999999993</v>
      </c>
      <c r="D17">
        <v>0.5</v>
      </c>
      <c r="E17">
        <f t="shared" si="3"/>
        <v>250.07466113441512</v>
      </c>
      <c r="G17">
        <f t="shared" si="4"/>
        <v>1.7433103847999996</v>
      </c>
      <c r="H17">
        <f t="shared" si="0"/>
        <v>9.9999999999999978E-2</v>
      </c>
      <c r="I17">
        <f t="shared" si="1"/>
        <v>124.04014842913412</v>
      </c>
      <c r="K17">
        <f t="shared" si="5"/>
        <v>126.034512705281</v>
      </c>
    </row>
    <row r="18" spans="1:11" x14ac:dyDescent="0.35">
      <c r="A18">
        <v>0.6</v>
      </c>
      <c r="B18">
        <v>10.83571236</v>
      </c>
      <c r="C18">
        <f t="shared" si="2"/>
        <v>2.0482290751999996</v>
      </c>
      <c r="D18">
        <v>0.4</v>
      </c>
      <c r="E18">
        <f t="shared" si="3"/>
        <v>167.37966805813474</v>
      </c>
      <c r="G18">
        <f t="shared" si="4"/>
        <v>3.1641844991999992</v>
      </c>
      <c r="H18">
        <f t="shared" si="0"/>
        <v>0.19999999999999996</v>
      </c>
      <c r="I18">
        <f t="shared" si="1"/>
        <v>231.82556355717603</v>
      </c>
      <c r="K18">
        <f t="shared" si="5"/>
        <v>-64.445895499041285</v>
      </c>
    </row>
    <row r="19" spans="1:11" x14ac:dyDescent="0.35">
      <c r="A19">
        <v>0.6</v>
      </c>
      <c r="B19">
        <v>10.83571236</v>
      </c>
      <c r="C19">
        <f t="shared" si="2"/>
        <v>2.4378564727843748</v>
      </c>
      <c r="D19">
        <v>0.45</v>
      </c>
      <c r="E19">
        <f t="shared" si="3"/>
        <v>206.51871043167409</v>
      </c>
      <c r="G19">
        <f t="shared" si="4"/>
        <v>2.4144003741749995</v>
      </c>
      <c r="H19">
        <f t="shared" si="0"/>
        <v>0.14999999999999997</v>
      </c>
      <c r="I19">
        <f t="shared" si="1"/>
        <v>173.91570141923884</v>
      </c>
      <c r="K19">
        <f t="shared" si="5"/>
        <v>32.603009012435251</v>
      </c>
    </row>
    <row r="20" spans="1:11" x14ac:dyDescent="0.35">
      <c r="A20" s="2">
        <v>0.6</v>
      </c>
      <c r="B20" s="2">
        <v>10.83571236</v>
      </c>
      <c r="C20" s="2">
        <f t="shared" si="2"/>
        <v>2.3116797804038165</v>
      </c>
      <c r="D20" s="2">
        <v>0.434</v>
      </c>
      <c r="E20" s="2">
        <f t="shared" si="3"/>
        <v>193.52649178652544</v>
      </c>
      <c r="F20" s="2"/>
      <c r="G20" s="2">
        <f t="shared" si="4"/>
        <v>2.6470282435872177</v>
      </c>
      <c r="H20" s="2">
        <f t="shared" si="0"/>
        <v>0.16599999999999998</v>
      </c>
      <c r="I20" s="2">
        <f t="shared" si="1"/>
        <v>191.61533418564278</v>
      </c>
      <c r="K20">
        <f t="shared" si="5"/>
        <v>1.9111576008826603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0.72291347344708556</v>
      </c>
      <c r="G26" s="3" t="s">
        <v>32</v>
      </c>
      <c r="H26" s="7">
        <f xml:space="preserve"> -0.129*H20^6 + 1.0756*H20^5 - 3.0752*H20^4 + 3.1771*H20^3 + 0.0649*H20^2 - 0.7917*H20 - 0.1795</f>
        <v>-0.29680304163025018</v>
      </c>
    </row>
    <row r="29" spans="1:11" x14ac:dyDescent="0.35">
      <c r="B29" s="3" t="s">
        <v>33</v>
      </c>
      <c r="C29">
        <f>(I29+I30)*L4</f>
        <v>7.5046140332389726</v>
      </c>
      <c r="H29" s="3" t="s">
        <v>44</v>
      </c>
      <c r="I29" s="6">
        <f>C26*1.2*I6^2*I4*L3/2</f>
        <v>0.11984922159045343</v>
      </c>
    </row>
    <row r="30" spans="1:11" x14ac:dyDescent="0.35">
      <c r="B30" s="3" t="s">
        <v>34</v>
      </c>
      <c r="C30">
        <f>(E20+I20)*D5/2</f>
        <v>28.885636947912616</v>
      </c>
      <c r="H30" s="3" t="s">
        <v>45</v>
      </c>
      <c r="I30" s="6">
        <f>H26*1.2*I6^2*I4*L3/2</f>
        <v>-4.9205907500170745E-2</v>
      </c>
    </row>
    <row r="31" spans="1:11" x14ac:dyDescent="0.35">
      <c r="B31" s="3" t="s">
        <v>35</v>
      </c>
      <c r="C31" s="6">
        <f>C29/C30</f>
        <v>0.25980434659521273</v>
      </c>
    </row>
  </sheetData>
  <mergeCells count="13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21" sqref="D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0.7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91.056406356927369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9.2877534484065905</v>
      </c>
      <c r="J6" t="s">
        <v>14</v>
      </c>
    </row>
    <row r="7" spans="1:12" x14ac:dyDescent="0.35">
      <c r="G7" s="3"/>
      <c r="H7" s="3"/>
    </row>
    <row r="8" spans="1:12" x14ac:dyDescent="0.35">
      <c r="A8" s="3" t="s">
        <v>18</v>
      </c>
      <c r="B8" s="23" t="s">
        <v>47</v>
      </c>
      <c r="C8" s="23"/>
      <c r="D8" s="23"/>
      <c r="E8" s="23"/>
      <c r="F8" s="3" t="s">
        <v>24</v>
      </c>
      <c r="G8" s="23" t="s">
        <v>48</v>
      </c>
      <c r="H8" s="23"/>
      <c r="I8" s="23"/>
      <c r="J8" s="23"/>
      <c r="K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2.7748221012442742</v>
      </c>
      <c r="F10" s="3" t="s">
        <v>24</v>
      </c>
      <c r="G10" s="8">
        <f>G20</f>
        <v>3.2897483107976049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0.7</v>
      </c>
      <c r="B15">
        <v>9.2877534480000001</v>
      </c>
      <c r="C15">
        <f xml:space="preserve"> -0.3078*D15^6 + 2.2651*D15^5 - 4.751*D15^4 + 0.2832*D15^3 + 5.9876*D15^2 + 3.6672*D15 - 0.2951</f>
        <v>0.67321313279999995</v>
      </c>
      <c r="D15">
        <v>0.2</v>
      </c>
      <c r="E15">
        <f>1.2*B15^2*C15*(D15^2+1)/2</f>
        <v>36.237524784733033</v>
      </c>
      <c r="G15">
        <f xml:space="preserve"> 0.9808*H15^6 - 9.1296*H15^5 + 32.097*H15^4 - 52.719*H15^3 + 35.366*H15^2 + 6.8355*H15 + 0.7557</f>
        <v>8.1611624999999997</v>
      </c>
      <c r="H15">
        <f t="shared" ref="H15:H20" si="0">A15-D15</f>
        <v>0.49999999999999994</v>
      </c>
      <c r="I15">
        <f t="shared" ref="I15:I20" si="1">1.2*B15^2*G15*(H15^2+1)/2</f>
        <v>528.00087835702482</v>
      </c>
      <c r="K15">
        <f>E15-I15</f>
        <v>-491.76335357229181</v>
      </c>
    </row>
    <row r="16" spans="1:12" x14ac:dyDescent="0.35">
      <c r="A16">
        <v>0.7</v>
      </c>
      <c r="B16">
        <v>9.2877534480000001</v>
      </c>
      <c r="C16">
        <f t="shared" ref="C16:C20" si="2" xml:space="preserve"> -0.3078*D16^6 + 2.2651*D16^5 - 4.751*D16^4 + 0.2832*D16^3 + 5.9876*D16^2 + 3.6672*D16 - 0.2951</f>
        <v>1.6740794179968745</v>
      </c>
      <c r="D16">
        <v>0.35</v>
      </c>
      <c r="E16">
        <f t="shared" ref="E16:E20" si="3">1.2*B16^2*C16*(D16^2+1)/2</f>
        <v>97.260167533890723</v>
      </c>
      <c r="G16">
        <f t="shared" ref="G16:G20" si="4" xml:space="preserve"> 0.9808*H16^6 - 9.1296*H16^5 + 32.097*H16^4 - 52.719*H16^3 + 35.366*H16^2 + 6.8355*H16 + 0.7557</f>
        <v>5.6556410811749993</v>
      </c>
      <c r="H16">
        <f t="shared" si="0"/>
        <v>0.35</v>
      </c>
      <c r="I16">
        <f t="shared" si="1"/>
        <v>328.57975144621383</v>
      </c>
      <c r="K16">
        <f t="shared" ref="K16:K20" si="5">E16-I16</f>
        <v>-231.31958391232311</v>
      </c>
    </row>
    <row r="17" spans="1:11" x14ac:dyDescent="0.35">
      <c r="A17">
        <v>0.7</v>
      </c>
      <c r="B17">
        <v>9.2877534480000001</v>
      </c>
      <c r="C17">
        <f t="shared" si="2"/>
        <v>2.8398374999999993</v>
      </c>
      <c r="D17">
        <v>0.5</v>
      </c>
      <c r="E17">
        <f t="shared" si="3"/>
        <v>183.7283223304544</v>
      </c>
      <c r="G17">
        <f t="shared" si="4"/>
        <v>3.1641844991999992</v>
      </c>
      <c r="H17">
        <f t="shared" si="0"/>
        <v>0.19999999999999996</v>
      </c>
      <c r="I17">
        <f t="shared" si="1"/>
        <v>170.32082207952445</v>
      </c>
      <c r="K17">
        <f t="shared" si="5"/>
        <v>13.407500250929957</v>
      </c>
    </row>
    <row r="18" spans="1:11" x14ac:dyDescent="0.35">
      <c r="A18">
        <v>0.7</v>
      </c>
      <c r="B18">
        <v>9.2877534480000001</v>
      </c>
      <c r="C18">
        <f t="shared" si="2"/>
        <v>2.7586063817405218</v>
      </c>
      <c r="D18">
        <v>0.49</v>
      </c>
      <c r="E18">
        <f t="shared" si="3"/>
        <v>177.05942549077966</v>
      </c>
      <c r="G18">
        <f t="shared" si="4"/>
        <v>3.3213430061325164</v>
      </c>
      <c r="H18">
        <f t="shared" si="0"/>
        <v>0.20999999999999996</v>
      </c>
      <c r="I18">
        <f t="shared" si="1"/>
        <v>179.48511240609704</v>
      </c>
      <c r="K18">
        <f t="shared" si="5"/>
        <v>-2.4256869153173852</v>
      </c>
    </row>
    <row r="19" spans="1:11" x14ac:dyDescent="0.35">
      <c r="A19">
        <v>0.7</v>
      </c>
      <c r="B19">
        <v>9.2877534480000001</v>
      </c>
      <c r="C19">
        <f t="shared" si="2"/>
        <v>2.7991746021004897</v>
      </c>
      <c r="D19">
        <v>0.495</v>
      </c>
      <c r="E19">
        <f t="shared" si="3"/>
        <v>180.37679574721992</v>
      </c>
      <c r="G19">
        <f t="shared" si="4"/>
        <v>3.2425068248185878</v>
      </c>
      <c r="H19">
        <f t="shared" si="0"/>
        <v>0.20499999999999996</v>
      </c>
      <c r="I19">
        <f t="shared" si="1"/>
        <v>174.8765770769183</v>
      </c>
      <c r="K19">
        <f t="shared" si="5"/>
        <v>5.5002186703016207</v>
      </c>
    </row>
    <row r="20" spans="1:11" x14ac:dyDescent="0.35">
      <c r="A20" s="2">
        <v>0.7</v>
      </c>
      <c r="B20" s="2">
        <v>9.2877534480000001</v>
      </c>
      <c r="C20" s="2">
        <f t="shared" si="2"/>
        <v>2.7748221012442742</v>
      </c>
      <c r="D20" s="2">
        <v>0.49199999999999999</v>
      </c>
      <c r="E20" s="2">
        <f t="shared" si="3"/>
        <v>178.38228632916719</v>
      </c>
      <c r="F20" s="2"/>
      <c r="G20" s="2">
        <f t="shared" si="4"/>
        <v>3.2897483107976049</v>
      </c>
      <c r="H20" s="2">
        <f t="shared" si="0"/>
        <v>0.20799999999999996</v>
      </c>
      <c r="I20" s="2">
        <f t="shared" si="1"/>
        <v>177.63539279450163</v>
      </c>
      <c r="K20">
        <f t="shared" si="5"/>
        <v>0.74689353466555986</v>
      </c>
    </row>
    <row r="25" spans="1:11" x14ac:dyDescent="0.35">
      <c r="B25" s="23" t="s">
        <v>49</v>
      </c>
      <c r="C25" s="23"/>
      <c r="D25" s="23"/>
      <c r="E25" s="23"/>
      <c r="G25" s="23" t="s">
        <v>50</v>
      </c>
      <c r="H25" s="23"/>
      <c r="I25" s="23"/>
      <c r="J25" s="23"/>
      <c r="K25" s="23"/>
    </row>
    <row r="26" spans="1:11" x14ac:dyDescent="0.35">
      <c r="B26" s="3" t="s">
        <v>30</v>
      </c>
      <c r="C26" s="7">
        <f xml:space="preserve"> -0.266*D20^6 + 1.8555*D20^5 - 3.4393*D20^4 - 1.4822*D20^3 + 8.492*D20^2 - 1.321*D20 - 0.0869</f>
        <v>0.99044527596206566</v>
      </c>
      <c r="G26" s="3" t="s">
        <v>32</v>
      </c>
      <c r="H26" s="7">
        <f xml:space="preserve"> -0.129*H20^6 + 1.0756*H20^5 - 3.0752*H20^4 + 3.1771*H20^3 + 0.0649*H20^2 - 0.7917*H20 - 0.1795</f>
        <v>-0.31812308583277304</v>
      </c>
    </row>
    <row r="29" spans="1:11" x14ac:dyDescent="0.35">
      <c r="B29" s="3" t="s">
        <v>33</v>
      </c>
      <c r="C29">
        <f>(I29+I30)*L4</f>
        <v>7.4566416304035608</v>
      </c>
      <c r="H29" s="3" t="s">
        <v>44</v>
      </c>
      <c r="I29" s="6">
        <f>C26*1.2*I6^2*I4*L3/2</f>
        <v>0.12063846545768811</v>
      </c>
    </row>
    <row r="30" spans="1:11" x14ac:dyDescent="0.35">
      <c r="B30" s="3" t="s">
        <v>34</v>
      </c>
      <c r="C30">
        <f>(E20+I20)*D5/2</f>
        <v>26.701325934275161</v>
      </c>
      <c r="H30" s="3" t="s">
        <v>45</v>
      </c>
      <c r="I30" s="6">
        <f>H26*1.2*I6^2*I4*L3/2</f>
        <v>-3.87481083841325E-2</v>
      </c>
    </row>
    <row r="31" spans="1:11" x14ac:dyDescent="0.35">
      <c r="B31" s="3" t="s">
        <v>35</v>
      </c>
      <c r="C31" s="6">
        <f>C29/C30</f>
        <v>0.27926109919627029</v>
      </c>
    </row>
  </sheetData>
  <mergeCells count="13">
    <mergeCell ref="B25:E25"/>
    <mergeCell ref="G25:K25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1" sqref="G21"/>
    </sheetView>
  </sheetViews>
  <sheetFormatPr defaultRowHeight="14.5" x14ac:dyDescent="0.35"/>
  <cols>
    <col min="1" max="1" width="10.54296875" customWidth="1"/>
    <col min="2" max="2" width="13.453125" customWidth="1"/>
    <col min="3" max="3" width="15.54296875" customWidth="1"/>
    <col min="4" max="4" width="16.453125" customWidth="1"/>
    <col min="5" max="5" width="14.08984375" customWidth="1"/>
    <col min="6" max="6" width="11.08984375" customWidth="1"/>
    <col min="7" max="7" width="17.6328125" customWidth="1"/>
    <col min="8" max="8" width="15.08984375" customWidth="1"/>
    <col min="9" max="9" width="12.36328125" customWidth="1"/>
    <col min="10" max="10" width="12.6328125" customWidth="1"/>
    <col min="11" max="11" width="13" customWidth="1"/>
  </cols>
  <sheetData>
    <row r="1" spans="1:10" x14ac:dyDescent="0.35">
      <c r="A1" s="23" t="s">
        <v>2</v>
      </c>
      <c r="B1" s="23"/>
      <c r="C1">
        <v>20</v>
      </c>
      <c r="D1" t="s">
        <v>3</v>
      </c>
      <c r="E1" s="23" t="s">
        <v>9</v>
      </c>
      <c r="F1" s="23"/>
      <c r="G1">
        <v>0.24</v>
      </c>
      <c r="H1" t="s">
        <v>12</v>
      </c>
      <c r="I1" s="19" t="s">
        <v>44</v>
      </c>
      <c r="J1" s="6">
        <f>ROUND(B18*1.2*G5^2*G3*C6/2,4)</f>
        <v>0.1119</v>
      </c>
    </row>
    <row r="2" spans="1:10" x14ac:dyDescent="0.35">
      <c r="A2" s="23" t="s">
        <v>4</v>
      </c>
      <c r="B2" s="23"/>
      <c r="C2">
        <v>1.2</v>
      </c>
      <c r="D2" t="s">
        <v>5</v>
      </c>
      <c r="E2" s="23" t="s">
        <v>10</v>
      </c>
      <c r="F2" s="23"/>
      <c r="G2">
        <v>1400</v>
      </c>
      <c r="H2" t="s">
        <v>11</v>
      </c>
      <c r="I2" s="19" t="s">
        <v>45</v>
      </c>
      <c r="J2" s="6">
        <f>ROUND(G18*1.2*G5^2*G3*C6/2,4)</f>
        <v>-2.1600000000000001E-2</v>
      </c>
    </row>
    <row r="3" spans="1:10" x14ac:dyDescent="0.35">
      <c r="A3" s="23" t="s">
        <v>6</v>
      </c>
      <c r="B3" s="23"/>
      <c r="C3">
        <v>0.7</v>
      </c>
      <c r="E3" s="23" t="s">
        <v>13</v>
      </c>
      <c r="F3" s="23"/>
      <c r="G3">
        <f>ROUND((PI()/4)*(G1^2-G1^2*C3^2),4)</f>
        <v>2.3099999999999999E-2</v>
      </c>
      <c r="H3" t="s">
        <v>15</v>
      </c>
      <c r="I3" s="19" t="s">
        <v>33</v>
      </c>
      <c r="J3">
        <f>ROUND((J1+J2)*G6,4)</f>
        <v>7.1858000000000004</v>
      </c>
    </row>
    <row r="4" spans="1:10" x14ac:dyDescent="0.35">
      <c r="A4" s="23" t="s">
        <v>7</v>
      </c>
      <c r="B4" s="23"/>
      <c r="C4">
        <v>0.15</v>
      </c>
      <c r="D4" t="s">
        <v>8</v>
      </c>
      <c r="E4" s="23" t="s">
        <v>38</v>
      </c>
      <c r="F4" s="23"/>
      <c r="G4">
        <f>ROUND(C4/G3,4)</f>
        <v>6.4935</v>
      </c>
      <c r="H4" t="s">
        <v>14</v>
      </c>
      <c r="I4" s="19" t="s">
        <v>34</v>
      </c>
      <c r="J4">
        <f>(E16+H16)*C4/2</f>
        <v>22.043265000000002</v>
      </c>
    </row>
    <row r="5" spans="1:10" x14ac:dyDescent="0.35">
      <c r="A5" s="23" t="s">
        <v>16</v>
      </c>
      <c r="B5" s="23"/>
      <c r="C5">
        <v>0.8</v>
      </c>
      <c r="E5" s="23" t="s">
        <v>37</v>
      </c>
      <c r="F5" s="23"/>
      <c r="G5">
        <f>ROUND(G4/C5,4)</f>
        <v>8.1168999999999993</v>
      </c>
      <c r="H5" t="s">
        <v>14</v>
      </c>
      <c r="I5" s="19" t="s">
        <v>35</v>
      </c>
      <c r="J5" s="6">
        <f>ROUND(J3/J4,4)</f>
        <v>0.32600000000000001</v>
      </c>
    </row>
    <row r="6" spans="1:10" x14ac:dyDescent="0.35">
      <c r="A6" s="23" t="s">
        <v>36</v>
      </c>
      <c r="B6" s="23"/>
      <c r="C6">
        <f>(G1+G1*C3)/4</f>
        <v>0.10199999999999999</v>
      </c>
      <c r="D6" t="s">
        <v>12</v>
      </c>
      <c r="E6" s="23" t="s">
        <v>39</v>
      </c>
      <c r="F6" s="23"/>
      <c r="G6">
        <f>ROUND(G5/C6,4)</f>
        <v>79.577500000000001</v>
      </c>
      <c r="H6" t="s">
        <v>51</v>
      </c>
    </row>
    <row r="7" spans="1:10" ht="16.5" x14ac:dyDescent="0.35">
      <c r="A7" s="19" t="s">
        <v>18</v>
      </c>
      <c r="B7" s="23" t="s">
        <v>27</v>
      </c>
      <c r="C7" s="23"/>
      <c r="D7" s="23"/>
      <c r="E7" s="23"/>
      <c r="F7" s="19" t="s">
        <v>24</v>
      </c>
      <c r="G7" s="23" t="s">
        <v>40</v>
      </c>
      <c r="H7" s="23"/>
      <c r="I7" s="23"/>
      <c r="J7" s="23"/>
    </row>
    <row r="8" spans="1:10" x14ac:dyDescent="0.35">
      <c r="A8" s="19" t="s">
        <v>18</v>
      </c>
      <c r="B8" s="7">
        <f>ROUND(C16,4)</f>
        <v>2.8734000000000002</v>
      </c>
      <c r="F8" s="19" t="s">
        <v>24</v>
      </c>
      <c r="G8" s="24">
        <f>ROUND(F16,4)</f>
        <v>3.4672999999999998</v>
      </c>
      <c r="H8" s="19"/>
    </row>
    <row r="9" spans="1:10" x14ac:dyDescent="0.35">
      <c r="A9" s="19" t="s">
        <v>16</v>
      </c>
      <c r="B9" s="19" t="s">
        <v>28</v>
      </c>
      <c r="C9" s="19" t="s">
        <v>19</v>
      </c>
      <c r="D9" s="19" t="s">
        <v>20</v>
      </c>
      <c r="E9" s="19" t="s">
        <v>22</v>
      </c>
      <c r="F9" s="19" t="s">
        <v>41</v>
      </c>
      <c r="G9" s="19" t="s">
        <v>42</v>
      </c>
      <c r="H9" s="19" t="s">
        <v>22</v>
      </c>
      <c r="I9" s="19"/>
    </row>
    <row r="10" spans="1:10" x14ac:dyDescent="0.35">
      <c r="A10" s="5" t="s">
        <v>46</v>
      </c>
      <c r="B10" s="19" t="s">
        <v>17</v>
      </c>
      <c r="C10" s="19" t="s">
        <v>18</v>
      </c>
      <c r="D10" s="5" t="s">
        <v>21</v>
      </c>
      <c r="E10" s="19" t="s">
        <v>23</v>
      </c>
      <c r="F10" s="19" t="s">
        <v>24</v>
      </c>
      <c r="G10" s="5" t="s">
        <v>25</v>
      </c>
      <c r="H10" s="19" t="s">
        <v>26</v>
      </c>
      <c r="I10" s="19" t="s">
        <v>43</v>
      </c>
    </row>
    <row r="11" spans="1:10" x14ac:dyDescent="0.35">
      <c r="A11">
        <v>0.8</v>
      </c>
      <c r="B11">
        <f>ROUND(8.126784267,4)</f>
        <v>8.1267999999999994</v>
      </c>
      <c r="C11">
        <f>ROUND(-0.3692*D11^5+3.2334*D11^4-9.9211*D11^3+11.101*D11^2+2.5501*D11-0.4597,4)</f>
        <v>0.42</v>
      </c>
      <c r="D11">
        <v>0.2</v>
      </c>
      <c r="E11">
        <f>ROUND(1.2*B11^2*C11*(D11^2+1)/2,4)</f>
        <v>17.309000000000001</v>
      </c>
      <c r="F11">
        <f>ROUND(-1.2126*G11^5 + 9.7809*G11^4 - 26.612*G11^3 + 24.413*G11^2 + 7.4154*G11 + 0.3595,4)</f>
        <v>9.0225000000000009</v>
      </c>
      <c r="G11">
        <f>A11-D11</f>
        <v>0.60000000000000009</v>
      </c>
      <c r="H11">
        <f>ROUND(1.2*B11^2*F11*(G11^2+1)/2,4)</f>
        <v>486.24619999999999</v>
      </c>
      <c r="I11">
        <f>E11-H11</f>
        <v>-468.93719999999996</v>
      </c>
    </row>
    <row r="12" spans="1:10" x14ac:dyDescent="0.35">
      <c r="A12">
        <v>0.8</v>
      </c>
      <c r="B12">
        <f t="shared" ref="B12:B16" si="0">ROUND(8.126784267,4)</f>
        <v>8.1267999999999994</v>
      </c>
      <c r="C12">
        <f t="shared" ref="C12:C16" si="1">ROUND(-0.3692*D12^5+3.2334*D12^4-9.9211*D12^3+11.101*D12^2+2.5501*D12-0.4597,4)</f>
        <v>3.3140999999999998</v>
      </c>
      <c r="D12">
        <v>0.6</v>
      </c>
      <c r="E12">
        <f t="shared" ref="E12:E16" si="2">ROUND(1.2*B12^2*C12*(D12^2+1)/2,4)</f>
        <v>178.60550000000001</v>
      </c>
      <c r="F12">
        <f t="shared" ref="F12:F16" si="3">ROUND(-1.2126*G12^5 + 9.7809*G12^4 - 26.612*G12^3 + 24.413*G12^2 + 7.4154*G12 + 0.3595,4)</f>
        <v>2.6215000000000002</v>
      </c>
      <c r="G12">
        <f>A12-D12</f>
        <v>0.20000000000000007</v>
      </c>
      <c r="H12">
        <f t="shared" ref="H12:H16" si="4">ROUND(1.2*B12^2*F12*(G12^2+1)/2,4)</f>
        <v>108.0373</v>
      </c>
      <c r="I12">
        <f>E12-H12</f>
        <v>70.568200000000004</v>
      </c>
    </row>
    <row r="13" spans="1:10" x14ac:dyDescent="0.35">
      <c r="A13">
        <v>0.8</v>
      </c>
      <c r="B13">
        <f t="shared" si="0"/>
        <v>8.1267999999999994</v>
      </c>
      <c r="C13">
        <f t="shared" si="1"/>
        <v>2.5409999999999999</v>
      </c>
      <c r="D13">
        <v>0.5</v>
      </c>
      <c r="E13">
        <f t="shared" si="2"/>
        <v>125.86499999999999</v>
      </c>
      <c r="F13">
        <f t="shared" si="3"/>
        <v>4.1390000000000002</v>
      </c>
      <c r="G13">
        <f>A13-D13</f>
        <v>0.30000000000000004</v>
      </c>
      <c r="H13">
        <f t="shared" si="4"/>
        <v>178.7773</v>
      </c>
      <c r="I13">
        <f>E13-H13</f>
        <v>-52.912300000000002</v>
      </c>
    </row>
    <row r="14" spans="1:10" x14ac:dyDescent="0.35">
      <c r="A14">
        <v>0.8</v>
      </c>
      <c r="B14">
        <f t="shared" si="0"/>
        <v>8.1267999999999994</v>
      </c>
      <c r="C14">
        <f t="shared" si="1"/>
        <v>2.9276</v>
      </c>
      <c r="D14">
        <v>0.55000000000000004</v>
      </c>
      <c r="E14">
        <f t="shared" si="2"/>
        <v>151.1054</v>
      </c>
      <c r="F14">
        <f t="shared" si="3"/>
        <v>3.3603999999999998</v>
      </c>
      <c r="G14">
        <f>A14-D14</f>
        <v>0.25</v>
      </c>
      <c r="H14">
        <f t="shared" si="4"/>
        <v>141.48500000000001</v>
      </c>
      <c r="I14">
        <f>E14-H14</f>
        <v>9.6203999999999894</v>
      </c>
    </row>
    <row r="15" spans="1:10" x14ac:dyDescent="0.35">
      <c r="A15">
        <v>0.8</v>
      </c>
      <c r="B15">
        <f t="shared" si="0"/>
        <v>8.1267999999999994</v>
      </c>
      <c r="C15">
        <f t="shared" si="1"/>
        <v>2.8502000000000001</v>
      </c>
      <c r="D15">
        <v>0.54</v>
      </c>
      <c r="E15">
        <f t="shared" si="2"/>
        <v>145.8793</v>
      </c>
      <c r="F15">
        <f t="shared" si="3"/>
        <v>3.5133000000000001</v>
      </c>
      <c r="G15">
        <f>A15-D15</f>
        <v>0.26</v>
      </c>
      <c r="H15">
        <f t="shared" si="4"/>
        <v>148.6326</v>
      </c>
      <c r="I15">
        <f>E15-H15</f>
        <v>-2.7532999999999959</v>
      </c>
    </row>
    <row r="16" spans="1:10" x14ac:dyDescent="0.35">
      <c r="A16" s="2">
        <v>0.8</v>
      </c>
      <c r="B16" s="2">
        <f t="shared" si="0"/>
        <v>8.1267999999999994</v>
      </c>
      <c r="C16" s="2">
        <f t="shared" si="1"/>
        <v>2.8734000000000002</v>
      </c>
      <c r="D16" s="2">
        <v>0.54300000000000004</v>
      </c>
      <c r="E16" s="2">
        <f t="shared" si="2"/>
        <v>147.4367</v>
      </c>
      <c r="F16" s="2">
        <f t="shared" si="3"/>
        <v>3.4672999999999998</v>
      </c>
      <c r="G16" s="2">
        <f>A16-D16</f>
        <v>0.25700000000000001</v>
      </c>
      <c r="H16" s="2">
        <f t="shared" si="4"/>
        <v>146.4735</v>
      </c>
      <c r="I16" s="2">
        <f>E16-H16</f>
        <v>0.9632000000000005</v>
      </c>
    </row>
    <row r="17" spans="1:7" ht="16.5" x14ac:dyDescent="0.35">
      <c r="A17" t="s">
        <v>55</v>
      </c>
      <c r="B17" t="s">
        <v>29</v>
      </c>
      <c r="F17" t="s">
        <v>56</v>
      </c>
      <c r="G17" t="s">
        <v>31</v>
      </c>
    </row>
    <row r="18" spans="1:7" x14ac:dyDescent="0.35">
      <c r="A18" s="19" t="s">
        <v>30</v>
      </c>
      <c r="B18" s="7">
        <f xml:space="preserve"> ROUND(-0.3357*D16^5 + 3.0338*D16^4 - 9.8999*D16^3 + 13.149*D16^2 - 2.1762*D16 - 0.1569,4)</f>
        <v>1.2013</v>
      </c>
      <c r="F18" s="19" t="s">
        <v>32</v>
      </c>
      <c r="G18" s="7">
        <f>ROUND( 0.0849*G16^4 - 0.7271*G16^3 + 1.9264*G16^2 - 1.0196*G16 - 0.0848,4)</f>
        <v>-0.2316</v>
      </c>
    </row>
  </sheetData>
  <mergeCells count="14">
    <mergeCell ref="E5:F5"/>
    <mergeCell ref="A5:B5"/>
    <mergeCell ref="A6:B6"/>
    <mergeCell ref="E6:F6"/>
    <mergeCell ref="A4:B4"/>
    <mergeCell ref="E1:F1"/>
    <mergeCell ref="E2:F2"/>
    <mergeCell ref="E3:F3"/>
    <mergeCell ref="E4:F4"/>
    <mergeCell ref="A1:B1"/>
    <mergeCell ref="A2:B2"/>
    <mergeCell ref="A3:B3"/>
    <mergeCell ref="B7:E7"/>
    <mergeCell ref="G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1" workbookViewId="0">
      <selection activeCell="D21" sqref="D21"/>
    </sheetView>
  </sheetViews>
  <sheetFormatPr defaultRowHeight="14.5" x14ac:dyDescent="0.35"/>
  <cols>
    <col min="1" max="1" width="10.54296875" customWidth="1"/>
    <col min="2" max="2" width="13.453125" customWidth="1"/>
    <col min="3" max="3" width="15.542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2" spans="1:12" x14ac:dyDescent="0.35">
      <c r="B2" s="23" t="s">
        <v>2</v>
      </c>
      <c r="C2" s="23"/>
      <c r="D2">
        <v>20</v>
      </c>
      <c r="E2" t="s">
        <v>3</v>
      </c>
      <c r="G2" s="23" t="s">
        <v>9</v>
      </c>
      <c r="H2" s="23"/>
      <c r="I2">
        <v>0.24</v>
      </c>
      <c r="J2" t="s">
        <v>12</v>
      </c>
      <c r="K2" s="3" t="s">
        <v>16</v>
      </c>
      <c r="L2">
        <v>0.9</v>
      </c>
    </row>
    <row r="3" spans="1:12" x14ac:dyDescent="0.35">
      <c r="B3" s="23" t="s">
        <v>4</v>
      </c>
      <c r="C3" s="23"/>
      <c r="D3">
        <v>1.2</v>
      </c>
      <c r="E3" t="s">
        <v>5</v>
      </c>
      <c r="G3" s="23" t="s">
        <v>10</v>
      </c>
      <c r="H3" s="23"/>
      <c r="I3">
        <v>1400</v>
      </c>
      <c r="J3" t="s">
        <v>11</v>
      </c>
      <c r="K3" s="3" t="s">
        <v>36</v>
      </c>
      <c r="L3">
        <f>(I2+I2*D4)/4</f>
        <v>0.10199999999999999</v>
      </c>
    </row>
    <row r="4" spans="1:12" x14ac:dyDescent="0.35">
      <c r="B4" s="23" t="s">
        <v>6</v>
      </c>
      <c r="C4" s="23"/>
      <c r="D4">
        <v>0.7</v>
      </c>
      <c r="G4" s="23" t="s">
        <v>13</v>
      </c>
      <c r="H4" s="23"/>
      <c r="I4">
        <f>(PI()/4)*(I2^2-I2^2*D4^2)</f>
        <v>2.3071856447963442E-2</v>
      </c>
      <c r="J4" t="s">
        <v>15</v>
      </c>
      <c r="K4" s="3" t="s">
        <v>39</v>
      </c>
      <c r="L4">
        <f>I6/L3</f>
        <v>70.821649388721283</v>
      </c>
    </row>
    <row r="5" spans="1:12" x14ac:dyDescent="0.35">
      <c r="B5" s="23" t="s">
        <v>7</v>
      </c>
      <c r="C5" s="23"/>
      <c r="D5">
        <v>0.15</v>
      </c>
      <c r="E5" t="s">
        <v>8</v>
      </c>
      <c r="G5" s="23" t="s">
        <v>38</v>
      </c>
      <c r="H5" s="23"/>
      <c r="I5">
        <f>D5/I4</f>
        <v>6.5014274138846133</v>
      </c>
      <c r="J5" t="s">
        <v>14</v>
      </c>
    </row>
    <row r="6" spans="1:12" x14ac:dyDescent="0.35">
      <c r="G6" s="23" t="s">
        <v>37</v>
      </c>
      <c r="H6" s="23"/>
      <c r="I6">
        <f>I5/L2</f>
        <v>7.2238082376495703</v>
      </c>
      <c r="J6" t="s">
        <v>14</v>
      </c>
    </row>
    <row r="7" spans="1:12" x14ac:dyDescent="0.35">
      <c r="G7" s="3"/>
      <c r="H7" s="3"/>
    </row>
    <row r="8" spans="1:12" ht="16.5" x14ac:dyDescent="0.35">
      <c r="A8" s="3" t="s">
        <v>18</v>
      </c>
      <c r="B8" s="23" t="s">
        <v>27</v>
      </c>
      <c r="C8" s="23"/>
      <c r="D8" s="23"/>
      <c r="E8" s="23"/>
      <c r="F8" s="3" t="s">
        <v>24</v>
      </c>
      <c r="G8" s="23" t="s">
        <v>40</v>
      </c>
      <c r="H8" s="23"/>
      <c r="I8" s="23"/>
      <c r="J8" s="23"/>
    </row>
    <row r="9" spans="1:12" x14ac:dyDescent="0.35">
      <c r="A9" s="3"/>
      <c r="F9" s="3"/>
      <c r="G9" s="3"/>
      <c r="H9" s="3"/>
    </row>
    <row r="10" spans="1:12" x14ac:dyDescent="0.35">
      <c r="A10" s="3" t="s">
        <v>18</v>
      </c>
      <c r="B10" s="7">
        <f>C20</f>
        <v>3.3156442107597632</v>
      </c>
      <c r="F10" s="3" t="s">
        <v>24</v>
      </c>
      <c r="G10" s="8">
        <f>G20</f>
        <v>4.1358678514071041</v>
      </c>
      <c r="H10" s="3"/>
    </row>
    <row r="13" spans="1:12" x14ac:dyDescent="0.35">
      <c r="A13" s="3" t="s">
        <v>16</v>
      </c>
      <c r="B13" s="3" t="s">
        <v>28</v>
      </c>
      <c r="C13" s="3" t="s">
        <v>19</v>
      </c>
      <c r="D13" s="3" t="s">
        <v>20</v>
      </c>
      <c r="E13" s="3" t="s">
        <v>22</v>
      </c>
      <c r="F13" s="3"/>
      <c r="G13" s="3" t="s">
        <v>41</v>
      </c>
      <c r="H13" s="3" t="s">
        <v>42</v>
      </c>
      <c r="I13" s="3" t="s">
        <v>22</v>
      </c>
      <c r="J13" s="3"/>
      <c r="K13" s="3"/>
    </row>
    <row r="14" spans="1:12" x14ac:dyDescent="0.35">
      <c r="A14" s="5" t="s">
        <v>46</v>
      </c>
      <c r="B14" s="3" t="s">
        <v>17</v>
      </c>
      <c r="C14" s="3" t="s">
        <v>18</v>
      </c>
      <c r="D14" s="5" t="s">
        <v>21</v>
      </c>
      <c r="E14" s="3" t="s">
        <v>23</v>
      </c>
      <c r="F14" s="3"/>
      <c r="G14" s="3" t="s">
        <v>24</v>
      </c>
      <c r="H14" s="5" t="s">
        <v>25</v>
      </c>
      <c r="I14" s="3" t="s">
        <v>26</v>
      </c>
      <c r="J14" s="3"/>
      <c r="K14" s="3" t="s">
        <v>43</v>
      </c>
    </row>
    <row r="15" spans="1:12" x14ac:dyDescent="0.35">
      <c r="A15">
        <v>0.9</v>
      </c>
      <c r="B15">
        <v>7.223808</v>
      </c>
      <c r="C15">
        <f>-0.3692*D15^5+3.2334*D15^4-9.9211*D15^3+11.101*D15^2+2.5501*D15-0.4597</f>
        <v>0.4200464960000001</v>
      </c>
      <c r="D15">
        <v>0.2</v>
      </c>
      <c r="E15">
        <f>1.2*B15^2*C15*(D15^2+1)/2</f>
        <v>13.677740024971307</v>
      </c>
      <c r="G15">
        <f>-1.2126*H15^5 + 9.7809*H15^4 - 26.612*H15^3 + 24.413*H15^2 + 7.4154*H15 + 0.3595</f>
        <v>10.529326407999999</v>
      </c>
      <c r="H15">
        <f t="shared" ref="H15:H20" si="0">A15-D15</f>
        <v>0.7</v>
      </c>
      <c r="I15">
        <f t="shared" ref="I15:I20" si="1">1.2*B15^2*G15*(H15^2+1)/2</f>
        <v>491.21372922406204</v>
      </c>
      <c r="K15">
        <f>E15-I15</f>
        <v>-477.53598919909075</v>
      </c>
    </row>
    <row r="16" spans="1:12" x14ac:dyDescent="0.35">
      <c r="A16">
        <v>0.9</v>
      </c>
      <c r="B16">
        <v>7.223808</v>
      </c>
      <c r="C16">
        <f t="shared" ref="C16:C20" si="2">-0.3692*D16^5+3.2334*D16^4-9.9211*D16^3+11.101*D16^2+2.5501*D16-0.4597</f>
        <v>1.7805440320000006</v>
      </c>
      <c r="D16">
        <v>0.4</v>
      </c>
      <c r="E16">
        <f t="shared" ref="E16:E20" si="3">1.2*B16^2*C16*(D16^2+1)/2</f>
        <v>64.668732146243499</v>
      </c>
      <c r="G16">
        <f t="shared" ref="G16:G20" si="4">-1.2126*H16^5 + 9.7809*H16^4 - 26.612*H16^3 + 24.413*H16^2 + 7.4154*H16 + 0.3595</f>
        <v>7.4173625000000003</v>
      </c>
      <c r="H16">
        <f t="shared" si="0"/>
        <v>0.5</v>
      </c>
      <c r="I16">
        <f t="shared" si="1"/>
        <v>290.29740695398567</v>
      </c>
      <c r="K16">
        <f t="shared" ref="K16:K20" si="5">E16-I16</f>
        <v>-225.62867480774219</v>
      </c>
    </row>
    <row r="17" spans="1:11" x14ac:dyDescent="0.35">
      <c r="A17">
        <v>0.9</v>
      </c>
      <c r="B17">
        <v>7.223808</v>
      </c>
      <c r="C17">
        <f t="shared" si="2"/>
        <v>3.3141020480000005</v>
      </c>
      <c r="D17">
        <v>0.6</v>
      </c>
      <c r="E17">
        <f t="shared" si="3"/>
        <v>141.11995351930543</v>
      </c>
      <c r="G17">
        <f t="shared" si="4"/>
        <v>4.1390446720000007</v>
      </c>
      <c r="H17">
        <f t="shared" si="0"/>
        <v>0.30000000000000004</v>
      </c>
      <c r="I17">
        <f t="shared" si="1"/>
        <v>141.25708859424446</v>
      </c>
      <c r="K17">
        <f t="shared" si="5"/>
        <v>-0.13713507493903876</v>
      </c>
    </row>
    <row r="18" spans="1:11" x14ac:dyDescent="0.35">
      <c r="A18">
        <v>0.9</v>
      </c>
      <c r="B18">
        <v>7.223808</v>
      </c>
      <c r="C18">
        <f t="shared" si="2"/>
        <v>3.3911508283610807</v>
      </c>
      <c r="D18">
        <v>0.61</v>
      </c>
      <c r="E18">
        <f t="shared" si="3"/>
        <v>145.68556075718345</v>
      </c>
      <c r="G18">
        <f t="shared" si="4"/>
        <v>3.9807504974012611</v>
      </c>
      <c r="H18">
        <f t="shared" si="0"/>
        <v>0.29000000000000004</v>
      </c>
      <c r="I18">
        <f t="shared" si="1"/>
        <v>135.1194726955521</v>
      </c>
      <c r="K18">
        <f t="shared" si="5"/>
        <v>10.566088061631348</v>
      </c>
    </row>
    <row r="19" spans="1:11" x14ac:dyDescent="0.35">
      <c r="A19">
        <v>0.9</v>
      </c>
      <c r="B19">
        <v>7.223808</v>
      </c>
      <c r="C19">
        <f t="shared" si="2"/>
        <v>3.3156442107597632</v>
      </c>
      <c r="D19">
        <v>0.60019999999999996</v>
      </c>
      <c r="E19">
        <f t="shared" si="3"/>
        <v>141.2105406256839</v>
      </c>
      <c r="G19">
        <f t="shared" si="4"/>
        <v>4.1358678514071041</v>
      </c>
      <c r="H19">
        <f t="shared" si="0"/>
        <v>0.29980000000000007</v>
      </c>
      <c r="I19">
        <f t="shared" si="1"/>
        <v>141.13313611264658</v>
      </c>
      <c r="K19">
        <f t="shared" si="5"/>
        <v>7.7404513037322431E-2</v>
      </c>
    </row>
    <row r="20" spans="1:11" x14ac:dyDescent="0.35">
      <c r="A20" s="2">
        <v>0.9</v>
      </c>
      <c r="B20" s="2">
        <v>7.223808</v>
      </c>
      <c r="C20" s="2">
        <f t="shared" si="2"/>
        <v>3.3156442107597632</v>
      </c>
      <c r="D20" s="2">
        <v>0.60019999999999996</v>
      </c>
      <c r="E20" s="2">
        <f t="shared" si="3"/>
        <v>141.2105406256839</v>
      </c>
      <c r="F20" s="2"/>
      <c r="G20" s="2">
        <f t="shared" si="4"/>
        <v>4.1358678514071041</v>
      </c>
      <c r="H20" s="2">
        <f t="shared" si="0"/>
        <v>0.29980000000000007</v>
      </c>
      <c r="I20" s="2">
        <f t="shared" si="1"/>
        <v>141.13313611264658</v>
      </c>
      <c r="K20">
        <f t="shared" si="5"/>
        <v>7.7404513037322431E-2</v>
      </c>
    </row>
    <row r="25" spans="1:11" ht="16.5" x14ac:dyDescent="0.35">
      <c r="B25" t="s">
        <v>29</v>
      </c>
      <c r="G25" t="s">
        <v>31</v>
      </c>
    </row>
    <row r="26" spans="1:11" x14ac:dyDescent="0.35">
      <c r="B26" s="3" t="s">
        <v>30</v>
      </c>
      <c r="C26" s="7">
        <f xml:space="preserve"> -0.3357*D20^5 + 3.0338*D20^4 - 9.8999*D20^3 + 13.149*D20^2 - 2.1762*D20 - 0.1569</f>
        <v>1.5007809697724239</v>
      </c>
      <c r="G26" s="3" t="s">
        <v>32</v>
      </c>
      <c r="H26" s="7">
        <f xml:space="preserve"> 0.0849*H20^4 - 0.7271*H20^3 + 1.9264*H20^2 - 1.0196*H20 - 0.0848</f>
        <v>-0.23623777572075816</v>
      </c>
    </row>
    <row r="29" spans="1:11" x14ac:dyDescent="0.35">
      <c r="B29" s="3" t="s">
        <v>33</v>
      </c>
      <c r="C29">
        <f>(I29+I30)*L4</f>
        <v>6.5988170209716372</v>
      </c>
      <c r="H29" s="3" t="s">
        <v>44</v>
      </c>
      <c r="I29" s="6">
        <f>C26*1.2*I6^2*I4*L3/2</f>
        <v>0.11058181010996741</v>
      </c>
    </row>
    <row r="30" spans="1:11" x14ac:dyDescent="0.35">
      <c r="B30" s="3" t="s">
        <v>34</v>
      </c>
      <c r="C30">
        <f>(E20+I20)*D5/2</f>
        <v>21.175775755374787</v>
      </c>
      <c r="H30" s="3" t="s">
        <v>45</v>
      </c>
      <c r="I30" s="6">
        <f>H26*1.2*I6^2*I4*L3/2</f>
        <v>-1.7406671181015368E-2</v>
      </c>
    </row>
    <row r="31" spans="1:11" x14ac:dyDescent="0.35">
      <c r="B31" s="3" t="s">
        <v>35</v>
      </c>
      <c r="C31" s="6">
        <f>C29/C30</f>
        <v>0.31162102853760815</v>
      </c>
    </row>
  </sheetData>
  <mergeCells count="11"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forward20Canew</vt:lpstr>
      <vt:lpstr>reverse20Canew</vt:lpstr>
      <vt:lpstr>forward20Ctnew</vt:lpstr>
      <vt:lpstr>reverse20Ctnew</vt:lpstr>
      <vt:lpstr>0.481</vt:lpstr>
      <vt:lpstr>0.6</vt:lpstr>
      <vt:lpstr>0.7</vt:lpstr>
      <vt:lpstr>0.8</vt:lpstr>
      <vt:lpstr>0.9</vt:lpstr>
      <vt:lpstr>1.0</vt:lpstr>
      <vt:lpstr>1.2</vt:lpstr>
      <vt:lpstr>1.6</vt:lpstr>
      <vt:lpstr>2.1</vt:lpstr>
      <vt:lpstr>2.6</vt:lpstr>
      <vt:lpstr>3.2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 DESHPANDE</dc:creator>
  <cp:lastModifiedBy>PRASAD S DESHPANDE</cp:lastModifiedBy>
  <dcterms:created xsi:type="dcterms:W3CDTF">2021-04-22T10:39:02Z</dcterms:created>
  <dcterms:modified xsi:type="dcterms:W3CDTF">2021-04-25T15:15:24Z</dcterms:modified>
</cp:coreProperties>
</file>