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Work\prj\SiFive\mram\"/>
    </mc:Choice>
  </mc:AlternateContent>
  <bookViews>
    <workbookView xWindow="0" yWindow="0" windowWidth="16260" windowHeight="7700" firstSheet="2" activeTab="6"/>
  </bookViews>
  <sheets>
    <sheet name="sifive prci table" sheetId="1" r:id="rId1"/>
    <sheet name="PLL calc and meas" sheetId="3" r:id="rId2"/>
    <sheet name="HFR calc and meas" sheetId="2" r:id="rId3"/>
    <sheet name="HFR calc and meas 2x" sheetId="6" r:id="rId4"/>
    <sheet name="LFR calc and meas" sheetId="5" r:id="rId5"/>
    <sheet name="code impl" sheetId="7" r:id="rId6"/>
    <sheet name="clock_meas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4" l="1"/>
  <c r="D31" i="4"/>
  <c r="J33" i="4"/>
  <c r="J32" i="4"/>
  <c r="J29" i="4"/>
  <c r="F29" i="4" s="1"/>
  <c r="J27" i="4"/>
  <c r="J26" i="4"/>
  <c r="J25" i="4"/>
  <c r="H17" i="7"/>
  <c r="H10" i="7"/>
  <c r="H16" i="7" s="1"/>
  <c r="I16" i="7" s="1"/>
  <c r="H29" i="7"/>
  <c r="I29" i="7" s="1"/>
  <c r="H23" i="7"/>
  <c r="I23" i="7" s="1"/>
  <c r="H20" i="7"/>
  <c r="H21" i="7" s="1"/>
  <c r="I21" i="7" s="1"/>
  <c r="D29" i="7"/>
  <c r="E29" i="7" s="1"/>
  <c r="D20" i="7"/>
  <c r="E20" i="7" s="1"/>
  <c r="D23" i="7"/>
  <c r="E23" i="7" s="1"/>
  <c r="D10" i="7"/>
  <c r="D16" i="7" s="1"/>
  <c r="E16" i="7" s="1"/>
  <c r="H15" i="7"/>
  <c r="I15" i="7" s="1"/>
  <c r="H14" i="7"/>
  <c r="H18" i="7" s="1"/>
  <c r="H13" i="7"/>
  <c r="D13" i="7"/>
  <c r="D15" i="7"/>
  <c r="E15" i="7" s="1"/>
  <c r="D14" i="7"/>
  <c r="E14" i="7" s="1"/>
  <c r="Z3" i="5"/>
  <c r="Y3" i="5"/>
  <c r="X3" i="5"/>
  <c r="U3" i="5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Z3" i="6"/>
  <c r="Y3" i="6"/>
  <c r="X3" i="6"/>
  <c r="U3" i="6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4" i="5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4" i="6"/>
  <c r="AB4" i="6" s="1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S8" i="5" s="1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4" i="6"/>
  <c r="S8" i="6" s="1"/>
  <c r="AB7" i="6"/>
  <c r="AC7" i="6" s="1"/>
  <c r="AB11" i="6"/>
  <c r="AC11" i="6" s="1"/>
  <c r="AB15" i="6"/>
  <c r="AC15" i="6" s="1"/>
  <c r="AB19" i="6"/>
  <c r="AC19" i="6" s="1"/>
  <c r="AB23" i="6"/>
  <c r="AC23" i="6" s="1"/>
  <c r="AB27" i="6"/>
  <c r="AC27" i="6" s="1"/>
  <c r="AB31" i="6"/>
  <c r="AC31" i="6" s="1"/>
  <c r="AB35" i="6"/>
  <c r="AC35" i="6" s="1"/>
  <c r="Q18" i="6"/>
  <c r="Q17" i="6"/>
  <c r="AB5" i="6"/>
  <c r="AC5" i="6" s="1"/>
  <c r="AB6" i="6"/>
  <c r="AC6" i="6" s="1"/>
  <c r="AB9" i="6"/>
  <c r="AC9" i="6" s="1"/>
  <c r="AB10" i="6"/>
  <c r="AC10" i="6" s="1"/>
  <c r="AB13" i="6"/>
  <c r="AC13" i="6" s="1"/>
  <c r="AB14" i="6"/>
  <c r="AC14" i="6" s="1"/>
  <c r="AB17" i="6"/>
  <c r="AC17" i="6" s="1"/>
  <c r="AB18" i="6"/>
  <c r="AC18" i="6" s="1"/>
  <c r="AB21" i="6"/>
  <c r="AC21" i="6" s="1"/>
  <c r="AB22" i="6"/>
  <c r="AC22" i="6" s="1"/>
  <c r="AB25" i="6"/>
  <c r="AC25" i="6" s="1"/>
  <c r="AB26" i="6"/>
  <c r="AC26" i="6" s="1"/>
  <c r="AB29" i="6"/>
  <c r="AC29" i="6" s="1"/>
  <c r="AB30" i="6"/>
  <c r="AC30" i="6" s="1"/>
  <c r="AB33" i="6"/>
  <c r="AC33" i="6" s="1"/>
  <c r="AB34" i="6"/>
  <c r="AC34" i="6" s="1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4" i="6"/>
  <c r="AA3" i="6"/>
  <c r="AD5" i="6"/>
  <c r="AD6" i="6"/>
  <c r="AD7" i="6"/>
  <c r="AD8" i="6"/>
  <c r="AJ8" i="6" s="1"/>
  <c r="AD9" i="6"/>
  <c r="AD10" i="6"/>
  <c r="AD11" i="6"/>
  <c r="AD12" i="6"/>
  <c r="AJ12" i="6" s="1"/>
  <c r="AD13" i="6"/>
  <c r="AD14" i="6"/>
  <c r="AD15" i="6"/>
  <c r="AD16" i="6"/>
  <c r="AJ16" i="6" s="1"/>
  <c r="AD17" i="6"/>
  <c r="AD18" i="6"/>
  <c r="AD19" i="6"/>
  <c r="AD20" i="6"/>
  <c r="AJ20" i="6" s="1"/>
  <c r="AD21" i="6"/>
  <c r="AD22" i="6"/>
  <c r="AD23" i="6"/>
  <c r="AD24" i="6"/>
  <c r="AJ24" i="6" s="1"/>
  <c r="AD25" i="6"/>
  <c r="AD26" i="6"/>
  <c r="AD27" i="6"/>
  <c r="AD28" i="6"/>
  <c r="AJ28" i="6" s="1"/>
  <c r="AD29" i="6"/>
  <c r="AD30" i="6"/>
  <c r="AD31" i="6"/>
  <c r="AD32" i="6"/>
  <c r="AJ32" i="6" s="1"/>
  <c r="AD33" i="6"/>
  <c r="AD34" i="6"/>
  <c r="AD35" i="6"/>
  <c r="AD4" i="6"/>
  <c r="AJ4" i="6" s="1"/>
  <c r="AJ10" i="6"/>
  <c r="AJ14" i="6"/>
  <c r="AJ26" i="6"/>
  <c r="AJ34" i="6"/>
  <c r="AJ17" i="6"/>
  <c r="AJ22" i="6"/>
  <c r="AJ25" i="6"/>
  <c r="AJ29" i="6"/>
  <c r="AJ30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V20" i="6" s="1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K35" i="6"/>
  <c r="AJ35" i="6"/>
  <c r="AH35" i="6"/>
  <c r="AN35" i="6" s="1"/>
  <c r="AG35" i="6"/>
  <c r="AM35" i="6" s="1"/>
  <c r="AF35" i="6"/>
  <c r="AL35" i="6" s="1"/>
  <c r="AE35" i="6"/>
  <c r="B35" i="6"/>
  <c r="AN34" i="6"/>
  <c r="AM34" i="6"/>
  <c r="AK34" i="6"/>
  <c r="AH34" i="6"/>
  <c r="AG34" i="6"/>
  <c r="AF34" i="6"/>
  <c r="AL34" i="6" s="1"/>
  <c r="AE34" i="6"/>
  <c r="B34" i="6"/>
  <c r="AN33" i="6"/>
  <c r="AM33" i="6"/>
  <c r="AK33" i="6"/>
  <c r="AJ33" i="6"/>
  <c r="AH33" i="6"/>
  <c r="AG33" i="6"/>
  <c r="AF33" i="6"/>
  <c r="AL33" i="6" s="1"/>
  <c r="AE33" i="6"/>
  <c r="B33" i="6"/>
  <c r="AN32" i="6"/>
  <c r="AM32" i="6"/>
  <c r="AK32" i="6"/>
  <c r="AH32" i="6"/>
  <c r="AG32" i="6"/>
  <c r="AF32" i="6"/>
  <c r="AL32" i="6" s="1"/>
  <c r="AE32" i="6"/>
  <c r="B32" i="6"/>
  <c r="AN31" i="6"/>
  <c r="AM31" i="6"/>
  <c r="AK31" i="6"/>
  <c r="AH31" i="6"/>
  <c r="AG31" i="6"/>
  <c r="AF31" i="6"/>
  <c r="AL31" i="6" s="1"/>
  <c r="AE31" i="6"/>
  <c r="AJ31" i="6"/>
  <c r="B31" i="6"/>
  <c r="AN30" i="6"/>
  <c r="AM30" i="6"/>
  <c r="AK30" i="6"/>
  <c r="AH30" i="6"/>
  <c r="AG30" i="6"/>
  <c r="AF30" i="6"/>
  <c r="AL30" i="6" s="1"/>
  <c r="AE30" i="6"/>
  <c r="B30" i="6"/>
  <c r="AN29" i="6"/>
  <c r="AM29" i="6"/>
  <c r="AK29" i="6"/>
  <c r="AH29" i="6"/>
  <c r="AG29" i="6"/>
  <c r="AF29" i="6"/>
  <c r="AL29" i="6" s="1"/>
  <c r="AE29" i="6"/>
  <c r="B29" i="6"/>
  <c r="AN28" i="6"/>
  <c r="AM28" i="6"/>
  <c r="AK28" i="6"/>
  <c r="AH28" i="6"/>
  <c r="AG28" i="6"/>
  <c r="AF28" i="6"/>
  <c r="AL28" i="6" s="1"/>
  <c r="AE28" i="6"/>
  <c r="B28" i="6"/>
  <c r="AN27" i="6"/>
  <c r="AM27" i="6"/>
  <c r="AK27" i="6"/>
  <c r="AH27" i="6"/>
  <c r="AG27" i="6"/>
  <c r="AF27" i="6"/>
  <c r="AL27" i="6" s="1"/>
  <c r="AE27" i="6"/>
  <c r="AJ27" i="6"/>
  <c r="B27" i="6"/>
  <c r="AN26" i="6"/>
  <c r="AM26" i="6"/>
  <c r="AK26" i="6"/>
  <c r="AH26" i="6"/>
  <c r="AG26" i="6"/>
  <c r="AF26" i="6"/>
  <c r="AL26" i="6" s="1"/>
  <c r="AE26" i="6"/>
  <c r="B26" i="6"/>
  <c r="AN25" i="6"/>
  <c r="AM25" i="6"/>
  <c r="AK25" i="6"/>
  <c r="AH25" i="6"/>
  <c r="AG25" i="6"/>
  <c r="AF25" i="6"/>
  <c r="AL25" i="6" s="1"/>
  <c r="AE25" i="6"/>
  <c r="B25" i="6"/>
  <c r="AN24" i="6"/>
  <c r="AM24" i="6"/>
  <c r="AK24" i="6"/>
  <c r="AH24" i="6"/>
  <c r="AG24" i="6"/>
  <c r="AF24" i="6"/>
  <c r="AL24" i="6" s="1"/>
  <c r="AE24" i="6"/>
  <c r="B24" i="6"/>
  <c r="AN23" i="6"/>
  <c r="AM23" i="6"/>
  <c r="AK23" i="6"/>
  <c r="AH23" i="6"/>
  <c r="AG23" i="6"/>
  <c r="AF23" i="6"/>
  <c r="AL23" i="6" s="1"/>
  <c r="AE23" i="6"/>
  <c r="AJ23" i="6"/>
  <c r="B23" i="6"/>
  <c r="AN22" i="6"/>
  <c r="AM22" i="6"/>
  <c r="AK22" i="6"/>
  <c r="AH22" i="6"/>
  <c r="AG22" i="6"/>
  <c r="AF22" i="6"/>
  <c r="AL22" i="6" s="1"/>
  <c r="AE22" i="6"/>
  <c r="B22" i="6"/>
  <c r="AN21" i="6"/>
  <c r="AM21" i="6"/>
  <c r="AK21" i="6"/>
  <c r="AJ21" i="6"/>
  <c r="AH21" i="6"/>
  <c r="AG21" i="6"/>
  <c r="AF21" i="6"/>
  <c r="AL21" i="6" s="1"/>
  <c r="AE21" i="6"/>
  <c r="B21" i="6"/>
  <c r="AH20" i="6"/>
  <c r="AG20" i="6"/>
  <c r="AM20" i="6" s="1"/>
  <c r="AF20" i="6"/>
  <c r="AL20" i="6" s="1"/>
  <c r="AE20" i="6"/>
  <c r="AK20" i="6" s="1"/>
  <c r="B20" i="6"/>
  <c r="AM19" i="6"/>
  <c r="AK19" i="6"/>
  <c r="AJ19" i="6"/>
  <c r="AH19" i="6"/>
  <c r="AG19" i="6"/>
  <c r="AF19" i="6"/>
  <c r="AL19" i="6" s="1"/>
  <c r="AE19" i="6"/>
  <c r="B19" i="6"/>
  <c r="AM18" i="6"/>
  <c r="AK18" i="6"/>
  <c r="AJ18" i="6"/>
  <c r="AH18" i="6"/>
  <c r="AN18" i="6" s="1"/>
  <c r="AG18" i="6"/>
  <c r="AF18" i="6"/>
  <c r="AL18" i="6" s="1"/>
  <c r="AE18" i="6"/>
  <c r="B18" i="6"/>
  <c r="AN17" i="6"/>
  <c r="AM17" i="6"/>
  <c r="AK17" i="6"/>
  <c r="AH17" i="6"/>
  <c r="AG17" i="6"/>
  <c r="AF17" i="6"/>
  <c r="AL17" i="6" s="1"/>
  <c r="AE17" i="6"/>
  <c r="B17" i="6"/>
  <c r="AN16" i="6"/>
  <c r="AM16" i="6"/>
  <c r="AK16" i="6"/>
  <c r="AH16" i="6"/>
  <c r="AG16" i="6"/>
  <c r="AF16" i="6"/>
  <c r="AL16" i="6" s="1"/>
  <c r="AE16" i="6"/>
  <c r="B16" i="6"/>
  <c r="AN15" i="6"/>
  <c r="AM15" i="6"/>
  <c r="AK15" i="6"/>
  <c r="AJ15" i="6"/>
  <c r="AH15" i="6"/>
  <c r="AG15" i="6"/>
  <c r="AF15" i="6"/>
  <c r="AL15" i="6" s="1"/>
  <c r="AE15" i="6"/>
  <c r="B15" i="6"/>
  <c r="AN14" i="6"/>
  <c r="AM14" i="6"/>
  <c r="AK14" i="6"/>
  <c r="AH14" i="6"/>
  <c r="AG14" i="6"/>
  <c r="AF14" i="6"/>
  <c r="AL14" i="6" s="1"/>
  <c r="AE14" i="6"/>
  <c r="B14" i="6"/>
  <c r="AN13" i="6"/>
  <c r="AM13" i="6"/>
  <c r="AK13" i="6"/>
  <c r="AJ13" i="6"/>
  <c r="AH13" i="6"/>
  <c r="AG13" i="6"/>
  <c r="AF13" i="6"/>
  <c r="AL13" i="6" s="1"/>
  <c r="AE13" i="6"/>
  <c r="B13" i="6"/>
  <c r="AN12" i="6"/>
  <c r="AM12" i="6"/>
  <c r="AK12" i="6"/>
  <c r="AH12" i="6"/>
  <c r="AG12" i="6"/>
  <c r="AF12" i="6"/>
  <c r="AL12" i="6" s="1"/>
  <c r="AE12" i="6"/>
  <c r="B12" i="6"/>
  <c r="AN11" i="6"/>
  <c r="AM11" i="6"/>
  <c r="AK11" i="6"/>
  <c r="AJ11" i="6"/>
  <c r="AH11" i="6"/>
  <c r="AG11" i="6"/>
  <c r="AF11" i="6"/>
  <c r="AL11" i="6" s="1"/>
  <c r="AE11" i="6"/>
  <c r="B11" i="6"/>
  <c r="AN10" i="6"/>
  <c r="AM10" i="6"/>
  <c r="AK10" i="6"/>
  <c r="AH10" i="6"/>
  <c r="AG10" i="6"/>
  <c r="AF10" i="6"/>
  <c r="AL10" i="6" s="1"/>
  <c r="AE10" i="6"/>
  <c r="B10" i="6"/>
  <c r="AQ9" i="6"/>
  <c r="AP9" i="6"/>
  <c r="AN9" i="6"/>
  <c r="AM9" i="6"/>
  <c r="AK9" i="6"/>
  <c r="AJ9" i="6"/>
  <c r="AH9" i="6"/>
  <c r="AG9" i="6"/>
  <c r="AF9" i="6"/>
  <c r="AL9" i="6" s="1"/>
  <c r="AE9" i="6"/>
  <c r="B9" i="6"/>
  <c r="AN8" i="6"/>
  <c r="AM8" i="6"/>
  <c r="AK8" i="6"/>
  <c r="AH8" i="6"/>
  <c r="AG8" i="6"/>
  <c r="AF8" i="6"/>
  <c r="AL8" i="6" s="1"/>
  <c r="AE8" i="6"/>
  <c r="B8" i="6"/>
  <c r="AN7" i="6"/>
  <c r="AM7" i="6"/>
  <c r="AK7" i="6"/>
  <c r="AJ7" i="6"/>
  <c r="AH7" i="6"/>
  <c r="AG7" i="6"/>
  <c r="AF7" i="6"/>
  <c r="AL7" i="6" s="1"/>
  <c r="AE7" i="6"/>
  <c r="B7" i="6"/>
  <c r="AQ6" i="6"/>
  <c r="AQ7" i="6" s="1"/>
  <c r="AP6" i="6"/>
  <c r="AN6" i="6"/>
  <c r="AM6" i="6"/>
  <c r="AK6" i="6"/>
  <c r="AJ6" i="6"/>
  <c r="AH6" i="6"/>
  <c r="AG6" i="6"/>
  <c r="AF6" i="6"/>
  <c r="AL6" i="6" s="1"/>
  <c r="AE6" i="6"/>
  <c r="B6" i="6"/>
  <c r="AN5" i="6"/>
  <c r="AM5" i="6"/>
  <c r="AK5" i="6"/>
  <c r="AJ5" i="6"/>
  <c r="AH5" i="6"/>
  <c r="AG5" i="6"/>
  <c r="AF5" i="6"/>
  <c r="AL5" i="6" s="1"/>
  <c r="AE5" i="6"/>
  <c r="B5" i="6"/>
  <c r="AQ4" i="6"/>
  <c r="AP4" i="6"/>
  <c r="AN4" i="6"/>
  <c r="AL4" i="6"/>
  <c r="AK4" i="6"/>
  <c r="AH4" i="6"/>
  <c r="AG4" i="6"/>
  <c r="AM4" i="6" s="1"/>
  <c r="AF4" i="6"/>
  <c r="AE4" i="6"/>
  <c r="B4" i="6"/>
  <c r="AH3" i="6"/>
  <c r="AG3" i="6"/>
  <c r="AF3" i="6"/>
  <c r="AE3" i="6"/>
  <c r="AD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C5" i="5"/>
  <c r="AC6" i="5"/>
  <c r="AC7" i="5"/>
  <c r="AC8" i="5"/>
  <c r="AI8" i="5" s="1"/>
  <c r="AC9" i="5"/>
  <c r="AC10" i="5"/>
  <c r="AC11" i="5"/>
  <c r="AC12" i="5"/>
  <c r="AI12" i="5" s="1"/>
  <c r="AC13" i="5"/>
  <c r="AC14" i="5"/>
  <c r="AC15" i="5"/>
  <c r="AC16" i="5"/>
  <c r="AC17" i="5"/>
  <c r="AC18" i="5"/>
  <c r="AC19" i="5"/>
  <c r="AC20" i="5"/>
  <c r="AI20" i="5" s="1"/>
  <c r="AC21" i="5"/>
  <c r="AC22" i="5"/>
  <c r="AC23" i="5"/>
  <c r="AC24" i="5"/>
  <c r="AI24" i="5" s="1"/>
  <c r="AC25" i="5"/>
  <c r="AC26" i="5"/>
  <c r="AC27" i="5"/>
  <c r="AC28" i="5"/>
  <c r="AC29" i="5"/>
  <c r="AC30" i="5"/>
  <c r="AC31" i="5"/>
  <c r="AI31" i="5" s="1"/>
  <c r="AC32" i="5"/>
  <c r="AI32" i="5" s="1"/>
  <c r="AC33" i="5"/>
  <c r="AC34" i="5"/>
  <c r="AC35" i="5"/>
  <c r="AC4" i="5"/>
  <c r="AI15" i="5"/>
  <c r="AI16" i="5"/>
  <c r="AI19" i="5"/>
  <c r="AI27" i="5"/>
  <c r="AI28" i="5"/>
  <c r="AI35" i="5"/>
  <c r="AR35" i="5"/>
  <c r="AT35" i="5"/>
  <c r="BA19" i="5"/>
  <c r="BA18" i="5"/>
  <c r="BA17" i="5"/>
  <c r="BA16" i="5"/>
  <c r="BA15" i="5"/>
  <c r="BA14" i="5"/>
  <c r="AI11" i="5"/>
  <c r="AI23" i="5"/>
  <c r="AI9" i="5"/>
  <c r="AI21" i="5"/>
  <c r="AI29" i="5"/>
  <c r="AI4" i="5"/>
  <c r="AI5" i="5"/>
  <c r="AI13" i="5"/>
  <c r="AI33" i="5"/>
  <c r="AI25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U20" i="5" s="1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I7" i="5"/>
  <c r="AS20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F75" i="5"/>
  <c r="E75" i="5"/>
  <c r="C75" i="5"/>
  <c r="B75" i="5"/>
  <c r="C74" i="5"/>
  <c r="B74" i="5"/>
  <c r="I90" i="5"/>
  <c r="I89" i="5"/>
  <c r="I87" i="5"/>
  <c r="I85" i="5"/>
  <c r="H87" i="5"/>
  <c r="H90" i="5" s="1"/>
  <c r="H85" i="5"/>
  <c r="H89" i="5" s="1"/>
  <c r="AG95" i="5"/>
  <c r="AH95" i="5"/>
  <c r="AE95" i="5"/>
  <c r="R95" i="5"/>
  <c r="Q95" i="5"/>
  <c r="O95" i="5"/>
  <c r="K87" i="5"/>
  <c r="K90" i="5" s="1"/>
  <c r="K85" i="5"/>
  <c r="K89" i="5" s="1"/>
  <c r="J87" i="5"/>
  <c r="J90" i="5" s="1"/>
  <c r="J85" i="5"/>
  <c r="J89" i="5" s="1"/>
  <c r="L95" i="5"/>
  <c r="S95" i="5"/>
  <c r="G90" i="5"/>
  <c r="G89" i="5"/>
  <c r="F90" i="5"/>
  <c r="F89" i="5"/>
  <c r="E90" i="5"/>
  <c r="E89" i="5"/>
  <c r="D90" i="5"/>
  <c r="D89" i="5"/>
  <c r="AE87" i="5"/>
  <c r="AE90" i="5" s="1"/>
  <c r="AE93" i="5" s="1"/>
  <c r="AG87" i="5"/>
  <c r="AG90" i="5" s="1"/>
  <c r="AG93" i="5" s="1"/>
  <c r="AH87" i="5"/>
  <c r="AH90" i="5" s="1"/>
  <c r="AH93" i="5" s="1"/>
  <c r="AH85" i="5"/>
  <c r="AH89" i="5" s="1"/>
  <c r="AH92" i="5" s="1"/>
  <c r="AG85" i="5"/>
  <c r="AG89" i="5" s="1"/>
  <c r="AG92" i="5" s="1"/>
  <c r="AE85" i="5"/>
  <c r="AE89" i="5" s="1"/>
  <c r="AE92" i="5" s="1"/>
  <c r="L87" i="5"/>
  <c r="L90" i="5" s="1"/>
  <c r="L93" i="5" s="1"/>
  <c r="L85" i="5"/>
  <c r="L89" i="5" s="1"/>
  <c r="L92" i="5" s="1"/>
  <c r="S87" i="5"/>
  <c r="S90" i="5" s="1"/>
  <c r="S93" i="5" s="1"/>
  <c r="R87" i="5"/>
  <c r="R90" i="5" s="1"/>
  <c r="R93" i="5" s="1"/>
  <c r="Q87" i="5"/>
  <c r="Q90" i="5" s="1"/>
  <c r="Q93" i="5" s="1"/>
  <c r="O87" i="5"/>
  <c r="O90" i="5" s="1"/>
  <c r="O93" i="5" s="1"/>
  <c r="S85" i="5"/>
  <c r="S89" i="5" s="1"/>
  <c r="S92" i="5" s="1"/>
  <c r="R85" i="5"/>
  <c r="R89" i="5" s="1"/>
  <c r="R92" i="5" s="1"/>
  <c r="Q85" i="5"/>
  <c r="Q89" i="5" s="1"/>
  <c r="Q92" i="5" s="1"/>
  <c r="O85" i="5"/>
  <c r="O89" i="5" s="1"/>
  <c r="O92" i="5" s="1"/>
  <c r="B85" i="5"/>
  <c r="C85" i="5"/>
  <c r="B86" i="5"/>
  <c r="C86" i="5"/>
  <c r="B87" i="5"/>
  <c r="C87" i="5"/>
  <c r="C84" i="5"/>
  <c r="B84" i="5"/>
  <c r="D79" i="5"/>
  <c r="D84" i="5"/>
  <c r="D87" i="5"/>
  <c r="E87" i="5"/>
  <c r="F87" i="5"/>
  <c r="G87" i="5"/>
  <c r="E85" i="5"/>
  <c r="F85" i="5"/>
  <c r="G85" i="5"/>
  <c r="D85" i="5"/>
  <c r="AJ35" i="5"/>
  <c r="AG35" i="5"/>
  <c r="AM35" i="5" s="1"/>
  <c r="AF35" i="5"/>
  <c r="AL35" i="5" s="1"/>
  <c r="AE35" i="5"/>
  <c r="AK35" i="5" s="1"/>
  <c r="AD35" i="5"/>
  <c r="B35" i="5"/>
  <c r="AM34" i="5"/>
  <c r="AL34" i="5"/>
  <c r="AJ34" i="5"/>
  <c r="AI34" i="5"/>
  <c r="AG34" i="5"/>
  <c r="AF34" i="5"/>
  <c r="AE34" i="5"/>
  <c r="AK34" i="5" s="1"/>
  <c r="AD34" i="5"/>
  <c r="B34" i="5"/>
  <c r="AM33" i="5"/>
  <c r="AL33" i="5"/>
  <c r="AJ33" i="5"/>
  <c r="AG33" i="5"/>
  <c r="AF33" i="5"/>
  <c r="AE33" i="5"/>
  <c r="AK33" i="5" s="1"/>
  <c r="AD33" i="5"/>
  <c r="B33" i="5"/>
  <c r="AM32" i="5"/>
  <c r="AL32" i="5"/>
  <c r="AJ32" i="5"/>
  <c r="AG32" i="5"/>
  <c r="AF32" i="5"/>
  <c r="AE32" i="5"/>
  <c r="AK32" i="5" s="1"/>
  <c r="AD32" i="5"/>
  <c r="B32" i="5"/>
  <c r="AM31" i="5"/>
  <c r="AL31" i="5"/>
  <c r="AJ31" i="5"/>
  <c r="AG31" i="5"/>
  <c r="AF31" i="5"/>
  <c r="AE31" i="5"/>
  <c r="AK31" i="5" s="1"/>
  <c r="AD31" i="5"/>
  <c r="B31" i="5"/>
  <c r="AM30" i="5"/>
  <c r="AL30" i="5"/>
  <c r="AJ30" i="5"/>
  <c r="AG30" i="5"/>
  <c r="AF30" i="5"/>
  <c r="AE30" i="5"/>
  <c r="AK30" i="5" s="1"/>
  <c r="AD30" i="5"/>
  <c r="AI30" i="5"/>
  <c r="B30" i="5"/>
  <c r="AM29" i="5"/>
  <c r="AL29" i="5"/>
  <c r="AJ29" i="5"/>
  <c r="AG29" i="5"/>
  <c r="AF29" i="5"/>
  <c r="AE29" i="5"/>
  <c r="AK29" i="5" s="1"/>
  <c r="AD29" i="5"/>
  <c r="B29" i="5"/>
  <c r="AM28" i="5"/>
  <c r="AL28" i="5"/>
  <c r="AJ28" i="5"/>
  <c r="AG28" i="5"/>
  <c r="AF28" i="5"/>
  <c r="AE28" i="5"/>
  <c r="AK28" i="5" s="1"/>
  <c r="AD28" i="5"/>
  <c r="B28" i="5"/>
  <c r="AM27" i="5"/>
  <c r="AL27" i="5"/>
  <c r="AJ27" i="5"/>
  <c r="AG27" i="5"/>
  <c r="AF27" i="5"/>
  <c r="AE27" i="5"/>
  <c r="AK27" i="5" s="1"/>
  <c r="AD27" i="5"/>
  <c r="B27" i="5"/>
  <c r="AM26" i="5"/>
  <c r="AL26" i="5"/>
  <c r="AJ26" i="5"/>
  <c r="AG26" i="5"/>
  <c r="AF26" i="5"/>
  <c r="AE26" i="5"/>
  <c r="AK26" i="5" s="1"/>
  <c r="AD26" i="5"/>
  <c r="AI26" i="5"/>
  <c r="B26" i="5"/>
  <c r="AM25" i="5"/>
  <c r="AL25" i="5"/>
  <c r="AJ25" i="5"/>
  <c r="AG25" i="5"/>
  <c r="AF25" i="5"/>
  <c r="AE25" i="5"/>
  <c r="AK25" i="5" s="1"/>
  <c r="AD25" i="5"/>
  <c r="B25" i="5"/>
  <c r="AM24" i="5"/>
  <c r="AL24" i="5"/>
  <c r="AJ24" i="5"/>
  <c r="AG24" i="5"/>
  <c r="AF24" i="5"/>
  <c r="AE24" i="5"/>
  <c r="AK24" i="5" s="1"/>
  <c r="AD24" i="5"/>
  <c r="B24" i="5"/>
  <c r="AM23" i="5"/>
  <c r="AL23" i="5"/>
  <c r="AJ23" i="5"/>
  <c r="AG23" i="5"/>
  <c r="AF23" i="5"/>
  <c r="AE23" i="5"/>
  <c r="AK23" i="5" s="1"/>
  <c r="AD23" i="5"/>
  <c r="B23" i="5"/>
  <c r="AM22" i="5"/>
  <c r="AL22" i="5"/>
  <c r="AJ22" i="5"/>
  <c r="AG22" i="5"/>
  <c r="AF22" i="5"/>
  <c r="AE22" i="5"/>
  <c r="AK22" i="5" s="1"/>
  <c r="AD22" i="5"/>
  <c r="AI22" i="5"/>
  <c r="B22" i="5"/>
  <c r="AM21" i="5"/>
  <c r="AL21" i="5"/>
  <c r="AJ21" i="5"/>
  <c r="AG21" i="5"/>
  <c r="AF21" i="5"/>
  <c r="AE21" i="5"/>
  <c r="AK21" i="5" s="1"/>
  <c r="AD21" i="5"/>
  <c r="B21" i="5"/>
  <c r="AG20" i="5"/>
  <c r="AM20" i="5" s="1"/>
  <c r="AF20" i="5"/>
  <c r="AL20" i="5" s="1"/>
  <c r="AE20" i="5"/>
  <c r="AK20" i="5" s="1"/>
  <c r="AD20" i="5"/>
  <c r="AJ20" i="5" s="1"/>
  <c r="B20" i="5"/>
  <c r="AM19" i="5"/>
  <c r="AL19" i="5"/>
  <c r="AJ19" i="5"/>
  <c r="AG19" i="5"/>
  <c r="AF19" i="5"/>
  <c r="AE19" i="5"/>
  <c r="AK19" i="5" s="1"/>
  <c r="AD19" i="5"/>
  <c r="B19" i="5"/>
  <c r="AM18" i="5"/>
  <c r="AL18" i="5"/>
  <c r="AJ18" i="5"/>
  <c r="AG18" i="5"/>
  <c r="AF18" i="5"/>
  <c r="AE18" i="5"/>
  <c r="AK18" i="5" s="1"/>
  <c r="AD18" i="5"/>
  <c r="AI18" i="5"/>
  <c r="B18" i="5"/>
  <c r="AM17" i="5"/>
  <c r="AL17" i="5"/>
  <c r="AJ17" i="5"/>
  <c r="AG17" i="5"/>
  <c r="AF17" i="5"/>
  <c r="AE17" i="5"/>
  <c r="AK17" i="5" s="1"/>
  <c r="AD17" i="5"/>
  <c r="AI17" i="5"/>
  <c r="B17" i="5"/>
  <c r="AM16" i="5"/>
  <c r="AL16" i="5"/>
  <c r="AJ16" i="5"/>
  <c r="AG16" i="5"/>
  <c r="AF16" i="5"/>
  <c r="AE16" i="5"/>
  <c r="AK16" i="5" s="1"/>
  <c r="AD16" i="5"/>
  <c r="B16" i="5"/>
  <c r="AM15" i="5"/>
  <c r="AL15" i="5"/>
  <c r="AJ15" i="5"/>
  <c r="AG15" i="5"/>
  <c r="AF15" i="5"/>
  <c r="AE15" i="5"/>
  <c r="AK15" i="5" s="1"/>
  <c r="AD15" i="5"/>
  <c r="B15" i="5"/>
  <c r="AM14" i="5"/>
  <c r="AL14" i="5"/>
  <c r="AJ14" i="5"/>
  <c r="AG14" i="5"/>
  <c r="AF14" i="5"/>
  <c r="AE14" i="5"/>
  <c r="AK14" i="5" s="1"/>
  <c r="AD14" i="5"/>
  <c r="AI14" i="5"/>
  <c r="B14" i="5"/>
  <c r="AM13" i="5"/>
  <c r="AL13" i="5"/>
  <c r="AJ13" i="5"/>
  <c r="AG13" i="5"/>
  <c r="AF13" i="5"/>
  <c r="AE13" i="5"/>
  <c r="AK13" i="5" s="1"/>
  <c r="AD13" i="5"/>
  <c r="B13" i="5"/>
  <c r="AM12" i="5"/>
  <c r="AL12" i="5"/>
  <c r="AJ12" i="5"/>
  <c r="AG12" i="5"/>
  <c r="AF12" i="5"/>
  <c r="AE12" i="5"/>
  <c r="AK12" i="5" s="1"/>
  <c r="AD12" i="5"/>
  <c r="B12" i="5"/>
  <c r="AM11" i="5"/>
  <c r="AL11" i="5"/>
  <c r="AJ11" i="5"/>
  <c r="AG11" i="5"/>
  <c r="AF11" i="5"/>
  <c r="AE11" i="5"/>
  <c r="AK11" i="5" s="1"/>
  <c r="AD11" i="5"/>
  <c r="B11" i="5"/>
  <c r="AM10" i="5"/>
  <c r="AL10" i="5"/>
  <c r="AJ10" i="5"/>
  <c r="AG10" i="5"/>
  <c r="AF10" i="5"/>
  <c r="AE10" i="5"/>
  <c r="AK10" i="5" s="1"/>
  <c r="AD10" i="5"/>
  <c r="AI10" i="5"/>
  <c r="B10" i="5"/>
  <c r="AP9" i="5"/>
  <c r="AO9" i="5"/>
  <c r="AM9" i="5"/>
  <c r="AL9" i="5"/>
  <c r="AJ9" i="5"/>
  <c r="AG9" i="5"/>
  <c r="AF9" i="5"/>
  <c r="AE9" i="5"/>
  <c r="AK9" i="5" s="1"/>
  <c r="AD9" i="5"/>
  <c r="B9" i="5"/>
  <c r="AL8" i="5"/>
  <c r="AJ8" i="5"/>
  <c r="AG8" i="5"/>
  <c r="AF8" i="5"/>
  <c r="AE8" i="5"/>
  <c r="AK8" i="5" s="1"/>
  <c r="AD8" i="5"/>
  <c r="B8" i="5"/>
  <c r="AM7" i="5"/>
  <c r="AL7" i="5"/>
  <c r="AJ7" i="5"/>
  <c r="AG7" i="5"/>
  <c r="AF7" i="5"/>
  <c r="AE7" i="5"/>
  <c r="AK7" i="5" s="1"/>
  <c r="AD7" i="5"/>
  <c r="B7" i="5"/>
  <c r="AP6" i="5"/>
  <c r="AP7" i="5" s="1"/>
  <c r="AO6" i="5"/>
  <c r="AM6" i="5"/>
  <c r="AL6" i="5"/>
  <c r="AJ6" i="5"/>
  <c r="AG6" i="5"/>
  <c r="AF6" i="5"/>
  <c r="AE6" i="5"/>
  <c r="AK6" i="5" s="1"/>
  <c r="AD6" i="5"/>
  <c r="AI6" i="5"/>
  <c r="B6" i="5"/>
  <c r="AM5" i="5"/>
  <c r="AL5" i="5"/>
  <c r="AJ5" i="5"/>
  <c r="AG5" i="5"/>
  <c r="AF5" i="5"/>
  <c r="AE5" i="5"/>
  <c r="AK5" i="5" s="1"/>
  <c r="AD5" i="5"/>
  <c r="B5" i="5"/>
  <c r="AP4" i="5"/>
  <c r="AO4" i="5"/>
  <c r="AG4" i="5"/>
  <c r="AM4" i="5" s="1"/>
  <c r="AF4" i="5"/>
  <c r="AL4" i="5" s="1"/>
  <c r="AE4" i="5"/>
  <c r="AK4" i="5" s="1"/>
  <c r="AD4" i="5"/>
  <c r="AJ4" i="5" s="1"/>
  <c r="B4" i="5"/>
  <c r="AG3" i="5"/>
  <c r="AF3" i="5"/>
  <c r="AE3" i="5"/>
  <c r="AD3" i="5"/>
  <c r="AC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19" i="4"/>
  <c r="B18" i="4"/>
  <c r="H17" i="4"/>
  <c r="H18" i="4"/>
  <c r="H16" i="4"/>
  <c r="K3" i="4"/>
  <c r="G1" i="4"/>
  <c r="G6" i="4" s="1"/>
  <c r="G12" i="4" s="1"/>
  <c r="H1" i="4"/>
  <c r="H7" i="4" s="1"/>
  <c r="H13" i="4" s="1"/>
  <c r="F1" i="4"/>
  <c r="F5" i="4" s="1"/>
  <c r="F11" i="4" s="1"/>
  <c r="H3" i="4"/>
  <c r="G3" i="4"/>
  <c r="F3" i="4"/>
  <c r="T5" i="2"/>
  <c r="U5" i="2"/>
  <c r="V5" i="2"/>
  <c r="W5" i="2"/>
  <c r="X5" i="2"/>
  <c r="T6" i="2"/>
  <c r="U6" i="2"/>
  <c r="V6" i="2"/>
  <c r="W6" i="2"/>
  <c r="X6" i="2"/>
  <c r="T7" i="2"/>
  <c r="U7" i="2"/>
  <c r="V7" i="2"/>
  <c r="W7" i="2"/>
  <c r="X7" i="2"/>
  <c r="T8" i="2"/>
  <c r="Z8" i="2" s="1"/>
  <c r="U8" i="2"/>
  <c r="V8" i="2"/>
  <c r="W8" i="2"/>
  <c r="X8" i="2"/>
  <c r="T9" i="2"/>
  <c r="U9" i="2"/>
  <c r="V9" i="2"/>
  <c r="W9" i="2"/>
  <c r="X9" i="2"/>
  <c r="T10" i="2"/>
  <c r="U10" i="2"/>
  <c r="V10" i="2"/>
  <c r="W10" i="2"/>
  <c r="X10" i="2"/>
  <c r="T11" i="2"/>
  <c r="U11" i="2"/>
  <c r="V11" i="2"/>
  <c r="W11" i="2"/>
  <c r="X11" i="2"/>
  <c r="T12" i="2"/>
  <c r="Z12" i="2" s="1"/>
  <c r="U12" i="2"/>
  <c r="V12" i="2"/>
  <c r="W12" i="2"/>
  <c r="X12" i="2"/>
  <c r="T13" i="2"/>
  <c r="U13" i="2"/>
  <c r="V13" i="2"/>
  <c r="W13" i="2"/>
  <c r="X13" i="2"/>
  <c r="T14" i="2"/>
  <c r="U14" i="2"/>
  <c r="V14" i="2"/>
  <c r="W14" i="2"/>
  <c r="X14" i="2"/>
  <c r="T15" i="2"/>
  <c r="U15" i="2"/>
  <c r="V15" i="2"/>
  <c r="W15" i="2"/>
  <c r="X15" i="2"/>
  <c r="T16" i="2"/>
  <c r="Z16" i="2" s="1"/>
  <c r="U16" i="2"/>
  <c r="V16" i="2"/>
  <c r="W16" i="2"/>
  <c r="X16" i="2"/>
  <c r="T17" i="2"/>
  <c r="U17" i="2"/>
  <c r="V17" i="2"/>
  <c r="W17" i="2"/>
  <c r="X17" i="2"/>
  <c r="T18" i="2"/>
  <c r="U18" i="2"/>
  <c r="V18" i="2"/>
  <c r="W18" i="2"/>
  <c r="X18" i="2"/>
  <c r="T19" i="2"/>
  <c r="U19" i="2"/>
  <c r="V19" i="2"/>
  <c r="W19" i="2"/>
  <c r="X19" i="2"/>
  <c r="T20" i="2"/>
  <c r="Z20" i="2" s="1"/>
  <c r="U20" i="2"/>
  <c r="V20" i="2"/>
  <c r="W20" i="2"/>
  <c r="X20" i="2"/>
  <c r="T21" i="2"/>
  <c r="U21" i="2"/>
  <c r="V21" i="2"/>
  <c r="W21" i="2"/>
  <c r="X21" i="2"/>
  <c r="T22" i="2"/>
  <c r="U22" i="2"/>
  <c r="V22" i="2"/>
  <c r="W22" i="2"/>
  <c r="X22" i="2"/>
  <c r="T23" i="2"/>
  <c r="U23" i="2"/>
  <c r="V23" i="2"/>
  <c r="W23" i="2"/>
  <c r="X23" i="2"/>
  <c r="T24" i="2"/>
  <c r="Z24" i="2" s="1"/>
  <c r="U24" i="2"/>
  <c r="V24" i="2"/>
  <c r="W24" i="2"/>
  <c r="X24" i="2"/>
  <c r="T25" i="2"/>
  <c r="U25" i="2"/>
  <c r="V25" i="2"/>
  <c r="W25" i="2"/>
  <c r="X25" i="2"/>
  <c r="T26" i="2"/>
  <c r="U26" i="2"/>
  <c r="V26" i="2"/>
  <c r="W26" i="2"/>
  <c r="X26" i="2"/>
  <c r="T27" i="2"/>
  <c r="U27" i="2"/>
  <c r="V27" i="2"/>
  <c r="W27" i="2"/>
  <c r="X27" i="2"/>
  <c r="T28" i="2"/>
  <c r="Z28" i="2" s="1"/>
  <c r="U28" i="2"/>
  <c r="V28" i="2"/>
  <c r="W28" i="2"/>
  <c r="X28" i="2"/>
  <c r="T29" i="2"/>
  <c r="U29" i="2"/>
  <c r="V29" i="2"/>
  <c r="W29" i="2"/>
  <c r="X29" i="2"/>
  <c r="T30" i="2"/>
  <c r="U30" i="2"/>
  <c r="V30" i="2"/>
  <c r="W30" i="2"/>
  <c r="X30" i="2"/>
  <c r="T31" i="2"/>
  <c r="U31" i="2"/>
  <c r="V31" i="2"/>
  <c r="W31" i="2"/>
  <c r="X31" i="2"/>
  <c r="T32" i="2"/>
  <c r="Z32" i="2" s="1"/>
  <c r="U32" i="2"/>
  <c r="V32" i="2"/>
  <c r="W32" i="2"/>
  <c r="X32" i="2"/>
  <c r="T33" i="2"/>
  <c r="U33" i="2"/>
  <c r="V33" i="2"/>
  <c r="W33" i="2"/>
  <c r="X33" i="2"/>
  <c r="T34" i="2"/>
  <c r="U34" i="2"/>
  <c r="V34" i="2"/>
  <c r="W34" i="2"/>
  <c r="X34" i="2"/>
  <c r="T35" i="2"/>
  <c r="U35" i="2"/>
  <c r="V35" i="2"/>
  <c r="W35" i="2"/>
  <c r="X35" i="2"/>
  <c r="X4" i="2"/>
  <c r="W4" i="2"/>
  <c r="V4" i="2"/>
  <c r="AB4" i="2" s="1"/>
  <c r="U4" i="2"/>
  <c r="AA4" i="2" s="1"/>
  <c r="T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D4" i="2"/>
  <c r="AC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Z5" i="2"/>
  <c r="Z6" i="2"/>
  <c r="Z7" i="2"/>
  <c r="Z9" i="2"/>
  <c r="Z10" i="2"/>
  <c r="Z11" i="2"/>
  <c r="Z13" i="2"/>
  <c r="Z14" i="2"/>
  <c r="Z15" i="2"/>
  <c r="Z17" i="2"/>
  <c r="Z18" i="2"/>
  <c r="Z19" i="2"/>
  <c r="Z21" i="2"/>
  <c r="Z22" i="2"/>
  <c r="Z23" i="2"/>
  <c r="Z25" i="2"/>
  <c r="Z26" i="2"/>
  <c r="Z27" i="2"/>
  <c r="Z29" i="2"/>
  <c r="Z30" i="2"/>
  <c r="Z31" i="2"/>
  <c r="Z33" i="2"/>
  <c r="Z34" i="2"/>
  <c r="Z35" i="2"/>
  <c r="Z4" i="2"/>
  <c r="V3" i="2"/>
  <c r="X3" i="2"/>
  <c r="W3" i="2"/>
  <c r="U3" i="2"/>
  <c r="T3" i="2"/>
  <c r="M3" i="2"/>
  <c r="R3" i="2"/>
  <c r="Q3" i="2"/>
  <c r="P3" i="2"/>
  <c r="O3" i="2"/>
  <c r="N3" i="2"/>
  <c r="L3" i="2"/>
  <c r="K3" i="2"/>
  <c r="J3" i="2"/>
  <c r="I3" i="2"/>
  <c r="H3" i="2"/>
  <c r="G3" i="2"/>
  <c r="F3" i="2"/>
  <c r="E3" i="2"/>
  <c r="D3" i="2"/>
  <c r="C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4" i="2"/>
  <c r="AG9" i="2"/>
  <c r="AF9" i="2"/>
  <c r="AG6" i="2"/>
  <c r="AG7" i="2" s="1"/>
  <c r="AF6" i="2"/>
  <c r="AG4" i="2"/>
  <c r="AF4" i="2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5" i="3"/>
  <c r="E4" i="3"/>
  <c r="O3" i="3"/>
  <c r="N3" i="3"/>
  <c r="M3" i="3"/>
  <c r="L3" i="3"/>
  <c r="K3" i="3"/>
  <c r="J3" i="3"/>
  <c r="I3" i="3"/>
  <c r="H3" i="3"/>
  <c r="G3" i="3"/>
  <c r="F3" i="3"/>
  <c r="O28" i="3"/>
  <c r="N28" i="3"/>
  <c r="M28" i="3"/>
  <c r="L28" i="3"/>
  <c r="K28" i="3"/>
  <c r="J28" i="3"/>
  <c r="I28" i="3"/>
  <c r="H28" i="3"/>
  <c r="G28" i="3"/>
  <c r="O27" i="3"/>
  <c r="N27" i="3"/>
  <c r="M27" i="3"/>
  <c r="L27" i="3"/>
  <c r="K27" i="3"/>
  <c r="J27" i="3"/>
  <c r="I27" i="3"/>
  <c r="H27" i="3"/>
  <c r="G27" i="3"/>
  <c r="O26" i="3"/>
  <c r="N26" i="3"/>
  <c r="M26" i="3"/>
  <c r="L26" i="3"/>
  <c r="K26" i="3"/>
  <c r="J26" i="3"/>
  <c r="I26" i="3"/>
  <c r="H26" i="3"/>
  <c r="G26" i="3"/>
  <c r="O25" i="3"/>
  <c r="N25" i="3"/>
  <c r="M25" i="3"/>
  <c r="L25" i="3"/>
  <c r="K25" i="3"/>
  <c r="J25" i="3"/>
  <c r="I25" i="3"/>
  <c r="H25" i="3"/>
  <c r="G25" i="3"/>
  <c r="O24" i="3"/>
  <c r="N24" i="3"/>
  <c r="M24" i="3"/>
  <c r="L24" i="3"/>
  <c r="K24" i="3"/>
  <c r="J24" i="3"/>
  <c r="I24" i="3"/>
  <c r="H24" i="3"/>
  <c r="G24" i="3"/>
  <c r="O23" i="3"/>
  <c r="N23" i="3"/>
  <c r="M23" i="3"/>
  <c r="L23" i="3"/>
  <c r="K23" i="3"/>
  <c r="J23" i="3"/>
  <c r="I23" i="3"/>
  <c r="H23" i="3"/>
  <c r="G23" i="3"/>
  <c r="O22" i="3"/>
  <c r="N22" i="3"/>
  <c r="M22" i="3"/>
  <c r="L22" i="3"/>
  <c r="K22" i="3"/>
  <c r="J22" i="3"/>
  <c r="I22" i="3"/>
  <c r="H22" i="3"/>
  <c r="G22" i="3"/>
  <c r="O21" i="3"/>
  <c r="N21" i="3"/>
  <c r="M21" i="3"/>
  <c r="L21" i="3"/>
  <c r="K21" i="3"/>
  <c r="J21" i="3"/>
  <c r="I21" i="3"/>
  <c r="H21" i="3"/>
  <c r="G21" i="3"/>
  <c r="O20" i="3"/>
  <c r="N20" i="3"/>
  <c r="M20" i="3"/>
  <c r="L20" i="3"/>
  <c r="K20" i="3"/>
  <c r="J20" i="3"/>
  <c r="I20" i="3"/>
  <c r="H20" i="3"/>
  <c r="G20" i="3"/>
  <c r="O19" i="3"/>
  <c r="N19" i="3"/>
  <c r="M19" i="3"/>
  <c r="L19" i="3"/>
  <c r="K19" i="3"/>
  <c r="J19" i="3"/>
  <c r="I19" i="3"/>
  <c r="H19" i="3"/>
  <c r="G19" i="3"/>
  <c r="O18" i="3"/>
  <c r="N18" i="3"/>
  <c r="M18" i="3"/>
  <c r="L18" i="3"/>
  <c r="K18" i="3"/>
  <c r="J18" i="3"/>
  <c r="I18" i="3"/>
  <c r="H18" i="3"/>
  <c r="G18" i="3"/>
  <c r="O17" i="3"/>
  <c r="N17" i="3"/>
  <c r="M17" i="3"/>
  <c r="L17" i="3"/>
  <c r="K17" i="3"/>
  <c r="J17" i="3"/>
  <c r="I17" i="3"/>
  <c r="H17" i="3"/>
  <c r="G17" i="3"/>
  <c r="O16" i="3"/>
  <c r="N16" i="3"/>
  <c r="M16" i="3"/>
  <c r="L16" i="3"/>
  <c r="K16" i="3"/>
  <c r="J16" i="3"/>
  <c r="I16" i="3"/>
  <c r="H16" i="3"/>
  <c r="G16" i="3"/>
  <c r="O15" i="3"/>
  <c r="N15" i="3"/>
  <c r="M15" i="3"/>
  <c r="L15" i="3"/>
  <c r="K15" i="3"/>
  <c r="J15" i="3"/>
  <c r="I15" i="3"/>
  <c r="H15" i="3"/>
  <c r="G15" i="3"/>
  <c r="O14" i="3"/>
  <c r="N14" i="3"/>
  <c r="M14" i="3"/>
  <c r="L14" i="3"/>
  <c r="K14" i="3"/>
  <c r="J14" i="3"/>
  <c r="I14" i="3"/>
  <c r="H14" i="3"/>
  <c r="G14" i="3"/>
  <c r="O13" i="3"/>
  <c r="N13" i="3"/>
  <c r="M13" i="3"/>
  <c r="L13" i="3"/>
  <c r="K13" i="3"/>
  <c r="J13" i="3"/>
  <c r="I13" i="3"/>
  <c r="H13" i="3"/>
  <c r="G13" i="3"/>
  <c r="O12" i="3"/>
  <c r="N12" i="3"/>
  <c r="M12" i="3"/>
  <c r="L12" i="3"/>
  <c r="K12" i="3"/>
  <c r="J12" i="3"/>
  <c r="I12" i="3"/>
  <c r="H12" i="3"/>
  <c r="G12" i="3"/>
  <c r="O11" i="3"/>
  <c r="N11" i="3"/>
  <c r="M11" i="3"/>
  <c r="L11" i="3"/>
  <c r="K11" i="3"/>
  <c r="J11" i="3"/>
  <c r="I11" i="3"/>
  <c r="H11" i="3"/>
  <c r="G11" i="3"/>
  <c r="O10" i="3"/>
  <c r="N10" i="3"/>
  <c r="M10" i="3"/>
  <c r="L10" i="3"/>
  <c r="K10" i="3"/>
  <c r="J10" i="3"/>
  <c r="I10" i="3"/>
  <c r="H10" i="3"/>
  <c r="G10" i="3"/>
  <c r="O9" i="3"/>
  <c r="N9" i="3"/>
  <c r="M9" i="3"/>
  <c r="L9" i="3"/>
  <c r="K9" i="3"/>
  <c r="J9" i="3"/>
  <c r="I9" i="3"/>
  <c r="H9" i="3"/>
  <c r="G9" i="3"/>
  <c r="O8" i="3"/>
  <c r="N8" i="3"/>
  <c r="M8" i="3"/>
  <c r="L8" i="3"/>
  <c r="K8" i="3"/>
  <c r="J8" i="3"/>
  <c r="I8" i="3"/>
  <c r="H8" i="3"/>
  <c r="G8" i="3"/>
  <c r="O7" i="3"/>
  <c r="N7" i="3"/>
  <c r="M7" i="3"/>
  <c r="L7" i="3"/>
  <c r="K7" i="3"/>
  <c r="J7" i="3"/>
  <c r="I7" i="3"/>
  <c r="H7" i="3"/>
  <c r="G7" i="3"/>
  <c r="O6" i="3"/>
  <c r="N6" i="3"/>
  <c r="M6" i="3"/>
  <c r="L6" i="3"/>
  <c r="K6" i="3"/>
  <c r="J6" i="3"/>
  <c r="I6" i="3"/>
  <c r="H6" i="3"/>
  <c r="G6" i="3"/>
  <c r="O5" i="3"/>
  <c r="N5" i="3"/>
  <c r="M5" i="3"/>
  <c r="L5" i="3"/>
  <c r="K5" i="3"/>
  <c r="J5" i="3"/>
  <c r="I5" i="3"/>
  <c r="H5" i="3"/>
  <c r="G5" i="3"/>
  <c r="O4" i="3"/>
  <c r="N4" i="3"/>
  <c r="M4" i="3"/>
  <c r="L4" i="3"/>
  <c r="K4" i="3"/>
  <c r="J4" i="3"/>
  <c r="I4" i="3"/>
  <c r="H4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L58" i="1"/>
  <c r="M58" i="1" s="1"/>
  <c r="L2" i="1"/>
  <c r="M2" i="1" s="1"/>
  <c r="L59" i="1"/>
  <c r="M59" i="1" s="1"/>
  <c r="L3" i="1"/>
  <c r="M3" i="1" s="1"/>
  <c r="L35" i="1"/>
  <c r="M35" i="1" s="1"/>
  <c r="L60" i="1"/>
  <c r="M60" i="1" s="1"/>
  <c r="L4" i="1"/>
  <c r="M4" i="1" s="1"/>
  <c r="L61" i="1"/>
  <c r="M61" i="1" s="1"/>
  <c r="L5" i="1"/>
  <c r="M5" i="1" s="1"/>
  <c r="L62" i="1"/>
  <c r="M62" i="1" s="1"/>
  <c r="L6" i="1"/>
  <c r="M6" i="1" s="1"/>
  <c r="L63" i="1"/>
  <c r="M63" i="1" s="1"/>
  <c r="L7" i="1"/>
  <c r="M7" i="1" s="1"/>
  <c r="L39" i="1"/>
  <c r="M39" i="1" s="1"/>
  <c r="L64" i="1"/>
  <c r="M64" i="1" s="1"/>
  <c r="L8" i="1"/>
  <c r="M8" i="1" s="1"/>
  <c r="L31" i="1"/>
  <c r="M31" i="1" s="1"/>
  <c r="L40" i="1"/>
  <c r="M40" i="1" s="1"/>
  <c r="L54" i="1"/>
  <c r="M54" i="1" s="1"/>
  <c r="L57" i="1"/>
  <c r="M57" i="1" s="1"/>
  <c r="L9" i="1"/>
  <c r="M9" i="1" s="1"/>
  <c r="L65" i="1"/>
  <c r="M65" i="1" s="1"/>
  <c r="L10" i="1"/>
  <c r="M10" i="1" s="1"/>
  <c r="L29" i="1"/>
  <c r="M29" i="1" s="1"/>
  <c r="L56" i="1"/>
  <c r="M56" i="1" s="1"/>
  <c r="L66" i="1"/>
  <c r="M66" i="1" s="1"/>
  <c r="L11" i="1"/>
  <c r="M11" i="1" s="1"/>
  <c r="L26" i="1"/>
  <c r="M26" i="1" s="1"/>
  <c r="L43" i="1"/>
  <c r="M43" i="1" s="1"/>
  <c r="L55" i="1"/>
  <c r="M55" i="1" s="1"/>
  <c r="L67" i="1"/>
  <c r="M67" i="1" s="1"/>
  <c r="L69" i="1"/>
  <c r="M69" i="1" s="1"/>
  <c r="L12" i="1"/>
  <c r="M12" i="1" s="1"/>
  <c r="L23" i="1"/>
  <c r="M23" i="1" s="1"/>
  <c r="L44" i="1"/>
  <c r="M44" i="1" s="1"/>
  <c r="L68" i="1"/>
  <c r="M68" i="1" s="1"/>
  <c r="L13" i="1"/>
  <c r="M13" i="1" s="1"/>
  <c r="L14" i="1"/>
  <c r="M14" i="1" s="1"/>
  <c r="L32" i="1"/>
  <c r="M32" i="1" s="1"/>
  <c r="L15" i="1"/>
  <c r="M15" i="1" s="1"/>
  <c r="L30" i="1"/>
  <c r="M30" i="1" s="1"/>
  <c r="L16" i="1"/>
  <c r="M16" i="1" s="1"/>
  <c r="L28" i="1"/>
  <c r="M28" i="1" s="1"/>
  <c r="L17" i="1"/>
  <c r="M17" i="1" s="1"/>
  <c r="L27" i="1"/>
  <c r="M27" i="1" s="1"/>
  <c r="L49" i="1"/>
  <c r="M49" i="1" s="1"/>
  <c r="L18" i="1"/>
  <c r="M18" i="1" s="1"/>
  <c r="L25" i="1"/>
  <c r="M25" i="1" s="1"/>
  <c r="L50" i="1"/>
  <c r="M50" i="1" s="1"/>
  <c r="L19" i="1"/>
  <c r="M19" i="1" s="1"/>
  <c r="L24" i="1"/>
  <c r="M24" i="1" s="1"/>
  <c r="L51" i="1"/>
  <c r="M51" i="1" s="1"/>
  <c r="L20" i="1"/>
  <c r="M20" i="1" s="1"/>
  <c r="L22" i="1"/>
  <c r="M22" i="1" s="1"/>
  <c r="L52" i="1"/>
  <c r="M52" i="1" s="1"/>
  <c r="L21" i="1"/>
  <c r="M21" i="1" s="1"/>
  <c r="L48" i="1"/>
  <c r="M48" i="1" s="1"/>
  <c r="L47" i="1"/>
  <c r="M47" i="1" s="1"/>
  <c r="L45" i="1"/>
  <c r="M45" i="1" s="1"/>
  <c r="L53" i="1"/>
  <c r="M53" i="1" s="1"/>
  <c r="L42" i="1"/>
  <c r="M42" i="1" s="1"/>
  <c r="L41" i="1"/>
  <c r="M41" i="1" s="1"/>
  <c r="L34" i="1"/>
  <c r="M34" i="1" s="1"/>
  <c r="L36" i="1"/>
  <c r="M36" i="1" s="1"/>
  <c r="L37" i="1"/>
  <c r="M37" i="1" s="1"/>
  <c r="L38" i="1"/>
  <c r="M38" i="1" s="1"/>
  <c r="G22" i="4" l="1"/>
  <c r="H22" i="4"/>
  <c r="L12" i="4"/>
  <c r="F4" i="4"/>
  <c r="F10" i="4" s="1"/>
  <c r="K10" i="4" s="1"/>
  <c r="F22" i="4"/>
  <c r="I20" i="7"/>
  <c r="I14" i="7"/>
  <c r="I18" i="7"/>
  <c r="H19" i="7"/>
  <c r="D21" i="7"/>
  <c r="E21" i="7" s="1"/>
  <c r="D18" i="7"/>
  <c r="E18" i="7" s="1"/>
  <c r="V5" i="5"/>
  <c r="V9" i="5"/>
  <c r="V13" i="5"/>
  <c r="V17" i="5"/>
  <c r="V21" i="5"/>
  <c r="V25" i="5"/>
  <c r="V29" i="5"/>
  <c r="V33" i="5"/>
  <c r="S13" i="5"/>
  <c r="V8" i="5"/>
  <c r="V20" i="5"/>
  <c r="V32" i="5"/>
  <c r="V6" i="5"/>
  <c r="V10" i="5"/>
  <c r="V14" i="5"/>
  <c r="V18" i="5"/>
  <c r="V22" i="5"/>
  <c r="V26" i="5"/>
  <c r="V30" i="5"/>
  <c r="V34" i="5"/>
  <c r="V16" i="5"/>
  <c r="V28" i="5"/>
  <c r="V7" i="5"/>
  <c r="V11" i="5"/>
  <c r="V15" i="5"/>
  <c r="V19" i="5"/>
  <c r="V23" i="5"/>
  <c r="V27" i="5"/>
  <c r="V31" i="5"/>
  <c r="V35" i="5"/>
  <c r="V12" i="5"/>
  <c r="V24" i="5"/>
  <c r="V4" i="5"/>
  <c r="V7" i="6"/>
  <c r="V11" i="6"/>
  <c r="V15" i="6"/>
  <c r="V19" i="6"/>
  <c r="V23" i="6"/>
  <c r="V27" i="6"/>
  <c r="V31" i="6"/>
  <c r="V35" i="6"/>
  <c r="V14" i="6"/>
  <c r="V30" i="6"/>
  <c r="V4" i="6"/>
  <c r="V8" i="6"/>
  <c r="V12" i="6"/>
  <c r="V16" i="6"/>
  <c r="V20" i="6"/>
  <c r="V24" i="6"/>
  <c r="V28" i="6"/>
  <c r="V32" i="6"/>
  <c r="V18" i="6"/>
  <c r="V34" i="6"/>
  <c r="V5" i="6"/>
  <c r="V9" i="6"/>
  <c r="V13" i="6"/>
  <c r="V17" i="6"/>
  <c r="V21" i="6"/>
  <c r="V25" i="6"/>
  <c r="V29" i="6"/>
  <c r="V33" i="6"/>
  <c r="S13" i="6"/>
  <c r="V6" i="6"/>
  <c r="V10" i="6"/>
  <c r="V22" i="6"/>
  <c r="V26" i="6"/>
  <c r="AB32" i="6"/>
  <c r="AC32" i="6" s="1"/>
  <c r="AB16" i="6"/>
  <c r="AC16" i="6" s="1"/>
  <c r="AB24" i="6"/>
  <c r="AC24" i="6" s="1"/>
  <c r="AB8" i="6"/>
  <c r="AC8" i="6" s="1"/>
  <c r="AB28" i="6"/>
  <c r="AC28" i="6" s="1"/>
  <c r="AB20" i="6"/>
  <c r="AC20" i="6" s="1"/>
  <c r="AN20" i="6" s="1"/>
  <c r="AB12" i="6"/>
  <c r="AC12" i="6" s="1"/>
  <c r="AN19" i="6"/>
  <c r="H5" i="4"/>
  <c r="H11" i="4" s="1"/>
  <c r="M11" i="4" s="1"/>
  <c r="H6" i="4"/>
  <c r="H12" i="4" s="1"/>
  <c r="M12" i="4" s="1"/>
  <c r="H20" i="4"/>
  <c r="G8" i="4"/>
  <c r="G14" i="4" s="1"/>
  <c r="L14" i="4" s="1"/>
  <c r="K11" i="4"/>
  <c r="G4" i="4"/>
  <c r="G10" i="4" s="1"/>
  <c r="L10" i="4" s="1"/>
  <c r="G13" i="4"/>
  <c r="L13" i="4" s="1"/>
  <c r="M13" i="4"/>
  <c r="G5" i="4"/>
  <c r="G11" i="4" s="1"/>
  <c r="L11" i="4" s="1"/>
  <c r="F8" i="4"/>
  <c r="F14" i="4" s="1"/>
  <c r="K14" i="4" s="1"/>
  <c r="F7" i="4"/>
  <c r="F13" i="4" s="1"/>
  <c r="K13" i="4" s="1"/>
  <c r="H4" i="4"/>
  <c r="H10" i="4" s="1"/>
  <c r="M10" i="4" s="1"/>
  <c r="F6" i="4"/>
  <c r="F12" i="4" s="1"/>
  <c r="K12" i="4" s="1"/>
  <c r="H8" i="4"/>
  <c r="H14" i="4" s="1"/>
  <c r="M14" i="4" s="1"/>
  <c r="L33" i="1"/>
  <c r="M33" i="1" s="1"/>
  <c r="L46" i="1"/>
  <c r="M46" i="1" s="1"/>
  <c r="AC4" i="6"/>
  <c r="I19" i="7" l="1"/>
  <c r="D19" i="7"/>
  <c r="E19" i="7" s="1"/>
  <c r="W11" i="6"/>
  <c r="W27" i="6"/>
  <c r="W33" i="6"/>
  <c r="Z33" i="6" s="1"/>
  <c r="W24" i="6"/>
  <c r="W21" i="6"/>
  <c r="Z21" i="6" s="1"/>
  <c r="W15" i="6"/>
  <c r="W31" i="6"/>
  <c r="Y31" i="6" s="1"/>
  <c r="W8" i="6"/>
  <c r="W29" i="6"/>
  <c r="W32" i="6"/>
  <c r="W19" i="6"/>
  <c r="W35" i="6"/>
  <c r="Y35" i="6" s="1"/>
  <c r="W13" i="6"/>
  <c r="W34" i="6"/>
  <c r="W7" i="6"/>
  <c r="W23" i="6"/>
  <c r="W6" i="6"/>
  <c r="Y6" i="6" s="1"/>
  <c r="W28" i="6"/>
  <c r="W14" i="6"/>
  <c r="W20" i="6"/>
  <c r="Z20" i="6" s="1"/>
  <c r="W9" i="6"/>
  <c r="Z9" i="6" s="1"/>
  <c r="W12" i="6"/>
  <c r="W16" i="6"/>
  <c r="W4" i="6"/>
  <c r="Y4" i="6" s="1"/>
  <c r="W10" i="6"/>
  <c r="W26" i="6"/>
  <c r="Z26" i="6" s="1"/>
  <c r="W17" i="6"/>
  <c r="W30" i="6"/>
  <c r="W18" i="6"/>
  <c r="W25" i="6"/>
  <c r="W22" i="6"/>
  <c r="W5" i="6"/>
  <c r="AM8" i="5"/>
  <c r="H22" i="7" l="1"/>
  <c r="I22" i="7" s="1"/>
  <c r="D22" i="7"/>
  <c r="E22" i="7" s="1"/>
  <c r="Y29" i="6"/>
  <c r="Z29" i="6"/>
  <c r="Z30" i="6"/>
  <c r="Y13" i="6"/>
  <c r="Y8" i="6"/>
  <c r="Z13" i="6"/>
  <c r="Y10" i="6"/>
  <c r="Y28" i="6"/>
  <c r="Y7" i="6"/>
  <c r="Z8" i="6"/>
  <c r="Y24" i="6"/>
  <c r="Z18" i="6"/>
  <c r="W31" i="5"/>
  <c r="Y31" i="5" s="1"/>
  <c r="W21" i="5"/>
  <c r="Y21" i="5" s="1"/>
  <c r="W25" i="5"/>
  <c r="Y25" i="5" s="1"/>
  <c r="W27" i="5"/>
  <c r="Y27" i="5" s="1"/>
  <c r="W5" i="5"/>
  <c r="Y5" i="5" s="1"/>
  <c r="W24" i="5"/>
  <c r="Y24" i="5" s="1"/>
  <c r="W18" i="5"/>
  <c r="Y18" i="5" s="1"/>
  <c r="W20" i="5"/>
  <c r="W14" i="5"/>
  <c r="W16" i="5"/>
  <c r="Y16" i="5" s="1"/>
  <c r="W7" i="5"/>
  <c r="W12" i="5"/>
  <c r="Y12" i="5" s="1"/>
  <c r="W26" i="5"/>
  <c r="Y26" i="5" s="1"/>
  <c r="W10" i="5"/>
  <c r="Y10" i="5" s="1"/>
  <c r="W35" i="5"/>
  <c r="Y35" i="5" s="1"/>
  <c r="W19" i="5"/>
  <c r="Y19" i="5" s="1"/>
  <c r="W29" i="5"/>
  <c r="Y29" i="5" s="1"/>
  <c r="W22" i="5"/>
  <c r="Y22" i="5" s="1"/>
  <c r="Z32" i="6"/>
  <c r="Y22" i="6"/>
  <c r="Z7" i="6"/>
  <c r="Y20" i="6"/>
  <c r="Y18" i="6"/>
  <c r="Z31" i="6"/>
  <c r="Z4" i="6"/>
  <c r="X4" i="6"/>
  <c r="Y16" i="6"/>
  <c r="Z28" i="6"/>
  <c r="Z25" i="6"/>
  <c r="Y5" i="6"/>
  <c r="Z5" i="6"/>
  <c r="Y27" i="6"/>
  <c r="Z27" i="6"/>
  <c r="Z16" i="6"/>
  <c r="Y25" i="6"/>
  <c r="Y12" i="6"/>
  <c r="Y21" i="6"/>
  <c r="Y23" i="6"/>
  <c r="Y26" i="6"/>
  <c r="Y19" i="6"/>
  <c r="Z19" i="6"/>
  <c r="Y32" i="6"/>
  <c r="Z15" i="6"/>
  <c r="Y9" i="6"/>
  <c r="Y34" i="6"/>
  <c r="Z34" i="6"/>
  <c r="Y14" i="6"/>
  <c r="Z14" i="6"/>
  <c r="Z11" i="6"/>
  <c r="Y11" i="6"/>
  <c r="Z24" i="6"/>
  <c r="Z12" i="6"/>
  <c r="Y30" i="6"/>
  <c r="Z22" i="6"/>
  <c r="Z10" i="6"/>
  <c r="Y15" i="6"/>
  <c r="Z23" i="6"/>
  <c r="Z17" i="6"/>
  <c r="Y17" i="6"/>
  <c r="Z6" i="6"/>
  <c r="Y33" i="6"/>
  <c r="Z35" i="6"/>
  <c r="W15" i="5"/>
  <c r="Y15" i="5" s="1"/>
  <c r="W13" i="5"/>
  <c r="Y13" i="5" s="1"/>
  <c r="W28" i="5"/>
  <c r="W34" i="5"/>
  <c r="Y34" i="5" s="1"/>
  <c r="W33" i="5"/>
  <c r="Y33" i="5" s="1"/>
  <c r="W17" i="5"/>
  <c r="Y17" i="5" s="1"/>
  <c r="W32" i="5"/>
  <c r="W11" i="5"/>
  <c r="Y11" i="5" s="1"/>
  <c r="W8" i="5"/>
  <c r="W9" i="5"/>
  <c r="Y9" i="5" s="1"/>
  <c r="W4" i="5"/>
  <c r="X4" i="5" s="1"/>
  <c r="W30" i="5"/>
  <c r="Y30" i="5" s="1"/>
  <c r="W6" i="5"/>
  <c r="Y6" i="5" s="1"/>
  <c r="W23" i="5"/>
  <c r="Y23" i="5" s="1"/>
  <c r="D24" i="7" l="1"/>
  <c r="E24" i="7" s="1"/>
  <c r="H24" i="7"/>
  <c r="I24" i="7" s="1"/>
  <c r="Z4" i="5"/>
  <c r="Z35" i="5"/>
  <c r="Z33" i="5"/>
  <c r="X6" i="5"/>
  <c r="X35" i="5"/>
  <c r="Y4" i="5"/>
  <c r="Z12" i="5"/>
  <c r="Z6" i="5"/>
  <c r="X33" i="5"/>
  <c r="X29" i="5"/>
  <c r="X12" i="5"/>
  <c r="Y8" i="5"/>
  <c r="X8" i="5"/>
  <c r="Z8" i="5"/>
  <c r="Y28" i="5"/>
  <c r="X28" i="5"/>
  <c r="Y32" i="5"/>
  <c r="X32" i="5"/>
  <c r="Y14" i="5"/>
  <c r="X14" i="5"/>
  <c r="Z14" i="5"/>
  <c r="Y7" i="5"/>
  <c r="X7" i="5"/>
  <c r="Y20" i="5"/>
  <c r="X20" i="5"/>
  <c r="Z7" i="5"/>
  <c r="Z22" i="5"/>
  <c r="Z25" i="5"/>
  <c r="Z16" i="5"/>
  <c r="Z13" i="5"/>
  <c r="Z28" i="5"/>
  <c r="X16" i="5"/>
  <c r="Z32" i="5"/>
  <c r="Z29" i="5"/>
  <c r="X25" i="5"/>
  <c r="Z24" i="5"/>
  <c r="X9" i="5"/>
  <c r="X31" i="5"/>
  <c r="X13" i="5"/>
  <c r="Z9" i="5"/>
  <c r="X27" i="5"/>
  <c r="X24" i="5"/>
  <c r="X30" i="5"/>
  <c r="Z31" i="5"/>
  <c r="Z10" i="5"/>
  <c r="X17" i="5"/>
  <c r="X21" i="5"/>
  <c r="X22" i="5"/>
  <c r="Z18" i="5"/>
  <c r="X26" i="5"/>
  <c r="X18" i="5"/>
  <c r="X34" i="5"/>
  <c r="X15" i="5"/>
  <c r="X19" i="5"/>
  <c r="Z5" i="5"/>
  <c r="X23" i="5"/>
  <c r="X11" i="5"/>
  <c r="Z26" i="5"/>
  <c r="Z27" i="5"/>
  <c r="Z34" i="5"/>
  <c r="Z15" i="5"/>
  <c r="Z17" i="5"/>
  <c r="Z19" i="5"/>
  <c r="X5" i="5"/>
  <c r="Z23" i="5"/>
  <c r="Z20" i="5"/>
  <c r="Z11" i="5"/>
  <c r="Z30" i="5"/>
  <c r="X10" i="5"/>
  <c r="Z21" i="5"/>
  <c r="D25" i="7" l="1"/>
  <c r="D26" i="7"/>
  <c r="E25" i="7"/>
  <c r="H25" i="7"/>
  <c r="I25" i="7" s="1"/>
  <c r="D27" i="7" l="1"/>
  <c r="E26" i="7"/>
  <c r="H26" i="7"/>
  <c r="D28" i="7" l="1"/>
  <c r="E27" i="7"/>
  <c r="H27" i="7"/>
  <c r="I26" i="7"/>
  <c r="E28" i="7" l="1"/>
  <c r="D30" i="7"/>
  <c r="H28" i="7"/>
  <c r="I27" i="7"/>
  <c r="D31" i="7" l="1"/>
  <c r="E31" i="7" s="1"/>
  <c r="E30" i="7"/>
  <c r="I28" i="7"/>
  <c r="H30" i="7"/>
  <c r="I30" i="7" l="1"/>
  <c r="H31" i="7"/>
  <c r="I31" i="7" s="1"/>
</calcChain>
</file>

<file path=xl/sharedStrings.xml><?xml version="1.0" encoding="utf-8"?>
<sst xmlns="http://schemas.openxmlformats.org/spreadsheetml/2006/main" count="289" uniqueCount="208">
  <si>
    <t>d</t>
  </si>
  <si>
    <t>q</t>
  </si>
  <si>
    <t>f</t>
  </si>
  <si>
    <t>r</t>
  </si>
  <si>
    <t>max input rate</t>
  </si>
  <si>
    <t>min input rate</t>
  </si>
  <si>
    <t>divisor</t>
  </si>
  <si>
    <t>multiplier</t>
  </si>
  <si>
    <t>hfr</t>
  </si>
  <si>
    <t>hfrdiv</t>
  </si>
  <si>
    <t>hfrtrim</t>
  </si>
  <si>
    <t>freq</t>
  </si>
  <si>
    <t>2*(pllf+1)</t>
  </si>
  <si>
    <t>(pllr+1)*(2^pllq)*((plloutdiv&lt;0)?1:2*(plloutdiv+1))</t>
  </si>
  <si>
    <t>pllf</t>
  </si>
  <si>
    <t>pllr</t>
  </si>
  <si>
    <t>fref</t>
  </si>
  <si>
    <t>pllq</t>
  </si>
  <si>
    <t>plld</t>
  </si>
  <si>
    <t>tlock us</t>
  </si>
  <si>
    <t>~20 us</t>
  </si>
  <si>
    <t>25~35 us</t>
  </si>
  <si>
    <t>40~50 us</t>
  </si>
  <si>
    <t>tlock
less dwell
122us</t>
  </si>
  <si>
    <t>(hfrtrim+1)</t>
  </si>
  <si>
    <t>div</t>
  </si>
  <si>
    <t>trim</t>
  </si>
  <si>
    <t>calculated (30 + (trim+1)/5*((trim+1)/5 + 1) / (div + 1)</t>
  </si>
  <si>
    <t>hfclk_mhz</t>
  </si>
  <si>
    <t>m</t>
  </si>
  <si>
    <t>2^m</t>
  </si>
  <si>
    <t>hfclk_mhz * 32768)/2^m</t>
  </si>
  <si>
    <t>lfclk_hz</t>
  </si>
  <si>
    <t>dT uS</t>
  </si>
  <si>
    <t>2^32 - 1</t>
  </si>
  <si>
    <t>counter range check</t>
  </si>
  <si>
    <t>1b88e</t>
  </si>
  <si>
    <t>1ba5c</t>
  </si>
  <si>
    <t>1b9ac</t>
  </si>
  <si>
    <t>lfrdiv</t>
  </si>
  <si>
    <t>(lfrtrim+1)</t>
  </si>
  <si>
    <t>lfrtrim</t>
  </si>
  <si>
    <t>WDT</t>
  </si>
  <si>
    <t>RTC</t>
  </si>
  <si>
    <t>MTIME</t>
  </si>
  <si>
    <t>-</t>
  </si>
  <si>
    <t>multiply by two</t>
  </si>
  <si>
    <t>divide by counter value</t>
  </si>
  <si>
    <t>compare to MTIME result</t>
  </si>
  <si>
    <t>measured by PWM and GPIO direct by oscilloscope</t>
  </si>
  <si>
    <t>measured by MTIME indirect by assembly code and GPIO marker with oscilloscope</t>
  </si>
  <si>
    <t>x 2</t>
  </si>
  <si>
    <t>/5</t>
  </si>
  <si>
    <t>ns</t>
  </si>
  <si>
    <t>measured interval of</t>
  </si>
  <si>
    <t>waitmtime_loop</t>
  </si>
  <si>
    <t xml:space="preserve">  amoxor.w x0</t>
  </si>
  <si>
    <t xml:space="preserve"> t5</t>
  </si>
  <si>
    <t xml:space="preserve"> (t6)       # MARKER PULSE: gpio_output_val ^= (1&lt;&lt;21)</t>
  </si>
  <si>
    <t>waitmtime_loop:</t>
  </si>
  <si>
    <t xml:space="preserve">  lw t1</t>
  </si>
  <si>
    <t xml:space="preserve"> CLINT_MTIME_LO(t0)   # current time</t>
  </si>
  <si>
    <t xml:space="preserve">  blt t1</t>
  </si>
  <si>
    <t xml:space="preserve"> t2</t>
  </si>
  <si>
    <t xml:space="preserve"> waitmtime_loop  # while (mtime &lt; (mtime0 + 100us))</t>
  </si>
  <si>
    <t>src</t>
  </si>
  <si>
    <t>pll</t>
  </si>
  <si>
    <t>hfclk mhz</t>
  </si>
  <si>
    <t>dT ns</t>
  </si>
  <si>
    <t>hfx</t>
  </si>
  <si>
    <t>1,31,1,-1</t>
  </si>
  <si>
    <t>1,31,2,-1</t>
  </si>
  <si>
    <t>1,31,3,-1</t>
  </si>
  <si>
    <t>1,31,3,0</t>
  </si>
  <si>
    <t>1,31,3,31</t>
  </si>
  <si>
    <t>hfclk ns</t>
  </si>
  <si>
    <t>calculated (85.115 + (trim+1)/7*((trim+1)/1 - 7/6) / (div + 1)</t>
  </si>
  <si>
    <t>pwm_loop</t>
  </si>
  <si>
    <t>*</t>
  </si>
  <si>
    <t>meas'd</t>
  </si>
  <si>
    <t>calc'd</t>
  </si>
  <si>
    <t>cal'c</t>
  </si>
  <si>
    <t>HFR</t>
  </si>
  <si>
    <t>OUTDIV</t>
  </si>
  <si>
    <t>calc'd uS</t>
  </si>
  <si>
    <t>meas'd uS</t>
  </si>
  <si>
    <t>calc'd nS</t>
  </si>
  <si>
    <t>meas'd nS</t>
  </si>
  <si>
    <t>calc'd HFR MHz</t>
  </si>
  <si>
    <t>calc'd OUTDIV MHZ</t>
  </si>
  <si>
    <t>(trim - 16)</t>
  </si>
  <si>
    <t>calc'd LFR KHz</t>
  </si>
  <si>
    <t>calc'd OUTDIV KHZ</t>
  </si>
  <si>
    <t>time per inverter</t>
  </si>
  <si>
    <t>num inverters</t>
  </si>
  <si>
    <t>offset/slope</t>
  </si>
  <si>
    <t>1*offset</t>
  </si>
  <si>
    <t>offset</t>
  </si>
  <si>
    <t>HFR_MIN:</t>
  </si>
  <si>
    <t>HFR_MAX:</t>
  </si>
  <si>
    <t>HFR_A:</t>
  </si>
  <si>
    <t>HFR_B:</t>
  </si>
  <si>
    <t>LFR_MIN:</t>
  </si>
  <si>
    <t>LFR_MAX:</t>
  </si>
  <si>
    <t>LFR_A:</t>
  </si>
  <si>
    <t>LFR_B:</t>
  </si>
  <si>
    <t>t1</t>
  </si>
  <si>
    <t>t2</t>
  </si>
  <si>
    <t>t3</t>
  </si>
  <si>
    <t>LFR_UNIT:</t>
  </si>
  <si>
    <t>HFR_UNIT:</t>
  </si>
  <si>
    <t>a0</t>
  </si>
  <si>
    <t>and a0, a0, ((1&lt;&lt;5)-1)</t>
  </si>
  <si>
    <t>uS/nS</t>
  </si>
  <si>
    <t>nS/inv</t>
  </si>
  <si>
    <t>num. inv</t>
  </si>
  <si>
    <t>Hz</t>
  </si>
  <si>
    <t>pS/inv</t>
  </si>
  <si>
    <t>nS/pS</t>
  </si>
  <si>
    <t>a0 = ((1&lt;&lt;5) - 1) &amp; (16 * (1&lt;&lt;10) -  (b * 1 * (1&lt;&lt;10)/freq - 1 * (1&lt;&lt;10)) / a) / (1&lt;&lt;10)</t>
  </si>
  <si>
    <t>input check</t>
  </si>
  <si>
    <t>sub a0, a0, t4</t>
  </si>
  <si>
    <t>x = a * freq / 1000</t>
  </si>
  <si>
    <t>mul t4, t1, a0</t>
  </si>
  <si>
    <t>div t4, t4 t3</t>
  </si>
  <si>
    <t>slli t5, t5, 10</t>
  </si>
  <si>
    <t>y = 1000 * (1&lt;&lt;10)</t>
  </si>
  <si>
    <t>div t4, t5, t4</t>
  </si>
  <si>
    <t>x = (1000 * (1&lt;&lt;10)) / (a * freq / 1000)</t>
  </si>
  <si>
    <t>li t5, 1e6</t>
  </si>
  <si>
    <t>y = 1000000</t>
  </si>
  <si>
    <t>addi t5, x0, (1&lt;&lt;10)</t>
  </si>
  <si>
    <t>y = 1 * (1&lt;&lt;10)</t>
  </si>
  <si>
    <t>sub t4, t4, t5</t>
  </si>
  <si>
    <t>x = x - y</t>
  </si>
  <si>
    <t>mul t4, t2, t4</t>
  </si>
  <si>
    <t>x = b * x</t>
  </si>
  <si>
    <t>slli t4, t4, 1</t>
  </si>
  <si>
    <t>srli t4, t4, (10+1)</t>
  </si>
  <si>
    <t>x = x / (1&lt;&lt;(10+1))</t>
  </si>
  <si>
    <t>x = x * (1&lt;&lt;1)</t>
  </si>
  <si>
    <t>x = x + (1&lt;&lt;10)/(1&lt;&lt;1)</t>
  </si>
  <si>
    <t>addi t4, t4, (1&lt;&lt;10)/(1&lt;&lt;1)</t>
  </si>
  <si>
    <t>li a0, (1&lt;&lt;5)/(1&lt;&lt;1)</t>
  </si>
  <si>
    <t>a0 = (1&lt;&lt;5)/(1&lt;&lt;1)  # 5-bits, bias mid-range</t>
  </si>
  <si>
    <t>a0 = a0 -  x</t>
  </si>
  <si>
    <t>x = a * (freq/1000)</t>
  </si>
  <si>
    <t>div a0, a0, 1000</t>
  </si>
  <si>
    <t>a0 = a0 / 1000</t>
  </si>
  <si>
    <t>RING OSCILLATOR EQUATION</t>
  </si>
  <si>
    <t xml:space="preserve">    float freq_hz;</t>
  </si>
  <si>
    <t>}</t>
  </si>
  <si>
    <t xml:space="preserve">    int n;</t>
  </si>
  <si>
    <t xml:space="preserve">    if ((freq_hz &lt; *freq_min) || (freq_hz &gt; *freq_max)) return -1;  // ERR: freq out of range</t>
  </si>
  <si>
    <t xml:space="preserve">    return n;</t>
  </si>
  <si>
    <t xml:space="preserve">    return freq_hz;</t>
  </si>
  <si>
    <t>};</t>
  </si>
  <si>
    <t xml:space="preserve">    float a;  // uS per inverter gate</t>
  </si>
  <si>
    <t xml:space="preserve">    int b;  // num. of inverter gates, must be odd</t>
  </si>
  <si>
    <t xml:space="preserve">    float fmin;  // Hz</t>
  </si>
  <si>
    <t xml:space="preserve">    float fmax;  // Hz</t>
  </si>
  <si>
    <t>struct ring_osc_t {</t>
  </si>
  <si>
    <t>enum ro_t { LFR, HFR, MAX_RO };</t>
  </si>
  <si>
    <t xml:space="preserve">    int b;</t>
  </si>
  <si>
    <t xml:space="preserve">    float fmin, fmax;</t>
  </si>
  <si>
    <t xml:space="preserve">    8.728,  // uS per inverter gate</t>
  </si>
  <si>
    <t xml:space="preserve">    31,  // num. of inverter gates, must be odd</t>
  </si>
  <si>
    <t xml:space="preserve">    11.558,  // nS per inverter gate</t>
  </si>
  <si>
    <t xml:space="preserve">    35,  // num. of inverter gates, must be odd</t>
  </si>
  <si>
    <t xml:space="preserve">    59376579.84,  // Hz</t>
  </si>
  <si>
    <t xml:space="preserve">    151410278.6,  // Hz</t>
  </si>
  <si>
    <t xml:space="preserve">    75569.94364,  // Hz</t>
  </si>
  <si>
    <t xml:space="preserve">    225986.7094,  // Hz</t>
  </si>
  <si>
    <t>const struct ring_osc_t *clocks[MAX_RO] = { &amp;AON_LFR_OSC, &amp;PRCI_HFR_OSC );</t>
  </si>
  <si>
    <t>const struct ring_osc_t AON_LFR_OSC = {  // FE310, 0x1000 0000 + 0x070</t>
  </si>
  <si>
    <t>const struct ring_osc_t PRCI_HFR_OSC = {  // FE310, 0x1000 8000 + 0x00</t>
  </si>
  <si>
    <t xml:space="preserve">    freq_hz = 1.0 / (a * (( (float) (1&lt;&lt;(5-1)) - (float) n) / b + 1.0));  // 5-bits, bias mid range</t>
  </si>
  <si>
    <t xml:space="preserve">    n = (1&lt;&lt;(5-1)) - b * (int(1.0 / (a * freq_hz)) - 1.0);  // 5-bits, bias mid range</t>
  </si>
  <si>
    <t xml:space="preserve">    a = clocks[ro]-&gt;a;</t>
  </si>
  <si>
    <t xml:space="preserve">    b = clocks[ro]-&gt;b;</t>
  </si>
  <si>
    <t xml:space="preserve">    float a;</t>
  </si>
  <si>
    <t xml:space="preserve">    fmin = clock_ro_code2freq( ro, 0 );</t>
  </si>
  <si>
    <t xml:space="preserve">    if ((n &lt; 0) || (n &gt; (1&lt;&lt;5))) return -1.0;  // ERR: n is only 5-bits</t>
  </si>
  <si>
    <t xml:space="preserve">    fmax = clock_ro_code2freq( ro, (1&lt;&lt;5) );  // 5-bits, full scale</t>
  </si>
  <si>
    <t xml:space="preserve">    if (fmin != clocks[ro]-&gt;fmin)  return -2;  // ERR: calculation and data do not agree</t>
  </si>
  <si>
    <t xml:space="preserve">    if (fmax != clocks[ro]-&gt;fmax)  return -2;  // ERR: calculation and data do not agree</t>
  </si>
  <si>
    <r>
      <t xml:space="preserve">float </t>
    </r>
    <r>
      <rPr>
        <b/>
        <sz val="9"/>
        <color theme="1"/>
        <rFont val="Courier New"/>
        <family val="3"/>
      </rPr>
      <t>clock_ro_code2freq</t>
    </r>
    <r>
      <rPr>
        <sz val="9"/>
        <color theme="1"/>
        <rFont val="Courier New"/>
        <family val="3"/>
      </rPr>
      <t xml:space="preserve"> ( enum ro_t ro, int n ) {</t>
    </r>
  </si>
  <si>
    <r>
      <t xml:space="preserve">int </t>
    </r>
    <r>
      <rPr>
        <b/>
        <sz val="9"/>
        <color theme="1"/>
        <rFont val="Courier New"/>
        <family val="3"/>
      </rPr>
      <t>clock_ro_freq2code</t>
    </r>
    <r>
      <rPr>
        <sz val="9"/>
        <color theme="1"/>
        <rFont val="Courier New"/>
        <family val="3"/>
      </rPr>
      <t xml:space="preserve"> ( enum ro_t ro, float freq_hz ) {</t>
    </r>
  </si>
  <si>
    <t>CLOCK_RO_TAB:</t>
  </si>
  <si>
    <t>OFFSET:</t>
  </si>
  <si>
    <t>0x1000 0000</t>
  </si>
  <si>
    <t>0x1000 8000</t>
  </si>
  <si>
    <t>0x00</t>
  </si>
  <si>
    <t>0x070</t>
  </si>
  <si>
    <t>BASE:</t>
  </si>
  <si>
    <t>PRCI</t>
  </si>
  <si>
    <t>AON</t>
  </si>
  <si>
    <t>LFR_OSC</t>
  </si>
  <si>
    <t>HFR_OSC</t>
  </si>
  <si>
    <t>3,16</t>
  </si>
  <si>
    <t>1,14</t>
  </si>
  <si>
    <t>15,6</t>
  </si>
  <si>
    <t>clock_lfrosc_adj( div, trim );</t>
  </si>
  <si>
    <t>clock_wait_mtime()</t>
  </si>
  <si>
    <t>clock_freq_rtc()</t>
  </si>
  <si>
    <t>clock_freq_wdt()</t>
  </si>
  <si>
    <t>MTIME is direct to LFR</t>
  </si>
  <si>
    <t>RTC and WDT are div16 then div100 from LFR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</si>
</sst>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0" fillId="0" borderId="0" xfId="0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9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quotePrefix="1"/>
    <xf numFmtId="0" fontId="2" fillId="2" borderId="1" xfId="0" applyFont="1" applyFill="1" applyBorder="1"/>
    <xf numFmtId="0" fontId="10" fillId="0" borderId="0" xfId="0" applyFont="1"/>
    <xf numFmtId="0" fontId="4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/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11" fontId="0" fillId="0" borderId="1" xfId="0" applyNumberFormat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FE310 PRCI PLL</a:t>
            </a:r>
          </a:p>
          <a:p>
            <a:pPr>
              <a:defRPr/>
            </a:pPr>
            <a:r>
              <a:rPr lang="en-US"/>
              <a:t>fref=16MHz;</a:t>
            </a:r>
            <a:r>
              <a:rPr lang="en-US" baseline="0"/>
              <a:t> pllr=1; pllq=3; plld=1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'PLL calc and meas'!$E$3</c:f>
              <c:strCache>
                <c:ptCount val="1"/>
                <c:pt idx="0">
                  <c:v>tlock
less dwell
122us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'PLL calc and meas'!$C$4:$C$28</c:f>
              <c:numCache>
                <c:formatCode>General</c:formatCode>
                <c:ptCount val="25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</c:numCache>
            </c:numRef>
          </c:xVal>
          <c:yVal>
            <c:numRef>
              <c:f>'PLL calc and meas'!$E$4:$E$28</c:f>
              <c:numCache>
                <c:formatCode>General</c:formatCode>
                <c:ptCount val="25"/>
                <c:pt idx="0">
                  <c:v>40.629687499999989</c:v>
                </c:pt>
                <c:pt idx="1">
                  <c:v>38.729687500000011</c:v>
                </c:pt>
                <c:pt idx="2">
                  <c:v>33.529687499999994</c:v>
                </c:pt>
                <c:pt idx="3">
                  <c:v>25.9296875</c:v>
                </c:pt>
                <c:pt idx="4">
                  <c:v>15.829687500000006</c:v>
                </c:pt>
                <c:pt idx="5">
                  <c:v>45.029687499999994</c:v>
                </c:pt>
                <c:pt idx="6">
                  <c:v>30.4296875</c:v>
                </c:pt>
                <c:pt idx="7">
                  <c:v>14.529687499999994</c:v>
                </c:pt>
                <c:pt idx="8">
                  <c:v>39.329687500000006</c:v>
                </c:pt>
                <c:pt idx="9">
                  <c:v>20.229687500000011</c:v>
                </c:pt>
                <c:pt idx="10">
                  <c:v>41.229687500000011</c:v>
                </c:pt>
                <c:pt idx="11">
                  <c:v>19.029687499999994</c:v>
                </c:pt>
                <c:pt idx="12">
                  <c:v>38.629687499999989</c:v>
                </c:pt>
                <c:pt idx="13">
                  <c:v>14.529687499999994</c:v>
                </c:pt>
                <c:pt idx="14">
                  <c:v>31.729687500000011</c:v>
                </c:pt>
                <c:pt idx="15">
                  <c:v>48.129687499999989</c:v>
                </c:pt>
                <c:pt idx="16">
                  <c:v>21.629687499999989</c:v>
                </c:pt>
                <c:pt idx="17">
                  <c:v>36.829687500000006</c:v>
                </c:pt>
                <c:pt idx="18">
                  <c:v>50.129687499999989</c:v>
                </c:pt>
                <c:pt idx="19">
                  <c:v>20.9296875</c:v>
                </c:pt>
                <c:pt idx="20">
                  <c:v>34.329687500000006</c:v>
                </c:pt>
                <c:pt idx="21">
                  <c:v>46.329687500000006</c:v>
                </c:pt>
                <c:pt idx="22">
                  <c:v>15.9296875</c:v>
                </c:pt>
                <c:pt idx="23">
                  <c:v>27.329687500000006</c:v>
                </c:pt>
                <c:pt idx="24">
                  <c:v>38.129687499999989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92832"/>
        <c:axId val="371984992"/>
      </c:scatterChart>
      <c:valAx>
        <c:axId val="371992832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pllf ( PKKCFG[]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84992"/>
        <c:crosses val="autoZero"/>
        <c:crossBetween val="midCat"/>
      </c:valAx>
      <c:valAx>
        <c:axId val="3719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Lock</a:t>
                </a:r>
                <a:r>
                  <a:rPr lang="en-US" baseline="0"/>
                  <a:t> Acquisitin Time less 122uS dwell ( uS 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lfrdiv</a:t>
            </a:r>
          </a:p>
          <a:p>
            <a:pPr>
              <a:defRPr/>
            </a:pPr>
            <a:r>
              <a:rPr lang="en-US"/>
              <a:t>lfrtrim=0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'LFR calc and meas'!$C$3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11407227942662"/>
                  <c:y val="5.38356867402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'LFR calc and meas'!$C$3:$R$3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</c:v>
                </c:pt>
                <c:pt idx="6">
                  <c:v>6.6666666666666666E-2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3.125E-2</c:v>
                </c:pt>
                <c:pt idx="11">
                  <c:v>1.6666666666666666E-2</c:v>
                </c:pt>
                <c:pt idx="12">
                  <c:v>1.6393442622950821E-2</c:v>
                </c:pt>
                <c:pt idx="13">
                  <c:v>1.6129032258064516E-2</c:v>
                </c:pt>
                <c:pt idx="14">
                  <c:v>1.5873015873015872E-2</c:v>
                </c:pt>
                <c:pt idx="15">
                  <c:v>1.5625E-2</c:v>
                </c:pt>
              </c:numCache>
            </c:numRef>
          </c:xVal>
          <c:yVal>
            <c:numRef>
              <c:f>'LFR calc and meas'!$C$4:$R$4</c:f>
              <c:numCache>
                <c:formatCode>General</c:formatCode>
                <c:ptCount val="16"/>
                <c:pt idx="0">
                  <c:v>75.5</c:v>
                </c:pt>
                <c:pt idx="1">
                  <c:v>15.06</c:v>
                </c:pt>
                <c:pt idx="2">
                  <c:v>10.039999999999999</c:v>
                </c:pt>
                <c:pt idx="3">
                  <c:v>7.52</c:v>
                </c:pt>
                <c:pt idx="4">
                  <c:v>6.02</c:v>
                </c:pt>
                <c:pt idx="5">
                  <c:v>3.01</c:v>
                </c:pt>
                <c:pt idx="6">
                  <c:v>2.0099999999999998</c:v>
                </c:pt>
                <c:pt idx="9">
                  <c:v>1</c:v>
                </c:pt>
                <c:pt idx="10">
                  <c:v>0.93979999999999997</c:v>
                </c:pt>
                <c:pt idx="11">
                  <c:v>0.70620000000000005</c:v>
                </c:pt>
                <c:pt idx="12">
                  <c:v>0.68869999999999998</c:v>
                </c:pt>
                <c:pt idx="13">
                  <c:v>0.67749999999999999</c:v>
                </c:pt>
                <c:pt idx="14">
                  <c:v>0.68300000000000005</c:v>
                </c:pt>
                <c:pt idx="15">
                  <c:v>0.66949999999999998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66792"/>
        <c:axId val="531067184"/>
      </c:scatterChart>
      <c:valAx>
        <c:axId val="53106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7184"/>
        <c:crosses val="autoZero"/>
        <c:crossBetween val="midCat"/>
      </c:valAx>
      <c:valAx>
        <c:axId val="5310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waitmtime_loop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'LFR calc and meas'!$BB$13</c:f>
              <c:strCache>
                <c:ptCount val="1"/>
                <c:pt idx="0">
                  <c:v>dT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1016666666666663"/>
                  <c:y val="-0.1207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'LFR calc and meas'!$BA$14:$BA$19</c:f>
              <c:numCache>
                <c:formatCode>General</c:formatCode>
                <c:ptCount val="6"/>
                <c:pt idx="0">
                  <c:v>20</c:v>
                </c:pt>
                <c:pt idx="1">
                  <c:v>3.90625</c:v>
                </c:pt>
                <c:pt idx="2">
                  <c:v>7.8125</c:v>
                </c:pt>
                <c:pt idx="3">
                  <c:v>15.625</c:v>
                </c:pt>
                <c:pt idx="4">
                  <c:v>31.25</c:v>
                </c:pt>
                <c:pt idx="5">
                  <c:v>1000</c:v>
                </c:pt>
              </c:numCache>
            </c:numRef>
          </c:xVal>
          <c:yVal>
            <c:numRef>
              <c:f>'LFR calc and meas'!$BB$14:$BB$19</c:f>
              <c:numCache>
                <c:formatCode>General</c:formatCode>
                <c:ptCount val="6"/>
                <c:pt idx="0">
                  <c:v>324</c:v>
                </c:pt>
                <c:pt idx="1">
                  <c:v>66</c:v>
                </c:pt>
                <c:pt idx="2">
                  <c:v>133</c:v>
                </c:pt>
                <c:pt idx="3">
                  <c:v>265</c:v>
                </c:pt>
                <c:pt idx="4">
                  <c:v>530</c:v>
                </c:pt>
                <c:pt idx="5">
                  <c:v>17000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56544"/>
        <c:axId val="483453016"/>
      </c:scatterChart>
      <c:valAx>
        <c:axId val="48345654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HF Clock Period ( nS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3016"/>
        <c:crosses val="autoZero"/>
        <c:crossBetween val="midCat"/>
      </c:valAx>
      <c:valAx>
        <c:axId val="4834530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Interval ( nS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lfrtrim</a:t>
            </a:r>
          </a:p>
          <a:p>
            <a:pPr>
              <a:defRPr/>
            </a:pPr>
            <a:r>
              <a:rPr lang="en-US"/>
              <a:t>lfrdiv=0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977034478319638"/>
                  <c:y val="-0.63436132983377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'LFR calc and meas'!$T$4:$T$35</c:f>
              <c:numCache>
                <c:formatCode>General</c:formatCode>
                <c:ptCount val="3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-8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-14</c:v>
                </c:pt>
                <c:pt idx="31">
                  <c:v>-15</c:v>
                </c:pt>
              </c:numCache>
            </c:numRef>
          </c:xVal>
          <c:yVal>
            <c:numRef>
              <c:f>'LFR calc and meas'!$U$4:$U$35</c:f>
              <c:numCache>
                <c:formatCode>General</c:formatCode>
                <c:ptCount val="32"/>
                <c:pt idx="0">
                  <c:v>13.245033112582782</c:v>
                </c:pt>
                <c:pt idx="1">
                  <c:v>12.953367875647668</c:v>
                </c:pt>
                <c:pt idx="2">
                  <c:v>12.674271229404308</c:v>
                </c:pt>
                <c:pt idx="3">
                  <c:v>12.360939431396785</c:v>
                </c:pt>
                <c:pt idx="4">
                  <c:v>12.135922330097088</c:v>
                </c:pt>
                <c:pt idx="5">
                  <c:v>11.82033096926714</c:v>
                </c:pt>
                <c:pt idx="6">
                  <c:v>11.534025374855824</c:v>
                </c:pt>
                <c:pt idx="7">
                  <c:v>11.22334455667789</c:v>
                </c:pt>
                <c:pt idx="8">
                  <c:v>11.037527593818984</c:v>
                </c:pt>
                <c:pt idx="9">
                  <c:v>10.695187165775401</c:v>
                </c:pt>
                <c:pt idx="10">
                  <c:v>10.438413361169102</c:v>
                </c:pt>
                <c:pt idx="11">
                  <c:v>10.121457489878543</c:v>
                </c:pt>
                <c:pt idx="12">
                  <c:v>9.8814229249011856</c:v>
                </c:pt>
                <c:pt idx="13">
                  <c:v>9.5602294455066925</c:v>
                </c:pt>
                <c:pt idx="14">
                  <c:v>9.2764378478664185</c:v>
                </c:pt>
                <c:pt idx="15">
                  <c:v>8.9605734767025087</c:v>
                </c:pt>
                <c:pt idx="16">
                  <c:v>8.7796312554872689</c:v>
                </c:pt>
                <c:pt idx="17">
                  <c:v>8.4602368866328259</c:v>
                </c:pt>
                <c:pt idx="18">
                  <c:v>8.1833060556464812</c:v>
                </c:pt>
                <c:pt idx="19">
                  <c:v>7.8616352201257858</c:v>
                </c:pt>
                <c:pt idx="20">
                  <c:v>7.6394194041252863</c:v>
                </c:pt>
                <c:pt idx="21">
                  <c:v>7.3206442166910692</c:v>
                </c:pt>
                <c:pt idx="22">
                  <c:v>7.042253521126761</c:v>
                </c:pt>
                <c:pt idx="23">
                  <c:v>6.7385444743935308</c:v>
                </c:pt>
                <c:pt idx="24">
                  <c:v>6.5616797900262469</c:v>
                </c:pt>
                <c:pt idx="25">
                  <c:v>6.1804697156983925</c:v>
                </c:pt>
                <c:pt idx="26">
                  <c:v>5.9206631142687982</c:v>
                </c:pt>
                <c:pt idx="27">
                  <c:v>5.5991041433370663</c:v>
                </c:pt>
                <c:pt idx="28">
                  <c:v>5.3590568060021431</c:v>
                </c:pt>
                <c:pt idx="29">
                  <c:v>5.040322580645161</c:v>
                </c:pt>
                <c:pt idx="30">
                  <c:v>4.7596382674916704</c:v>
                </c:pt>
                <c:pt idx="31">
                  <c:v>4.4404973357015987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'LFR calc and meas'!$T$4:$T$35</c:f>
              <c:numCache>
                <c:formatCode>General</c:formatCode>
                <c:ptCount val="3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-8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-14</c:v>
                </c:pt>
                <c:pt idx="31">
                  <c:v>-15</c:v>
                </c:pt>
              </c:numCache>
            </c:numRef>
          </c:xVal>
          <c:yVal>
            <c:numRef>
              <c:f>'LFR calc and meas'!$V$4:$V$35</c:f>
              <c:numCache>
                <c:formatCode>General</c:formatCode>
                <c:ptCount val="32"/>
                <c:pt idx="0">
                  <c:v>13.232774193548387</c:v>
                </c:pt>
                <c:pt idx="1">
                  <c:v>12.951225806451612</c:v>
                </c:pt>
                <c:pt idx="2">
                  <c:v>12.669677419354839</c:v>
                </c:pt>
                <c:pt idx="3">
                  <c:v>12.388129032258064</c:v>
                </c:pt>
                <c:pt idx="4">
                  <c:v>12.106580645161291</c:v>
                </c:pt>
                <c:pt idx="5">
                  <c:v>11.825032258064518</c:v>
                </c:pt>
                <c:pt idx="6">
                  <c:v>11.543483870967741</c:v>
                </c:pt>
                <c:pt idx="7">
                  <c:v>11.261935483870968</c:v>
                </c:pt>
                <c:pt idx="8">
                  <c:v>10.980387096774193</c:v>
                </c:pt>
                <c:pt idx="9">
                  <c:v>10.698838709677419</c:v>
                </c:pt>
                <c:pt idx="10">
                  <c:v>10.417290322580646</c:v>
                </c:pt>
                <c:pt idx="11">
                  <c:v>10.135741935483871</c:v>
                </c:pt>
                <c:pt idx="12">
                  <c:v>9.8541935483870962</c:v>
                </c:pt>
                <c:pt idx="13">
                  <c:v>9.5726451612903212</c:v>
                </c:pt>
                <c:pt idx="14">
                  <c:v>9.291096774193548</c:v>
                </c:pt>
                <c:pt idx="15">
                  <c:v>9.009548387096773</c:v>
                </c:pt>
                <c:pt idx="16">
                  <c:v>8.7279999999999998</c:v>
                </c:pt>
                <c:pt idx="17">
                  <c:v>8.4464516129032265</c:v>
                </c:pt>
                <c:pt idx="18">
                  <c:v>8.1649032258064516</c:v>
                </c:pt>
                <c:pt idx="19">
                  <c:v>7.8833548387096766</c:v>
                </c:pt>
                <c:pt idx="20">
                  <c:v>7.6018064516129034</c:v>
                </c:pt>
                <c:pt idx="21">
                  <c:v>7.3202580645161293</c:v>
                </c:pt>
                <c:pt idx="22">
                  <c:v>7.0387096774193543</c:v>
                </c:pt>
                <c:pt idx="23">
                  <c:v>6.7571612903225802</c:v>
                </c:pt>
                <c:pt idx="24">
                  <c:v>6.4756129032258061</c:v>
                </c:pt>
                <c:pt idx="25">
                  <c:v>6.194064516129032</c:v>
                </c:pt>
                <c:pt idx="26">
                  <c:v>5.9125161290322588</c:v>
                </c:pt>
                <c:pt idx="27">
                  <c:v>5.6309677419354838</c:v>
                </c:pt>
                <c:pt idx="28">
                  <c:v>5.3494193548387097</c:v>
                </c:pt>
                <c:pt idx="29">
                  <c:v>5.0678709677419347</c:v>
                </c:pt>
                <c:pt idx="30">
                  <c:v>4.7863225806451606</c:v>
                </c:pt>
                <c:pt idx="31">
                  <c:v>4.5047741935483865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24824"/>
        <c:axId val="367122864"/>
      </c:scatterChart>
      <c:valAx>
        <c:axId val="3671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2864"/>
        <c:crosses val="autoZero"/>
        <c:crossBetween val="midCat"/>
      </c:valAx>
      <c:valAx>
        <c:axId val="367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clock_meas!$B$9</c:f>
              <c:strCache>
                <c:ptCount val="1"/>
                <c:pt idx="0">
                  <c:v>dT 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491163604549432"/>
                  <c:y val="-0.16118802857976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clock_meas!$A$10:$A$15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clock_meas!$B$10:$B$15</c:f>
              <c:numCache>
                <c:formatCode>General</c:formatCode>
                <c:ptCount val="6"/>
                <c:pt idx="0">
                  <c:v>39.6</c:v>
                </c:pt>
                <c:pt idx="1">
                  <c:v>82.2</c:v>
                </c:pt>
                <c:pt idx="2">
                  <c:v>167.2</c:v>
                </c:pt>
                <c:pt idx="3">
                  <c:v>337.6</c:v>
                </c:pt>
                <c:pt idx="4">
                  <c:v>678</c:v>
                </c:pt>
                <c:pt idx="5">
                  <c:v>1360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990480"/>
        <c:axId val="371987344"/>
      </c:scatterChart>
      <c:valAx>
        <c:axId val="3719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87344"/>
        <c:crosses val="autoZero"/>
        <c:crossBetween val="midCat"/>
      </c:valAx>
      <c:valAx>
        <c:axId val="3719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9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hfrdiv</a:t>
            </a:r>
          </a:p>
          <a:p>
            <a:pPr>
              <a:defRPr/>
            </a:pPr>
            <a:r>
              <a:rPr lang="en-US"/>
              <a:t>hfrtrim=16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'HFR calc and meas'!$C$3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84945514866774"/>
                  <c:y val="7.7877094972067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meas'!$C$3:$R$3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</c:v>
                </c:pt>
                <c:pt idx="6">
                  <c:v>6.6666666666666666E-2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3.125E-2</c:v>
                </c:pt>
                <c:pt idx="11">
                  <c:v>1.6666666666666666E-2</c:v>
                </c:pt>
                <c:pt idx="12">
                  <c:v>1.6393442622950821E-2</c:v>
                </c:pt>
                <c:pt idx="13">
                  <c:v>1.6129032258064516E-2</c:v>
                </c:pt>
                <c:pt idx="14">
                  <c:v>1.5873015873015872E-2</c:v>
                </c:pt>
                <c:pt idx="15">
                  <c:v>1.5625E-2</c:v>
                </c:pt>
              </c:numCache>
            </c:numRef>
          </c:xVal>
          <c:yVal>
            <c:numRef>
              <c:f>'HFR calc and meas'!$C$20:$R$20</c:f>
              <c:numCache>
                <c:formatCode>General</c:formatCode>
                <c:ptCount val="16"/>
                <c:pt idx="0">
                  <c:v>43.4</c:v>
                </c:pt>
                <c:pt idx="1">
                  <c:v>21.69</c:v>
                </c:pt>
                <c:pt idx="2">
                  <c:v>14.49</c:v>
                </c:pt>
                <c:pt idx="3">
                  <c:v>10.87</c:v>
                </c:pt>
                <c:pt idx="4">
                  <c:v>8.7100000000000009</c:v>
                </c:pt>
                <c:pt idx="7">
                  <c:v>1.56</c:v>
                </c:pt>
                <c:pt idx="8">
                  <c:v>1.5</c:v>
                </c:pt>
                <c:pt idx="10">
                  <c:v>1.36</c:v>
                </c:pt>
                <c:pt idx="11">
                  <c:v>0.72560000000000002</c:v>
                </c:pt>
                <c:pt idx="12">
                  <c:v>0.71419999999999995</c:v>
                </c:pt>
                <c:pt idx="13">
                  <c:v>0.70220000000000005</c:v>
                </c:pt>
                <c:pt idx="14">
                  <c:v>0.6915</c:v>
                </c:pt>
                <c:pt idx="15">
                  <c:v>0.68120000000000003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04200"/>
        <c:axId val="372000280"/>
      </c:scatterChart>
      <c:valAx>
        <c:axId val="37200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00280"/>
        <c:crosses val="autoZero"/>
        <c:crossBetween val="midCat"/>
      </c:valAx>
      <c:valAx>
        <c:axId val="37200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hfrtrim</a:t>
            </a:r>
          </a:p>
          <a:p>
            <a:pPr>
              <a:defRPr/>
            </a:pPr>
            <a:r>
              <a:rPr lang="en-US"/>
              <a:t>hfrdiv=4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531867891513559"/>
                  <c:y val="-0.15299066783318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meas'!$B$4:$B$35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'HFR calc and meas'!$G$4:$G$35</c:f>
              <c:numCache>
                <c:formatCode>General</c:formatCode>
                <c:ptCount val="32"/>
                <c:pt idx="0">
                  <c:v>6.02</c:v>
                </c:pt>
                <c:pt idx="1">
                  <c:v>6.16</c:v>
                </c:pt>
                <c:pt idx="2">
                  <c:v>6.28</c:v>
                </c:pt>
                <c:pt idx="3">
                  <c:v>6.43</c:v>
                </c:pt>
                <c:pt idx="4">
                  <c:v>6.54</c:v>
                </c:pt>
                <c:pt idx="5">
                  <c:v>6.7</c:v>
                </c:pt>
                <c:pt idx="6">
                  <c:v>6.85</c:v>
                </c:pt>
                <c:pt idx="7">
                  <c:v>7.04</c:v>
                </c:pt>
                <c:pt idx="8">
                  <c:v>7.14</c:v>
                </c:pt>
                <c:pt idx="9">
                  <c:v>7.33</c:v>
                </c:pt>
                <c:pt idx="10">
                  <c:v>7.51</c:v>
                </c:pt>
                <c:pt idx="11">
                  <c:v>7.72</c:v>
                </c:pt>
                <c:pt idx="12">
                  <c:v>7.86</c:v>
                </c:pt>
                <c:pt idx="13">
                  <c:v>8.1199999999999992</c:v>
                </c:pt>
                <c:pt idx="14">
                  <c:v>8.33</c:v>
                </c:pt>
                <c:pt idx="15">
                  <c:v>8.59</c:v>
                </c:pt>
                <c:pt idx="16">
                  <c:v>8.7100000000000009</c:v>
                </c:pt>
                <c:pt idx="17">
                  <c:v>9.0299999999999994</c:v>
                </c:pt>
                <c:pt idx="18">
                  <c:v>9.2899999999999991</c:v>
                </c:pt>
                <c:pt idx="19">
                  <c:v>9.6199999999999992</c:v>
                </c:pt>
                <c:pt idx="20">
                  <c:v>9.84</c:v>
                </c:pt>
                <c:pt idx="21">
                  <c:v>10.25</c:v>
                </c:pt>
                <c:pt idx="22">
                  <c:v>10.59</c:v>
                </c:pt>
                <c:pt idx="23">
                  <c:v>11.06</c:v>
                </c:pt>
                <c:pt idx="24">
                  <c:v>11.26</c:v>
                </c:pt>
                <c:pt idx="25">
                  <c:v>11.76</c:v>
                </c:pt>
                <c:pt idx="26">
                  <c:v>12.22</c:v>
                </c:pt>
                <c:pt idx="27">
                  <c:v>12.85</c:v>
                </c:pt>
                <c:pt idx="28">
                  <c:v>13.26</c:v>
                </c:pt>
                <c:pt idx="29">
                  <c:v>13.97</c:v>
                </c:pt>
                <c:pt idx="30">
                  <c:v>14.62</c:v>
                </c:pt>
                <c:pt idx="31">
                  <c:v>15.48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70576"/>
        <c:axId val="372470968"/>
      </c:scatterChart>
      <c:valAx>
        <c:axId val="3724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0968"/>
        <c:crosses val="autoZero"/>
        <c:crossBetween val="midCat"/>
      </c:valAx>
      <c:valAx>
        <c:axId val="3724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hfrdiv</a:t>
            </a:r>
          </a:p>
          <a:p>
            <a:pPr>
              <a:defRPr/>
            </a:pPr>
            <a:r>
              <a:rPr lang="en-US"/>
              <a:t>hfrtrim=0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'HFR calc and meas'!$C$3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11407227942662"/>
                  <c:y val="5.38356867402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meas'!$C$3:$R$3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</c:v>
                </c:pt>
                <c:pt idx="6">
                  <c:v>6.6666666666666666E-2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3.125E-2</c:v>
                </c:pt>
                <c:pt idx="11">
                  <c:v>1.6666666666666666E-2</c:v>
                </c:pt>
                <c:pt idx="12">
                  <c:v>1.6393442622950821E-2</c:v>
                </c:pt>
                <c:pt idx="13">
                  <c:v>1.6129032258064516E-2</c:v>
                </c:pt>
                <c:pt idx="14">
                  <c:v>1.5873015873015872E-2</c:v>
                </c:pt>
                <c:pt idx="15">
                  <c:v>1.5625E-2</c:v>
                </c:pt>
              </c:numCache>
            </c:numRef>
          </c:xVal>
          <c:yVal>
            <c:numRef>
              <c:f>'HFR calc and meas'!$C$4:$R$4</c:f>
              <c:numCache>
                <c:formatCode>General</c:formatCode>
                <c:ptCount val="16"/>
                <c:pt idx="0">
                  <c:v>30.08</c:v>
                </c:pt>
                <c:pt idx="1">
                  <c:v>15.06</c:v>
                </c:pt>
                <c:pt idx="2">
                  <c:v>10.039999999999999</c:v>
                </c:pt>
                <c:pt idx="3">
                  <c:v>7.52</c:v>
                </c:pt>
                <c:pt idx="4">
                  <c:v>6.02</c:v>
                </c:pt>
                <c:pt idx="5">
                  <c:v>3.01</c:v>
                </c:pt>
                <c:pt idx="6">
                  <c:v>2.0099999999999998</c:v>
                </c:pt>
                <c:pt idx="9">
                  <c:v>1</c:v>
                </c:pt>
                <c:pt idx="10">
                  <c:v>0.93979999999999997</c:v>
                </c:pt>
                <c:pt idx="11">
                  <c:v>0.70620000000000005</c:v>
                </c:pt>
                <c:pt idx="12">
                  <c:v>0.68869999999999998</c:v>
                </c:pt>
                <c:pt idx="13">
                  <c:v>0.67749999999999999</c:v>
                </c:pt>
                <c:pt idx="14">
                  <c:v>0.68300000000000005</c:v>
                </c:pt>
                <c:pt idx="15">
                  <c:v>0.66949999999999998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72328"/>
        <c:axId val="372473504"/>
      </c:scatterChart>
      <c:valAx>
        <c:axId val="37247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3504"/>
        <c:crosses val="autoZero"/>
        <c:crossBetween val="midCat"/>
      </c:valAx>
      <c:valAx>
        <c:axId val="3724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7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hfrtrim</a:t>
            </a:r>
          </a:p>
          <a:p>
            <a:pPr>
              <a:defRPr/>
            </a:pPr>
            <a:r>
              <a:rPr lang="en-US"/>
              <a:t>hfrdiv=0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531867891513559"/>
                  <c:y val="-0.15299066783318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meas'!$A$4:$A$35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'HFR calc and meas'!$C$4:$C$35</c:f>
              <c:numCache>
                <c:formatCode>General</c:formatCode>
                <c:ptCount val="32"/>
                <c:pt idx="0">
                  <c:v>30.08</c:v>
                </c:pt>
                <c:pt idx="1">
                  <c:v>30.71</c:v>
                </c:pt>
                <c:pt idx="2">
                  <c:v>31.29</c:v>
                </c:pt>
                <c:pt idx="3">
                  <c:v>32.049999999999997</c:v>
                </c:pt>
                <c:pt idx="4">
                  <c:v>32.590000000000003</c:v>
                </c:pt>
                <c:pt idx="5">
                  <c:v>33.42</c:v>
                </c:pt>
                <c:pt idx="6">
                  <c:v>34.11</c:v>
                </c:pt>
                <c:pt idx="7">
                  <c:v>35.06</c:v>
                </c:pt>
                <c:pt idx="8">
                  <c:v>35.51</c:v>
                </c:pt>
                <c:pt idx="9">
                  <c:v>36.5</c:v>
                </c:pt>
                <c:pt idx="10">
                  <c:v>37.369999999999997</c:v>
                </c:pt>
                <c:pt idx="11">
                  <c:v>38.46</c:v>
                </c:pt>
                <c:pt idx="12">
                  <c:v>39.18</c:v>
                </c:pt>
                <c:pt idx="13">
                  <c:v>40.39</c:v>
                </c:pt>
                <c:pt idx="14">
                  <c:v>41.39</c:v>
                </c:pt>
                <c:pt idx="15">
                  <c:v>42.81</c:v>
                </c:pt>
                <c:pt idx="16">
                  <c:v>43.4</c:v>
                </c:pt>
                <c:pt idx="17">
                  <c:v>44.88</c:v>
                </c:pt>
                <c:pt idx="18">
                  <c:v>46.21</c:v>
                </c:pt>
                <c:pt idx="19">
                  <c:v>47.89</c:v>
                </c:pt>
                <c:pt idx="20">
                  <c:v>49.02</c:v>
                </c:pt>
                <c:pt idx="21">
                  <c:v>50.92</c:v>
                </c:pt>
                <c:pt idx="22">
                  <c:v>52.63</c:v>
                </c:pt>
                <c:pt idx="23">
                  <c:v>54.82</c:v>
                </c:pt>
                <c:pt idx="24">
                  <c:v>55.93</c:v>
                </c:pt>
                <c:pt idx="25">
                  <c:v>58.41</c:v>
                </c:pt>
                <c:pt idx="26">
                  <c:v>60.68</c:v>
                </c:pt>
                <c:pt idx="27">
                  <c:v>63.78</c:v>
                </c:pt>
                <c:pt idx="28">
                  <c:v>65.790000000000006</c:v>
                </c:pt>
                <c:pt idx="29">
                  <c:v>69.25</c:v>
                </c:pt>
                <c:pt idx="30">
                  <c:v>72.459999999999994</c:v>
                </c:pt>
                <c:pt idx="31">
                  <c:v>76.92</c:v>
                </c:pt>
              </c:numCache>
            </c:numRef>
          </c:yVal>
          <c:smooth val="0"/>
        </c:ser>
        <c:ser>
          <c:idx val="2"/>
          <c:order val="1"/>
          <c:tx>
            <c:v>Calc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'HFR calc and meas'!$A$4:$A$35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'HFR calc and meas'!$T$4:$T$35</c:f>
              <c:numCache>
                <c:formatCode>General</c:formatCode>
                <c:ptCount val="32"/>
                <c:pt idx="0">
                  <c:v>30.24</c:v>
                </c:pt>
                <c:pt idx="1">
                  <c:v>30.56</c:v>
                </c:pt>
                <c:pt idx="2">
                  <c:v>30.96</c:v>
                </c:pt>
                <c:pt idx="3">
                  <c:v>31.44</c:v>
                </c:pt>
                <c:pt idx="4">
                  <c:v>32</c:v>
                </c:pt>
                <c:pt idx="5">
                  <c:v>32.64</c:v>
                </c:pt>
                <c:pt idx="6">
                  <c:v>33.36</c:v>
                </c:pt>
                <c:pt idx="7">
                  <c:v>34.159999999999997</c:v>
                </c:pt>
                <c:pt idx="8">
                  <c:v>35.04</c:v>
                </c:pt>
                <c:pt idx="9">
                  <c:v>36</c:v>
                </c:pt>
                <c:pt idx="10">
                  <c:v>37.04</c:v>
                </c:pt>
                <c:pt idx="11">
                  <c:v>38.159999999999997</c:v>
                </c:pt>
                <c:pt idx="12">
                  <c:v>39.36</c:v>
                </c:pt>
                <c:pt idx="13">
                  <c:v>40.64</c:v>
                </c:pt>
                <c:pt idx="14">
                  <c:v>42</c:v>
                </c:pt>
                <c:pt idx="15">
                  <c:v>43.44</c:v>
                </c:pt>
                <c:pt idx="16">
                  <c:v>44.96</c:v>
                </c:pt>
                <c:pt idx="17">
                  <c:v>46.56</c:v>
                </c:pt>
                <c:pt idx="18">
                  <c:v>48.239999999999995</c:v>
                </c:pt>
                <c:pt idx="19">
                  <c:v>50</c:v>
                </c:pt>
                <c:pt idx="20">
                  <c:v>51.84</c:v>
                </c:pt>
                <c:pt idx="21">
                  <c:v>53.760000000000005</c:v>
                </c:pt>
                <c:pt idx="22">
                  <c:v>55.76</c:v>
                </c:pt>
                <c:pt idx="23">
                  <c:v>57.84</c:v>
                </c:pt>
                <c:pt idx="24">
                  <c:v>60</c:v>
                </c:pt>
                <c:pt idx="25">
                  <c:v>62.24</c:v>
                </c:pt>
                <c:pt idx="26">
                  <c:v>64.56</c:v>
                </c:pt>
                <c:pt idx="27">
                  <c:v>66.959999999999994</c:v>
                </c:pt>
                <c:pt idx="28">
                  <c:v>69.44</c:v>
                </c:pt>
                <c:pt idx="29">
                  <c:v>72</c:v>
                </c:pt>
                <c:pt idx="30">
                  <c:v>74.64</c:v>
                </c:pt>
                <c:pt idx="31">
                  <c:v>77.360000000000014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22472"/>
        <c:axId val="479513176"/>
      </c:scatterChart>
      <c:valAx>
        <c:axId val="36712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3176"/>
        <c:crosses val="autoZero"/>
        <c:crossBetween val="midCat"/>
      </c:valAx>
      <c:valAx>
        <c:axId val="4795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hfrdiv</a:t>
            </a:r>
          </a:p>
          <a:p>
            <a:pPr>
              <a:defRPr/>
            </a:pPr>
            <a:r>
              <a:rPr lang="en-US"/>
              <a:t>hfrtrim=16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'HFR calc and meas 2x'!$C$3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84945514866774"/>
                  <c:y val="7.7877094972067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 2x'!$C$3:$R$3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</c:v>
                </c:pt>
                <c:pt idx="6">
                  <c:v>6.6666666666666666E-2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3.125E-2</c:v>
                </c:pt>
                <c:pt idx="11">
                  <c:v>1.6666666666666666E-2</c:v>
                </c:pt>
                <c:pt idx="12">
                  <c:v>1.6393442622950821E-2</c:v>
                </c:pt>
                <c:pt idx="13">
                  <c:v>1.6129032258064516E-2</c:v>
                </c:pt>
                <c:pt idx="14">
                  <c:v>1.5873015873015872E-2</c:v>
                </c:pt>
                <c:pt idx="15">
                  <c:v>1.5625E-2</c:v>
                </c:pt>
              </c:numCache>
            </c:numRef>
          </c:xVal>
          <c:yVal>
            <c:numRef>
              <c:f>'HFR calc and meas 2x'!$C$20:$R$20</c:f>
              <c:numCache>
                <c:formatCode>General</c:formatCode>
                <c:ptCount val="16"/>
                <c:pt idx="0">
                  <c:v>85.76</c:v>
                </c:pt>
                <c:pt idx="1">
                  <c:v>21.69</c:v>
                </c:pt>
                <c:pt idx="2">
                  <c:v>14.49</c:v>
                </c:pt>
                <c:pt idx="3">
                  <c:v>10.87</c:v>
                </c:pt>
                <c:pt idx="4">
                  <c:v>8.7100000000000009</c:v>
                </c:pt>
                <c:pt idx="7">
                  <c:v>1.56</c:v>
                </c:pt>
                <c:pt idx="8">
                  <c:v>1.5</c:v>
                </c:pt>
                <c:pt idx="10">
                  <c:v>1.36</c:v>
                </c:pt>
                <c:pt idx="11">
                  <c:v>0.72560000000000002</c:v>
                </c:pt>
                <c:pt idx="12">
                  <c:v>0.71419999999999995</c:v>
                </c:pt>
                <c:pt idx="13">
                  <c:v>0.70220000000000005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9400"/>
        <c:axId val="372469008"/>
      </c:scatterChart>
      <c:valAx>
        <c:axId val="37246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9008"/>
        <c:crosses val="autoZero"/>
        <c:crossBetween val="midCat"/>
      </c:valAx>
      <c:valAx>
        <c:axId val="3724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hfrdiv</a:t>
            </a:r>
          </a:p>
          <a:p>
            <a:pPr>
              <a:defRPr/>
            </a:pPr>
            <a:r>
              <a:rPr lang="en-US"/>
              <a:t>hfrtrim=0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'HFR calc and meas 2x'!$C$3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511407227942662"/>
                  <c:y val="5.38356867402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 2x'!$C$3:$R$3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</c:v>
                </c:pt>
                <c:pt idx="6">
                  <c:v>6.6666666666666666E-2</c:v>
                </c:pt>
                <c:pt idx="7">
                  <c:v>3.5714285714285712E-2</c:v>
                </c:pt>
                <c:pt idx="8">
                  <c:v>3.4482758620689655E-2</c:v>
                </c:pt>
                <c:pt idx="9">
                  <c:v>3.3333333333333333E-2</c:v>
                </c:pt>
                <c:pt idx="10">
                  <c:v>3.125E-2</c:v>
                </c:pt>
                <c:pt idx="11">
                  <c:v>1.6666666666666666E-2</c:v>
                </c:pt>
                <c:pt idx="12">
                  <c:v>1.6393442622950821E-2</c:v>
                </c:pt>
                <c:pt idx="13">
                  <c:v>1.6129032258064516E-2</c:v>
                </c:pt>
                <c:pt idx="14">
                  <c:v>1.5873015873015872E-2</c:v>
                </c:pt>
                <c:pt idx="15">
                  <c:v>1.5625E-2</c:v>
                </c:pt>
              </c:numCache>
            </c:numRef>
          </c:xVal>
          <c:yVal>
            <c:numRef>
              <c:f>'HFR calc and meas 2x'!$C$4:$R$4</c:f>
              <c:numCache>
                <c:formatCode>General</c:formatCode>
                <c:ptCount val="16"/>
                <c:pt idx="0">
                  <c:v>59.59</c:v>
                </c:pt>
                <c:pt idx="1">
                  <c:v>15.06</c:v>
                </c:pt>
                <c:pt idx="2">
                  <c:v>10.039999999999999</c:v>
                </c:pt>
                <c:pt idx="3">
                  <c:v>7.52</c:v>
                </c:pt>
                <c:pt idx="4">
                  <c:v>6.02</c:v>
                </c:pt>
                <c:pt idx="5">
                  <c:v>3.01</c:v>
                </c:pt>
                <c:pt idx="6">
                  <c:v>2.0099999999999998</c:v>
                </c:pt>
                <c:pt idx="9">
                  <c:v>1</c:v>
                </c:pt>
                <c:pt idx="10">
                  <c:v>0.93979999999999997</c:v>
                </c:pt>
                <c:pt idx="11">
                  <c:v>0.70620000000000005</c:v>
                </c:pt>
                <c:pt idx="12">
                  <c:v>0.68869999999999998</c:v>
                </c:pt>
                <c:pt idx="13">
                  <c:v>0.67749999999999999</c:v>
                </c:pt>
                <c:pt idx="14">
                  <c:v>0.68300000000000005</c:v>
                </c:pt>
                <c:pt idx="15">
                  <c:v>0.66949999999999998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72088"/>
        <c:axId val="481672872"/>
      </c:scatterChart>
      <c:valAx>
        <c:axId val="4816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72872"/>
        <c:crosses val="autoZero"/>
        <c:crossBetween val="midCat"/>
      </c:valAx>
      <c:valAx>
        <c:axId val="4816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7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hfrtrim</a:t>
            </a:r>
          </a:p>
          <a:p>
            <a:pPr>
              <a:defRPr/>
            </a:pPr>
            <a:r>
              <a:rPr lang="en-US"/>
              <a:t>hfrdiv=0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925612423447067"/>
                  <c:y val="-0.55660214348206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'HFR calc and meas 2x'!$T$4:$T$35</c:f>
              <c:numCache>
                <c:formatCode>General</c:formatCode>
                <c:ptCount val="3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-8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-14</c:v>
                </c:pt>
                <c:pt idx="31">
                  <c:v>-15</c:v>
                </c:pt>
              </c:numCache>
            </c:numRef>
          </c:xVal>
          <c:yVal>
            <c:numRef>
              <c:f>'HFR calc and meas 2x'!$U$4:$U$35</c:f>
              <c:numCache>
                <c:formatCode>General</c:formatCode>
                <c:ptCount val="32"/>
                <c:pt idx="0">
                  <c:v>16.781339150864241</c:v>
                </c:pt>
                <c:pt idx="1">
                  <c:v>16.420361247947454</c:v>
                </c:pt>
                <c:pt idx="2">
                  <c:v>16.121231662098982</c:v>
                </c:pt>
                <c:pt idx="3">
                  <c:v>15.74059499449079</c:v>
                </c:pt>
                <c:pt idx="4">
                  <c:v>15.479876160990715</c:v>
                </c:pt>
                <c:pt idx="5">
                  <c:v>15.098897780462027</c:v>
                </c:pt>
                <c:pt idx="6">
                  <c:v>14.779781259237364</c:v>
                </c:pt>
                <c:pt idx="7">
                  <c:v>14.400921658986176</c:v>
                </c:pt>
                <c:pt idx="8">
                  <c:v>14.200511218403863</c:v>
                </c:pt>
                <c:pt idx="9">
                  <c:v>13.819789939192924</c:v>
                </c:pt>
                <c:pt idx="10">
                  <c:v>13.500742540839747</c:v>
                </c:pt>
                <c:pt idx="11">
                  <c:v>13.119916032537391</c:v>
                </c:pt>
                <c:pt idx="12">
                  <c:v>12.87995878413189</c:v>
                </c:pt>
                <c:pt idx="13">
                  <c:v>12.5</c:v>
                </c:pt>
                <c:pt idx="14">
                  <c:v>12.180267965895249</c:v>
                </c:pt>
                <c:pt idx="15">
                  <c:v>11.779950524207798</c:v>
                </c:pt>
                <c:pt idx="16">
                  <c:v>11.66044776119403</c:v>
                </c:pt>
                <c:pt idx="17">
                  <c:v>11.280315848843768</c:v>
                </c:pt>
                <c:pt idx="18">
                  <c:v>10.960105217010083</c:v>
                </c:pt>
                <c:pt idx="19">
                  <c:v>10.579771476936099</c:v>
                </c:pt>
                <c:pt idx="20">
                  <c:v>10.319917440660474</c:v>
                </c:pt>
                <c:pt idx="21">
                  <c:v>9.9403578528827037</c:v>
                </c:pt>
                <c:pt idx="22">
                  <c:v>9.6246390760346472</c:v>
                </c:pt>
                <c:pt idx="23">
                  <c:v>9.2421441774491679</c:v>
                </c:pt>
                <c:pt idx="24">
                  <c:v>9.0415913200723335</c:v>
                </c:pt>
                <c:pt idx="25">
                  <c:v>8.6655112651646444</c:v>
                </c:pt>
                <c:pt idx="26">
                  <c:v>8.3402835696413682</c:v>
                </c:pt>
                <c:pt idx="27">
                  <c:v>7.9428117553613982</c:v>
                </c:pt>
                <c:pt idx="28">
                  <c:v>7.7041602465331271</c:v>
                </c:pt>
                <c:pt idx="29">
                  <c:v>7.3206442166910684</c:v>
                </c:pt>
                <c:pt idx="30">
                  <c:v>7.0028011204481793</c:v>
                </c:pt>
                <c:pt idx="31">
                  <c:v>6.6006600660066006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'HFR calc and meas 2x'!$T$4:$T$35</c:f>
              <c:numCache>
                <c:formatCode>General</c:formatCode>
                <c:ptCount val="32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-2</c:v>
                </c:pt>
                <c:pt idx="19">
                  <c:v>-3</c:v>
                </c:pt>
                <c:pt idx="20">
                  <c:v>-4</c:v>
                </c:pt>
                <c:pt idx="21">
                  <c:v>-5</c:v>
                </c:pt>
                <c:pt idx="22">
                  <c:v>-6</c:v>
                </c:pt>
                <c:pt idx="23">
                  <c:v>-7</c:v>
                </c:pt>
                <c:pt idx="24">
                  <c:v>-8</c:v>
                </c:pt>
                <c:pt idx="25">
                  <c:v>-9</c:v>
                </c:pt>
                <c:pt idx="26">
                  <c:v>-10</c:v>
                </c:pt>
                <c:pt idx="27">
                  <c:v>-11</c:v>
                </c:pt>
                <c:pt idx="28">
                  <c:v>-12</c:v>
                </c:pt>
                <c:pt idx="29">
                  <c:v>-13</c:v>
                </c:pt>
                <c:pt idx="30">
                  <c:v>-14</c:v>
                </c:pt>
                <c:pt idx="31">
                  <c:v>-15</c:v>
                </c:pt>
              </c:numCache>
            </c:numRef>
          </c:xVal>
          <c:yVal>
            <c:numRef>
              <c:f>'HFR calc and meas 2x'!$V$4:$V$35</c:f>
              <c:numCache>
                <c:formatCode>General</c:formatCode>
                <c:ptCount val="32"/>
                <c:pt idx="0">
                  <c:v>16.841657142857141</c:v>
                </c:pt>
                <c:pt idx="1">
                  <c:v>16.511428571428571</c:v>
                </c:pt>
                <c:pt idx="2">
                  <c:v>16.1812</c:v>
                </c:pt>
                <c:pt idx="3">
                  <c:v>15.850971428571428</c:v>
                </c:pt>
                <c:pt idx="4">
                  <c:v>15.520742857142858</c:v>
                </c:pt>
                <c:pt idx="5">
                  <c:v>15.190514285714286</c:v>
                </c:pt>
                <c:pt idx="6">
                  <c:v>14.860285714285713</c:v>
                </c:pt>
                <c:pt idx="7">
                  <c:v>14.530057142857142</c:v>
                </c:pt>
                <c:pt idx="8">
                  <c:v>14.199828571428572</c:v>
                </c:pt>
                <c:pt idx="9">
                  <c:v>13.8696</c:v>
                </c:pt>
                <c:pt idx="10">
                  <c:v>13.539371428571428</c:v>
                </c:pt>
                <c:pt idx="11">
                  <c:v>13.209142857142856</c:v>
                </c:pt>
                <c:pt idx="12">
                  <c:v>12.878914285714286</c:v>
                </c:pt>
                <c:pt idx="13">
                  <c:v>12.548685714285714</c:v>
                </c:pt>
                <c:pt idx="14">
                  <c:v>12.218457142857142</c:v>
                </c:pt>
                <c:pt idx="15">
                  <c:v>11.88822857142857</c:v>
                </c:pt>
                <c:pt idx="16">
                  <c:v>11.558</c:v>
                </c:pt>
                <c:pt idx="17">
                  <c:v>11.227771428571428</c:v>
                </c:pt>
                <c:pt idx="18">
                  <c:v>10.897542857142858</c:v>
                </c:pt>
                <c:pt idx="19">
                  <c:v>10.567314285714286</c:v>
                </c:pt>
                <c:pt idx="20">
                  <c:v>10.237085714285714</c:v>
                </c:pt>
                <c:pt idx="21">
                  <c:v>9.9068571428571435</c:v>
                </c:pt>
                <c:pt idx="22">
                  <c:v>9.5766285714285715</c:v>
                </c:pt>
                <c:pt idx="23">
                  <c:v>9.2463999999999995</c:v>
                </c:pt>
                <c:pt idx="24">
                  <c:v>8.9161714285714293</c:v>
                </c:pt>
                <c:pt idx="25">
                  <c:v>8.5859428571428573</c:v>
                </c:pt>
                <c:pt idx="26">
                  <c:v>8.2557142857142853</c:v>
                </c:pt>
                <c:pt idx="27">
                  <c:v>7.9254857142857142</c:v>
                </c:pt>
                <c:pt idx="28">
                  <c:v>7.5952571428571432</c:v>
                </c:pt>
                <c:pt idx="29">
                  <c:v>7.2650285714285712</c:v>
                </c:pt>
                <c:pt idx="30">
                  <c:v>6.9348000000000001</c:v>
                </c:pt>
                <c:pt idx="31">
                  <c:v>6.6045714285714281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73920"/>
        <c:axId val="618177056"/>
      </c:scatterChart>
      <c:valAx>
        <c:axId val="6181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7056"/>
        <c:crosses val="autoZero"/>
        <c:crossBetween val="midCat"/>
      </c:valAx>
      <c:valAx>
        <c:axId val="618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lfrtrim</a:t>
            </a:r>
          </a:p>
          <a:p>
            <a:pPr>
              <a:defRPr/>
            </a:pPr>
            <a:r>
              <a:rPr lang="en-US"/>
              <a:t>lfrdiv=4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6531867891513559"/>
                  <c:y val="-0.15299066783318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'LFR calc and meas'!$B$4:$B$35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'LFR calc and meas'!$G$4:$G$35</c:f>
              <c:numCache>
                <c:formatCode>General</c:formatCode>
                <c:ptCount val="32"/>
                <c:pt idx="0">
                  <c:v>6.02</c:v>
                </c:pt>
                <c:pt idx="1">
                  <c:v>6.16</c:v>
                </c:pt>
                <c:pt idx="2">
                  <c:v>6.28</c:v>
                </c:pt>
                <c:pt idx="3">
                  <c:v>6.43</c:v>
                </c:pt>
                <c:pt idx="4">
                  <c:v>6.54</c:v>
                </c:pt>
                <c:pt idx="5">
                  <c:v>6.7</c:v>
                </c:pt>
                <c:pt idx="6">
                  <c:v>6.85</c:v>
                </c:pt>
                <c:pt idx="7">
                  <c:v>7.04</c:v>
                </c:pt>
                <c:pt idx="8">
                  <c:v>7.14</c:v>
                </c:pt>
                <c:pt idx="9">
                  <c:v>7.33</c:v>
                </c:pt>
                <c:pt idx="10">
                  <c:v>7.51</c:v>
                </c:pt>
                <c:pt idx="11">
                  <c:v>7.72</c:v>
                </c:pt>
                <c:pt idx="12">
                  <c:v>7.86</c:v>
                </c:pt>
                <c:pt idx="13">
                  <c:v>8.1199999999999992</c:v>
                </c:pt>
                <c:pt idx="14">
                  <c:v>8.33</c:v>
                </c:pt>
                <c:pt idx="15">
                  <c:v>8.59</c:v>
                </c:pt>
                <c:pt idx="16">
                  <c:v>8.7100000000000009</c:v>
                </c:pt>
                <c:pt idx="17">
                  <c:v>9.0299999999999994</c:v>
                </c:pt>
                <c:pt idx="18">
                  <c:v>9.2899999999999991</c:v>
                </c:pt>
                <c:pt idx="19">
                  <c:v>9.6199999999999992</c:v>
                </c:pt>
                <c:pt idx="20">
                  <c:v>9.84</c:v>
                </c:pt>
                <c:pt idx="21">
                  <c:v>10.25</c:v>
                </c:pt>
                <c:pt idx="22">
                  <c:v>10.59</c:v>
                </c:pt>
                <c:pt idx="23">
                  <c:v>11.06</c:v>
                </c:pt>
                <c:pt idx="24">
                  <c:v>11.26</c:v>
                </c:pt>
                <c:pt idx="25">
                  <c:v>11.76</c:v>
                </c:pt>
                <c:pt idx="26">
                  <c:v>12.22</c:v>
                </c:pt>
                <c:pt idx="27">
                  <c:v>12.85</c:v>
                </c:pt>
                <c:pt idx="28">
                  <c:v>13.26</c:v>
                </c:pt>
                <c:pt idx="29">
                  <c:v>13.97</c:v>
                </c:pt>
                <c:pt idx="30">
                  <c:v>14.62</c:v>
                </c:pt>
                <c:pt idx="31">
                  <c:v>15.48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12000"/>
        <c:axId val="531068360"/>
      </c:scatterChart>
      <c:valAx>
        <c:axId val="4795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8360"/>
        <c:crosses val="autoZero"/>
        <c:crossBetween val="midCat"/>
      </c:valAx>
      <c:valAx>
        <c:axId val="5310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28</xdr:row>
      <xdr:rowOff>107950</xdr:rowOff>
    </xdr:from>
    <xdr:to>
      <xdr:col>10</xdr:col>
      <xdr:colOff>584199</xdr:colOff>
      <xdr:row>47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174624</xdr:colOff>
      <xdr:row>36</xdr:row>
      <xdr:rowOff>171450</xdr:rowOff>
    </xdr:from>
    <xdr:to>
      <xdr:col>15</xdr:col>
      <xdr:colOff>488949</xdr:colOff>
      <xdr:row>55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146050</xdr:colOff>
      <xdr:row>57</xdr:row>
      <xdr:rowOff>12700</xdr:rowOff>
    </xdr:from>
    <xdr:to>
      <xdr:col>15</xdr:col>
      <xdr:colOff>450850</xdr:colOff>
      <xdr:row>71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37</xdr:row>
      <xdr:rowOff>50800</xdr:rowOff>
    </xdr:from>
    <xdr:to>
      <xdr:col>7</xdr:col>
      <xdr:colOff>549275</xdr:colOff>
      <xdr:row>55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336550</xdr:colOff>
      <xdr:row>56</xdr:row>
      <xdr:rowOff>127000</xdr:rowOff>
    </xdr:from>
    <xdr:to>
      <xdr:col>7</xdr:col>
      <xdr:colOff>527050</xdr:colOff>
      <xdr:row>71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174624</xdr:colOff>
      <xdr:row>36</xdr:row>
      <xdr:rowOff>171450</xdr:rowOff>
    </xdr:from>
    <xdr:to>
      <xdr:col>15</xdr:col>
      <xdr:colOff>488949</xdr:colOff>
      <xdr:row>55</xdr:row>
      <xdr:rowOff>82550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349250</xdr:colOff>
      <xdr:row>37</xdr:row>
      <xdr:rowOff>50800</xdr:rowOff>
    </xdr:from>
    <xdr:to>
      <xdr:col>7</xdr:col>
      <xdr:colOff>549275</xdr:colOff>
      <xdr:row>55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261248</xdr:colOff>
      <xdr:row>4</xdr:row>
      <xdr:rowOff>126937</xdr:rowOff>
    </xdr:from>
    <xdr:to>
      <xdr:col>16</xdr:col>
      <xdr:colOff>566048</xdr:colOff>
      <xdr:row>19</xdr:row>
      <xdr:rowOff>107886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57</xdr:row>
      <xdr:rowOff>12700</xdr:rowOff>
    </xdr:from>
    <xdr:to>
      <xdr:col>15</xdr:col>
      <xdr:colOff>450850</xdr:colOff>
      <xdr:row>71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38</xdr:row>
      <xdr:rowOff>6350</xdr:rowOff>
    </xdr:from>
    <xdr:to>
      <xdr:col>7</xdr:col>
      <xdr:colOff>415925</xdr:colOff>
      <xdr:row>56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104775</xdr:colOff>
      <xdr:row>20</xdr:row>
      <xdr:rowOff>31750</xdr:rowOff>
    </xdr:from>
    <xdr:to>
      <xdr:col>54</xdr:col>
      <xdr:colOff>263525</xdr:colOff>
      <xdr:row>35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88900</xdr:colOff>
      <xdr:row>5</xdr:row>
      <xdr:rowOff>25400</xdr:rowOff>
    </xdr:from>
    <xdr:to>
      <xdr:col>17</xdr:col>
      <xdr:colOff>482600</xdr:colOff>
      <xdr:row>20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120650</xdr:rowOff>
    </xdr:from>
    <xdr:to>
      <xdr:col>10</xdr:col>
      <xdr:colOff>22225</xdr:colOff>
      <xdr:row>18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120" zoomScaleNormal="120" workbookViewId="0">
      <selection activeCell="L3" sqref="L3"/>
    </sheetView>
  </sheetViews>
  <sheetFormatPr defaultRowHeight="14.5" x14ac:dyDescent="0.35"/>
  <cols>
    <col min="1" max="1" width="8.7265625" style="1"/>
    <col min="2" max="2" width="7.08984375" style="1" customWidth="1"/>
    <col min="3" max="4" width="8.7265625" style="1"/>
    <col min="5" max="8" width="5.54296875" style="1" customWidth="1"/>
    <col min="9" max="9" width="2.6328125" style="1" customWidth="1"/>
    <col min="10" max="10" width="8.7265625" style="1"/>
    <col min="11" max="11" width="28.1796875" style="1" bestFit="1" customWidth="1"/>
    <col min="12" max="12" width="10.90625" style="1" customWidth="1"/>
    <col min="13" max="16384" width="8.7265625" style="1"/>
  </cols>
  <sheetData>
    <row r="1" spans="1:13" s="2" customFormat="1" x14ac:dyDescent="0.35">
      <c r="A1" s="2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1</v>
      </c>
      <c r="H1" s="2" t="s">
        <v>0</v>
      </c>
      <c r="J1" s="2" t="s">
        <v>12</v>
      </c>
      <c r="K1" s="2" t="s">
        <v>13</v>
      </c>
      <c r="L1" s="2">
        <v>16000000</v>
      </c>
      <c r="M1" s="2">
        <v>20000000</v>
      </c>
    </row>
    <row r="2" spans="1:13" x14ac:dyDescent="0.35">
      <c r="A2" s="1">
        <v>1</v>
      </c>
      <c r="B2" s="1">
        <v>16</v>
      </c>
      <c r="C2" s="1">
        <v>6000000</v>
      </c>
      <c r="D2" s="1">
        <v>12000000</v>
      </c>
      <c r="E2" s="1">
        <v>0</v>
      </c>
      <c r="F2" s="1">
        <v>31</v>
      </c>
      <c r="G2" s="1">
        <v>3</v>
      </c>
      <c r="H2" s="1">
        <v>63</v>
      </c>
      <c r="J2" s="1">
        <f>2*(F2+1)</f>
        <v>64</v>
      </c>
      <c r="K2" s="1">
        <f>(E2+1)*(2^G2)*IF(H2&lt;0,1,2*(H2+1))</f>
        <v>1024</v>
      </c>
      <c r="L2" s="1" t="str">
        <f>IF(AND(L$1&gt;C2,L$1&lt;D2),L$1*J2/K2,"")</f>
        <v/>
      </c>
      <c r="M2" s="1" t="str">
        <f>IF(L2="","",(L2-M$1)/M$1*100)</f>
        <v/>
      </c>
    </row>
    <row r="3" spans="1:13" x14ac:dyDescent="0.35">
      <c r="A3" s="1">
        <v>1</v>
      </c>
      <c r="B3" s="1">
        <v>8</v>
      </c>
      <c r="C3" s="1">
        <v>6000000</v>
      </c>
      <c r="D3" s="1">
        <v>12000000</v>
      </c>
      <c r="E3" s="1">
        <v>0</v>
      </c>
      <c r="F3" s="1">
        <v>31</v>
      </c>
      <c r="G3" s="1">
        <v>3</v>
      </c>
      <c r="H3" s="1">
        <v>31</v>
      </c>
      <c r="J3" s="1">
        <f t="shared" ref="J3:J66" si="0">2*(F3+1)</f>
        <v>64</v>
      </c>
      <c r="K3" s="1">
        <f t="shared" ref="K3:K66" si="1">(E3+1)*(2^G3)*IF(H3&lt;0,1,2*(H3+1))</f>
        <v>512</v>
      </c>
      <c r="L3" s="1" t="str">
        <f>IF(AND(L$1&gt;C3,L$1&lt;D3),L$1*J3/K3,"")</f>
        <v/>
      </c>
      <c r="M3" s="1" t="str">
        <f t="shared" ref="M3:M66" si="2">IF(L3="","",(L3-M$1)/M$1*100)</f>
        <v/>
      </c>
    </row>
    <row r="4" spans="1:13" x14ac:dyDescent="0.35">
      <c r="A4" s="1">
        <v>1</v>
      </c>
      <c r="B4" s="1">
        <v>4</v>
      </c>
      <c r="C4" s="1">
        <v>6000000</v>
      </c>
      <c r="D4" s="1">
        <v>12000000</v>
      </c>
      <c r="E4" s="1">
        <v>0</v>
      </c>
      <c r="F4" s="1">
        <v>31</v>
      </c>
      <c r="G4" s="1">
        <v>3</v>
      </c>
      <c r="H4" s="1">
        <v>15</v>
      </c>
      <c r="J4" s="1">
        <f t="shared" si="0"/>
        <v>64</v>
      </c>
      <c r="K4" s="1">
        <f t="shared" si="1"/>
        <v>256</v>
      </c>
      <c r="L4" s="1" t="str">
        <f>IF(AND(L$1&gt;C4,L$1&lt;D4),L$1*J4/K4,"")</f>
        <v/>
      </c>
      <c r="M4" s="1" t="str">
        <f t="shared" si="2"/>
        <v/>
      </c>
    </row>
    <row r="5" spans="1:13" x14ac:dyDescent="0.35">
      <c r="A5" s="1">
        <v>1</v>
      </c>
      <c r="B5" s="1">
        <v>2</v>
      </c>
      <c r="C5" s="1">
        <v>6000000</v>
      </c>
      <c r="D5" s="1">
        <v>12000000</v>
      </c>
      <c r="E5" s="1">
        <v>0</v>
      </c>
      <c r="F5" s="1">
        <v>31</v>
      </c>
      <c r="G5" s="1">
        <v>2</v>
      </c>
      <c r="H5" s="1">
        <v>15</v>
      </c>
      <c r="J5" s="1">
        <f t="shared" si="0"/>
        <v>64</v>
      </c>
      <c r="K5" s="1">
        <f t="shared" si="1"/>
        <v>128</v>
      </c>
      <c r="L5" s="1" t="str">
        <f>IF(AND(L$1&gt;C5,L$1&lt;D5),L$1*J5/K5,"")</f>
        <v/>
      </c>
      <c r="M5" s="1" t="str">
        <f t="shared" si="2"/>
        <v/>
      </c>
    </row>
    <row r="6" spans="1:13" x14ac:dyDescent="0.35">
      <c r="A6" s="1">
        <v>1</v>
      </c>
      <c r="B6" s="1">
        <v>1</v>
      </c>
      <c r="C6" s="1">
        <v>6000000</v>
      </c>
      <c r="D6" s="1">
        <v>12000000</v>
      </c>
      <c r="E6" s="1">
        <v>0</v>
      </c>
      <c r="F6" s="1">
        <v>31</v>
      </c>
      <c r="G6" s="1">
        <v>1</v>
      </c>
      <c r="H6" s="1">
        <v>7</v>
      </c>
      <c r="J6" s="1">
        <f t="shared" si="0"/>
        <v>64</v>
      </c>
      <c r="K6" s="1">
        <f t="shared" si="1"/>
        <v>32</v>
      </c>
      <c r="L6" s="1" t="str">
        <f>IF(AND(L$1&gt;C6,L$1&lt;D6),L$1*J6/K6,"")</f>
        <v/>
      </c>
      <c r="M6" s="1" t="str">
        <f t="shared" si="2"/>
        <v/>
      </c>
    </row>
    <row r="7" spans="1:13" x14ac:dyDescent="0.35">
      <c r="A7" s="1">
        <v>1</v>
      </c>
      <c r="B7" s="1">
        <v>1</v>
      </c>
      <c r="C7" s="1">
        <v>6000000</v>
      </c>
      <c r="D7" s="1">
        <v>12000000</v>
      </c>
      <c r="E7" s="1">
        <v>0</v>
      </c>
      <c r="F7" s="1">
        <v>31</v>
      </c>
      <c r="G7" s="1">
        <v>3</v>
      </c>
      <c r="H7" s="1">
        <v>0</v>
      </c>
      <c r="J7" s="1">
        <f t="shared" si="0"/>
        <v>64</v>
      </c>
      <c r="K7" s="1">
        <f t="shared" si="1"/>
        <v>16</v>
      </c>
      <c r="L7" s="1" t="str">
        <f>IF(AND(L$1&gt;C7,L$1&lt;D7),L$1*J7/K7,"")</f>
        <v/>
      </c>
      <c r="M7" s="1" t="str">
        <f t="shared" si="2"/>
        <v/>
      </c>
    </row>
    <row r="8" spans="1:13" x14ac:dyDescent="0.35">
      <c r="A8" s="1">
        <v>1</v>
      </c>
      <c r="B8" s="1">
        <v>1</v>
      </c>
      <c r="C8" s="1">
        <v>6000000</v>
      </c>
      <c r="D8" s="1">
        <v>10666666</v>
      </c>
      <c r="E8" s="1">
        <v>0</v>
      </c>
      <c r="F8" s="1">
        <v>35</v>
      </c>
      <c r="G8" s="1">
        <v>1</v>
      </c>
      <c r="H8" s="1">
        <v>2</v>
      </c>
      <c r="J8" s="1">
        <f t="shared" si="0"/>
        <v>72</v>
      </c>
      <c r="K8" s="1">
        <f t="shared" si="1"/>
        <v>12</v>
      </c>
      <c r="L8" s="1" t="str">
        <f>IF(AND(L$1&gt;C8,L$1&lt;D8),L$1*J8/K8,"")</f>
        <v/>
      </c>
      <c r="M8" s="1" t="str">
        <f t="shared" si="2"/>
        <v/>
      </c>
    </row>
    <row r="9" spans="1:13" x14ac:dyDescent="0.35">
      <c r="A9" s="1">
        <v>1</v>
      </c>
      <c r="B9" s="1">
        <v>1</v>
      </c>
      <c r="C9" s="1">
        <v>6000000</v>
      </c>
      <c r="D9" s="1">
        <v>12000000</v>
      </c>
      <c r="E9" s="1">
        <v>0</v>
      </c>
      <c r="F9" s="1">
        <v>31</v>
      </c>
      <c r="G9" s="1">
        <v>3</v>
      </c>
      <c r="H9" s="1">
        <v>-1</v>
      </c>
      <c r="J9" s="1">
        <f t="shared" si="0"/>
        <v>64</v>
      </c>
      <c r="K9" s="1">
        <f t="shared" si="1"/>
        <v>8</v>
      </c>
      <c r="L9" s="1" t="str">
        <f>IF(AND(L$1&gt;C9,L$1&lt;D9),L$1*J9/K9,"")</f>
        <v/>
      </c>
      <c r="M9" s="1" t="str">
        <f t="shared" si="2"/>
        <v/>
      </c>
    </row>
    <row r="10" spans="1:13" x14ac:dyDescent="0.35">
      <c r="A10" s="1">
        <v>1</v>
      </c>
      <c r="B10" s="1">
        <v>1</v>
      </c>
      <c r="C10" s="1">
        <v>6000000</v>
      </c>
      <c r="D10" s="1">
        <v>9600000</v>
      </c>
      <c r="E10" s="1">
        <v>0</v>
      </c>
      <c r="F10" s="1">
        <v>39</v>
      </c>
      <c r="G10" s="1">
        <v>3</v>
      </c>
      <c r="H10" s="1">
        <v>-1</v>
      </c>
      <c r="J10" s="1">
        <f t="shared" si="0"/>
        <v>80</v>
      </c>
      <c r="K10" s="1">
        <f t="shared" si="1"/>
        <v>8</v>
      </c>
      <c r="L10" s="1" t="str">
        <f>IF(AND(L$1&gt;C10,L$1&lt;D10),L$1*J10/K10,"")</f>
        <v/>
      </c>
      <c r="M10" s="1" t="str">
        <f t="shared" si="2"/>
        <v/>
      </c>
    </row>
    <row r="11" spans="1:13" x14ac:dyDescent="0.35">
      <c r="A11" s="1">
        <v>1</v>
      </c>
      <c r="B11" s="1">
        <v>1</v>
      </c>
      <c r="C11" s="1">
        <v>6000000</v>
      </c>
      <c r="D11" s="1">
        <v>8000000</v>
      </c>
      <c r="E11" s="1">
        <v>0</v>
      </c>
      <c r="F11" s="1">
        <v>47</v>
      </c>
      <c r="G11" s="1">
        <v>3</v>
      </c>
      <c r="H11" s="1">
        <v>-1</v>
      </c>
      <c r="J11" s="1">
        <f t="shared" si="0"/>
        <v>96</v>
      </c>
      <c r="K11" s="1">
        <f t="shared" si="1"/>
        <v>8</v>
      </c>
      <c r="L11" s="1" t="str">
        <f>IF(AND(L$1&gt;C11,L$1&lt;D11),L$1*J11/K11,"")</f>
        <v/>
      </c>
      <c r="M11" s="1" t="str">
        <f t="shared" si="2"/>
        <v/>
      </c>
    </row>
    <row r="12" spans="1:13" x14ac:dyDescent="0.35">
      <c r="A12" s="1">
        <v>1</v>
      </c>
      <c r="B12" s="1">
        <v>1</v>
      </c>
      <c r="C12" s="1">
        <v>6000000</v>
      </c>
      <c r="D12" s="1">
        <v>6857142</v>
      </c>
      <c r="E12" s="1">
        <v>0</v>
      </c>
      <c r="F12" s="1">
        <v>55</v>
      </c>
      <c r="G12" s="1">
        <v>3</v>
      </c>
      <c r="H12" s="1">
        <v>-1</v>
      </c>
      <c r="J12" s="1">
        <f t="shared" si="0"/>
        <v>112</v>
      </c>
      <c r="K12" s="1">
        <f t="shared" si="1"/>
        <v>8</v>
      </c>
      <c r="L12" s="1" t="str">
        <f>IF(AND(L$1&gt;C12,L$1&lt;D12),L$1*J12/K12,"")</f>
        <v/>
      </c>
      <c r="M12" s="1" t="str">
        <f t="shared" si="2"/>
        <v/>
      </c>
    </row>
    <row r="13" spans="1:13" x14ac:dyDescent="0.35">
      <c r="A13" s="1">
        <v>1</v>
      </c>
      <c r="B13" s="1">
        <v>1</v>
      </c>
      <c r="C13" s="1">
        <v>6000000</v>
      </c>
      <c r="D13" s="1">
        <v>12000000</v>
      </c>
      <c r="E13" s="1">
        <v>0</v>
      </c>
      <c r="F13" s="1">
        <v>31</v>
      </c>
      <c r="G13" s="1">
        <v>2</v>
      </c>
      <c r="H13" s="1">
        <v>-1</v>
      </c>
      <c r="J13" s="1">
        <f t="shared" si="0"/>
        <v>64</v>
      </c>
      <c r="K13" s="1">
        <f t="shared" si="1"/>
        <v>4</v>
      </c>
      <c r="L13" s="1" t="str">
        <f>IF(AND(L$1&gt;C13,L$1&lt;D13),L$1*J13/K13,"")</f>
        <v/>
      </c>
      <c r="M13" s="1" t="str">
        <f t="shared" si="2"/>
        <v/>
      </c>
    </row>
    <row r="14" spans="1:13" x14ac:dyDescent="0.35">
      <c r="A14" s="1">
        <v>1</v>
      </c>
      <c r="B14" s="1">
        <v>1</v>
      </c>
      <c r="C14" s="1">
        <v>6000000</v>
      </c>
      <c r="D14" s="1">
        <v>10666666</v>
      </c>
      <c r="E14" s="1">
        <v>0</v>
      </c>
      <c r="F14" s="1">
        <v>35</v>
      </c>
      <c r="G14" s="1">
        <v>2</v>
      </c>
      <c r="H14" s="1">
        <v>-1</v>
      </c>
      <c r="J14" s="1">
        <f t="shared" si="0"/>
        <v>72</v>
      </c>
      <c r="K14" s="1">
        <f t="shared" si="1"/>
        <v>4</v>
      </c>
      <c r="L14" s="1" t="str">
        <f>IF(AND(L$1&gt;C14,L$1&lt;D14),L$1*J14/K14,"")</f>
        <v/>
      </c>
      <c r="M14" s="1" t="str">
        <f t="shared" si="2"/>
        <v/>
      </c>
    </row>
    <row r="15" spans="1:13" x14ac:dyDescent="0.35">
      <c r="A15" s="1">
        <v>1</v>
      </c>
      <c r="B15" s="1">
        <v>1</v>
      </c>
      <c r="C15" s="1">
        <v>6000000</v>
      </c>
      <c r="D15" s="1">
        <v>9600000</v>
      </c>
      <c r="E15" s="1">
        <v>0</v>
      </c>
      <c r="F15" s="1">
        <v>39</v>
      </c>
      <c r="G15" s="1">
        <v>2</v>
      </c>
      <c r="H15" s="1">
        <v>-1</v>
      </c>
      <c r="J15" s="1">
        <f t="shared" si="0"/>
        <v>80</v>
      </c>
      <c r="K15" s="1">
        <f t="shared" si="1"/>
        <v>4</v>
      </c>
      <c r="L15" s="1" t="str">
        <f>IF(AND(L$1&gt;C15,L$1&lt;D15),L$1*J15/K15,"")</f>
        <v/>
      </c>
      <c r="M15" s="1" t="str">
        <f t="shared" si="2"/>
        <v/>
      </c>
    </row>
    <row r="16" spans="1:13" x14ac:dyDescent="0.35">
      <c r="A16" s="1">
        <v>2</v>
      </c>
      <c r="B16" s="1">
        <v>1</v>
      </c>
      <c r="C16" s="1">
        <v>6000000</v>
      </c>
      <c r="D16" s="1">
        <v>8727272</v>
      </c>
      <c r="E16" s="1">
        <v>0</v>
      </c>
      <c r="F16" s="1">
        <v>43</v>
      </c>
      <c r="G16" s="1">
        <v>2</v>
      </c>
      <c r="H16" s="1">
        <v>-1</v>
      </c>
      <c r="J16" s="1">
        <f t="shared" si="0"/>
        <v>88</v>
      </c>
      <c r="K16" s="1">
        <f t="shared" si="1"/>
        <v>4</v>
      </c>
      <c r="L16" s="1" t="str">
        <f>IF(AND(L$1&gt;C16,L$1&lt;D16),L$1*J16/K16,"")</f>
        <v/>
      </c>
      <c r="M16" s="1" t="str">
        <f t="shared" si="2"/>
        <v/>
      </c>
    </row>
    <row r="17" spans="1:13" x14ac:dyDescent="0.35">
      <c r="A17" s="1">
        <v>2</v>
      </c>
      <c r="B17" s="1">
        <v>1</v>
      </c>
      <c r="C17" s="1">
        <v>6000000</v>
      </c>
      <c r="D17" s="1">
        <v>8000000</v>
      </c>
      <c r="E17" s="1">
        <v>0</v>
      </c>
      <c r="F17" s="1">
        <v>47</v>
      </c>
      <c r="G17" s="1">
        <v>2</v>
      </c>
      <c r="H17" s="1">
        <v>-1</v>
      </c>
      <c r="J17" s="1">
        <f t="shared" si="0"/>
        <v>96</v>
      </c>
      <c r="K17" s="1">
        <f t="shared" si="1"/>
        <v>4</v>
      </c>
      <c r="L17" s="1" t="str">
        <f>IF(AND(L$1&gt;C17,L$1&lt;D17),L$1*J17/K17,"")</f>
        <v/>
      </c>
      <c r="M17" s="1" t="str">
        <f t="shared" si="2"/>
        <v/>
      </c>
    </row>
    <row r="18" spans="1:13" x14ac:dyDescent="0.35">
      <c r="A18" s="1">
        <v>2</v>
      </c>
      <c r="B18" s="1">
        <v>1</v>
      </c>
      <c r="C18" s="1">
        <v>6000000</v>
      </c>
      <c r="D18" s="1">
        <v>7384615</v>
      </c>
      <c r="E18" s="1">
        <v>0</v>
      </c>
      <c r="F18" s="1">
        <v>51</v>
      </c>
      <c r="G18" s="1">
        <v>2</v>
      </c>
      <c r="H18" s="1">
        <v>-1</v>
      </c>
      <c r="J18" s="1">
        <f t="shared" si="0"/>
        <v>104</v>
      </c>
      <c r="K18" s="1">
        <f t="shared" si="1"/>
        <v>4</v>
      </c>
      <c r="L18" s="1" t="str">
        <f>IF(AND(L$1&gt;C18,L$1&lt;D18),L$1*J18/K18,"")</f>
        <v/>
      </c>
      <c r="M18" s="1" t="str">
        <f t="shared" si="2"/>
        <v/>
      </c>
    </row>
    <row r="19" spans="1:13" x14ac:dyDescent="0.35">
      <c r="A19" s="1">
        <v>4</v>
      </c>
      <c r="B19" s="1">
        <v>1</v>
      </c>
      <c r="C19" s="1">
        <v>6000000</v>
      </c>
      <c r="D19" s="1">
        <v>6857142</v>
      </c>
      <c r="E19" s="1">
        <v>0</v>
      </c>
      <c r="F19" s="1">
        <v>55</v>
      </c>
      <c r="G19" s="1">
        <v>2</v>
      </c>
      <c r="H19" s="1">
        <v>-1</v>
      </c>
      <c r="J19" s="1">
        <f t="shared" si="0"/>
        <v>112</v>
      </c>
      <c r="K19" s="1">
        <f t="shared" si="1"/>
        <v>4</v>
      </c>
      <c r="L19" s="1" t="str">
        <f>IF(AND(L$1&gt;C19,L$1&lt;D19),L$1*J19/K19,"")</f>
        <v/>
      </c>
      <c r="M19" s="1" t="str">
        <f t="shared" si="2"/>
        <v/>
      </c>
    </row>
    <row r="20" spans="1:13" x14ac:dyDescent="0.35">
      <c r="A20" s="1">
        <v>4</v>
      </c>
      <c r="B20" s="1">
        <v>1</v>
      </c>
      <c r="C20" s="1">
        <v>6000000</v>
      </c>
      <c r="D20" s="1">
        <v>6400000</v>
      </c>
      <c r="E20" s="1">
        <v>0</v>
      </c>
      <c r="F20" s="1">
        <v>59</v>
      </c>
      <c r="G20" s="1">
        <v>2</v>
      </c>
      <c r="H20" s="1">
        <v>-1</v>
      </c>
      <c r="J20" s="1">
        <f t="shared" si="0"/>
        <v>120</v>
      </c>
      <c r="K20" s="1">
        <f t="shared" si="1"/>
        <v>4</v>
      </c>
      <c r="L20" s="1" t="str">
        <f>IF(AND(L$1&gt;C20,L$1&lt;D20),L$1*J20/K20,"")</f>
        <v/>
      </c>
      <c r="M20" s="1" t="str">
        <f t="shared" si="2"/>
        <v/>
      </c>
    </row>
    <row r="21" spans="1:13" x14ac:dyDescent="0.35">
      <c r="A21" s="1">
        <v>4</v>
      </c>
      <c r="B21" s="1">
        <v>1</v>
      </c>
      <c r="C21" s="1">
        <v>6000000</v>
      </c>
      <c r="D21" s="1">
        <v>12000000</v>
      </c>
      <c r="E21" s="1">
        <v>0</v>
      </c>
      <c r="F21" s="1">
        <v>31</v>
      </c>
      <c r="G21" s="1">
        <v>1</v>
      </c>
      <c r="H21" s="1">
        <v>-1</v>
      </c>
      <c r="J21" s="1">
        <f t="shared" si="0"/>
        <v>64</v>
      </c>
      <c r="K21" s="1">
        <f t="shared" si="1"/>
        <v>2</v>
      </c>
      <c r="L21" s="1" t="str">
        <f>IF(AND(L$1&gt;C21,L$1&lt;D21),L$1*J21/K21,"")</f>
        <v/>
      </c>
      <c r="M21" s="1" t="str">
        <f t="shared" si="2"/>
        <v/>
      </c>
    </row>
    <row r="22" spans="1:13" x14ac:dyDescent="0.35">
      <c r="A22" s="1">
        <v>6</v>
      </c>
      <c r="B22" s="1">
        <v>1</v>
      </c>
      <c r="C22" s="1">
        <v>6400000</v>
      </c>
      <c r="D22" s="1">
        <v>12000000</v>
      </c>
      <c r="E22" s="1">
        <v>0</v>
      </c>
      <c r="F22" s="1">
        <v>29</v>
      </c>
      <c r="G22" s="1">
        <v>1</v>
      </c>
      <c r="H22" s="1">
        <v>-1</v>
      </c>
      <c r="J22" s="1">
        <f t="shared" si="0"/>
        <v>60</v>
      </c>
      <c r="K22" s="1">
        <f t="shared" si="1"/>
        <v>2</v>
      </c>
      <c r="L22" s="1" t="str">
        <f>IF(AND(L$1&gt;C22,L$1&lt;D22),L$1*J22/K22,"")</f>
        <v/>
      </c>
      <c r="M22" s="1" t="str">
        <f t="shared" si="2"/>
        <v/>
      </c>
    </row>
    <row r="23" spans="1:13" x14ac:dyDescent="0.35">
      <c r="A23" s="1">
        <v>6</v>
      </c>
      <c r="B23" s="1">
        <v>1</v>
      </c>
      <c r="C23" s="1">
        <v>6857143</v>
      </c>
      <c r="D23" s="1">
        <v>12000000</v>
      </c>
      <c r="E23" s="1">
        <v>0</v>
      </c>
      <c r="F23" s="1">
        <v>27</v>
      </c>
      <c r="G23" s="1">
        <v>2</v>
      </c>
      <c r="H23" s="1">
        <v>-1</v>
      </c>
      <c r="J23" s="1">
        <f t="shared" si="0"/>
        <v>56</v>
      </c>
      <c r="K23" s="1">
        <f t="shared" si="1"/>
        <v>4</v>
      </c>
      <c r="L23" s="1" t="str">
        <f>IF(AND(L$1&gt;C23,L$1&lt;D23),L$1*J23/K23,"")</f>
        <v/>
      </c>
      <c r="M23" s="1" t="str">
        <f t="shared" si="2"/>
        <v/>
      </c>
    </row>
    <row r="24" spans="1:13" x14ac:dyDescent="0.35">
      <c r="A24" s="1">
        <v>6</v>
      </c>
      <c r="B24" s="1">
        <v>1</v>
      </c>
      <c r="C24" s="1">
        <v>6857143</v>
      </c>
      <c r="D24" s="1">
        <v>12000000</v>
      </c>
      <c r="E24" s="1">
        <v>0</v>
      </c>
      <c r="F24" s="1">
        <v>27</v>
      </c>
      <c r="G24" s="1">
        <v>1</v>
      </c>
      <c r="H24" s="1">
        <v>-1</v>
      </c>
      <c r="J24" s="1">
        <f t="shared" si="0"/>
        <v>56</v>
      </c>
      <c r="K24" s="1">
        <f t="shared" si="1"/>
        <v>2</v>
      </c>
      <c r="L24" s="1" t="str">
        <f>IF(AND(L$1&gt;C24,L$1&lt;D24),L$1*J24/K24,"")</f>
        <v/>
      </c>
      <c r="M24" s="1" t="str">
        <f t="shared" si="2"/>
        <v/>
      </c>
    </row>
    <row r="25" spans="1:13" x14ac:dyDescent="0.35">
      <c r="A25" s="1">
        <v>6</v>
      </c>
      <c r="B25" s="1">
        <v>1</v>
      </c>
      <c r="C25" s="1">
        <v>7384616</v>
      </c>
      <c r="D25" s="1">
        <v>12000000</v>
      </c>
      <c r="E25" s="1">
        <v>0</v>
      </c>
      <c r="F25" s="1">
        <v>25</v>
      </c>
      <c r="G25" s="1">
        <v>1</v>
      </c>
      <c r="H25" s="1">
        <v>-1</v>
      </c>
      <c r="J25" s="1">
        <f t="shared" si="0"/>
        <v>52</v>
      </c>
      <c r="K25" s="1">
        <f t="shared" si="1"/>
        <v>2</v>
      </c>
      <c r="L25" s="1" t="str">
        <f>IF(AND(L$1&gt;C25,L$1&lt;D25),L$1*J25/K25,"")</f>
        <v/>
      </c>
      <c r="M25" s="1" t="str">
        <f t="shared" si="2"/>
        <v/>
      </c>
    </row>
    <row r="26" spans="1:13" x14ac:dyDescent="0.35">
      <c r="A26" s="1">
        <v>6</v>
      </c>
      <c r="B26" s="1">
        <v>1</v>
      </c>
      <c r="C26" s="1">
        <v>8000000</v>
      </c>
      <c r="D26" s="1">
        <v>12000000</v>
      </c>
      <c r="E26" s="1">
        <v>0</v>
      </c>
      <c r="F26" s="1">
        <v>23</v>
      </c>
      <c r="G26" s="1">
        <v>2</v>
      </c>
      <c r="H26" s="1">
        <v>-1</v>
      </c>
      <c r="J26" s="1">
        <f t="shared" si="0"/>
        <v>48</v>
      </c>
      <c r="K26" s="1">
        <f t="shared" si="1"/>
        <v>4</v>
      </c>
      <c r="L26" s="1" t="str">
        <f>IF(AND(L$1&gt;C26,L$1&lt;D26),L$1*J26/K26,"")</f>
        <v/>
      </c>
      <c r="M26" s="1" t="str">
        <f t="shared" si="2"/>
        <v/>
      </c>
    </row>
    <row r="27" spans="1:13" x14ac:dyDescent="0.35">
      <c r="A27" s="1">
        <v>8</v>
      </c>
      <c r="B27" s="1">
        <v>1</v>
      </c>
      <c r="C27" s="1">
        <v>8000000</v>
      </c>
      <c r="D27" s="1">
        <v>12000000</v>
      </c>
      <c r="E27" s="1">
        <v>0</v>
      </c>
      <c r="F27" s="1">
        <v>23</v>
      </c>
      <c r="G27" s="1">
        <v>1</v>
      </c>
      <c r="H27" s="1">
        <v>-1</v>
      </c>
      <c r="J27" s="1">
        <f t="shared" si="0"/>
        <v>48</v>
      </c>
      <c r="K27" s="1">
        <f t="shared" si="1"/>
        <v>2</v>
      </c>
      <c r="L27" s="1" t="str">
        <f>IF(AND(L$1&gt;C27,L$1&lt;D27),L$1*J27/K27,"")</f>
        <v/>
      </c>
      <c r="M27" s="1" t="str">
        <f t="shared" si="2"/>
        <v/>
      </c>
    </row>
    <row r="28" spans="1:13" x14ac:dyDescent="0.35">
      <c r="A28" s="1">
        <v>8</v>
      </c>
      <c r="B28" s="1">
        <v>1</v>
      </c>
      <c r="C28" s="1">
        <v>8727273</v>
      </c>
      <c r="D28" s="1">
        <v>12000000</v>
      </c>
      <c r="E28" s="1">
        <v>0</v>
      </c>
      <c r="F28" s="1">
        <v>21</v>
      </c>
      <c r="G28" s="1">
        <v>1</v>
      </c>
      <c r="H28" s="1">
        <v>-1</v>
      </c>
      <c r="J28" s="1">
        <f t="shared" si="0"/>
        <v>44</v>
      </c>
      <c r="K28" s="1">
        <f t="shared" si="1"/>
        <v>2</v>
      </c>
      <c r="L28" s="1" t="str">
        <f>IF(AND(L$1&gt;C28,L$1&lt;D28),L$1*J28/K28,"")</f>
        <v/>
      </c>
      <c r="M28" s="1" t="str">
        <f t="shared" si="2"/>
        <v/>
      </c>
    </row>
    <row r="29" spans="1:13" x14ac:dyDescent="0.35">
      <c r="A29" s="1">
        <v>8</v>
      </c>
      <c r="B29" s="1">
        <v>1</v>
      </c>
      <c r="C29" s="1">
        <v>9600000</v>
      </c>
      <c r="D29" s="1">
        <v>12000000</v>
      </c>
      <c r="E29" s="1">
        <v>0</v>
      </c>
      <c r="F29" s="1">
        <v>19</v>
      </c>
      <c r="G29" s="1">
        <v>2</v>
      </c>
      <c r="H29" s="1">
        <v>-1</v>
      </c>
      <c r="J29" s="1">
        <f t="shared" si="0"/>
        <v>40</v>
      </c>
      <c r="K29" s="1">
        <f t="shared" si="1"/>
        <v>4</v>
      </c>
      <c r="L29" s="1" t="str">
        <f>IF(AND(L$1&gt;C29,L$1&lt;D29),L$1*J29/K29,"")</f>
        <v/>
      </c>
      <c r="M29" s="1" t="str">
        <f t="shared" si="2"/>
        <v/>
      </c>
    </row>
    <row r="30" spans="1:13" x14ac:dyDescent="0.35">
      <c r="A30" s="1">
        <v>10</v>
      </c>
      <c r="B30" s="1">
        <v>1</v>
      </c>
      <c r="C30" s="1">
        <v>9600000</v>
      </c>
      <c r="D30" s="1">
        <v>12000000</v>
      </c>
      <c r="E30" s="1">
        <v>0</v>
      </c>
      <c r="F30" s="1">
        <v>19</v>
      </c>
      <c r="G30" s="1">
        <v>1</v>
      </c>
      <c r="H30" s="1">
        <v>-1</v>
      </c>
      <c r="J30" s="1">
        <f t="shared" si="0"/>
        <v>40</v>
      </c>
      <c r="K30" s="1">
        <f t="shared" si="1"/>
        <v>2</v>
      </c>
      <c r="L30" s="1" t="str">
        <f>IF(AND(L$1&gt;C30,L$1&lt;D30),L$1*J30/K30,"")</f>
        <v/>
      </c>
      <c r="M30" s="1" t="str">
        <f t="shared" si="2"/>
        <v/>
      </c>
    </row>
    <row r="31" spans="1:13" x14ac:dyDescent="0.35">
      <c r="A31" s="1">
        <v>10</v>
      </c>
      <c r="B31" s="1">
        <v>1</v>
      </c>
      <c r="C31" s="1">
        <v>10666666</v>
      </c>
      <c r="D31" s="1">
        <v>12000000</v>
      </c>
      <c r="E31" s="1">
        <v>0</v>
      </c>
      <c r="F31" s="1">
        <v>23</v>
      </c>
      <c r="G31" s="1">
        <v>3</v>
      </c>
      <c r="H31" s="1">
        <v>-1</v>
      </c>
      <c r="J31" s="1">
        <f t="shared" si="0"/>
        <v>48</v>
      </c>
      <c r="K31" s="1">
        <f t="shared" si="1"/>
        <v>8</v>
      </c>
      <c r="L31" s="1" t="str">
        <f>IF(AND(L$1&gt;C31,L$1&lt;D31),L$1*J31/K31,"")</f>
        <v/>
      </c>
      <c r="M31" s="1" t="str">
        <f t="shared" si="2"/>
        <v/>
      </c>
    </row>
    <row r="32" spans="1:13" x14ac:dyDescent="0.35">
      <c r="A32" s="1">
        <v>10</v>
      </c>
      <c r="B32" s="1">
        <v>1</v>
      </c>
      <c r="C32" s="1">
        <v>10666667</v>
      </c>
      <c r="D32" s="1">
        <v>12000000</v>
      </c>
      <c r="E32" s="1">
        <v>0</v>
      </c>
      <c r="F32" s="1">
        <v>17</v>
      </c>
      <c r="G32" s="1">
        <v>1</v>
      </c>
      <c r="H32" s="1">
        <v>-1</v>
      </c>
      <c r="J32" s="1">
        <f t="shared" si="0"/>
        <v>36</v>
      </c>
      <c r="K32" s="1">
        <f t="shared" si="1"/>
        <v>2</v>
      </c>
      <c r="L32" s="1" t="str">
        <f>IF(AND(L$1&gt;C32,L$1&lt;D32),L$1*J32/K32,"")</f>
        <v/>
      </c>
      <c r="M32" s="1" t="str">
        <f t="shared" si="2"/>
        <v/>
      </c>
    </row>
    <row r="33" spans="1:13" x14ac:dyDescent="0.35">
      <c r="A33" s="1">
        <v>10</v>
      </c>
      <c r="B33" s="1">
        <v>32</v>
      </c>
      <c r="C33" s="1">
        <v>12000000</v>
      </c>
      <c r="D33" s="1">
        <v>24000000</v>
      </c>
      <c r="E33" s="1">
        <v>1</v>
      </c>
      <c r="F33" s="1">
        <v>31</v>
      </c>
      <c r="G33" s="1">
        <v>3</v>
      </c>
      <c r="H33" s="1">
        <v>63</v>
      </c>
      <c r="J33" s="1">
        <f t="shared" si="0"/>
        <v>64</v>
      </c>
      <c r="K33" s="1">
        <f t="shared" si="1"/>
        <v>2048</v>
      </c>
      <c r="L33" s="1">
        <f>IF(AND(L$1&gt;C33,L$1&lt;D33),L$1*J33/K33,"")</f>
        <v>500000</v>
      </c>
      <c r="M33" s="1">
        <f t="shared" si="2"/>
        <v>-97.5</v>
      </c>
    </row>
    <row r="34" spans="1:13" x14ac:dyDescent="0.35">
      <c r="A34" s="1">
        <v>10</v>
      </c>
      <c r="B34" s="1">
        <v>16</v>
      </c>
      <c r="C34" s="1">
        <v>12000000</v>
      </c>
      <c r="D34" s="1">
        <v>24000000</v>
      </c>
      <c r="E34" s="1">
        <v>1</v>
      </c>
      <c r="F34" s="1">
        <v>31</v>
      </c>
      <c r="G34" s="1">
        <v>2</v>
      </c>
      <c r="H34" s="1">
        <v>63</v>
      </c>
      <c r="J34" s="1">
        <f t="shared" si="0"/>
        <v>64</v>
      </c>
      <c r="K34" s="1">
        <f t="shared" si="1"/>
        <v>1024</v>
      </c>
      <c r="L34" s="1">
        <f>IF(AND(L$1&gt;C34,L$1&lt;D34),L$1*J34/K34,"")</f>
        <v>1000000</v>
      </c>
      <c r="M34" s="1">
        <f t="shared" si="2"/>
        <v>-95</v>
      </c>
    </row>
    <row r="35" spans="1:13" x14ac:dyDescent="0.35">
      <c r="A35" s="1">
        <v>12</v>
      </c>
      <c r="B35" s="1">
        <v>8</v>
      </c>
      <c r="C35" s="1">
        <v>12000000</v>
      </c>
      <c r="D35" s="1">
        <v>24000000</v>
      </c>
      <c r="E35" s="1">
        <v>1</v>
      </c>
      <c r="F35" s="1">
        <v>31</v>
      </c>
      <c r="G35" s="1">
        <v>2</v>
      </c>
      <c r="H35" s="1">
        <v>31</v>
      </c>
      <c r="J35" s="1">
        <f t="shared" si="0"/>
        <v>64</v>
      </c>
      <c r="K35" s="1">
        <f t="shared" si="1"/>
        <v>512</v>
      </c>
      <c r="L35" s="1">
        <f>IF(AND(L$1&gt;C35,L$1&lt;D35),L$1*J35/K35,"")</f>
        <v>2000000</v>
      </c>
      <c r="M35" s="1">
        <f t="shared" si="2"/>
        <v>-90</v>
      </c>
    </row>
    <row r="36" spans="1:13" x14ac:dyDescent="0.35">
      <c r="A36" s="1">
        <v>12</v>
      </c>
      <c r="B36" s="1">
        <v>4</v>
      </c>
      <c r="C36" s="1">
        <v>12000000</v>
      </c>
      <c r="D36" s="1">
        <v>24000000</v>
      </c>
      <c r="E36" s="1">
        <v>1</v>
      </c>
      <c r="F36" s="1">
        <v>31</v>
      </c>
      <c r="G36" s="1">
        <v>2</v>
      </c>
      <c r="H36" s="1">
        <v>15</v>
      </c>
      <c r="J36" s="1">
        <f t="shared" si="0"/>
        <v>64</v>
      </c>
      <c r="K36" s="1">
        <f t="shared" si="1"/>
        <v>256</v>
      </c>
      <c r="L36" s="1">
        <f>IF(AND(L$1&gt;C36,L$1&lt;D36),L$1*J36/K36,"")</f>
        <v>4000000</v>
      </c>
      <c r="M36" s="1">
        <f t="shared" si="2"/>
        <v>-80</v>
      </c>
    </row>
    <row r="37" spans="1:13" x14ac:dyDescent="0.35">
      <c r="A37" s="1">
        <v>12</v>
      </c>
      <c r="B37" s="1">
        <v>2</v>
      </c>
      <c r="C37" s="1">
        <v>12000000</v>
      </c>
      <c r="D37" s="1">
        <v>24000000</v>
      </c>
      <c r="E37" s="1">
        <v>1</v>
      </c>
      <c r="F37" s="1">
        <v>31</v>
      </c>
      <c r="G37" s="1">
        <v>1</v>
      </c>
      <c r="H37" s="1">
        <v>15</v>
      </c>
      <c r="J37" s="1">
        <f t="shared" si="0"/>
        <v>64</v>
      </c>
      <c r="K37" s="1">
        <f t="shared" si="1"/>
        <v>128</v>
      </c>
      <c r="L37" s="1">
        <f>IF(AND(L$1&gt;C37,L$1&lt;D37),L$1*J37/K37,"")</f>
        <v>8000000</v>
      </c>
      <c r="M37" s="1">
        <f t="shared" si="2"/>
        <v>-60</v>
      </c>
    </row>
    <row r="38" spans="1:13" x14ac:dyDescent="0.35">
      <c r="A38" s="1">
        <v>12</v>
      </c>
      <c r="B38" s="1">
        <v>1</v>
      </c>
      <c r="C38" s="1">
        <v>12000000</v>
      </c>
      <c r="D38" s="1">
        <v>24000000</v>
      </c>
      <c r="E38" s="1">
        <v>1</v>
      </c>
      <c r="F38" s="1">
        <v>31</v>
      </c>
      <c r="G38" s="1">
        <v>1</v>
      </c>
      <c r="H38" s="1">
        <v>3</v>
      </c>
      <c r="J38" s="1">
        <f t="shared" si="0"/>
        <v>64</v>
      </c>
      <c r="K38" s="1">
        <f t="shared" si="1"/>
        <v>32</v>
      </c>
      <c r="L38" s="1">
        <f>IF(AND(L$1&gt;C38,L$1&lt;D38),L$1*J38/K38,"")</f>
        <v>32000000</v>
      </c>
      <c r="M38" s="1">
        <f t="shared" si="2"/>
        <v>60</v>
      </c>
    </row>
    <row r="39" spans="1:13" x14ac:dyDescent="0.35">
      <c r="A39" s="1">
        <v>12</v>
      </c>
      <c r="B39" s="1">
        <v>1</v>
      </c>
      <c r="C39" s="1">
        <v>12000000</v>
      </c>
      <c r="D39" s="1">
        <v>24000000</v>
      </c>
      <c r="E39" s="1">
        <v>1</v>
      </c>
      <c r="F39" s="1">
        <v>31</v>
      </c>
      <c r="G39" s="1">
        <v>3</v>
      </c>
      <c r="H39" s="1">
        <v>-1</v>
      </c>
      <c r="J39" s="1">
        <f t="shared" si="0"/>
        <v>64</v>
      </c>
      <c r="K39" s="1">
        <f t="shared" si="1"/>
        <v>16</v>
      </c>
      <c r="L39" s="1">
        <f>IF(AND(L$1&gt;C39,L$1&lt;D39),L$1*J39/K39,"")</f>
        <v>64000000</v>
      </c>
      <c r="M39" s="1">
        <f t="shared" si="2"/>
        <v>220.00000000000003</v>
      </c>
    </row>
    <row r="40" spans="1:13" x14ac:dyDescent="0.35">
      <c r="A40" s="1">
        <v>12</v>
      </c>
      <c r="B40" s="1">
        <v>1</v>
      </c>
      <c r="C40" s="1">
        <v>12000000</v>
      </c>
      <c r="D40" s="1">
        <v>16000000</v>
      </c>
      <c r="E40" s="1">
        <v>1</v>
      </c>
      <c r="F40" s="1">
        <v>47</v>
      </c>
      <c r="G40" s="1">
        <v>3</v>
      </c>
      <c r="H40" s="1">
        <v>-1</v>
      </c>
      <c r="J40" s="1">
        <f t="shared" si="0"/>
        <v>96</v>
      </c>
      <c r="K40" s="1">
        <f t="shared" si="1"/>
        <v>16</v>
      </c>
      <c r="L40" s="1" t="str">
        <f>IF(AND(L$1&gt;C40,L$1&lt;D40),L$1*J40/K40,"")</f>
        <v/>
      </c>
      <c r="M40" s="1" t="str">
        <f t="shared" si="2"/>
        <v/>
      </c>
    </row>
    <row r="41" spans="1:13" x14ac:dyDescent="0.35">
      <c r="A41" s="1">
        <v>14</v>
      </c>
      <c r="B41" s="1">
        <v>1</v>
      </c>
      <c r="C41" s="1">
        <v>12000000</v>
      </c>
      <c r="D41" s="1">
        <v>24000000</v>
      </c>
      <c r="E41" s="1">
        <v>1</v>
      </c>
      <c r="F41" s="1">
        <v>31</v>
      </c>
      <c r="G41" s="1">
        <v>2</v>
      </c>
      <c r="H41" s="1">
        <v>-1</v>
      </c>
      <c r="J41" s="1">
        <f t="shared" si="0"/>
        <v>64</v>
      </c>
      <c r="K41" s="1">
        <f t="shared" si="1"/>
        <v>8</v>
      </c>
      <c r="L41" s="1">
        <f>IF(AND(L$1&gt;C41,L$1&lt;D41),L$1*J41/K41,"")</f>
        <v>128000000</v>
      </c>
      <c r="M41" s="1">
        <f t="shared" si="2"/>
        <v>540</v>
      </c>
    </row>
    <row r="42" spans="1:13" x14ac:dyDescent="0.35">
      <c r="A42" s="1">
        <v>14</v>
      </c>
      <c r="B42" s="1">
        <v>1</v>
      </c>
      <c r="C42" s="1">
        <v>12000000</v>
      </c>
      <c r="D42" s="1">
        <v>19200000</v>
      </c>
      <c r="E42" s="1">
        <v>1</v>
      </c>
      <c r="F42" s="1">
        <v>39</v>
      </c>
      <c r="G42" s="1">
        <v>2</v>
      </c>
      <c r="H42" s="1">
        <v>-1</v>
      </c>
      <c r="J42" s="1">
        <f t="shared" si="0"/>
        <v>80</v>
      </c>
      <c r="K42" s="1">
        <f t="shared" si="1"/>
        <v>8</v>
      </c>
      <c r="L42" s="1">
        <f>IF(AND(L$1&gt;C42,L$1&lt;D42),L$1*J42/K42,"")</f>
        <v>160000000</v>
      </c>
      <c r="M42" s="1">
        <f t="shared" si="2"/>
        <v>700</v>
      </c>
    </row>
    <row r="43" spans="1:13" x14ac:dyDescent="0.35">
      <c r="A43" s="1">
        <v>14</v>
      </c>
      <c r="B43" s="1">
        <v>1</v>
      </c>
      <c r="C43" s="1">
        <v>12000000</v>
      </c>
      <c r="D43" s="1">
        <v>16000000</v>
      </c>
      <c r="E43" s="1">
        <v>1</v>
      </c>
      <c r="F43" s="1">
        <v>47</v>
      </c>
      <c r="G43" s="1">
        <v>2</v>
      </c>
      <c r="H43" s="1">
        <v>-1</v>
      </c>
      <c r="J43" s="1">
        <f t="shared" si="0"/>
        <v>96</v>
      </c>
      <c r="K43" s="1">
        <f t="shared" si="1"/>
        <v>8</v>
      </c>
      <c r="L43" s="1" t="str">
        <f>IF(AND(L$1&gt;C43,L$1&lt;D43),L$1*J43/K43,"")</f>
        <v/>
      </c>
      <c r="M43" s="1" t="str">
        <f t="shared" si="2"/>
        <v/>
      </c>
    </row>
    <row r="44" spans="1:13" x14ac:dyDescent="0.35">
      <c r="A44" s="1">
        <v>14</v>
      </c>
      <c r="B44" s="1">
        <v>1</v>
      </c>
      <c r="C44" s="1">
        <v>12000000</v>
      </c>
      <c r="D44" s="1">
        <v>13714285</v>
      </c>
      <c r="E44" s="1">
        <v>1</v>
      </c>
      <c r="F44" s="1">
        <v>55</v>
      </c>
      <c r="G44" s="1">
        <v>2</v>
      </c>
      <c r="H44" s="1">
        <v>-1</v>
      </c>
      <c r="J44" s="1">
        <f t="shared" si="0"/>
        <v>112</v>
      </c>
      <c r="K44" s="1">
        <f t="shared" si="1"/>
        <v>8</v>
      </c>
      <c r="L44" s="1" t="str">
        <f>IF(AND(L$1&gt;C44,L$1&lt;D44),L$1*J44/K44,"")</f>
        <v/>
      </c>
      <c r="M44" s="1" t="str">
        <f t="shared" si="2"/>
        <v/>
      </c>
    </row>
    <row r="45" spans="1:13" x14ac:dyDescent="0.35">
      <c r="A45" s="1">
        <v>14</v>
      </c>
      <c r="B45" s="1">
        <v>1</v>
      </c>
      <c r="C45" s="1">
        <v>12000000</v>
      </c>
      <c r="D45" s="1">
        <v>24000000</v>
      </c>
      <c r="E45" s="1">
        <v>1</v>
      </c>
      <c r="F45" s="1">
        <v>31</v>
      </c>
      <c r="G45" s="1">
        <v>1</v>
      </c>
      <c r="H45" s="1">
        <v>-1</v>
      </c>
      <c r="J45" s="1">
        <f t="shared" si="0"/>
        <v>64</v>
      </c>
      <c r="K45" s="1">
        <f t="shared" si="1"/>
        <v>4</v>
      </c>
      <c r="L45" s="1">
        <f>IF(AND(L$1&gt;C45,L$1&lt;D45),L$1*J45/K45,"")</f>
        <v>256000000</v>
      </c>
      <c r="M45" s="1">
        <f t="shared" si="2"/>
        <v>1180</v>
      </c>
    </row>
    <row r="46" spans="1:13" x14ac:dyDescent="0.35">
      <c r="A46" s="1">
        <v>16</v>
      </c>
      <c r="B46" s="1">
        <v>1</v>
      </c>
      <c r="C46" s="1">
        <v>12000000</v>
      </c>
      <c r="D46" s="1">
        <v>21333333</v>
      </c>
      <c r="E46" s="1">
        <v>1</v>
      </c>
      <c r="F46" s="1">
        <v>35</v>
      </c>
      <c r="G46" s="1">
        <v>1</v>
      </c>
      <c r="H46" s="1">
        <v>-1</v>
      </c>
      <c r="J46" s="1">
        <f t="shared" si="0"/>
        <v>72</v>
      </c>
      <c r="K46" s="1">
        <f t="shared" si="1"/>
        <v>4</v>
      </c>
      <c r="L46" s="1">
        <f>IF(AND(L$1&gt;C46,L$1&lt;D46),L$1*J46/K46,"")</f>
        <v>288000000</v>
      </c>
      <c r="M46" s="1">
        <f t="shared" si="2"/>
        <v>1340</v>
      </c>
    </row>
    <row r="47" spans="1:13" x14ac:dyDescent="0.35">
      <c r="A47" s="1">
        <v>16</v>
      </c>
      <c r="B47" s="1">
        <v>1</v>
      </c>
      <c r="C47" s="1">
        <v>12000000</v>
      </c>
      <c r="D47" s="1">
        <v>19200000</v>
      </c>
      <c r="E47" s="1">
        <v>1</v>
      </c>
      <c r="F47" s="1">
        <v>39</v>
      </c>
      <c r="G47" s="1">
        <v>1</v>
      </c>
      <c r="H47" s="1">
        <v>-1</v>
      </c>
      <c r="J47" s="1">
        <f t="shared" si="0"/>
        <v>80</v>
      </c>
      <c r="K47" s="1">
        <f t="shared" si="1"/>
        <v>4</v>
      </c>
      <c r="L47" s="1">
        <f>IF(AND(L$1&gt;C47,L$1&lt;D47),L$1*J47/K47,"")</f>
        <v>320000000</v>
      </c>
      <c r="M47" s="1">
        <f t="shared" si="2"/>
        <v>1500</v>
      </c>
    </row>
    <row r="48" spans="1:13" x14ac:dyDescent="0.35">
      <c r="A48" s="1">
        <v>18</v>
      </c>
      <c r="B48" s="1">
        <v>1</v>
      </c>
      <c r="C48" s="1">
        <v>12000000</v>
      </c>
      <c r="D48" s="1">
        <v>17454545</v>
      </c>
      <c r="E48" s="1">
        <v>1</v>
      </c>
      <c r="F48" s="1">
        <v>43</v>
      </c>
      <c r="G48" s="1">
        <v>1</v>
      </c>
      <c r="H48" s="1">
        <v>-1</v>
      </c>
      <c r="J48" s="1">
        <f t="shared" si="0"/>
        <v>88</v>
      </c>
      <c r="K48" s="1">
        <f t="shared" si="1"/>
        <v>4</v>
      </c>
      <c r="L48" s="1">
        <f>IF(AND(L$1&gt;C48,L$1&lt;D48),L$1*J48/K48,"")</f>
        <v>352000000</v>
      </c>
      <c r="M48" s="1">
        <f t="shared" si="2"/>
        <v>1660.0000000000002</v>
      </c>
    </row>
    <row r="49" spans="1:13" x14ac:dyDescent="0.35">
      <c r="A49" s="1">
        <v>18</v>
      </c>
      <c r="B49" s="1">
        <v>1</v>
      </c>
      <c r="C49" s="1">
        <v>12000000</v>
      </c>
      <c r="D49" s="1">
        <v>16000000</v>
      </c>
      <c r="E49" s="1">
        <v>1</v>
      </c>
      <c r="F49" s="1">
        <v>47</v>
      </c>
      <c r="G49" s="1">
        <v>1</v>
      </c>
      <c r="H49" s="1">
        <v>-1</v>
      </c>
      <c r="J49" s="1">
        <f t="shared" si="0"/>
        <v>96</v>
      </c>
      <c r="K49" s="1">
        <f t="shared" si="1"/>
        <v>4</v>
      </c>
      <c r="L49" s="1" t="str">
        <f>IF(AND(L$1&gt;C49,L$1&lt;D49),L$1*J49/K49,"")</f>
        <v/>
      </c>
      <c r="M49" s="1" t="str">
        <f t="shared" si="2"/>
        <v/>
      </c>
    </row>
    <row r="50" spans="1:13" x14ac:dyDescent="0.35">
      <c r="A50" s="1">
        <v>18</v>
      </c>
      <c r="B50" s="1">
        <v>1</v>
      </c>
      <c r="C50" s="1">
        <v>12000000</v>
      </c>
      <c r="D50" s="1">
        <v>14768230</v>
      </c>
      <c r="E50" s="1">
        <v>1</v>
      </c>
      <c r="F50" s="1">
        <v>51</v>
      </c>
      <c r="G50" s="1">
        <v>1</v>
      </c>
      <c r="H50" s="1">
        <v>-1</v>
      </c>
      <c r="J50" s="1">
        <f t="shared" si="0"/>
        <v>104</v>
      </c>
      <c r="K50" s="1">
        <f t="shared" si="1"/>
        <v>4</v>
      </c>
      <c r="L50" s="1" t="str">
        <f>IF(AND(L$1&gt;C50,L$1&lt;D50),L$1*J50/K50,"")</f>
        <v/>
      </c>
      <c r="M50" s="1" t="str">
        <f t="shared" si="2"/>
        <v/>
      </c>
    </row>
    <row r="51" spans="1:13" x14ac:dyDescent="0.35">
      <c r="A51" s="1">
        <v>20</v>
      </c>
      <c r="B51" s="1">
        <v>1</v>
      </c>
      <c r="C51" s="1">
        <v>12000000</v>
      </c>
      <c r="D51" s="1">
        <v>13714285</v>
      </c>
      <c r="E51" s="1">
        <v>1</v>
      </c>
      <c r="F51" s="1">
        <v>55</v>
      </c>
      <c r="G51" s="1">
        <v>1</v>
      </c>
      <c r="H51" s="1">
        <v>-1</v>
      </c>
      <c r="J51" s="1">
        <f t="shared" si="0"/>
        <v>112</v>
      </c>
      <c r="K51" s="1">
        <f t="shared" si="1"/>
        <v>4</v>
      </c>
      <c r="L51" s="1" t="str">
        <f>IF(AND(L$1&gt;C51,L$1&lt;D51),L$1*J51/K51,"")</f>
        <v/>
      </c>
      <c r="M51" s="1" t="str">
        <f t="shared" si="2"/>
        <v/>
      </c>
    </row>
    <row r="52" spans="1:13" x14ac:dyDescent="0.35">
      <c r="A52" s="1">
        <v>20</v>
      </c>
      <c r="B52" s="1">
        <v>1</v>
      </c>
      <c r="C52" s="1">
        <v>12000000</v>
      </c>
      <c r="D52" s="1">
        <v>12800000</v>
      </c>
      <c r="E52" s="1">
        <v>1</v>
      </c>
      <c r="F52" s="1">
        <v>59</v>
      </c>
      <c r="G52" s="1">
        <v>1</v>
      </c>
      <c r="H52" s="1">
        <v>-1</v>
      </c>
      <c r="J52" s="1">
        <f t="shared" si="0"/>
        <v>120</v>
      </c>
      <c r="K52" s="1">
        <f t="shared" si="1"/>
        <v>4</v>
      </c>
      <c r="L52" s="1" t="str">
        <f>IF(AND(L$1&gt;C52,L$1&lt;D52),L$1*J52/K52,"")</f>
        <v/>
      </c>
      <c r="M52" s="1" t="str">
        <f t="shared" si="2"/>
        <v/>
      </c>
    </row>
    <row r="53" spans="1:13" x14ac:dyDescent="0.35">
      <c r="A53" s="1">
        <v>20</v>
      </c>
      <c r="B53" s="1">
        <v>1</v>
      </c>
      <c r="C53" s="1">
        <v>13714286</v>
      </c>
      <c r="D53" s="1">
        <v>24000000</v>
      </c>
      <c r="E53" s="1">
        <v>1</v>
      </c>
      <c r="F53" s="1">
        <v>27</v>
      </c>
      <c r="G53" s="1">
        <v>1</v>
      </c>
      <c r="H53" s="1">
        <v>-1</v>
      </c>
      <c r="J53" s="1">
        <f t="shared" si="0"/>
        <v>56</v>
      </c>
      <c r="K53" s="1">
        <f t="shared" si="1"/>
        <v>4</v>
      </c>
      <c r="L53" s="1">
        <f>IF(AND(L$1&gt;C53,L$1&lt;D53),L$1*J53/K53,"")</f>
        <v>224000000</v>
      </c>
      <c r="M53" s="1">
        <f t="shared" si="2"/>
        <v>1019.9999999999999</v>
      </c>
    </row>
    <row r="54" spans="1:13" x14ac:dyDescent="0.35">
      <c r="A54" s="1">
        <v>22</v>
      </c>
      <c r="B54" s="1">
        <v>1</v>
      </c>
      <c r="C54" s="1">
        <v>16000000</v>
      </c>
      <c r="D54" s="1">
        <v>18000000</v>
      </c>
      <c r="E54" s="1">
        <v>1</v>
      </c>
      <c r="F54" s="1">
        <v>23</v>
      </c>
      <c r="G54" s="1">
        <v>2</v>
      </c>
      <c r="H54" s="1">
        <v>-1</v>
      </c>
      <c r="J54" s="1">
        <f t="shared" si="0"/>
        <v>48</v>
      </c>
      <c r="K54" s="1">
        <f t="shared" si="1"/>
        <v>8</v>
      </c>
      <c r="L54" s="1" t="str">
        <f>IF(AND(L$1&gt;C54,L$1&lt;D54),L$1*J54/K54,"")</f>
        <v/>
      </c>
      <c r="M54" s="1" t="str">
        <f t="shared" si="2"/>
        <v/>
      </c>
    </row>
    <row r="55" spans="1:13" x14ac:dyDescent="0.35">
      <c r="A55" s="1">
        <v>22</v>
      </c>
      <c r="B55" s="1">
        <v>1</v>
      </c>
      <c r="C55" s="1">
        <v>16000000</v>
      </c>
      <c r="D55" s="1">
        <v>24000000</v>
      </c>
      <c r="E55" s="1">
        <v>1</v>
      </c>
      <c r="F55" s="1">
        <v>23</v>
      </c>
      <c r="G55" s="1">
        <v>1</v>
      </c>
      <c r="H55" s="1">
        <v>-1</v>
      </c>
      <c r="J55" s="1">
        <f t="shared" si="0"/>
        <v>48</v>
      </c>
      <c r="K55" s="1">
        <f t="shared" si="1"/>
        <v>4</v>
      </c>
      <c r="L55" s="1" t="str">
        <f>IF(AND(L$1&gt;C55,L$1&lt;D55),L$1*J55/K55,"")</f>
        <v/>
      </c>
      <c r="M55" s="1" t="str">
        <f t="shared" si="2"/>
        <v/>
      </c>
    </row>
    <row r="56" spans="1:13" x14ac:dyDescent="0.35">
      <c r="A56" s="1">
        <v>22</v>
      </c>
      <c r="B56" s="1">
        <v>1</v>
      </c>
      <c r="C56" s="1">
        <v>19200000</v>
      </c>
      <c r="D56" s="1">
        <v>24000000</v>
      </c>
      <c r="E56" s="1">
        <v>1</v>
      </c>
      <c r="F56" s="1">
        <v>19</v>
      </c>
      <c r="G56" s="1">
        <v>1</v>
      </c>
      <c r="H56" s="1">
        <v>-1</v>
      </c>
      <c r="J56" s="1">
        <f t="shared" si="0"/>
        <v>40</v>
      </c>
      <c r="K56" s="1">
        <f t="shared" si="1"/>
        <v>4</v>
      </c>
      <c r="L56" s="1" t="str">
        <f>IF(AND(L$1&gt;C56,L$1&lt;D56),L$1*J56/K56,"")</f>
        <v/>
      </c>
      <c r="M56" s="1" t="str">
        <f t="shared" si="2"/>
        <v/>
      </c>
    </row>
    <row r="57" spans="1:13" x14ac:dyDescent="0.35">
      <c r="A57" s="1">
        <v>24</v>
      </c>
      <c r="B57" s="1">
        <v>1</v>
      </c>
      <c r="C57" s="1">
        <v>18000000</v>
      </c>
      <c r="D57" s="1">
        <v>21333333</v>
      </c>
      <c r="E57" s="1">
        <v>2</v>
      </c>
      <c r="F57" s="1">
        <v>35</v>
      </c>
      <c r="G57" s="1">
        <v>2</v>
      </c>
      <c r="H57" s="1">
        <v>-1</v>
      </c>
      <c r="J57" s="1">
        <f t="shared" si="0"/>
        <v>72</v>
      </c>
      <c r="K57" s="1">
        <f t="shared" si="1"/>
        <v>12</v>
      </c>
      <c r="L57" s="1" t="str">
        <f>IF(AND(L$1&gt;C57,L$1&lt;D57),L$1*J57/K57,"")</f>
        <v/>
      </c>
      <c r="M57" s="1" t="str">
        <f t="shared" si="2"/>
        <v/>
      </c>
    </row>
    <row r="58" spans="1:13" x14ac:dyDescent="0.35">
      <c r="A58" s="1">
        <v>24</v>
      </c>
      <c r="B58" s="1">
        <v>32</v>
      </c>
      <c r="C58" s="1">
        <v>24000000</v>
      </c>
      <c r="D58" s="1">
        <v>48000000</v>
      </c>
      <c r="E58" s="1">
        <v>3</v>
      </c>
      <c r="F58" s="1">
        <v>31</v>
      </c>
      <c r="G58" s="1">
        <v>2</v>
      </c>
      <c r="H58" s="1">
        <v>63</v>
      </c>
      <c r="J58" s="1">
        <f t="shared" si="0"/>
        <v>64</v>
      </c>
      <c r="K58" s="1">
        <f t="shared" si="1"/>
        <v>2048</v>
      </c>
      <c r="L58" s="1" t="str">
        <f>IF(AND(L$1&gt;C58,L$1&lt;D58),L$1*J58/K58,"")</f>
        <v/>
      </c>
      <c r="M58" s="1" t="str">
        <f t="shared" si="2"/>
        <v/>
      </c>
    </row>
    <row r="59" spans="1:13" x14ac:dyDescent="0.35">
      <c r="A59" s="1">
        <v>24</v>
      </c>
      <c r="B59" s="1">
        <v>16</v>
      </c>
      <c r="C59" s="1">
        <v>24000000</v>
      </c>
      <c r="D59" s="1">
        <v>48000000</v>
      </c>
      <c r="E59" s="1">
        <v>3</v>
      </c>
      <c r="F59" s="1">
        <v>31</v>
      </c>
      <c r="G59" s="1">
        <v>2</v>
      </c>
      <c r="H59" s="1">
        <v>31</v>
      </c>
      <c r="J59" s="1">
        <f t="shared" si="0"/>
        <v>64</v>
      </c>
      <c r="K59" s="1">
        <f t="shared" si="1"/>
        <v>1024</v>
      </c>
      <c r="L59" s="1" t="str">
        <f>IF(AND(L$1&gt;C59,L$1&lt;D59),L$1*J59/K59,"")</f>
        <v/>
      </c>
      <c r="M59" s="1" t="str">
        <f t="shared" si="2"/>
        <v/>
      </c>
    </row>
    <row r="60" spans="1:13" x14ac:dyDescent="0.35">
      <c r="A60" s="1">
        <v>26</v>
      </c>
      <c r="B60" s="1">
        <v>8</v>
      </c>
      <c r="C60" s="1">
        <v>24000000</v>
      </c>
      <c r="D60" s="1">
        <v>48000000</v>
      </c>
      <c r="E60" s="1">
        <v>3</v>
      </c>
      <c r="F60" s="1">
        <v>31</v>
      </c>
      <c r="G60" s="1">
        <v>2</v>
      </c>
      <c r="H60" s="1">
        <v>15</v>
      </c>
      <c r="J60" s="1">
        <f t="shared" si="0"/>
        <v>64</v>
      </c>
      <c r="K60" s="1">
        <f t="shared" si="1"/>
        <v>512</v>
      </c>
      <c r="L60" s="1" t="str">
        <f>IF(AND(L$1&gt;C60,L$1&lt;D60),L$1*J60/K60,"")</f>
        <v/>
      </c>
      <c r="M60" s="1" t="str">
        <f t="shared" si="2"/>
        <v/>
      </c>
    </row>
    <row r="61" spans="1:13" x14ac:dyDescent="0.35">
      <c r="A61" s="1">
        <v>26</v>
      </c>
      <c r="B61" s="1">
        <v>4</v>
      </c>
      <c r="C61" s="1">
        <v>24000000</v>
      </c>
      <c r="D61" s="1">
        <v>48000000</v>
      </c>
      <c r="E61" s="1">
        <v>3</v>
      </c>
      <c r="F61" s="1">
        <v>31</v>
      </c>
      <c r="G61" s="1">
        <v>2</v>
      </c>
      <c r="H61" s="1">
        <v>7</v>
      </c>
      <c r="J61" s="1">
        <f t="shared" si="0"/>
        <v>64</v>
      </c>
      <c r="K61" s="1">
        <f t="shared" si="1"/>
        <v>256</v>
      </c>
      <c r="L61" s="1" t="str">
        <f>IF(AND(L$1&gt;C61,L$1&lt;D61),L$1*J61/K61,"")</f>
        <v/>
      </c>
      <c r="M61" s="1" t="str">
        <f t="shared" si="2"/>
        <v/>
      </c>
    </row>
    <row r="62" spans="1:13" x14ac:dyDescent="0.35">
      <c r="A62" s="1">
        <v>26</v>
      </c>
      <c r="B62" s="1">
        <v>2</v>
      </c>
      <c r="C62" s="1">
        <v>24000000</v>
      </c>
      <c r="D62" s="1">
        <v>48000000</v>
      </c>
      <c r="E62" s="1">
        <v>3</v>
      </c>
      <c r="F62" s="1">
        <v>31</v>
      </c>
      <c r="G62" s="1">
        <v>1</v>
      </c>
      <c r="H62" s="1">
        <v>7</v>
      </c>
      <c r="J62" s="1">
        <f t="shared" si="0"/>
        <v>64</v>
      </c>
      <c r="K62" s="1">
        <f t="shared" si="1"/>
        <v>128</v>
      </c>
      <c r="L62" s="1" t="str">
        <f>IF(AND(L$1&gt;C62,L$1&lt;D62),L$1*J62/K62,"")</f>
        <v/>
      </c>
      <c r="M62" s="1" t="str">
        <f t="shared" si="2"/>
        <v/>
      </c>
    </row>
    <row r="63" spans="1:13" x14ac:dyDescent="0.35">
      <c r="A63" s="1">
        <v>28</v>
      </c>
      <c r="B63" s="1">
        <v>1</v>
      </c>
      <c r="C63" s="1">
        <v>24000000</v>
      </c>
      <c r="D63" s="1">
        <v>48000000</v>
      </c>
      <c r="E63" s="1">
        <v>3</v>
      </c>
      <c r="F63" s="1">
        <v>31</v>
      </c>
      <c r="G63" s="1">
        <v>3</v>
      </c>
      <c r="H63" s="1">
        <v>-1</v>
      </c>
      <c r="J63" s="1">
        <f t="shared" si="0"/>
        <v>64</v>
      </c>
      <c r="K63" s="1">
        <f t="shared" si="1"/>
        <v>32</v>
      </c>
      <c r="L63" s="1" t="str">
        <f>IF(AND(L$1&gt;C63,L$1&lt;D63),L$1*J63/K63,"")</f>
        <v/>
      </c>
      <c r="M63" s="1" t="str">
        <f t="shared" si="2"/>
        <v/>
      </c>
    </row>
    <row r="64" spans="1:13" x14ac:dyDescent="0.35">
      <c r="A64" s="1">
        <v>28</v>
      </c>
      <c r="B64" s="1">
        <v>1</v>
      </c>
      <c r="C64" s="1">
        <v>24000000</v>
      </c>
      <c r="D64" s="1">
        <v>48000000</v>
      </c>
      <c r="E64" s="1">
        <v>3</v>
      </c>
      <c r="F64" s="1">
        <v>31</v>
      </c>
      <c r="G64" s="1">
        <v>2</v>
      </c>
      <c r="H64" s="1">
        <v>-1</v>
      </c>
      <c r="J64" s="1">
        <f t="shared" si="0"/>
        <v>64</v>
      </c>
      <c r="K64" s="1">
        <f t="shared" si="1"/>
        <v>16</v>
      </c>
      <c r="L64" s="1" t="str">
        <f>IF(AND(L$1&gt;C64,L$1&lt;D64),L$1*J64/K64,"")</f>
        <v/>
      </c>
      <c r="M64" s="1" t="str">
        <f t="shared" si="2"/>
        <v/>
      </c>
    </row>
    <row r="65" spans="1:13" x14ac:dyDescent="0.35">
      <c r="A65" s="1">
        <v>28</v>
      </c>
      <c r="B65" s="1">
        <v>1</v>
      </c>
      <c r="C65" s="1">
        <v>24000000</v>
      </c>
      <c r="D65" s="1">
        <v>48000000</v>
      </c>
      <c r="E65" s="1">
        <v>3</v>
      </c>
      <c r="F65" s="1">
        <v>31</v>
      </c>
      <c r="G65" s="1">
        <v>1</v>
      </c>
      <c r="H65" s="1">
        <v>-1</v>
      </c>
      <c r="J65" s="1">
        <f t="shared" si="0"/>
        <v>64</v>
      </c>
      <c r="K65" s="1">
        <f t="shared" si="1"/>
        <v>8</v>
      </c>
      <c r="L65" s="1" t="str">
        <f>IF(AND(L$1&gt;C65,L$1&lt;D65),L$1*J65/K65,"")</f>
        <v/>
      </c>
      <c r="M65" s="1" t="str">
        <f t="shared" si="2"/>
        <v/>
      </c>
    </row>
    <row r="66" spans="1:13" x14ac:dyDescent="0.35">
      <c r="A66" s="1">
        <v>30</v>
      </c>
      <c r="B66" s="1">
        <v>1</v>
      </c>
      <c r="C66" s="1">
        <v>24000000</v>
      </c>
      <c r="D66" s="1">
        <v>38400000</v>
      </c>
      <c r="E66" s="1">
        <v>3</v>
      </c>
      <c r="F66" s="1">
        <v>39</v>
      </c>
      <c r="G66" s="1">
        <v>1</v>
      </c>
      <c r="H66" s="1">
        <v>-1</v>
      </c>
      <c r="J66" s="1">
        <f t="shared" si="0"/>
        <v>80</v>
      </c>
      <c r="K66" s="1">
        <f t="shared" si="1"/>
        <v>8</v>
      </c>
      <c r="L66" s="1" t="str">
        <f>IF(AND(L$1&gt;C66,L$1&lt;D66),L$1*J66/K66,"")</f>
        <v/>
      </c>
      <c r="M66" s="1" t="str">
        <f t="shared" si="2"/>
        <v/>
      </c>
    </row>
    <row r="67" spans="1:13" x14ac:dyDescent="0.35">
      <c r="A67" s="1">
        <v>30</v>
      </c>
      <c r="B67" s="1">
        <v>1</v>
      </c>
      <c r="C67" s="1">
        <v>24000000</v>
      </c>
      <c r="D67" s="1">
        <v>30000000</v>
      </c>
      <c r="E67" s="1">
        <v>3</v>
      </c>
      <c r="F67" s="1">
        <v>47</v>
      </c>
      <c r="G67" s="1">
        <v>1</v>
      </c>
      <c r="H67" s="1">
        <v>-1</v>
      </c>
      <c r="J67" s="1">
        <f t="shared" ref="J67:J69" si="3">2*(F67+1)</f>
        <v>96</v>
      </c>
      <c r="K67" s="1">
        <f t="shared" ref="K67:K69" si="4">(E67+1)*(2^G67)*IF(H67&lt;0,1,2*(H67+1))</f>
        <v>8</v>
      </c>
      <c r="L67" s="1" t="str">
        <f>IF(AND(L$1&gt;C67,L$1&lt;D67),L$1*J67/K67,"")</f>
        <v/>
      </c>
      <c r="M67" s="1" t="str">
        <f t="shared" ref="M67:M69" si="5">IF(L67="","",(L67-M$1)/M$1*100)</f>
        <v/>
      </c>
    </row>
    <row r="68" spans="1:13" x14ac:dyDescent="0.35">
      <c r="A68" s="1">
        <v>30</v>
      </c>
      <c r="B68" s="1">
        <v>1</v>
      </c>
      <c r="C68" s="1">
        <v>24000000</v>
      </c>
      <c r="D68" s="1">
        <v>27428571</v>
      </c>
      <c r="E68" s="1">
        <v>3</v>
      </c>
      <c r="F68" s="1">
        <v>55</v>
      </c>
      <c r="G68" s="1">
        <v>1</v>
      </c>
      <c r="H68" s="1">
        <v>-1</v>
      </c>
      <c r="J68" s="1">
        <f t="shared" si="3"/>
        <v>112</v>
      </c>
      <c r="K68" s="1">
        <f t="shared" si="4"/>
        <v>8</v>
      </c>
      <c r="L68" s="1" t="str">
        <f>IF(AND(L$1&gt;C68,L$1&lt;D68),L$1*J68/K68,"")</f>
        <v/>
      </c>
      <c r="M68" s="1" t="str">
        <f t="shared" si="5"/>
        <v/>
      </c>
    </row>
    <row r="69" spans="1:13" x14ac:dyDescent="0.35">
      <c r="A69" s="1">
        <v>32</v>
      </c>
      <c r="B69" s="1">
        <v>1</v>
      </c>
      <c r="C69" s="1">
        <v>30000000</v>
      </c>
      <c r="D69" s="1">
        <v>32000000</v>
      </c>
      <c r="E69" s="1">
        <v>3</v>
      </c>
      <c r="F69" s="1">
        <v>47</v>
      </c>
      <c r="G69" s="1">
        <v>1</v>
      </c>
      <c r="H69" s="1">
        <v>-1</v>
      </c>
      <c r="J69" s="1">
        <f t="shared" si="3"/>
        <v>96</v>
      </c>
      <c r="K69" s="1">
        <f t="shared" si="4"/>
        <v>8</v>
      </c>
      <c r="L69" s="1" t="str">
        <f>IF(AND(L$1&gt;C69,L$1&lt;D69),L$1*J69/K69,"")</f>
        <v/>
      </c>
      <c r="M69" s="1" t="str">
        <f t="shared" si="5"/>
        <v/>
      </c>
    </row>
  </sheetData>
  <sortState ref="B2:M79">
    <sortCondition ref="E2:E79"/>
    <sortCondition ref="C2:C7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Q11" sqref="Q11"/>
    </sheetView>
  </sheetViews>
  <sheetFormatPr defaultRowHeight="14.5" x14ac:dyDescent="0.35"/>
  <cols>
    <col min="1" max="1" width="5.54296875" style="1" customWidth="1"/>
    <col min="2" max="2" width="6.36328125" style="1" customWidth="1"/>
    <col min="3" max="4" width="8.7265625" style="1"/>
    <col min="5" max="5" width="10.81640625" style="1" bestFit="1" customWidth="1"/>
    <col min="6" max="15" width="8.7265625" style="1"/>
    <col min="16" max="16" width="1.90625" customWidth="1"/>
    <col min="17" max="17" width="9.81640625" style="39" bestFit="1" customWidth="1"/>
  </cols>
  <sheetData>
    <row r="1" spans="1:17" x14ac:dyDescent="0.35">
      <c r="A1" s="16" t="s">
        <v>16</v>
      </c>
      <c r="B1" s="19">
        <v>16</v>
      </c>
      <c r="E1" s="10" t="s">
        <v>17</v>
      </c>
      <c r="F1" s="6">
        <v>1</v>
      </c>
      <c r="G1" s="6">
        <v>2</v>
      </c>
      <c r="H1" s="6">
        <v>3</v>
      </c>
      <c r="I1" s="6">
        <v>3</v>
      </c>
      <c r="J1" s="6">
        <v>3</v>
      </c>
      <c r="K1" s="6">
        <v>3</v>
      </c>
      <c r="L1" s="6">
        <v>3</v>
      </c>
      <c r="M1" s="6">
        <v>3</v>
      </c>
      <c r="N1" s="6">
        <v>3</v>
      </c>
      <c r="O1" s="6">
        <v>3</v>
      </c>
      <c r="Q1" s="36">
        <v>3</v>
      </c>
    </row>
    <row r="2" spans="1:17" x14ac:dyDescent="0.35">
      <c r="A2" s="20" t="s">
        <v>15</v>
      </c>
      <c r="B2" s="18">
        <v>1</v>
      </c>
      <c r="E2" s="10" t="s">
        <v>18</v>
      </c>
      <c r="F2" s="6">
        <v>-1</v>
      </c>
      <c r="G2" s="6">
        <v>-1</v>
      </c>
      <c r="H2" s="6">
        <v>-1</v>
      </c>
      <c r="I2" s="6">
        <v>0</v>
      </c>
      <c r="J2" s="6">
        <v>1</v>
      </c>
      <c r="K2" s="6">
        <v>3</v>
      </c>
      <c r="L2" s="6">
        <v>7</v>
      </c>
      <c r="M2" s="6">
        <v>15</v>
      </c>
      <c r="N2" s="6">
        <v>31</v>
      </c>
      <c r="O2" s="6">
        <v>63</v>
      </c>
      <c r="Q2" s="36">
        <v>1</v>
      </c>
    </row>
    <row r="3" spans="1:17" s="33" customFormat="1" ht="43.5" x14ac:dyDescent="0.35">
      <c r="C3" s="34" t="s">
        <v>14</v>
      </c>
      <c r="D3" s="34" t="s">
        <v>19</v>
      </c>
      <c r="E3" s="35" t="s">
        <v>23</v>
      </c>
      <c r="F3" s="35">
        <f>(2^F1)*IF(F2&lt;0,1,2*(F2+1))</f>
        <v>2</v>
      </c>
      <c r="G3" s="35">
        <f t="shared" ref="G3:O3" si="0">(2^G1)*IF(G2&lt;0,1,2*(G2+1))</f>
        <v>4</v>
      </c>
      <c r="H3" s="35">
        <f t="shared" si="0"/>
        <v>8</v>
      </c>
      <c r="I3" s="35">
        <f t="shared" si="0"/>
        <v>16</v>
      </c>
      <c r="J3" s="35">
        <f t="shared" si="0"/>
        <v>32</v>
      </c>
      <c r="K3" s="35">
        <f t="shared" si="0"/>
        <v>64</v>
      </c>
      <c r="L3" s="35">
        <f t="shared" si="0"/>
        <v>128</v>
      </c>
      <c r="M3" s="35">
        <f t="shared" si="0"/>
        <v>256</v>
      </c>
      <c r="N3" s="35">
        <f t="shared" si="0"/>
        <v>512</v>
      </c>
      <c r="O3" s="35">
        <f t="shared" si="0"/>
        <v>1024</v>
      </c>
      <c r="P3" s="35"/>
      <c r="Q3" s="37"/>
    </row>
    <row r="4" spans="1:17" s="21" customFormat="1" x14ac:dyDescent="0.35">
      <c r="C4" s="22">
        <v>23</v>
      </c>
      <c r="D4" s="22">
        <v>162.69999999999999</v>
      </c>
      <c r="E4" s="22">
        <f>D4-(4/32768*1000000)</f>
        <v>40.629687499999989</v>
      </c>
      <c r="F4" s="22">
        <f>$B$1/($B$2+1)*2*($C4+1)/2^F$1/IF(F$2&lt;0,1,2*(F$2+1))</f>
        <v>192</v>
      </c>
      <c r="G4" s="22">
        <f>$B$1/($B$2+1)*2*($C4+1)/2^G$1/IF(G$2&lt;0,1,2*(G$2+1))</f>
        <v>96</v>
      </c>
      <c r="H4" s="22">
        <f>$B$1/($B$2+1)*2*($C4+1)/2^H$1/IF(H$2&lt;0,1,2*(H$2+1))</f>
        <v>48</v>
      </c>
      <c r="I4" s="22">
        <f>$B$1/($B$2+1)*2*($C4+1)/2^I$1/IF(I$2&lt;0,1,2*(I$2+1))</f>
        <v>24</v>
      </c>
      <c r="J4" s="22">
        <f>$B$1/($B$2+1)*2*($C4+1)/2^J$1/IF(J$2&lt;0,1,2*(J$2+1))</f>
        <v>12</v>
      </c>
      <c r="K4" s="22">
        <f>$B$1/($B$2+1)*2*($C4+1)/2^K$1/IF(K$2&lt;0,1,2*(K$2+1))</f>
        <v>6</v>
      </c>
      <c r="L4" s="22">
        <f>$B$1/($B$2+1)*2*($C4+1)/2^L$1/IF(L$2&lt;0,1,2*(L$2+1))</f>
        <v>3</v>
      </c>
      <c r="M4" s="22">
        <f>$B$1/($B$2+1)*2*($C4+1)/2^M$1/IF(M$2&lt;0,1,2*(M$2+1))</f>
        <v>1.5</v>
      </c>
      <c r="N4" s="22">
        <f>$B$1/($B$2+1)*2*($C4+1)/2^N$1/IF(N$2&lt;0,1,2*(N$2+1))</f>
        <v>0.75</v>
      </c>
      <c r="O4" s="22">
        <f>$B$1/($B$2+1)*2*($C4+1)/2^O$1/IF(O$2&lt;0,1,2*(O$2+1))</f>
        <v>0.375</v>
      </c>
      <c r="Q4" s="38">
        <f>INT(INT(INT((($B$1*1000000)*($C4+1))/($B$2+1))/(2^$Q$1))/(2*($Q$2+1)))</f>
        <v>6000000</v>
      </c>
    </row>
    <row r="5" spans="1:17" s="21" customFormat="1" x14ac:dyDescent="0.35">
      <c r="A5" s="22"/>
      <c r="B5" s="22"/>
      <c r="C5" s="22">
        <v>24</v>
      </c>
      <c r="D5" s="22">
        <v>160.80000000000001</v>
      </c>
      <c r="E5" s="22">
        <f>D5-(4/32768*1000000)</f>
        <v>38.729687500000011</v>
      </c>
      <c r="F5" s="22">
        <f>$B$1/($B$2+1)*2*($C5+1)/2^F$1/IF(F$2&lt;0,1,2*(F$2+1))</f>
        <v>200</v>
      </c>
      <c r="G5" s="22">
        <f>$B$1/($B$2+1)*2*($C5+1)/2^G$1/IF(G$2&lt;0,1,2*(G$2+1))</f>
        <v>100</v>
      </c>
      <c r="H5" s="22">
        <f>$B$1/($B$2+1)*2*($C5+1)/2^H$1/IF(H$2&lt;0,1,2*(H$2+1))</f>
        <v>50</v>
      </c>
      <c r="I5" s="22">
        <f>$B$1/($B$2+1)*2*($C5+1)/2^I$1/IF(I$2&lt;0,1,2*(I$2+1))</f>
        <v>25</v>
      </c>
      <c r="J5" s="22">
        <f>$B$1/($B$2+1)*2*($C5+1)/2^J$1/IF(J$2&lt;0,1,2*(J$2+1))</f>
        <v>12.5</v>
      </c>
      <c r="K5" s="22">
        <f>$B$1/($B$2+1)*2*($C5+1)/2^K$1/IF(K$2&lt;0,1,2*(K$2+1))</f>
        <v>6.25</v>
      </c>
      <c r="L5" s="22">
        <f>$B$1/($B$2+1)*2*($C5+1)/2^L$1/IF(L$2&lt;0,1,2*(L$2+1))</f>
        <v>3.125</v>
      </c>
      <c r="M5" s="22">
        <f>$B$1/($B$2+1)*2*($C5+1)/2^M$1/IF(M$2&lt;0,1,2*(M$2+1))</f>
        <v>1.5625</v>
      </c>
      <c r="N5" s="22">
        <f>$B$1/($B$2+1)*2*($C5+1)/2^N$1/IF(N$2&lt;0,1,2*(N$2+1))</f>
        <v>0.78125</v>
      </c>
      <c r="O5" s="22">
        <f>$B$1/($B$2+1)*2*($C5+1)/2^O$1/IF(O$2&lt;0,1,2*(O$2+1))</f>
        <v>0.390625</v>
      </c>
      <c r="Q5" s="38">
        <f t="shared" ref="Q5:Q28" si="1">INT(INT(INT((($B$1*1000000)*($C5+1))/($B$2+1))/(2^$Q$1))/(2*($Q$2+1)))</f>
        <v>6250000</v>
      </c>
    </row>
    <row r="6" spans="1:17" s="24" customFormat="1" x14ac:dyDescent="0.35">
      <c r="A6" s="23"/>
      <c r="B6" s="23"/>
      <c r="C6" s="23">
        <v>25</v>
      </c>
      <c r="D6" s="23">
        <v>155.6</v>
      </c>
      <c r="E6" s="23">
        <f t="shared" ref="E6:E28" si="2">D6-(4/32768*1000000)</f>
        <v>33.529687499999994</v>
      </c>
      <c r="F6" s="23">
        <f>$B$1/($B$2+1)*2*($C6+1)/2^F$1/IF(F$2&lt;0,1,2*(F$2+1))</f>
        <v>208</v>
      </c>
      <c r="G6" s="23">
        <f>$B$1/($B$2+1)*2*($C6+1)/2^G$1/IF(G$2&lt;0,1,2*(G$2+1))</f>
        <v>104</v>
      </c>
      <c r="H6" s="23">
        <f>$B$1/($B$2+1)*2*($C6+1)/2^H$1/IF(H$2&lt;0,1,2*(H$2+1))</f>
        <v>52</v>
      </c>
      <c r="I6" s="23">
        <f>$B$1/($B$2+1)*2*($C6+1)/2^I$1/IF(I$2&lt;0,1,2*(I$2+1))</f>
        <v>26</v>
      </c>
      <c r="J6" s="23">
        <f>$B$1/($B$2+1)*2*($C6+1)/2^J$1/IF(J$2&lt;0,1,2*(J$2+1))</f>
        <v>13</v>
      </c>
      <c r="K6" s="23">
        <f>$B$1/($B$2+1)*2*($C6+1)/2^K$1/IF(K$2&lt;0,1,2*(K$2+1))</f>
        <v>6.5</v>
      </c>
      <c r="L6" s="23">
        <f>$B$1/($B$2+1)*2*($C6+1)/2^L$1/IF(L$2&lt;0,1,2*(L$2+1))</f>
        <v>3.25</v>
      </c>
      <c r="M6" s="23">
        <f>$B$1/($B$2+1)*2*($C6+1)/2^M$1/IF(M$2&lt;0,1,2*(M$2+1))</f>
        <v>1.625</v>
      </c>
      <c r="N6" s="23">
        <f>$B$1/($B$2+1)*2*($C6+1)/2^N$1/IF(N$2&lt;0,1,2*(N$2+1))</f>
        <v>0.8125</v>
      </c>
      <c r="O6" s="23">
        <f>$B$1/($B$2+1)*2*($C6+1)/2^O$1/IF(O$2&lt;0,1,2*(O$2+1))</f>
        <v>0.40625</v>
      </c>
      <c r="Q6" s="38">
        <f t="shared" si="1"/>
        <v>6500000</v>
      </c>
    </row>
    <row r="7" spans="1:17" s="26" customFormat="1" x14ac:dyDescent="0.35">
      <c r="A7" s="25"/>
      <c r="B7" s="25"/>
      <c r="C7" s="25">
        <v>26</v>
      </c>
      <c r="D7" s="25">
        <v>148</v>
      </c>
      <c r="E7" s="25">
        <f t="shared" si="2"/>
        <v>25.9296875</v>
      </c>
      <c r="F7" s="25">
        <f>$B$1/($B$2+1)*2*($C7+1)/2^F$1/IF(F$2&lt;0,1,2*(F$2+1))</f>
        <v>216</v>
      </c>
      <c r="G7" s="25">
        <f>$B$1/($B$2+1)*2*($C7+1)/2^G$1/IF(G$2&lt;0,1,2*(G$2+1))</f>
        <v>108</v>
      </c>
      <c r="H7" s="25">
        <f>$B$1/($B$2+1)*2*($C7+1)/2^H$1/IF(H$2&lt;0,1,2*(H$2+1))</f>
        <v>54</v>
      </c>
      <c r="I7" s="25">
        <f>$B$1/($B$2+1)*2*($C7+1)/2^I$1/IF(I$2&lt;0,1,2*(I$2+1))</f>
        <v>27</v>
      </c>
      <c r="J7" s="25">
        <f>$B$1/($B$2+1)*2*($C7+1)/2^J$1/IF(J$2&lt;0,1,2*(J$2+1))</f>
        <v>13.5</v>
      </c>
      <c r="K7" s="25">
        <f>$B$1/($B$2+1)*2*($C7+1)/2^K$1/IF(K$2&lt;0,1,2*(K$2+1))</f>
        <v>6.75</v>
      </c>
      <c r="L7" s="25">
        <f>$B$1/($B$2+1)*2*($C7+1)/2^L$1/IF(L$2&lt;0,1,2*(L$2+1))</f>
        <v>3.375</v>
      </c>
      <c r="M7" s="25">
        <f>$B$1/($B$2+1)*2*($C7+1)/2^M$1/IF(M$2&lt;0,1,2*(M$2+1))</f>
        <v>1.6875</v>
      </c>
      <c r="N7" s="25">
        <f>$B$1/($B$2+1)*2*($C7+1)/2^N$1/IF(N$2&lt;0,1,2*(N$2+1))</f>
        <v>0.84375</v>
      </c>
      <c r="O7" s="25">
        <f>$B$1/($B$2+1)*2*($C7+1)/2^O$1/IF(O$2&lt;0,1,2*(O$2+1))</f>
        <v>0.421875</v>
      </c>
      <c r="Q7" s="38">
        <f t="shared" si="1"/>
        <v>6750000</v>
      </c>
    </row>
    <row r="8" spans="1:17" s="28" customFormat="1" x14ac:dyDescent="0.35">
      <c r="A8" s="27"/>
      <c r="B8" s="27"/>
      <c r="C8" s="27">
        <v>27</v>
      </c>
      <c r="D8" s="27">
        <v>137.9</v>
      </c>
      <c r="E8" s="27">
        <f t="shared" si="2"/>
        <v>15.829687500000006</v>
      </c>
      <c r="F8" s="27">
        <f>$B$1/($B$2+1)*2*($C8+1)/2^F$1/IF(F$2&lt;0,1,2*(F$2+1))</f>
        <v>224</v>
      </c>
      <c r="G8" s="27">
        <f>$B$1/($B$2+1)*2*($C8+1)/2^G$1/IF(G$2&lt;0,1,2*(G$2+1))</f>
        <v>112</v>
      </c>
      <c r="H8" s="27">
        <f>$B$1/($B$2+1)*2*($C8+1)/2^H$1/IF(H$2&lt;0,1,2*(H$2+1))</f>
        <v>56</v>
      </c>
      <c r="I8" s="27">
        <f>$B$1/($B$2+1)*2*($C8+1)/2^I$1/IF(I$2&lt;0,1,2*(I$2+1))</f>
        <v>28</v>
      </c>
      <c r="J8" s="27">
        <f>$B$1/($B$2+1)*2*($C8+1)/2^J$1/IF(J$2&lt;0,1,2*(J$2+1))</f>
        <v>14</v>
      </c>
      <c r="K8" s="27">
        <f>$B$1/($B$2+1)*2*($C8+1)/2^K$1/IF(K$2&lt;0,1,2*(K$2+1))</f>
        <v>7</v>
      </c>
      <c r="L8" s="27">
        <f>$B$1/($B$2+1)*2*($C8+1)/2^L$1/IF(L$2&lt;0,1,2*(L$2+1))</f>
        <v>3.5</v>
      </c>
      <c r="M8" s="27">
        <f>$B$1/($B$2+1)*2*($C8+1)/2^M$1/IF(M$2&lt;0,1,2*(M$2+1))</f>
        <v>1.75</v>
      </c>
      <c r="N8" s="27">
        <f>$B$1/($B$2+1)*2*($C8+1)/2^N$1/IF(N$2&lt;0,1,2*(N$2+1))</f>
        <v>0.875</v>
      </c>
      <c r="O8" s="27">
        <f>$B$1/($B$2+1)*2*($C8+1)/2^O$1/IF(O$2&lt;0,1,2*(O$2+1))</f>
        <v>0.4375</v>
      </c>
      <c r="Q8" s="38">
        <f t="shared" si="1"/>
        <v>7000000</v>
      </c>
    </row>
    <row r="9" spans="1:17" s="21" customFormat="1" x14ac:dyDescent="0.35">
      <c r="A9" s="22"/>
      <c r="B9" s="22"/>
      <c r="C9" s="22">
        <v>28</v>
      </c>
      <c r="D9" s="22">
        <v>167.1</v>
      </c>
      <c r="E9" s="22">
        <f t="shared" si="2"/>
        <v>45.029687499999994</v>
      </c>
      <c r="F9" s="22">
        <f>$B$1/($B$2+1)*2*($C9+1)/2^F$1/IF(F$2&lt;0,1,2*(F$2+1))</f>
        <v>232</v>
      </c>
      <c r="G9" s="22">
        <f>$B$1/($B$2+1)*2*($C9+1)/2^G$1/IF(G$2&lt;0,1,2*(G$2+1))</f>
        <v>116</v>
      </c>
      <c r="H9" s="22">
        <f>$B$1/($B$2+1)*2*($C9+1)/2^H$1/IF(H$2&lt;0,1,2*(H$2+1))</f>
        <v>58</v>
      </c>
      <c r="I9" s="22">
        <f>$B$1/($B$2+1)*2*($C9+1)/2^I$1/IF(I$2&lt;0,1,2*(I$2+1))</f>
        <v>29</v>
      </c>
      <c r="J9" s="22">
        <f>$B$1/($B$2+1)*2*($C9+1)/2^J$1/IF(J$2&lt;0,1,2*(J$2+1))</f>
        <v>14.5</v>
      </c>
      <c r="K9" s="22">
        <f>$B$1/($B$2+1)*2*($C9+1)/2^K$1/IF(K$2&lt;0,1,2*(K$2+1))</f>
        <v>7.25</v>
      </c>
      <c r="L9" s="22">
        <f>$B$1/($B$2+1)*2*($C9+1)/2^L$1/IF(L$2&lt;0,1,2*(L$2+1))</f>
        <v>3.625</v>
      </c>
      <c r="M9" s="22">
        <f>$B$1/($B$2+1)*2*($C9+1)/2^M$1/IF(M$2&lt;0,1,2*(M$2+1))</f>
        <v>1.8125</v>
      </c>
      <c r="N9" s="22">
        <f>$B$1/($B$2+1)*2*($C9+1)/2^N$1/IF(N$2&lt;0,1,2*(N$2+1))</f>
        <v>0.90625</v>
      </c>
      <c r="O9" s="22">
        <f>$B$1/($B$2+1)*2*($C9+1)/2^O$1/IF(O$2&lt;0,1,2*(O$2+1))</f>
        <v>0.453125</v>
      </c>
      <c r="Q9" s="38">
        <f t="shared" si="1"/>
        <v>7250000</v>
      </c>
    </row>
    <row r="10" spans="1:17" s="26" customFormat="1" x14ac:dyDescent="0.35">
      <c r="A10" s="25"/>
      <c r="B10" s="25"/>
      <c r="C10" s="25">
        <v>29</v>
      </c>
      <c r="D10" s="25">
        <v>152.5</v>
      </c>
      <c r="E10" s="25">
        <f t="shared" si="2"/>
        <v>30.4296875</v>
      </c>
      <c r="F10" s="25">
        <f>$B$1/($B$2+1)*2*($C10+1)/2^F$1/IF(F$2&lt;0,1,2*(F$2+1))</f>
        <v>240</v>
      </c>
      <c r="G10" s="25">
        <f>$B$1/($B$2+1)*2*($C10+1)/2^G$1/IF(G$2&lt;0,1,2*(G$2+1))</f>
        <v>120</v>
      </c>
      <c r="H10" s="25">
        <f>$B$1/($B$2+1)*2*($C10+1)/2^H$1/IF(H$2&lt;0,1,2*(H$2+1))</f>
        <v>60</v>
      </c>
      <c r="I10" s="25">
        <f>$B$1/($B$2+1)*2*($C10+1)/2^I$1/IF(I$2&lt;0,1,2*(I$2+1))</f>
        <v>30</v>
      </c>
      <c r="J10" s="25">
        <f>$B$1/($B$2+1)*2*($C10+1)/2^J$1/IF(J$2&lt;0,1,2*(J$2+1))</f>
        <v>15</v>
      </c>
      <c r="K10" s="25">
        <f>$B$1/($B$2+1)*2*($C10+1)/2^K$1/IF(K$2&lt;0,1,2*(K$2+1))</f>
        <v>7.5</v>
      </c>
      <c r="L10" s="25">
        <f>$B$1/($B$2+1)*2*($C10+1)/2^L$1/IF(L$2&lt;0,1,2*(L$2+1))</f>
        <v>3.75</v>
      </c>
      <c r="M10" s="25">
        <f>$B$1/($B$2+1)*2*($C10+1)/2^M$1/IF(M$2&lt;0,1,2*(M$2+1))</f>
        <v>1.875</v>
      </c>
      <c r="N10" s="25">
        <f>$B$1/($B$2+1)*2*($C10+1)/2^N$1/IF(N$2&lt;0,1,2*(N$2+1))</f>
        <v>0.9375</v>
      </c>
      <c r="O10" s="25">
        <f>$B$1/($B$2+1)*2*($C10+1)/2^O$1/IF(O$2&lt;0,1,2*(O$2+1))</f>
        <v>0.46875</v>
      </c>
      <c r="Q10" s="38">
        <f t="shared" si="1"/>
        <v>7500000</v>
      </c>
    </row>
    <row r="11" spans="1:17" s="28" customFormat="1" x14ac:dyDescent="0.35">
      <c r="A11" s="27"/>
      <c r="B11" s="27"/>
      <c r="C11" s="27">
        <v>30</v>
      </c>
      <c r="D11" s="27">
        <v>136.6</v>
      </c>
      <c r="E11" s="27">
        <f t="shared" si="2"/>
        <v>14.529687499999994</v>
      </c>
      <c r="F11" s="27">
        <f>$B$1/($B$2+1)*2*($C11+1)/2^F$1/IF(F$2&lt;0,1,2*(F$2+1))</f>
        <v>248</v>
      </c>
      <c r="G11" s="27">
        <f>$B$1/($B$2+1)*2*($C11+1)/2^G$1/IF(G$2&lt;0,1,2*(G$2+1))</f>
        <v>124</v>
      </c>
      <c r="H11" s="27">
        <f>$B$1/($B$2+1)*2*($C11+1)/2^H$1/IF(H$2&lt;0,1,2*(H$2+1))</f>
        <v>62</v>
      </c>
      <c r="I11" s="27">
        <f>$B$1/($B$2+1)*2*($C11+1)/2^I$1/IF(I$2&lt;0,1,2*(I$2+1))</f>
        <v>31</v>
      </c>
      <c r="J11" s="27">
        <f>$B$1/($B$2+1)*2*($C11+1)/2^J$1/IF(J$2&lt;0,1,2*(J$2+1))</f>
        <v>15.5</v>
      </c>
      <c r="K11" s="27">
        <f>$B$1/($B$2+1)*2*($C11+1)/2^K$1/IF(K$2&lt;0,1,2*(K$2+1))</f>
        <v>7.75</v>
      </c>
      <c r="L11" s="27">
        <f>$B$1/($B$2+1)*2*($C11+1)/2^L$1/IF(L$2&lt;0,1,2*(L$2+1))</f>
        <v>3.875</v>
      </c>
      <c r="M11" s="27">
        <f>$B$1/($B$2+1)*2*($C11+1)/2^M$1/IF(M$2&lt;0,1,2*(M$2+1))</f>
        <v>1.9375</v>
      </c>
      <c r="N11" s="27">
        <f>$B$1/($B$2+1)*2*($C11+1)/2^N$1/IF(N$2&lt;0,1,2*(N$2+1))</f>
        <v>0.96875</v>
      </c>
      <c r="O11" s="27">
        <f>$B$1/($B$2+1)*2*($C11+1)/2^O$1/IF(O$2&lt;0,1,2*(O$2+1))</f>
        <v>0.484375</v>
      </c>
      <c r="Q11" s="38">
        <f t="shared" si="1"/>
        <v>7750000</v>
      </c>
    </row>
    <row r="12" spans="1:17" s="30" customFormat="1" x14ac:dyDescent="0.35">
      <c r="A12" s="29"/>
      <c r="B12" s="29"/>
      <c r="C12" s="29">
        <v>31</v>
      </c>
      <c r="D12" s="29">
        <v>161.4</v>
      </c>
      <c r="E12" s="29">
        <f t="shared" si="2"/>
        <v>39.329687500000006</v>
      </c>
      <c r="F12" s="29">
        <f>$B$1/($B$2+1)*2*($C12+1)/2^F$1/IF(F$2&lt;0,1,2*(F$2+1))</f>
        <v>256</v>
      </c>
      <c r="G12" s="29">
        <f>$B$1/($B$2+1)*2*($C12+1)/2^G$1/IF(G$2&lt;0,1,2*(G$2+1))</f>
        <v>128</v>
      </c>
      <c r="H12" s="29">
        <f>$B$1/($B$2+1)*2*($C12+1)/2^H$1/IF(H$2&lt;0,1,2*(H$2+1))</f>
        <v>64</v>
      </c>
      <c r="I12" s="29">
        <f>$B$1/($B$2+1)*2*($C12+1)/2^I$1/IF(I$2&lt;0,1,2*(I$2+1))</f>
        <v>32</v>
      </c>
      <c r="J12" s="29">
        <f>$B$1/($B$2+1)*2*($C12+1)/2^J$1/IF(J$2&lt;0,1,2*(J$2+1))</f>
        <v>16</v>
      </c>
      <c r="K12" s="29">
        <f>$B$1/($B$2+1)*2*($C12+1)/2^K$1/IF(K$2&lt;0,1,2*(K$2+1))</f>
        <v>8</v>
      </c>
      <c r="L12" s="29">
        <f>$B$1/($B$2+1)*2*($C12+1)/2^L$1/IF(L$2&lt;0,1,2*(L$2+1))</f>
        <v>4</v>
      </c>
      <c r="M12" s="29">
        <f>$B$1/($B$2+1)*2*($C12+1)/2^M$1/IF(M$2&lt;0,1,2*(M$2+1))</f>
        <v>2</v>
      </c>
      <c r="N12" s="29">
        <f>$B$1/($B$2+1)*2*($C12+1)/2^N$1/IF(N$2&lt;0,1,2*(N$2+1))</f>
        <v>1</v>
      </c>
      <c r="O12" s="29">
        <f>$B$1/($B$2+1)*2*($C12+1)/2^O$1/IF(O$2&lt;0,1,2*(O$2+1))</f>
        <v>0.5</v>
      </c>
      <c r="Q12" s="38">
        <f t="shared" si="1"/>
        <v>8000000</v>
      </c>
    </row>
    <row r="13" spans="1:17" s="28" customFormat="1" x14ac:dyDescent="0.35">
      <c r="A13" s="27"/>
      <c r="B13" s="27"/>
      <c r="C13" s="27">
        <v>32</v>
      </c>
      <c r="D13" s="27">
        <v>142.30000000000001</v>
      </c>
      <c r="E13" s="27">
        <f t="shared" si="2"/>
        <v>20.229687500000011</v>
      </c>
      <c r="F13" s="27">
        <f>$B$1/($B$2+1)*2*($C13+1)/2^F$1/IF(F$2&lt;0,1,2*(F$2+1))</f>
        <v>264</v>
      </c>
      <c r="G13" s="27">
        <f>$B$1/($B$2+1)*2*($C13+1)/2^G$1/IF(G$2&lt;0,1,2*(G$2+1))</f>
        <v>132</v>
      </c>
      <c r="H13" s="27">
        <f>$B$1/($B$2+1)*2*($C13+1)/2^H$1/IF(H$2&lt;0,1,2*(H$2+1))</f>
        <v>66</v>
      </c>
      <c r="I13" s="27">
        <f>$B$1/($B$2+1)*2*($C13+1)/2^I$1/IF(I$2&lt;0,1,2*(I$2+1))</f>
        <v>33</v>
      </c>
      <c r="J13" s="27">
        <f>$B$1/($B$2+1)*2*($C13+1)/2^J$1/IF(J$2&lt;0,1,2*(J$2+1))</f>
        <v>16.5</v>
      </c>
      <c r="K13" s="27">
        <f>$B$1/($B$2+1)*2*($C13+1)/2^K$1/IF(K$2&lt;0,1,2*(K$2+1))</f>
        <v>8.25</v>
      </c>
      <c r="L13" s="27">
        <f>$B$1/($B$2+1)*2*($C13+1)/2^L$1/IF(L$2&lt;0,1,2*(L$2+1))</f>
        <v>4.125</v>
      </c>
      <c r="M13" s="27">
        <f>$B$1/($B$2+1)*2*($C13+1)/2^M$1/IF(M$2&lt;0,1,2*(M$2+1))</f>
        <v>2.0625</v>
      </c>
      <c r="N13" s="27">
        <f>$B$1/($B$2+1)*2*($C13+1)/2^N$1/IF(N$2&lt;0,1,2*(N$2+1))</f>
        <v>1.03125</v>
      </c>
      <c r="O13" s="27">
        <f>$B$1/($B$2+1)*2*($C13+1)/2^O$1/IF(O$2&lt;0,1,2*(O$2+1))</f>
        <v>0.515625</v>
      </c>
      <c r="Q13" s="38">
        <f t="shared" si="1"/>
        <v>8250000</v>
      </c>
    </row>
    <row r="14" spans="1:17" s="21" customFormat="1" x14ac:dyDescent="0.35">
      <c r="A14" s="22"/>
      <c r="B14" s="22"/>
      <c r="C14" s="22">
        <v>33</v>
      </c>
      <c r="D14" s="22">
        <v>163.30000000000001</v>
      </c>
      <c r="E14" s="22">
        <f t="shared" si="2"/>
        <v>41.229687500000011</v>
      </c>
      <c r="F14" s="22">
        <f>$B$1/($B$2+1)*2*($C14+1)/2^F$1/IF(F$2&lt;0,1,2*(F$2+1))</f>
        <v>272</v>
      </c>
      <c r="G14" s="22">
        <f>$B$1/($B$2+1)*2*($C14+1)/2^G$1/IF(G$2&lt;0,1,2*(G$2+1))</f>
        <v>136</v>
      </c>
      <c r="H14" s="22">
        <f>$B$1/($B$2+1)*2*($C14+1)/2^H$1/IF(H$2&lt;0,1,2*(H$2+1))</f>
        <v>68</v>
      </c>
      <c r="I14" s="22">
        <f>$B$1/($B$2+1)*2*($C14+1)/2^I$1/IF(I$2&lt;0,1,2*(I$2+1))</f>
        <v>34</v>
      </c>
      <c r="J14" s="22">
        <f>$B$1/($B$2+1)*2*($C14+1)/2^J$1/IF(J$2&lt;0,1,2*(J$2+1))</f>
        <v>17</v>
      </c>
      <c r="K14" s="22">
        <f>$B$1/($B$2+1)*2*($C14+1)/2^K$1/IF(K$2&lt;0,1,2*(K$2+1))</f>
        <v>8.5</v>
      </c>
      <c r="L14" s="22">
        <f>$B$1/($B$2+1)*2*($C14+1)/2^L$1/IF(L$2&lt;0,1,2*(L$2+1))</f>
        <v>4.25</v>
      </c>
      <c r="M14" s="22">
        <f>$B$1/($B$2+1)*2*($C14+1)/2^M$1/IF(M$2&lt;0,1,2*(M$2+1))</f>
        <v>2.125</v>
      </c>
      <c r="N14" s="22">
        <f>$B$1/($B$2+1)*2*($C14+1)/2^N$1/IF(N$2&lt;0,1,2*(N$2+1))</f>
        <v>1.0625</v>
      </c>
      <c r="O14" s="22">
        <f>$B$1/($B$2+1)*2*($C14+1)/2^O$1/IF(O$2&lt;0,1,2*(O$2+1))</f>
        <v>0.53125</v>
      </c>
      <c r="Q14" s="38">
        <f t="shared" si="1"/>
        <v>8500000</v>
      </c>
    </row>
    <row r="15" spans="1:17" s="28" customFormat="1" x14ac:dyDescent="0.35">
      <c r="A15" s="27"/>
      <c r="B15" s="27"/>
      <c r="C15" s="27">
        <v>34</v>
      </c>
      <c r="D15" s="27">
        <v>141.1</v>
      </c>
      <c r="E15" s="27">
        <f t="shared" si="2"/>
        <v>19.029687499999994</v>
      </c>
      <c r="F15" s="27">
        <f>$B$1/($B$2+1)*2*($C15+1)/2^F$1/IF(F$2&lt;0,1,2*(F$2+1))</f>
        <v>280</v>
      </c>
      <c r="G15" s="27">
        <f>$B$1/($B$2+1)*2*($C15+1)/2^G$1/IF(G$2&lt;0,1,2*(G$2+1))</f>
        <v>140</v>
      </c>
      <c r="H15" s="27">
        <f>$B$1/($B$2+1)*2*($C15+1)/2^H$1/IF(H$2&lt;0,1,2*(H$2+1))</f>
        <v>70</v>
      </c>
      <c r="I15" s="27">
        <f>$B$1/($B$2+1)*2*($C15+1)/2^I$1/IF(I$2&lt;0,1,2*(I$2+1))</f>
        <v>35</v>
      </c>
      <c r="J15" s="27">
        <f>$B$1/($B$2+1)*2*($C15+1)/2^J$1/IF(J$2&lt;0,1,2*(J$2+1))</f>
        <v>17.5</v>
      </c>
      <c r="K15" s="27">
        <f>$B$1/($B$2+1)*2*($C15+1)/2^K$1/IF(K$2&lt;0,1,2*(K$2+1))</f>
        <v>8.75</v>
      </c>
      <c r="L15" s="27">
        <f>$B$1/($B$2+1)*2*($C15+1)/2^L$1/IF(L$2&lt;0,1,2*(L$2+1))</f>
        <v>4.375</v>
      </c>
      <c r="M15" s="27">
        <f>$B$1/($B$2+1)*2*($C15+1)/2^M$1/IF(M$2&lt;0,1,2*(M$2+1))</f>
        <v>2.1875</v>
      </c>
      <c r="N15" s="27">
        <f>$B$1/($B$2+1)*2*($C15+1)/2^N$1/IF(N$2&lt;0,1,2*(N$2+1))</f>
        <v>1.09375</v>
      </c>
      <c r="O15" s="27">
        <f>$B$1/($B$2+1)*2*($C15+1)/2^O$1/IF(O$2&lt;0,1,2*(O$2+1))</f>
        <v>0.546875</v>
      </c>
      <c r="Q15" s="38">
        <f t="shared" si="1"/>
        <v>8750000</v>
      </c>
    </row>
    <row r="16" spans="1:17" s="30" customFormat="1" x14ac:dyDescent="0.35">
      <c r="A16" s="29"/>
      <c r="B16" s="29"/>
      <c r="C16" s="29">
        <v>35</v>
      </c>
      <c r="D16" s="29">
        <v>160.69999999999999</v>
      </c>
      <c r="E16" s="29">
        <f t="shared" si="2"/>
        <v>38.629687499999989</v>
      </c>
      <c r="F16" s="29">
        <f>$B$1/($B$2+1)*2*($C16+1)/2^F$1/IF(F$2&lt;0,1,2*(F$2+1))</f>
        <v>288</v>
      </c>
      <c r="G16" s="29">
        <f>$B$1/($B$2+1)*2*($C16+1)/2^G$1/IF(G$2&lt;0,1,2*(G$2+1))</f>
        <v>144</v>
      </c>
      <c r="H16" s="29">
        <f>$B$1/($B$2+1)*2*($C16+1)/2^H$1/IF(H$2&lt;0,1,2*(H$2+1))</f>
        <v>72</v>
      </c>
      <c r="I16" s="29">
        <f>$B$1/($B$2+1)*2*($C16+1)/2^I$1/IF(I$2&lt;0,1,2*(I$2+1))</f>
        <v>36</v>
      </c>
      <c r="J16" s="29">
        <f>$B$1/($B$2+1)*2*($C16+1)/2^J$1/IF(J$2&lt;0,1,2*(J$2+1))</f>
        <v>18</v>
      </c>
      <c r="K16" s="29">
        <f>$B$1/($B$2+1)*2*($C16+1)/2^K$1/IF(K$2&lt;0,1,2*(K$2+1))</f>
        <v>9</v>
      </c>
      <c r="L16" s="29">
        <f>$B$1/($B$2+1)*2*($C16+1)/2^L$1/IF(L$2&lt;0,1,2*(L$2+1))</f>
        <v>4.5</v>
      </c>
      <c r="M16" s="29">
        <f>$B$1/($B$2+1)*2*($C16+1)/2^M$1/IF(M$2&lt;0,1,2*(M$2+1))</f>
        <v>2.25</v>
      </c>
      <c r="N16" s="29">
        <f>$B$1/($B$2+1)*2*($C16+1)/2^N$1/IF(N$2&lt;0,1,2*(N$2+1))</f>
        <v>1.125</v>
      </c>
      <c r="O16" s="29">
        <f>$B$1/($B$2+1)*2*($C16+1)/2^O$1/IF(O$2&lt;0,1,2*(O$2+1))</f>
        <v>0.5625</v>
      </c>
      <c r="Q16" s="38">
        <f t="shared" si="1"/>
        <v>9000000</v>
      </c>
    </row>
    <row r="17" spans="1:17" s="28" customFormat="1" x14ac:dyDescent="0.35">
      <c r="A17" s="27"/>
      <c r="B17" s="27"/>
      <c r="C17" s="27">
        <v>36</v>
      </c>
      <c r="D17" s="27">
        <v>136.6</v>
      </c>
      <c r="E17" s="27">
        <f t="shared" si="2"/>
        <v>14.529687499999994</v>
      </c>
      <c r="F17" s="27">
        <f>$B$1/($B$2+1)*2*($C17+1)/2^F$1/IF(F$2&lt;0,1,2*(F$2+1))</f>
        <v>296</v>
      </c>
      <c r="G17" s="27">
        <f>$B$1/($B$2+1)*2*($C17+1)/2^G$1/IF(G$2&lt;0,1,2*(G$2+1))</f>
        <v>148</v>
      </c>
      <c r="H17" s="27">
        <f>$B$1/($B$2+1)*2*($C17+1)/2^H$1/IF(H$2&lt;0,1,2*(H$2+1))</f>
        <v>74</v>
      </c>
      <c r="I17" s="27">
        <f>$B$1/($B$2+1)*2*($C17+1)/2^I$1/IF(I$2&lt;0,1,2*(I$2+1))</f>
        <v>37</v>
      </c>
      <c r="J17" s="27">
        <f>$B$1/($B$2+1)*2*($C17+1)/2^J$1/IF(J$2&lt;0,1,2*(J$2+1))</f>
        <v>18.5</v>
      </c>
      <c r="K17" s="27">
        <f>$B$1/($B$2+1)*2*($C17+1)/2^K$1/IF(K$2&lt;0,1,2*(K$2+1))</f>
        <v>9.25</v>
      </c>
      <c r="L17" s="27">
        <f>$B$1/($B$2+1)*2*($C17+1)/2^L$1/IF(L$2&lt;0,1,2*(L$2+1))</f>
        <v>4.625</v>
      </c>
      <c r="M17" s="27">
        <f>$B$1/($B$2+1)*2*($C17+1)/2^M$1/IF(M$2&lt;0,1,2*(M$2+1))</f>
        <v>2.3125</v>
      </c>
      <c r="N17" s="27">
        <f>$B$1/($B$2+1)*2*($C17+1)/2^N$1/IF(N$2&lt;0,1,2*(N$2+1))</f>
        <v>1.15625</v>
      </c>
      <c r="O17" s="27">
        <f>$B$1/($B$2+1)*2*($C17+1)/2^O$1/IF(O$2&lt;0,1,2*(O$2+1))</f>
        <v>0.578125</v>
      </c>
      <c r="Q17" s="38">
        <f t="shared" si="1"/>
        <v>9250000</v>
      </c>
    </row>
    <row r="18" spans="1:17" s="26" customFormat="1" x14ac:dyDescent="0.35">
      <c r="A18" s="25"/>
      <c r="B18" s="25"/>
      <c r="C18" s="25">
        <v>37</v>
      </c>
      <c r="D18" s="25">
        <v>153.80000000000001</v>
      </c>
      <c r="E18" s="25">
        <f t="shared" si="2"/>
        <v>31.729687500000011</v>
      </c>
      <c r="F18" s="25">
        <f>$B$1/($B$2+1)*2*($C18+1)/2^F$1/IF(F$2&lt;0,1,2*(F$2+1))</f>
        <v>304</v>
      </c>
      <c r="G18" s="25">
        <f>$B$1/($B$2+1)*2*($C18+1)/2^G$1/IF(G$2&lt;0,1,2*(G$2+1))</f>
        <v>152</v>
      </c>
      <c r="H18" s="25">
        <f>$B$1/($B$2+1)*2*($C18+1)/2^H$1/IF(H$2&lt;0,1,2*(H$2+1))</f>
        <v>76</v>
      </c>
      <c r="I18" s="25">
        <f>$B$1/($B$2+1)*2*($C18+1)/2^I$1/IF(I$2&lt;0,1,2*(I$2+1))</f>
        <v>38</v>
      </c>
      <c r="J18" s="25">
        <f>$B$1/($B$2+1)*2*($C18+1)/2^J$1/IF(J$2&lt;0,1,2*(J$2+1))</f>
        <v>19</v>
      </c>
      <c r="K18" s="25">
        <f>$B$1/($B$2+1)*2*($C18+1)/2^K$1/IF(K$2&lt;0,1,2*(K$2+1))</f>
        <v>9.5</v>
      </c>
      <c r="L18" s="25">
        <f>$B$1/($B$2+1)*2*($C18+1)/2^L$1/IF(L$2&lt;0,1,2*(L$2+1))</f>
        <v>4.75</v>
      </c>
      <c r="M18" s="25">
        <f>$B$1/($B$2+1)*2*($C18+1)/2^M$1/IF(M$2&lt;0,1,2*(M$2+1))</f>
        <v>2.375</v>
      </c>
      <c r="N18" s="25">
        <f>$B$1/($B$2+1)*2*($C18+1)/2^N$1/IF(N$2&lt;0,1,2*(N$2+1))</f>
        <v>1.1875</v>
      </c>
      <c r="O18" s="25">
        <f>$B$1/($B$2+1)*2*($C18+1)/2^O$1/IF(O$2&lt;0,1,2*(O$2+1))</f>
        <v>0.59375</v>
      </c>
      <c r="Q18" s="38">
        <f t="shared" si="1"/>
        <v>9500000</v>
      </c>
    </row>
    <row r="19" spans="1:17" s="21" customFormat="1" x14ac:dyDescent="0.35">
      <c r="A19" s="22"/>
      <c r="B19" s="22"/>
      <c r="C19" s="22">
        <v>38</v>
      </c>
      <c r="D19" s="22">
        <v>170.2</v>
      </c>
      <c r="E19" s="22">
        <f t="shared" si="2"/>
        <v>48.129687499999989</v>
      </c>
      <c r="F19" s="22">
        <f>$B$1/($B$2+1)*2*($C19+1)/2^F$1/IF(F$2&lt;0,1,2*(F$2+1))</f>
        <v>312</v>
      </c>
      <c r="G19" s="22">
        <f>$B$1/($B$2+1)*2*($C19+1)/2^G$1/IF(G$2&lt;0,1,2*(G$2+1))</f>
        <v>156</v>
      </c>
      <c r="H19" s="22">
        <f>$B$1/($B$2+1)*2*($C19+1)/2^H$1/IF(H$2&lt;0,1,2*(H$2+1))</f>
        <v>78</v>
      </c>
      <c r="I19" s="22">
        <f>$B$1/($B$2+1)*2*($C19+1)/2^I$1/IF(I$2&lt;0,1,2*(I$2+1))</f>
        <v>39</v>
      </c>
      <c r="J19" s="22">
        <f>$B$1/($B$2+1)*2*($C19+1)/2^J$1/IF(J$2&lt;0,1,2*(J$2+1))</f>
        <v>19.5</v>
      </c>
      <c r="K19" s="22">
        <f>$B$1/($B$2+1)*2*($C19+1)/2^K$1/IF(K$2&lt;0,1,2*(K$2+1))</f>
        <v>9.75</v>
      </c>
      <c r="L19" s="22">
        <f>$B$1/($B$2+1)*2*($C19+1)/2^L$1/IF(L$2&lt;0,1,2*(L$2+1))</f>
        <v>4.875</v>
      </c>
      <c r="M19" s="22">
        <f>$B$1/($B$2+1)*2*($C19+1)/2^M$1/IF(M$2&lt;0,1,2*(M$2+1))</f>
        <v>2.4375</v>
      </c>
      <c r="N19" s="22">
        <f>$B$1/($B$2+1)*2*($C19+1)/2^N$1/IF(N$2&lt;0,1,2*(N$2+1))</f>
        <v>1.21875</v>
      </c>
      <c r="O19" s="22">
        <f>$B$1/($B$2+1)*2*($C19+1)/2^O$1/IF(O$2&lt;0,1,2*(O$2+1))</f>
        <v>0.609375</v>
      </c>
      <c r="Q19" s="38">
        <f t="shared" si="1"/>
        <v>9750000</v>
      </c>
    </row>
    <row r="20" spans="1:17" s="32" customFormat="1" x14ac:dyDescent="0.35">
      <c r="A20" s="31"/>
      <c r="B20" s="31"/>
      <c r="C20" s="31">
        <v>39</v>
      </c>
      <c r="D20" s="31">
        <v>143.69999999999999</v>
      </c>
      <c r="E20" s="31">
        <f t="shared" si="2"/>
        <v>21.629687499999989</v>
      </c>
      <c r="F20" s="31">
        <f>$B$1/($B$2+1)*2*($C20+1)/2^F$1/IF(F$2&lt;0,1,2*(F$2+1))</f>
        <v>320</v>
      </c>
      <c r="G20" s="31">
        <f>$B$1/($B$2+1)*2*($C20+1)/2^G$1/IF(G$2&lt;0,1,2*(G$2+1))</f>
        <v>160</v>
      </c>
      <c r="H20" s="31">
        <f>$B$1/($B$2+1)*2*($C20+1)/2^H$1/IF(H$2&lt;0,1,2*(H$2+1))</f>
        <v>80</v>
      </c>
      <c r="I20" s="31">
        <f>$B$1/($B$2+1)*2*($C20+1)/2^I$1/IF(I$2&lt;0,1,2*(I$2+1))</f>
        <v>40</v>
      </c>
      <c r="J20" s="31">
        <f>$B$1/($B$2+1)*2*($C20+1)/2^J$1/IF(J$2&lt;0,1,2*(J$2+1))</f>
        <v>20</v>
      </c>
      <c r="K20" s="31">
        <f>$B$1/($B$2+1)*2*($C20+1)/2^K$1/IF(K$2&lt;0,1,2*(K$2+1))</f>
        <v>10</v>
      </c>
      <c r="L20" s="31">
        <f>$B$1/($B$2+1)*2*($C20+1)/2^L$1/IF(L$2&lt;0,1,2*(L$2+1))</f>
        <v>5</v>
      </c>
      <c r="M20" s="31">
        <f>$B$1/($B$2+1)*2*($C20+1)/2^M$1/IF(M$2&lt;0,1,2*(M$2+1))</f>
        <v>2.5</v>
      </c>
      <c r="N20" s="31">
        <f>$B$1/($B$2+1)*2*($C20+1)/2^N$1/IF(N$2&lt;0,1,2*(N$2+1))</f>
        <v>1.25</v>
      </c>
      <c r="O20" s="31">
        <f>$B$1/($B$2+1)*2*($C20+1)/2^O$1/IF(O$2&lt;0,1,2*(O$2+1))</f>
        <v>0.625</v>
      </c>
      <c r="Q20" s="38">
        <f t="shared" si="1"/>
        <v>10000000</v>
      </c>
    </row>
    <row r="21" spans="1:17" s="26" customFormat="1" x14ac:dyDescent="0.35">
      <c r="A21" s="25"/>
      <c r="B21" s="25"/>
      <c r="C21" s="25">
        <v>40</v>
      </c>
      <c r="D21" s="25">
        <v>158.9</v>
      </c>
      <c r="E21" s="25">
        <f t="shared" si="2"/>
        <v>36.829687500000006</v>
      </c>
      <c r="F21" s="25">
        <f>$B$1/($B$2+1)*2*($C21+1)/2^F$1/IF(F$2&lt;0,1,2*(F$2+1))</f>
        <v>328</v>
      </c>
      <c r="G21" s="25">
        <f>$B$1/($B$2+1)*2*($C21+1)/2^G$1/IF(G$2&lt;0,1,2*(G$2+1))</f>
        <v>164</v>
      </c>
      <c r="H21" s="25">
        <f>$B$1/($B$2+1)*2*($C21+1)/2^H$1/IF(H$2&lt;0,1,2*(H$2+1))</f>
        <v>82</v>
      </c>
      <c r="I21" s="25">
        <f>$B$1/($B$2+1)*2*($C21+1)/2^I$1/IF(I$2&lt;0,1,2*(I$2+1))</f>
        <v>41</v>
      </c>
      <c r="J21" s="25">
        <f>$B$1/($B$2+1)*2*($C21+1)/2^J$1/IF(J$2&lt;0,1,2*(J$2+1))</f>
        <v>20.5</v>
      </c>
      <c r="K21" s="25">
        <f>$B$1/($B$2+1)*2*($C21+1)/2^K$1/IF(K$2&lt;0,1,2*(K$2+1))</f>
        <v>10.25</v>
      </c>
      <c r="L21" s="25">
        <f>$B$1/($B$2+1)*2*($C21+1)/2^L$1/IF(L$2&lt;0,1,2*(L$2+1))</f>
        <v>5.125</v>
      </c>
      <c r="M21" s="25">
        <f>$B$1/($B$2+1)*2*($C21+1)/2^M$1/IF(M$2&lt;0,1,2*(M$2+1))</f>
        <v>2.5625</v>
      </c>
      <c r="N21" s="25">
        <f>$B$1/($B$2+1)*2*($C21+1)/2^N$1/IF(N$2&lt;0,1,2*(N$2+1))</f>
        <v>1.28125</v>
      </c>
      <c r="O21" s="25">
        <f>$B$1/($B$2+1)*2*($C21+1)/2^O$1/IF(O$2&lt;0,1,2*(O$2+1))</f>
        <v>0.640625</v>
      </c>
      <c r="Q21" s="38">
        <f t="shared" si="1"/>
        <v>10250000</v>
      </c>
    </row>
    <row r="22" spans="1:17" s="21" customFormat="1" x14ac:dyDescent="0.35">
      <c r="A22" s="22"/>
      <c r="B22" s="22"/>
      <c r="C22" s="22">
        <v>41</v>
      </c>
      <c r="D22" s="22">
        <v>172.2</v>
      </c>
      <c r="E22" s="22">
        <f t="shared" si="2"/>
        <v>50.129687499999989</v>
      </c>
      <c r="F22" s="22">
        <f>$B$1/($B$2+1)*2*($C22+1)/2^F$1/IF(F$2&lt;0,1,2*(F$2+1))</f>
        <v>336</v>
      </c>
      <c r="G22" s="22">
        <f>$B$1/($B$2+1)*2*($C22+1)/2^G$1/IF(G$2&lt;0,1,2*(G$2+1))</f>
        <v>168</v>
      </c>
      <c r="H22" s="22">
        <f>$B$1/($B$2+1)*2*($C22+1)/2^H$1/IF(H$2&lt;0,1,2*(H$2+1))</f>
        <v>84</v>
      </c>
      <c r="I22" s="22">
        <f>$B$1/($B$2+1)*2*($C22+1)/2^I$1/IF(I$2&lt;0,1,2*(I$2+1))</f>
        <v>42</v>
      </c>
      <c r="J22" s="22">
        <f>$B$1/($B$2+1)*2*($C22+1)/2^J$1/IF(J$2&lt;0,1,2*(J$2+1))</f>
        <v>21</v>
      </c>
      <c r="K22" s="22">
        <f>$B$1/($B$2+1)*2*($C22+1)/2^K$1/IF(K$2&lt;0,1,2*(K$2+1))</f>
        <v>10.5</v>
      </c>
      <c r="L22" s="22">
        <f>$B$1/($B$2+1)*2*($C22+1)/2^L$1/IF(L$2&lt;0,1,2*(L$2+1))</f>
        <v>5.25</v>
      </c>
      <c r="M22" s="22">
        <f>$B$1/($B$2+1)*2*($C22+1)/2^M$1/IF(M$2&lt;0,1,2*(M$2+1))</f>
        <v>2.625</v>
      </c>
      <c r="N22" s="22">
        <f>$B$1/($B$2+1)*2*($C22+1)/2^N$1/IF(N$2&lt;0,1,2*(N$2+1))</f>
        <v>1.3125</v>
      </c>
      <c r="O22" s="22">
        <f>$B$1/($B$2+1)*2*($C22+1)/2^O$1/IF(O$2&lt;0,1,2*(O$2+1))</f>
        <v>0.65625</v>
      </c>
      <c r="Q22" s="38">
        <f t="shared" si="1"/>
        <v>10500000</v>
      </c>
    </row>
    <row r="23" spans="1:17" s="28" customFormat="1" x14ac:dyDescent="0.35">
      <c r="A23" s="27"/>
      <c r="B23" s="27"/>
      <c r="C23" s="27">
        <v>42</v>
      </c>
      <c r="D23" s="27">
        <v>143</v>
      </c>
      <c r="E23" s="27">
        <f t="shared" si="2"/>
        <v>20.9296875</v>
      </c>
      <c r="F23" s="27">
        <f>$B$1/($B$2+1)*2*($C23+1)/2^F$1/IF(F$2&lt;0,1,2*(F$2+1))</f>
        <v>344</v>
      </c>
      <c r="G23" s="27">
        <f>$B$1/($B$2+1)*2*($C23+1)/2^G$1/IF(G$2&lt;0,1,2*(G$2+1))</f>
        <v>172</v>
      </c>
      <c r="H23" s="27">
        <f>$B$1/($B$2+1)*2*($C23+1)/2^H$1/IF(H$2&lt;0,1,2*(H$2+1))</f>
        <v>86</v>
      </c>
      <c r="I23" s="27">
        <f>$B$1/($B$2+1)*2*($C23+1)/2^I$1/IF(I$2&lt;0,1,2*(I$2+1))</f>
        <v>43</v>
      </c>
      <c r="J23" s="27">
        <f>$B$1/($B$2+1)*2*($C23+1)/2^J$1/IF(J$2&lt;0,1,2*(J$2+1))</f>
        <v>21.5</v>
      </c>
      <c r="K23" s="27">
        <f>$B$1/($B$2+1)*2*($C23+1)/2^K$1/IF(K$2&lt;0,1,2*(K$2+1))</f>
        <v>10.75</v>
      </c>
      <c r="L23" s="27">
        <f>$B$1/($B$2+1)*2*($C23+1)/2^L$1/IF(L$2&lt;0,1,2*(L$2+1))</f>
        <v>5.375</v>
      </c>
      <c r="M23" s="27">
        <f>$B$1/($B$2+1)*2*($C23+1)/2^M$1/IF(M$2&lt;0,1,2*(M$2+1))</f>
        <v>2.6875</v>
      </c>
      <c r="N23" s="27">
        <f>$B$1/($B$2+1)*2*($C23+1)/2^N$1/IF(N$2&lt;0,1,2*(N$2+1))</f>
        <v>1.34375</v>
      </c>
      <c r="O23" s="27">
        <f>$B$1/($B$2+1)*2*($C23+1)/2^O$1/IF(O$2&lt;0,1,2*(O$2+1))</f>
        <v>0.671875</v>
      </c>
      <c r="Q23" s="38">
        <f t="shared" si="1"/>
        <v>10750000</v>
      </c>
    </row>
    <row r="24" spans="1:17" s="26" customFormat="1" x14ac:dyDescent="0.35">
      <c r="A24" s="25"/>
      <c r="B24" s="25"/>
      <c r="C24" s="25">
        <v>43</v>
      </c>
      <c r="D24" s="25">
        <v>156.4</v>
      </c>
      <c r="E24" s="25">
        <f t="shared" si="2"/>
        <v>34.329687500000006</v>
      </c>
      <c r="F24" s="25">
        <f>$B$1/($B$2+1)*2*($C24+1)/2^F$1/IF(F$2&lt;0,1,2*(F$2+1))</f>
        <v>352</v>
      </c>
      <c r="G24" s="25">
        <f>$B$1/($B$2+1)*2*($C24+1)/2^G$1/IF(G$2&lt;0,1,2*(G$2+1))</f>
        <v>176</v>
      </c>
      <c r="H24" s="25">
        <f>$B$1/($B$2+1)*2*($C24+1)/2^H$1/IF(H$2&lt;0,1,2*(H$2+1))</f>
        <v>88</v>
      </c>
      <c r="I24" s="25">
        <f>$B$1/($B$2+1)*2*($C24+1)/2^I$1/IF(I$2&lt;0,1,2*(I$2+1))</f>
        <v>44</v>
      </c>
      <c r="J24" s="25">
        <f>$B$1/($B$2+1)*2*($C24+1)/2^J$1/IF(J$2&lt;0,1,2*(J$2+1))</f>
        <v>22</v>
      </c>
      <c r="K24" s="25">
        <f>$B$1/($B$2+1)*2*($C24+1)/2^K$1/IF(K$2&lt;0,1,2*(K$2+1))</f>
        <v>11</v>
      </c>
      <c r="L24" s="25">
        <f>$B$1/($B$2+1)*2*($C24+1)/2^L$1/IF(L$2&lt;0,1,2*(L$2+1))</f>
        <v>5.5</v>
      </c>
      <c r="M24" s="25">
        <f>$B$1/($B$2+1)*2*($C24+1)/2^M$1/IF(M$2&lt;0,1,2*(M$2+1))</f>
        <v>2.75</v>
      </c>
      <c r="N24" s="25">
        <f>$B$1/($B$2+1)*2*($C24+1)/2^N$1/IF(N$2&lt;0,1,2*(N$2+1))</f>
        <v>1.375</v>
      </c>
      <c r="O24" s="25">
        <f>$B$1/($B$2+1)*2*($C24+1)/2^O$1/IF(O$2&lt;0,1,2*(O$2+1))</f>
        <v>0.6875</v>
      </c>
      <c r="Q24" s="38">
        <f t="shared" si="1"/>
        <v>11000000</v>
      </c>
    </row>
    <row r="25" spans="1:17" s="21" customFormat="1" x14ac:dyDescent="0.35">
      <c r="A25" s="22"/>
      <c r="B25" s="22"/>
      <c r="C25" s="22">
        <v>44</v>
      </c>
      <c r="D25" s="22">
        <v>168.4</v>
      </c>
      <c r="E25" s="22">
        <f t="shared" si="2"/>
        <v>46.329687500000006</v>
      </c>
      <c r="F25" s="22">
        <f>$B$1/($B$2+1)*2*($C25+1)/2^F$1/IF(F$2&lt;0,1,2*(F$2+1))</f>
        <v>360</v>
      </c>
      <c r="G25" s="22">
        <f>$B$1/($B$2+1)*2*($C25+1)/2^G$1/IF(G$2&lt;0,1,2*(G$2+1))</f>
        <v>180</v>
      </c>
      <c r="H25" s="22">
        <f>$B$1/($B$2+1)*2*($C25+1)/2^H$1/IF(H$2&lt;0,1,2*(H$2+1))</f>
        <v>90</v>
      </c>
      <c r="I25" s="22">
        <f>$B$1/($B$2+1)*2*($C25+1)/2^I$1/IF(I$2&lt;0,1,2*(I$2+1))</f>
        <v>45</v>
      </c>
      <c r="J25" s="22">
        <f>$B$1/($B$2+1)*2*($C25+1)/2^J$1/IF(J$2&lt;0,1,2*(J$2+1))</f>
        <v>22.5</v>
      </c>
      <c r="K25" s="22">
        <f>$B$1/($B$2+1)*2*($C25+1)/2^K$1/IF(K$2&lt;0,1,2*(K$2+1))</f>
        <v>11.25</v>
      </c>
      <c r="L25" s="22">
        <f>$B$1/($B$2+1)*2*($C25+1)/2^L$1/IF(L$2&lt;0,1,2*(L$2+1))</f>
        <v>5.625</v>
      </c>
      <c r="M25" s="22">
        <f>$B$1/($B$2+1)*2*($C25+1)/2^M$1/IF(M$2&lt;0,1,2*(M$2+1))</f>
        <v>2.8125</v>
      </c>
      <c r="N25" s="22">
        <f>$B$1/($B$2+1)*2*($C25+1)/2^N$1/IF(N$2&lt;0,1,2*(N$2+1))</f>
        <v>1.40625</v>
      </c>
      <c r="O25" s="22">
        <f>$B$1/($B$2+1)*2*($C25+1)/2^O$1/IF(O$2&lt;0,1,2*(O$2+1))</f>
        <v>0.703125</v>
      </c>
      <c r="Q25" s="38">
        <f t="shared" si="1"/>
        <v>11250000</v>
      </c>
    </row>
    <row r="26" spans="1:17" s="28" customFormat="1" x14ac:dyDescent="0.35">
      <c r="A26" s="27"/>
      <c r="B26" s="27"/>
      <c r="C26" s="27">
        <v>45</v>
      </c>
      <c r="D26" s="27">
        <v>138</v>
      </c>
      <c r="E26" s="27">
        <f t="shared" si="2"/>
        <v>15.9296875</v>
      </c>
      <c r="F26" s="27">
        <f>$B$1/($B$2+1)*2*($C26+1)/2^F$1/IF(F$2&lt;0,1,2*(F$2+1))</f>
        <v>368</v>
      </c>
      <c r="G26" s="27">
        <f>$B$1/($B$2+1)*2*($C26+1)/2^G$1/IF(G$2&lt;0,1,2*(G$2+1))</f>
        <v>184</v>
      </c>
      <c r="H26" s="27">
        <f>$B$1/($B$2+1)*2*($C26+1)/2^H$1/IF(H$2&lt;0,1,2*(H$2+1))</f>
        <v>92</v>
      </c>
      <c r="I26" s="27">
        <f>$B$1/($B$2+1)*2*($C26+1)/2^I$1/IF(I$2&lt;0,1,2*(I$2+1))</f>
        <v>46</v>
      </c>
      <c r="J26" s="27">
        <f>$B$1/($B$2+1)*2*($C26+1)/2^J$1/IF(J$2&lt;0,1,2*(J$2+1))</f>
        <v>23</v>
      </c>
      <c r="K26" s="27">
        <f>$B$1/($B$2+1)*2*($C26+1)/2^K$1/IF(K$2&lt;0,1,2*(K$2+1))</f>
        <v>11.5</v>
      </c>
      <c r="L26" s="27">
        <f>$B$1/($B$2+1)*2*($C26+1)/2^L$1/IF(L$2&lt;0,1,2*(L$2+1))</f>
        <v>5.75</v>
      </c>
      <c r="M26" s="27">
        <f>$B$1/($B$2+1)*2*($C26+1)/2^M$1/IF(M$2&lt;0,1,2*(M$2+1))</f>
        <v>2.875</v>
      </c>
      <c r="N26" s="27">
        <f>$B$1/($B$2+1)*2*($C26+1)/2^N$1/IF(N$2&lt;0,1,2*(N$2+1))</f>
        <v>1.4375</v>
      </c>
      <c r="O26" s="27">
        <f>$B$1/($B$2+1)*2*($C26+1)/2^O$1/IF(O$2&lt;0,1,2*(O$2+1))</f>
        <v>0.71875</v>
      </c>
      <c r="Q26" s="38">
        <f t="shared" si="1"/>
        <v>11500000</v>
      </c>
    </row>
    <row r="27" spans="1:17" s="26" customFormat="1" x14ac:dyDescent="0.35">
      <c r="A27" s="25"/>
      <c r="B27" s="25"/>
      <c r="C27" s="25">
        <v>46</v>
      </c>
      <c r="D27" s="25">
        <v>149.4</v>
      </c>
      <c r="E27" s="25">
        <f t="shared" si="2"/>
        <v>27.329687500000006</v>
      </c>
      <c r="F27" s="25">
        <f>$B$1/($B$2+1)*2*($C27+1)/2^F$1/IF(F$2&lt;0,1,2*(F$2+1))</f>
        <v>376</v>
      </c>
      <c r="G27" s="25">
        <f>$B$1/($B$2+1)*2*($C27+1)/2^G$1/IF(G$2&lt;0,1,2*(G$2+1))</f>
        <v>188</v>
      </c>
      <c r="H27" s="25">
        <f>$B$1/($B$2+1)*2*($C27+1)/2^H$1/IF(H$2&lt;0,1,2*(H$2+1))</f>
        <v>94</v>
      </c>
      <c r="I27" s="25">
        <f>$B$1/($B$2+1)*2*($C27+1)/2^I$1/IF(I$2&lt;0,1,2*(I$2+1))</f>
        <v>47</v>
      </c>
      <c r="J27" s="25">
        <f>$B$1/($B$2+1)*2*($C27+1)/2^J$1/IF(J$2&lt;0,1,2*(J$2+1))</f>
        <v>23.5</v>
      </c>
      <c r="K27" s="25">
        <f>$B$1/($B$2+1)*2*($C27+1)/2^K$1/IF(K$2&lt;0,1,2*(K$2+1))</f>
        <v>11.75</v>
      </c>
      <c r="L27" s="25">
        <f>$B$1/($B$2+1)*2*($C27+1)/2^L$1/IF(L$2&lt;0,1,2*(L$2+1))</f>
        <v>5.875</v>
      </c>
      <c r="M27" s="25">
        <f>$B$1/($B$2+1)*2*($C27+1)/2^M$1/IF(M$2&lt;0,1,2*(M$2+1))</f>
        <v>2.9375</v>
      </c>
      <c r="N27" s="25">
        <f>$B$1/($B$2+1)*2*($C27+1)/2^N$1/IF(N$2&lt;0,1,2*(N$2+1))</f>
        <v>1.46875</v>
      </c>
      <c r="O27" s="25">
        <f>$B$1/($B$2+1)*2*($C27+1)/2^O$1/IF(O$2&lt;0,1,2*(O$2+1))</f>
        <v>0.734375</v>
      </c>
      <c r="Q27" s="38">
        <f t="shared" si="1"/>
        <v>11750000</v>
      </c>
    </row>
    <row r="28" spans="1:17" s="21" customFormat="1" x14ac:dyDescent="0.35">
      <c r="A28" s="22"/>
      <c r="B28" s="22"/>
      <c r="C28" s="22">
        <v>47</v>
      </c>
      <c r="D28" s="22">
        <v>160.19999999999999</v>
      </c>
      <c r="E28" s="22">
        <f t="shared" si="2"/>
        <v>38.129687499999989</v>
      </c>
      <c r="F28" s="22">
        <f>$B$1/($B$2+1)*2*($C28+1)/2^F$1/IF(F$2&lt;0,1,2*(F$2+1))</f>
        <v>384</v>
      </c>
      <c r="G28" s="22">
        <f>$B$1/($B$2+1)*2*($C28+1)/2^G$1/IF(G$2&lt;0,1,2*(G$2+1))</f>
        <v>192</v>
      </c>
      <c r="H28" s="22">
        <f>$B$1/($B$2+1)*2*($C28+1)/2^H$1/IF(H$2&lt;0,1,2*(H$2+1))</f>
        <v>96</v>
      </c>
      <c r="I28" s="22">
        <f>$B$1/($B$2+1)*2*($C28+1)/2^I$1/IF(I$2&lt;0,1,2*(I$2+1))</f>
        <v>48</v>
      </c>
      <c r="J28" s="22">
        <f>$B$1/($B$2+1)*2*($C28+1)/2^J$1/IF(J$2&lt;0,1,2*(J$2+1))</f>
        <v>24</v>
      </c>
      <c r="K28" s="22">
        <f>$B$1/($B$2+1)*2*($C28+1)/2^K$1/IF(K$2&lt;0,1,2*(K$2+1))</f>
        <v>12</v>
      </c>
      <c r="L28" s="22">
        <f>$B$1/($B$2+1)*2*($C28+1)/2^L$1/IF(L$2&lt;0,1,2*(L$2+1))</f>
        <v>6</v>
      </c>
      <c r="M28" s="22">
        <f>$B$1/($B$2+1)*2*($C28+1)/2^M$1/IF(M$2&lt;0,1,2*(M$2+1))</f>
        <v>3</v>
      </c>
      <c r="N28" s="22">
        <f>$B$1/($B$2+1)*2*($C28+1)/2^N$1/IF(N$2&lt;0,1,2*(N$2+1))</f>
        <v>1.5</v>
      </c>
      <c r="O28" s="22">
        <f>$B$1/($B$2+1)*2*($C28+1)/2^O$1/IF(O$2&lt;0,1,2*(O$2+1))</f>
        <v>0.75</v>
      </c>
      <c r="Q28" s="38">
        <f t="shared" si="1"/>
        <v>12000000</v>
      </c>
    </row>
    <row r="30" spans="1:17" x14ac:dyDescent="0.35">
      <c r="A30" s="11"/>
      <c r="B30" s="15" t="s">
        <v>20</v>
      </c>
    </row>
    <row r="31" spans="1:17" x14ac:dyDescent="0.35">
      <c r="A31" s="13"/>
      <c r="B31" s="15" t="s">
        <v>21</v>
      </c>
    </row>
    <row r="32" spans="1:17" x14ac:dyDescent="0.35">
      <c r="A32" s="12"/>
      <c r="B32" s="15" t="s">
        <v>22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ySplit="3" topLeftCell="A4" activePane="bottomLeft" state="frozen"/>
      <selection pane="bottomLeft" activeCell="F9" sqref="F9"/>
    </sheetView>
  </sheetViews>
  <sheetFormatPr defaultRowHeight="14.5" x14ac:dyDescent="0.35"/>
  <cols>
    <col min="1" max="1" width="8.7265625" style="1"/>
    <col min="2" max="2" width="10.36328125" style="1" customWidth="1"/>
    <col min="3" max="18" width="8.7265625" style="1"/>
    <col min="19" max="19" width="1.26953125" customWidth="1"/>
    <col min="20" max="20" width="9.54296875" style="1" customWidth="1"/>
    <col min="21" max="22" width="8.7265625" style="1"/>
    <col min="23" max="24" width="8.7265625" style="6"/>
    <col min="25" max="25" width="1.6328125" customWidth="1"/>
    <col min="26" max="30" width="8.7265625" style="41"/>
  </cols>
  <sheetData>
    <row r="1" spans="1:33" s="3" customFormat="1" x14ac:dyDescent="0.35">
      <c r="A1" s="2"/>
      <c r="C1" s="43" t="s">
        <v>49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43" t="s">
        <v>27</v>
      </c>
      <c r="U1" s="2"/>
      <c r="V1" s="2"/>
      <c r="W1" s="2"/>
      <c r="X1" s="2"/>
      <c r="Z1" s="40"/>
      <c r="AA1" s="40"/>
      <c r="AB1" s="40"/>
      <c r="AC1" s="40"/>
      <c r="AD1" s="40"/>
    </row>
    <row r="2" spans="1:33" s="3" customFormat="1" x14ac:dyDescent="0.35">
      <c r="A2" s="2"/>
      <c r="B2" s="10" t="s">
        <v>9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9</v>
      </c>
      <c r="I2" s="6">
        <v>14</v>
      </c>
      <c r="J2" s="6">
        <v>27</v>
      </c>
      <c r="K2" s="6">
        <v>28</v>
      </c>
      <c r="L2" s="6">
        <v>29</v>
      </c>
      <c r="M2" s="6">
        <v>31</v>
      </c>
      <c r="N2" s="6">
        <v>59</v>
      </c>
      <c r="O2" s="6">
        <v>60</v>
      </c>
      <c r="P2" s="6">
        <v>61</v>
      </c>
      <c r="Q2" s="6">
        <v>62</v>
      </c>
      <c r="R2" s="6">
        <v>63</v>
      </c>
      <c r="T2" s="2">
        <v>0</v>
      </c>
      <c r="U2" s="2">
        <v>1</v>
      </c>
      <c r="V2" s="2">
        <v>4</v>
      </c>
      <c r="W2" s="2">
        <v>31</v>
      </c>
      <c r="X2" s="2">
        <v>63</v>
      </c>
      <c r="Z2" s="40">
        <v>0</v>
      </c>
      <c r="AA2" s="40">
        <v>1</v>
      </c>
      <c r="AB2" s="40">
        <v>4</v>
      </c>
      <c r="AC2" s="40">
        <v>31</v>
      </c>
      <c r="AD2" s="40">
        <v>63</v>
      </c>
    </row>
    <row r="3" spans="1:33" s="3" customFormat="1" x14ac:dyDescent="0.35">
      <c r="A3" s="2" t="s">
        <v>10</v>
      </c>
      <c r="B3" s="2" t="s">
        <v>24</v>
      </c>
      <c r="C3" s="2">
        <f>1/(C2+1)</f>
        <v>1</v>
      </c>
      <c r="D3" s="2">
        <f t="shared" ref="D3:R3" si="0">1/(D2+1)</f>
        <v>0.5</v>
      </c>
      <c r="E3" s="2">
        <f t="shared" si="0"/>
        <v>0.33333333333333331</v>
      </c>
      <c r="F3" s="2">
        <f t="shared" si="0"/>
        <v>0.25</v>
      </c>
      <c r="G3" s="2">
        <f t="shared" si="0"/>
        <v>0.2</v>
      </c>
      <c r="H3" s="2">
        <f t="shared" si="0"/>
        <v>0.1</v>
      </c>
      <c r="I3" s="2">
        <f t="shared" si="0"/>
        <v>6.6666666666666666E-2</v>
      </c>
      <c r="J3" s="2">
        <f t="shared" si="0"/>
        <v>3.5714285714285712E-2</v>
      </c>
      <c r="K3" s="2">
        <f t="shared" si="0"/>
        <v>3.4482758620689655E-2</v>
      </c>
      <c r="L3" s="2">
        <f t="shared" si="0"/>
        <v>3.3333333333333333E-2</v>
      </c>
      <c r="M3" s="2">
        <f t="shared" si="0"/>
        <v>3.125E-2</v>
      </c>
      <c r="N3" s="2">
        <f t="shared" si="0"/>
        <v>1.6666666666666666E-2</v>
      </c>
      <c r="O3" s="2">
        <f t="shared" si="0"/>
        <v>1.6393442622950821E-2</v>
      </c>
      <c r="P3" s="2">
        <f t="shared" si="0"/>
        <v>1.6129032258064516E-2</v>
      </c>
      <c r="Q3" s="2">
        <f t="shared" si="0"/>
        <v>1.5873015873015872E-2</v>
      </c>
      <c r="R3" s="2">
        <f t="shared" si="0"/>
        <v>1.5625E-2</v>
      </c>
      <c r="T3" s="2">
        <f t="shared" ref="T3" si="1">1/(T2+1)</f>
        <v>1</v>
      </c>
      <c r="U3" s="2">
        <f t="shared" ref="U3:V3" si="2">1/(U2+1)</f>
        <v>0.5</v>
      </c>
      <c r="V3" s="2">
        <f t="shared" si="2"/>
        <v>0.2</v>
      </c>
      <c r="W3" s="2">
        <f t="shared" ref="W3:X3" si="3">1/(W2+1)</f>
        <v>3.125E-2</v>
      </c>
      <c r="X3" s="2">
        <f t="shared" si="3"/>
        <v>1.5625E-2</v>
      </c>
      <c r="Z3" s="40"/>
      <c r="AA3" s="40"/>
      <c r="AB3" s="40"/>
      <c r="AC3" s="40"/>
      <c r="AD3" s="40"/>
    </row>
    <row r="4" spans="1:33" x14ac:dyDescent="0.35">
      <c r="A4" s="1">
        <v>0</v>
      </c>
      <c r="B4" s="1">
        <f>(A4+1)</f>
        <v>1</v>
      </c>
      <c r="C4" s="1">
        <v>30.08</v>
      </c>
      <c r="D4" s="6">
        <v>15.06</v>
      </c>
      <c r="E4" s="6">
        <v>10.039999999999999</v>
      </c>
      <c r="F4" s="6">
        <v>7.52</v>
      </c>
      <c r="G4" s="6">
        <v>6.02</v>
      </c>
      <c r="H4" s="6">
        <v>3.01</v>
      </c>
      <c r="I4" s="6">
        <v>2.0099999999999998</v>
      </c>
      <c r="J4" s="6"/>
      <c r="K4" s="6"/>
      <c r="L4" s="6">
        <v>1</v>
      </c>
      <c r="M4" s="1">
        <v>0.93979999999999997</v>
      </c>
      <c r="N4" s="6">
        <v>0.70620000000000005</v>
      </c>
      <c r="O4" s="6">
        <v>0.68869999999999998</v>
      </c>
      <c r="P4" s="6">
        <v>0.67749999999999999</v>
      </c>
      <c r="Q4" s="6">
        <v>0.68300000000000005</v>
      </c>
      <c r="R4" s="45">
        <v>0.66949999999999998</v>
      </c>
      <c r="T4" s="1">
        <f>(30 + ($A4 + 1)/5*(($A4 + 1)/5 + 1))/(T$2+1)</f>
        <v>30.24</v>
      </c>
      <c r="U4" s="1">
        <f>(30 + ($A4 + 1)/5*(($A4 + 1)/5 + 1))/(U$2+1)</f>
        <v>15.12</v>
      </c>
      <c r="V4" s="1">
        <f>(30 + ($A4 + 1)/5*(($A4 + 1)/5 + 1))/(V$2+1)</f>
        <v>6.048</v>
      </c>
      <c r="W4" s="1">
        <f>(30 + ($A4 + 1)/5*(($A4 + 1)/5 + 1))/(W$2+1)</f>
        <v>0.94499999999999995</v>
      </c>
      <c r="X4" s="1">
        <f>(30 + ($A4 + 1)/5*(($A4 + 1)/5 + 1))/(X$2+1)</f>
        <v>0.47249999999999998</v>
      </c>
      <c r="Z4" s="44">
        <f>IF(C4="","",(C4-T4)/T4*100)</f>
        <v>-0.52910052910052963</v>
      </c>
      <c r="AA4" s="44">
        <f>IF(D4="","",(D4-U4)/U4*100)</f>
        <v>-0.39682539682538837</v>
      </c>
      <c r="AB4" s="44">
        <f>IF(G4="","",(G4-V4)/V4*100)</f>
        <v>-0.46296296296297074</v>
      </c>
      <c r="AC4" s="44">
        <f>IF(M4="","",(M4-W4)/W4*100)</f>
        <v>-0.55026455026454846</v>
      </c>
      <c r="AD4" s="44">
        <f>IF(R4="","",(R4-X4)/X4*100)</f>
        <v>41.693121693121697</v>
      </c>
      <c r="AF4">
        <f>1/0.0413</f>
        <v>24.213075060532685</v>
      </c>
      <c r="AG4">
        <f>0.0084/0.0413</f>
        <v>0.20338983050847453</v>
      </c>
    </row>
    <row r="5" spans="1:33" x14ac:dyDescent="0.35">
      <c r="A5" s="1">
        <v>1</v>
      </c>
      <c r="B5" s="1">
        <f t="shared" ref="B5:B35" si="4">(A5+1)</f>
        <v>2</v>
      </c>
      <c r="C5" s="1">
        <v>30.71</v>
      </c>
      <c r="G5" s="1">
        <v>6.16</v>
      </c>
      <c r="T5" s="1">
        <f t="shared" ref="T5:X35" si="5">(30 + ($A5 + 1)/5*(($A5 + 1)/5 + 1))/(T$2+1)</f>
        <v>30.56</v>
      </c>
      <c r="U5" s="1">
        <f t="shared" si="5"/>
        <v>15.28</v>
      </c>
      <c r="V5" s="1">
        <f t="shared" si="5"/>
        <v>6.1120000000000001</v>
      </c>
      <c r="W5" s="1">
        <f t="shared" si="5"/>
        <v>0.95499999999999996</v>
      </c>
      <c r="X5" s="1">
        <f t="shared" si="5"/>
        <v>0.47749999999999998</v>
      </c>
      <c r="Z5" s="44">
        <f t="shared" ref="Z5:Z35" si="6">IF(C5="","",(C5-T5)/T5*100)</f>
        <v>0.49083769633508556</v>
      </c>
      <c r="AA5" s="44" t="str">
        <f t="shared" ref="AA5:AA35" si="7">IF(D5="","",(D5-U5)/U5*100)</f>
        <v/>
      </c>
      <c r="AB5" s="44">
        <f t="shared" ref="AB5:AB35" si="8">IF(G5="","",(G5-V5)/V5*100)</f>
        <v>0.78534031413612626</v>
      </c>
      <c r="AC5" s="44" t="str">
        <f t="shared" ref="AC5:AC35" si="9">IF(M5="","",(M5-W5)/W5*100)</f>
        <v/>
      </c>
      <c r="AD5" s="44" t="str">
        <f t="shared" ref="AD5:AD35" si="10">IF(R5="","",(R5-X5)/X5*100)</f>
        <v/>
      </c>
    </row>
    <row r="6" spans="1:33" x14ac:dyDescent="0.35">
      <c r="A6" s="1">
        <v>2</v>
      </c>
      <c r="B6" s="1">
        <f t="shared" si="4"/>
        <v>3</v>
      </c>
      <c r="C6" s="1">
        <v>31.29</v>
      </c>
      <c r="G6" s="1">
        <v>6.28</v>
      </c>
      <c r="T6" s="1">
        <f t="shared" si="5"/>
        <v>30.96</v>
      </c>
      <c r="U6" s="1">
        <f t="shared" si="5"/>
        <v>15.48</v>
      </c>
      <c r="V6" s="1">
        <f t="shared" si="5"/>
        <v>6.1920000000000002</v>
      </c>
      <c r="W6" s="1">
        <f t="shared" si="5"/>
        <v>0.96750000000000003</v>
      </c>
      <c r="X6" s="1">
        <f t="shared" si="5"/>
        <v>0.48375000000000001</v>
      </c>
      <c r="Z6" s="44">
        <f t="shared" si="6"/>
        <v>1.0658914728682114</v>
      </c>
      <c r="AA6" s="44" t="str">
        <f t="shared" si="7"/>
        <v/>
      </c>
      <c r="AB6" s="44">
        <f t="shared" si="8"/>
        <v>1.4211886304909573</v>
      </c>
      <c r="AC6" s="44" t="str">
        <f t="shared" si="9"/>
        <v/>
      </c>
      <c r="AD6" s="44" t="str">
        <f t="shared" si="10"/>
        <v/>
      </c>
      <c r="AF6">
        <f>SQRT(0.0413)</f>
        <v>0.20322401432901577</v>
      </c>
      <c r="AG6">
        <f>0.0084/SQRT(0.0413)</f>
        <v>4.1333697829630318E-2</v>
      </c>
    </row>
    <row r="7" spans="1:33" x14ac:dyDescent="0.35">
      <c r="A7" s="1">
        <v>3</v>
      </c>
      <c r="B7" s="1">
        <f t="shared" si="4"/>
        <v>4</v>
      </c>
      <c r="C7" s="1">
        <v>32.049999999999997</v>
      </c>
      <c r="G7" s="1">
        <v>6.43</v>
      </c>
      <c r="T7" s="1">
        <f t="shared" si="5"/>
        <v>31.44</v>
      </c>
      <c r="U7" s="1">
        <f t="shared" si="5"/>
        <v>15.72</v>
      </c>
      <c r="V7" s="1">
        <f t="shared" si="5"/>
        <v>6.2880000000000003</v>
      </c>
      <c r="W7" s="1">
        <f t="shared" si="5"/>
        <v>0.98250000000000004</v>
      </c>
      <c r="X7" s="1">
        <f t="shared" si="5"/>
        <v>0.49125000000000002</v>
      </c>
      <c r="Z7" s="44">
        <f t="shared" si="6"/>
        <v>1.9402035623409537</v>
      </c>
      <c r="AA7" s="44" t="str">
        <f t="shared" si="7"/>
        <v/>
      </c>
      <c r="AB7" s="44">
        <f t="shared" si="8"/>
        <v>2.2582697201017727</v>
      </c>
      <c r="AC7" s="44" t="str">
        <f t="shared" si="9"/>
        <v/>
      </c>
      <c r="AD7" s="44" t="str">
        <f t="shared" si="10"/>
        <v/>
      </c>
      <c r="AG7">
        <f>SQRT(AG6)</f>
        <v>0.20330690551388145</v>
      </c>
    </row>
    <row r="8" spans="1:33" x14ac:dyDescent="0.35">
      <c r="A8" s="1">
        <v>4</v>
      </c>
      <c r="B8" s="1">
        <f t="shared" si="4"/>
        <v>5</v>
      </c>
      <c r="C8" s="1">
        <v>32.590000000000003</v>
      </c>
      <c r="G8" s="1">
        <v>6.54</v>
      </c>
      <c r="T8" s="1">
        <f t="shared" si="5"/>
        <v>32</v>
      </c>
      <c r="U8" s="1">
        <f t="shared" si="5"/>
        <v>16</v>
      </c>
      <c r="V8" s="1">
        <f t="shared" si="5"/>
        <v>6.4</v>
      </c>
      <c r="W8" s="1">
        <f t="shared" si="5"/>
        <v>1</v>
      </c>
      <c r="X8" s="1">
        <f t="shared" si="5"/>
        <v>0.5</v>
      </c>
      <c r="Z8" s="44">
        <f t="shared" si="6"/>
        <v>1.8437500000000107</v>
      </c>
      <c r="AA8" s="44" t="str">
        <f t="shared" si="7"/>
        <v/>
      </c>
      <c r="AB8" s="44">
        <f t="shared" si="8"/>
        <v>2.1874999999999951</v>
      </c>
      <c r="AC8" s="44" t="str">
        <f t="shared" si="9"/>
        <v/>
      </c>
      <c r="AD8" s="44" t="str">
        <f t="shared" si="10"/>
        <v/>
      </c>
    </row>
    <row r="9" spans="1:33" x14ac:dyDescent="0.35">
      <c r="A9" s="1">
        <v>5</v>
      </c>
      <c r="B9" s="1">
        <f t="shared" si="4"/>
        <v>6</v>
      </c>
      <c r="C9" s="1">
        <v>33.42</v>
      </c>
      <c r="G9" s="1">
        <v>6.7</v>
      </c>
      <c r="T9" s="1">
        <f t="shared" si="5"/>
        <v>32.64</v>
      </c>
      <c r="U9" s="1">
        <f t="shared" si="5"/>
        <v>16.32</v>
      </c>
      <c r="V9" s="1">
        <f t="shared" si="5"/>
        <v>6.5280000000000005</v>
      </c>
      <c r="W9" s="1">
        <f t="shared" si="5"/>
        <v>1.02</v>
      </c>
      <c r="X9" s="1">
        <f t="shared" si="5"/>
        <v>0.51</v>
      </c>
      <c r="Z9" s="44">
        <f t="shared" si="6"/>
        <v>2.3897058823529447</v>
      </c>
      <c r="AA9" s="44" t="str">
        <f t="shared" si="7"/>
        <v/>
      </c>
      <c r="AB9" s="44">
        <f t="shared" si="8"/>
        <v>2.634803921568623</v>
      </c>
      <c r="AC9" s="44" t="str">
        <f t="shared" si="9"/>
        <v/>
      </c>
      <c r="AD9" s="44" t="str">
        <f t="shared" si="10"/>
        <v/>
      </c>
      <c r="AF9">
        <f>(1/5)*(1/5)</f>
        <v>4.0000000000000008E-2</v>
      </c>
      <c r="AG9">
        <f>(1/5)*(1/5)*(1/5)</f>
        <v>8.0000000000000019E-3</v>
      </c>
    </row>
    <row r="10" spans="1:33" x14ac:dyDescent="0.35">
      <c r="A10" s="1">
        <v>6</v>
      </c>
      <c r="B10" s="1">
        <f t="shared" si="4"/>
        <v>7</v>
      </c>
      <c r="C10" s="1">
        <v>34.11</v>
      </c>
      <c r="G10" s="1">
        <v>6.85</v>
      </c>
      <c r="T10" s="1">
        <f t="shared" si="5"/>
        <v>33.36</v>
      </c>
      <c r="U10" s="1">
        <f t="shared" si="5"/>
        <v>16.68</v>
      </c>
      <c r="V10" s="1">
        <f t="shared" si="5"/>
        <v>6.6719999999999997</v>
      </c>
      <c r="W10" s="1">
        <f t="shared" si="5"/>
        <v>1.0425</v>
      </c>
      <c r="X10" s="1">
        <f t="shared" si="5"/>
        <v>0.52124999999999999</v>
      </c>
      <c r="Z10" s="44">
        <f t="shared" si="6"/>
        <v>2.2482014388489207</v>
      </c>
      <c r="AA10" s="44" t="str">
        <f t="shared" si="7"/>
        <v/>
      </c>
      <c r="AB10" s="44">
        <f t="shared" si="8"/>
        <v>2.6678657074340517</v>
      </c>
      <c r="AC10" s="44" t="str">
        <f t="shared" si="9"/>
        <v/>
      </c>
      <c r="AD10" s="44" t="str">
        <f t="shared" si="10"/>
        <v/>
      </c>
    </row>
    <row r="11" spans="1:33" x14ac:dyDescent="0.35">
      <c r="A11" s="1">
        <v>7</v>
      </c>
      <c r="B11" s="1">
        <f t="shared" si="4"/>
        <v>8</v>
      </c>
      <c r="C11" s="1">
        <v>35.06</v>
      </c>
      <c r="G11" s="1">
        <v>7.04</v>
      </c>
      <c r="T11" s="1">
        <f t="shared" si="5"/>
        <v>34.159999999999997</v>
      </c>
      <c r="U11" s="1">
        <f t="shared" si="5"/>
        <v>17.079999999999998</v>
      </c>
      <c r="V11" s="1">
        <f t="shared" si="5"/>
        <v>6.831999999999999</v>
      </c>
      <c r="W11" s="1">
        <f t="shared" si="5"/>
        <v>1.0674999999999999</v>
      </c>
      <c r="X11" s="1">
        <f t="shared" si="5"/>
        <v>0.53374999999999995</v>
      </c>
      <c r="Z11" s="44">
        <f t="shared" si="6"/>
        <v>2.6346604215456844</v>
      </c>
      <c r="AA11" s="44" t="str">
        <f t="shared" si="7"/>
        <v/>
      </c>
      <c r="AB11" s="44">
        <f t="shared" si="8"/>
        <v>3.0444964871194542</v>
      </c>
      <c r="AC11" s="44" t="str">
        <f t="shared" si="9"/>
        <v/>
      </c>
      <c r="AD11" s="44" t="str">
        <f t="shared" si="10"/>
        <v/>
      </c>
    </row>
    <row r="12" spans="1:33" x14ac:dyDescent="0.35">
      <c r="A12" s="1">
        <v>8</v>
      </c>
      <c r="B12" s="1">
        <f t="shared" si="4"/>
        <v>9</v>
      </c>
      <c r="C12" s="1">
        <v>35.51</v>
      </c>
      <c r="G12" s="1">
        <v>7.14</v>
      </c>
      <c r="T12" s="1">
        <f t="shared" si="5"/>
        <v>35.04</v>
      </c>
      <c r="U12" s="1">
        <f t="shared" si="5"/>
        <v>17.52</v>
      </c>
      <c r="V12" s="1">
        <f t="shared" si="5"/>
        <v>7.008</v>
      </c>
      <c r="W12" s="1">
        <f t="shared" si="5"/>
        <v>1.095</v>
      </c>
      <c r="X12" s="1">
        <f t="shared" si="5"/>
        <v>0.54749999999999999</v>
      </c>
      <c r="Z12" s="44">
        <f t="shared" si="6"/>
        <v>1.3413242009132389</v>
      </c>
      <c r="AA12" s="44" t="str">
        <f t="shared" si="7"/>
        <v/>
      </c>
      <c r="AB12" s="44">
        <f t="shared" si="8"/>
        <v>1.8835616438356118</v>
      </c>
      <c r="AC12" s="44" t="str">
        <f t="shared" si="9"/>
        <v/>
      </c>
      <c r="AD12" s="44" t="str">
        <f t="shared" si="10"/>
        <v/>
      </c>
    </row>
    <row r="13" spans="1:33" x14ac:dyDescent="0.35">
      <c r="A13" s="1">
        <v>9</v>
      </c>
      <c r="B13" s="1">
        <f t="shared" si="4"/>
        <v>10</v>
      </c>
      <c r="C13" s="1">
        <v>36.5</v>
      </c>
      <c r="G13" s="1">
        <v>7.33</v>
      </c>
      <c r="T13" s="1">
        <f t="shared" si="5"/>
        <v>36</v>
      </c>
      <c r="U13" s="1">
        <f t="shared" si="5"/>
        <v>18</v>
      </c>
      <c r="V13" s="1">
        <f t="shared" si="5"/>
        <v>7.2</v>
      </c>
      <c r="W13" s="1">
        <f t="shared" si="5"/>
        <v>1.125</v>
      </c>
      <c r="X13" s="1">
        <f t="shared" si="5"/>
        <v>0.5625</v>
      </c>
      <c r="Z13" s="44">
        <f t="shared" si="6"/>
        <v>1.3888888888888888</v>
      </c>
      <c r="AA13" s="44" t="str">
        <f t="shared" si="7"/>
        <v/>
      </c>
      <c r="AB13" s="44">
        <f t="shared" si="8"/>
        <v>1.805555555555554</v>
      </c>
      <c r="AC13" s="44" t="str">
        <f t="shared" si="9"/>
        <v/>
      </c>
      <c r="AD13" s="44" t="str">
        <f t="shared" si="10"/>
        <v/>
      </c>
    </row>
    <row r="14" spans="1:33" x14ac:dyDescent="0.35">
      <c r="A14" s="1">
        <v>10</v>
      </c>
      <c r="B14" s="1">
        <f t="shared" si="4"/>
        <v>11</v>
      </c>
      <c r="C14" s="1">
        <v>37.369999999999997</v>
      </c>
      <c r="G14" s="1">
        <v>7.51</v>
      </c>
      <c r="T14" s="1">
        <f t="shared" si="5"/>
        <v>37.04</v>
      </c>
      <c r="U14" s="1">
        <f t="shared" si="5"/>
        <v>18.52</v>
      </c>
      <c r="V14" s="1">
        <f t="shared" si="5"/>
        <v>7.4079999999999995</v>
      </c>
      <c r="W14" s="1">
        <f t="shared" si="5"/>
        <v>1.1575</v>
      </c>
      <c r="X14" s="1">
        <f t="shared" si="5"/>
        <v>0.57874999999999999</v>
      </c>
      <c r="Z14" s="44">
        <f t="shared" si="6"/>
        <v>0.89092872570193915</v>
      </c>
      <c r="AA14" s="44" t="str">
        <f t="shared" si="7"/>
        <v/>
      </c>
      <c r="AB14" s="44">
        <f t="shared" si="8"/>
        <v>1.3768898488120993</v>
      </c>
      <c r="AC14" s="44" t="str">
        <f t="shared" si="9"/>
        <v/>
      </c>
      <c r="AD14" s="44" t="str">
        <f t="shared" si="10"/>
        <v/>
      </c>
    </row>
    <row r="15" spans="1:33" x14ac:dyDescent="0.35">
      <c r="A15" s="1">
        <v>11</v>
      </c>
      <c r="B15" s="1">
        <f t="shared" si="4"/>
        <v>12</v>
      </c>
      <c r="C15" s="1">
        <v>38.46</v>
      </c>
      <c r="G15" s="1">
        <v>7.72</v>
      </c>
      <c r="T15" s="1">
        <f t="shared" si="5"/>
        <v>38.159999999999997</v>
      </c>
      <c r="U15" s="1">
        <f t="shared" si="5"/>
        <v>19.079999999999998</v>
      </c>
      <c r="V15" s="1">
        <f t="shared" si="5"/>
        <v>7.6319999999999997</v>
      </c>
      <c r="W15" s="1">
        <f t="shared" si="5"/>
        <v>1.1924999999999999</v>
      </c>
      <c r="X15" s="1">
        <f t="shared" si="5"/>
        <v>0.59624999999999995</v>
      </c>
      <c r="Z15" s="44">
        <f t="shared" si="6"/>
        <v>0.78616352201258988</v>
      </c>
      <c r="AA15" s="44" t="str">
        <f t="shared" si="7"/>
        <v/>
      </c>
      <c r="AB15" s="44">
        <f t="shared" si="8"/>
        <v>1.1530398322851163</v>
      </c>
      <c r="AC15" s="44" t="str">
        <f t="shared" si="9"/>
        <v/>
      </c>
      <c r="AD15" s="44" t="str">
        <f t="shared" si="10"/>
        <v/>
      </c>
    </row>
    <row r="16" spans="1:33" x14ac:dyDescent="0.35">
      <c r="A16" s="1">
        <v>12</v>
      </c>
      <c r="B16" s="1">
        <f t="shared" si="4"/>
        <v>13</v>
      </c>
      <c r="C16" s="1">
        <v>39.18</v>
      </c>
      <c r="G16" s="1">
        <v>7.86</v>
      </c>
      <c r="T16" s="1">
        <f t="shared" si="5"/>
        <v>39.36</v>
      </c>
      <c r="U16" s="1">
        <f t="shared" si="5"/>
        <v>19.68</v>
      </c>
      <c r="V16" s="1">
        <f t="shared" si="5"/>
        <v>7.8719999999999999</v>
      </c>
      <c r="W16" s="1">
        <f t="shared" si="5"/>
        <v>1.23</v>
      </c>
      <c r="X16" s="1">
        <f t="shared" si="5"/>
        <v>0.61499999999999999</v>
      </c>
      <c r="Z16" s="44">
        <f t="shared" si="6"/>
        <v>-0.457317073170731</v>
      </c>
      <c r="AA16" s="44" t="str">
        <f t="shared" si="7"/>
        <v/>
      </c>
      <c r="AB16" s="44">
        <f t="shared" si="8"/>
        <v>-0.1524390243902384</v>
      </c>
      <c r="AC16" s="44" t="str">
        <f t="shared" si="9"/>
        <v/>
      </c>
      <c r="AD16" s="44" t="str">
        <f t="shared" si="10"/>
        <v/>
      </c>
    </row>
    <row r="17" spans="1:30" x14ac:dyDescent="0.35">
      <c r="A17" s="1">
        <v>13</v>
      </c>
      <c r="B17" s="1">
        <f t="shared" si="4"/>
        <v>14</v>
      </c>
      <c r="C17" s="1">
        <v>40.39</v>
      </c>
      <c r="G17" s="1">
        <v>8.1199999999999992</v>
      </c>
      <c r="T17" s="1">
        <f t="shared" si="5"/>
        <v>40.64</v>
      </c>
      <c r="U17" s="1">
        <f t="shared" si="5"/>
        <v>20.32</v>
      </c>
      <c r="V17" s="1">
        <f t="shared" si="5"/>
        <v>8.1280000000000001</v>
      </c>
      <c r="W17" s="1">
        <f t="shared" si="5"/>
        <v>1.27</v>
      </c>
      <c r="X17" s="1">
        <f t="shared" si="5"/>
        <v>0.63500000000000001</v>
      </c>
      <c r="Z17" s="44">
        <f t="shared" si="6"/>
        <v>-0.61515748031496054</v>
      </c>
      <c r="AA17" s="44" t="str">
        <f t="shared" si="7"/>
        <v/>
      </c>
      <c r="AB17" s="44">
        <f t="shared" si="8"/>
        <v>-9.8425196850404711E-2</v>
      </c>
      <c r="AC17" s="44" t="str">
        <f t="shared" si="9"/>
        <v/>
      </c>
      <c r="AD17" s="44" t="str">
        <f t="shared" si="10"/>
        <v/>
      </c>
    </row>
    <row r="18" spans="1:30" x14ac:dyDescent="0.35">
      <c r="A18" s="1">
        <v>14</v>
      </c>
      <c r="B18" s="1">
        <f t="shared" si="4"/>
        <v>15</v>
      </c>
      <c r="C18" s="1">
        <v>41.39</v>
      </c>
      <c r="G18" s="1">
        <v>8.33</v>
      </c>
      <c r="T18" s="1">
        <f t="shared" si="5"/>
        <v>42</v>
      </c>
      <c r="U18" s="1">
        <f t="shared" si="5"/>
        <v>21</v>
      </c>
      <c r="V18" s="1">
        <f t="shared" si="5"/>
        <v>8.4</v>
      </c>
      <c r="W18" s="1">
        <f t="shared" si="5"/>
        <v>1.3125</v>
      </c>
      <c r="X18" s="1">
        <f t="shared" si="5"/>
        <v>0.65625</v>
      </c>
      <c r="Z18" s="44">
        <f t="shared" si="6"/>
        <v>-1.452380952380951</v>
      </c>
      <c r="AA18" s="44" t="str">
        <f t="shared" si="7"/>
        <v/>
      </c>
      <c r="AB18" s="44">
        <f t="shared" si="8"/>
        <v>-0.83333333333333659</v>
      </c>
      <c r="AC18" s="44" t="str">
        <f t="shared" si="9"/>
        <v/>
      </c>
      <c r="AD18" s="44" t="str">
        <f t="shared" si="10"/>
        <v/>
      </c>
    </row>
    <row r="19" spans="1:30" x14ac:dyDescent="0.35">
      <c r="A19" s="1">
        <v>15</v>
      </c>
      <c r="B19" s="1">
        <f t="shared" si="4"/>
        <v>16</v>
      </c>
      <c r="C19" s="1">
        <v>42.81</v>
      </c>
      <c r="G19" s="1">
        <v>8.59</v>
      </c>
      <c r="T19" s="1">
        <f t="shared" si="5"/>
        <v>43.44</v>
      </c>
      <c r="U19" s="1">
        <f t="shared" si="5"/>
        <v>21.72</v>
      </c>
      <c r="V19" s="1">
        <f t="shared" si="5"/>
        <v>8.6879999999999988</v>
      </c>
      <c r="W19" s="1">
        <f t="shared" si="5"/>
        <v>1.3574999999999999</v>
      </c>
      <c r="X19" s="1">
        <f t="shared" si="5"/>
        <v>0.67874999999999996</v>
      </c>
      <c r="Z19" s="44">
        <f t="shared" si="6"/>
        <v>-1.4502762430939122</v>
      </c>
      <c r="AA19" s="44" t="str">
        <f t="shared" si="7"/>
        <v/>
      </c>
      <c r="AB19" s="44">
        <f t="shared" si="8"/>
        <v>-1.1279926335174839</v>
      </c>
      <c r="AC19" s="44" t="str">
        <f t="shared" si="9"/>
        <v/>
      </c>
      <c r="AD19" s="44" t="str">
        <f t="shared" si="10"/>
        <v/>
      </c>
    </row>
    <row r="20" spans="1:30" x14ac:dyDescent="0.35">
      <c r="A20" s="17">
        <v>16</v>
      </c>
      <c r="B20" s="1">
        <f t="shared" si="4"/>
        <v>17</v>
      </c>
      <c r="C20" s="1">
        <v>43.4</v>
      </c>
      <c r="D20" s="1">
        <v>21.69</v>
      </c>
      <c r="E20" s="1">
        <v>14.49</v>
      </c>
      <c r="F20" s="1">
        <v>10.87</v>
      </c>
      <c r="G20" s="1">
        <v>8.7100000000000009</v>
      </c>
      <c r="J20" s="1">
        <v>1.56</v>
      </c>
      <c r="K20" s="1">
        <v>1.5</v>
      </c>
      <c r="M20" s="1">
        <v>1.36</v>
      </c>
      <c r="N20" s="1">
        <v>0.72560000000000002</v>
      </c>
      <c r="O20" s="1">
        <v>0.71419999999999995</v>
      </c>
      <c r="P20" s="1">
        <v>0.70220000000000005</v>
      </c>
      <c r="Q20" s="1">
        <v>0.6915</v>
      </c>
      <c r="R20" s="1">
        <v>0.68120000000000003</v>
      </c>
      <c r="T20" s="1">
        <f t="shared" si="5"/>
        <v>44.96</v>
      </c>
      <c r="U20" s="1">
        <f t="shared" si="5"/>
        <v>22.48</v>
      </c>
      <c r="V20" s="1">
        <f t="shared" si="5"/>
        <v>8.9920000000000009</v>
      </c>
      <c r="W20" s="1">
        <f t="shared" si="5"/>
        <v>1.405</v>
      </c>
      <c r="X20" s="1">
        <f t="shared" si="5"/>
        <v>0.70250000000000001</v>
      </c>
      <c r="Z20" s="44">
        <f t="shared" si="6"/>
        <v>-3.46975088967972</v>
      </c>
      <c r="AA20" s="44">
        <f t="shared" si="7"/>
        <v>-3.5142348754448363</v>
      </c>
      <c r="AB20" s="44">
        <f t="shared" si="8"/>
        <v>-3.1361209964412815</v>
      </c>
      <c r="AC20" s="44">
        <f t="shared" si="9"/>
        <v>-3.2028469750889625</v>
      </c>
      <c r="AD20" s="44">
        <f t="shared" si="10"/>
        <v>-3.0320284697508875</v>
      </c>
    </row>
    <row r="21" spans="1:30" x14ac:dyDescent="0.35">
      <c r="A21" s="1">
        <v>17</v>
      </c>
      <c r="B21" s="1">
        <f t="shared" si="4"/>
        <v>18</v>
      </c>
      <c r="C21" s="1">
        <v>44.88</v>
      </c>
      <c r="G21" s="1">
        <v>9.0299999999999994</v>
      </c>
      <c r="T21" s="1">
        <f t="shared" si="5"/>
        <v>46.56</v>
      </c>
      <c r="U21" s="1">
        <f t="shared" si="5"/>
        <v>23.28</v>
      </c>
      <c r="V21" s="1">
        <f t="shared" si="5"/>
        <v>9.3120000000000012</v>
      </c>
      <c r="W21" s="1">
        <f t="shared" si="5"/>
        <v>1.4550000000000001</v>
      </c>
      <c r="X21" s="1">
        <f t="shared" si="5"/>
        <v>0.72750000000000004</v>
      </c>
      <c r="Z21" s="44">
        <f t="shared" si="6"/>
        <v>-3.6082474226804115</v>
      </c>
      <c r="AA21" s="44" t="str">
        <f t="shared" si="7"/>
        <v/>
      </c>
      <c r="AB21" s="44">
        <f t="shared" si="8"/>
        <v>-3.0283505154639365</v>
      </c>
      <c r="AC21" s="44" t="str">
        <f t="shared" si="9"/>
        <v/>
      </c>
      <c r="AD21" s="44" t="str">
        <f t="shared" si="10"/>
        <v/>
      </c>
    </row>
    <row r="22" spans="1:30" x14ac:dyDescent="0.35">
      <c r="A22" s="1">
        <v>18</v>
      </c>
      <c r="B22" s="1">
        <f t="shared" si="4"/>
        <v>19</v>
      </c>
      <c r="C22" s="1">
        <v>46.21</v>
      </c>
      <c r="G22" s="1">
        <v>9.2899999999999991</v>
      </c>
      <c r="T22" s="1">
        <f t="shared" si="5"/>
        <v>48.239999999999995</v>
      </c>
      <c r="U22" s="1">
        <f t="shared" si="5"/>
        <v>24.119999999999997</v>
      </c>
      <c r="V22" s="1">
        <f t="shared" si="5"/>
        <v>9.6479999999999997</v>
      </c>
      <c r="W22" s="1">
        <f t="shared" si="5"/>
        <v>1.5074999999999998</v>
      </c>
      <c r="X22" s="1">
        <f t="shared" si="5"/>
        <v>0.75374999999999992</v>
      </c>
      <c r="Z22" s="44">
        <f t="shared" si="6"/>
        <v>-4.2081260364842334</v>
      </c>
      <c r="AA22" s="44" t="str">
        <f t="shared" si="7"/>
        <v/>
      </c>
      <c r="AB22" s="44">
        <f t="shared" si="8"/>
        <v>-3.710613598673306</v>
      </c>
      <c r="AC22" s="44" t="str">
        <f t="shared" si="9"/>
        <v/>
      </c>
      <c r="AD22" s="44" t="str">
        <f t="shared" si="10"/>
        <v/>
      </c>
    </row>
    <row r="23" spans="1:30" x14ac:dyDescent="0.35">
      <c r="A23" s="1">
        <v>19</v>
      </c>
      <c r="B23" s="1">
        <f t="shared" si="4"/>
        <v>20</v>
      </c>
      <c r="C23" s="1">
        <v>47.89</v>
      </c>
      <c r="G23" s="1">
        <v>9.6199999999999992</v>
      </c>
      <c r="T23" s="1">
        <f t="shared" si="5"/>
        <v>50</v>
      </c>
      <c r="U23" s="1">
        <f t="shared" si="5"/>
        <v>25</v>
      </c>
      <c r="V23" s="1">
        <f t="shared" si="5"/>
        <v>10</v>
      </c>
      <c r="W23" s="1">
        <f t="shared" si="5"/>
        <v>1.5625</v>
      </c>
      <c r="X23" s="1">
        <f t="shared" si="5"/>
        <v>0.78125</v>
      </c>
      <c r="Z23" s="44">
        <f t="shared" si="6"/>
        <v>-4.2199999999999989</v>
      </c>
      <c r="AA23" s="44" t="str">
        <f t="shared" si="7"/>
        <v/>
      </c>
      <c r="AB23" s="44">
        <f t="shared" si="8"/>
        <v>-3.8000000000000074</v>
      </c>
      <c r="AC23" s="44" t="str">
        <f t="shared" si="9"/>
        <v/>
      </c>
      <c r="AD23" s="44" t="str">
        <f t="shared" si="10"/>
        <v/>
      </c>
    </row>
    <row r="24" spans="1:30" x14ac:dyDescent="0.35">
      <c r="A24" s="1">
        <v>20</v>
      </c>
      <c r="B24" s="1">
        <f t="shared" si="4"/>
        <v>21</v>
      </c>
      <c r="C24" s="1">
        <v>49.02</v>
      </c>
      <c r="G24" s="1">
        <v>9.84</v>
      </c>
      <c r="T24" s="1">
        <f t="shared" si="5"/>
        <v>51.84</v>
      </c>
      <c r="U24" s="1">
        <f t="shared" si="5"/>
        <v>25.92</v>
      </c>
      <c r="V24" s="1">
        <f t="shared" si="5"/>
        <v>10.368</v>
      </c>
      <c r="W24" s="1">
        <f t="shared" si="5"/>
        <v>1.62</v>
      </c>
      <c r="X24" s="1">
        <f t="shared" si="5"/>
        <v>0.81</v>
      </c>
      <c r="Z24" s="44">
        <f t="shared" si="6"/>
        <v>-5.4398148148148149</v>
      </c>
      <c r="AA24" s="44" t="str">
        <f t="shared" si="7"/>
        <v/>
      </c>
      <c r="AB24" s="44">
        <f t="shared" si="8"/>
        <v>-5.092592592592597</v>
      </c>
      <c r="AC24" s="44" t="str">
        <f t="shared" si="9"/>
        <v/>
      </c>
      <c r="AD24" s="44" t="str">
        <f t="shared" si="10"/>
        <v/>
      </c>
    </row>
    <row r="25" spans="1:30" x14ac:dyDescent="0.35">
      <c r="A25" s="1">
        <v>21</v>
      </c>
      <c r="B25" s="1">
        <f t="shared" si="4"/>
        <v>22</v>
      </c>
      <c r="C25" s="1">
        <v>50.92</v>
      </c>
      <c r="G25" s="1">
        <v>10.25</v>
      </c>
      <c r="T25" s="1">
        <f t="shared" si="5"/>
        <v>53.760000000000005</v>
      </c>
      <c r="U25" s="1">
        <f t="shared" si="5"/>
        <v>26.880000000000003</v>
      </c>
      <c r="V25" s="1">
        <f t="shared" si="5"/>
        <v>10.752000000000001</v>
      </c>
      <c r="W25" s="1">
        <f t="shared" si="5"/>
        <v>1.6800000000000002</v>
      </c>
      <c r="X25" s="1">
        <f t="shared" si="5"/>
        <v>0.84000000000000008</v>
      </c>
      <c r="Z25" s="44">
        <f t="shared" si="6"/>
        <v>-5.2827380952381011</v>
      </c>
      <c r="AA25" s="44" t="str">
        <f t="shared" si="7"/>
        <v/>
      </c>
      <c r="AB25" s="44">
        <f t="shared" si="8"/>
        <v>-4.6688988095238155</v>
      </c>
      <c r="AC25" s="44" t="str">
        <f t="shared" si="9"/>
        <v/>
      </c>
      <c r="AD25" s="44" t="str">
        <f t="shared" si="10"/>
        <v/>
      </c>
    </row>
    <row r="26" spans="1:30" x14ac:dyDescent="0.35">
      <c r="A26" s="1">
        <v>22</v>
      </c>
      <c r="B26" s="1">
        <f t="shared" si="4"/>
        <v>23</v>
      </c>
      <c r="C26" s="1">
        <v>52.63</v>
      </c>
      <c r="G26" s="1">
        <v>10.59</v>
      </c>
      <c r="T26" s="1">
        <f t="shared" si="5"/>
        <v>55.76</v>
      </c>
      <c r="U26" s="1">
        <f t="shared" si="5"/>
        <v>27.88</v>
      </c>
      <c r="V26" s="1">
        <f t="shared" si="5"/>
        <v>11.151999999999999</v>
      </c>
      <c r="W26" s="1">
        <f t="shared" si="5"/>
        <v>1.7424999999999999</v>
      </c>
      <c r="X26" s="1">
        <f t="shared" si="5"/>
        <v>0.87124999999999997</v>
      </c>
      <c r="Z26" s="44">
        <f t="shared" si="6"/>
        <v>-5.6133428981348557</v>
      </c>
      <c r="AA26" s="44" t="str">
        <f t="shared" si="7"/>
        <v/>
      </c>
      <c r="AB26" s="44">
        <f t="shared" si="8"/>
        <v>-5.0394548063127642</v>
      </c>
      <c r="AC26" s="44" t="str">
        <f t="shared" si="9"/>
        <v/>
      </c>
      <c r="AD26" s="44" t="str">
        <f t="shared" si="10"/>
        <v/>
      </c>
    </row>
    <row r="27" spans="1:30" x14ac:dyDescent="0.35">
      <c r="A27" s="1">
        <v>23</v>
      </c>
      <c r="B27" s="1">
        <f t="shared" si="4"/>
        <v>24</v>
      </c>
      <c r="C27" s="1">
        <v>54.82</v>
      </c>
      <c r="G27" s="1">
        <v>11.06</v>
      </c>
      <c r="T27" s="1">
        <f t="shared" si="5"/>
        <v>57.84</v>
      </c>
      <c r="U27" s="1">
        <f t="shared" si="5"/>
        <v>28.92</v>
      </c>
      <c r="V27" s="1">
        <f t="shared" si="5"/>
        <v>11.568000000000001</v>
      </c>
      <c r="W27" s="1">
        <f t="shared" si="5"/>
        <v>1.8075000000000001</v>
      </c>
      <c r="X27" s="1">
        <f t="shared" si="5"/>
        <v>0.90375000000000005</v>
      </c>
      <c r="Z27" s="44">
        <f t="shared" si="6"/>
        <v>-5.2213001383125919</v>
      </c>
      <c r="AA27" s="44" t="str">
        <f t="shared" si="7"/>
        <v/>
      </c>
      <c r="AB27" s="44">
        <f t="shared" si="8"/>
        <v>-4.3914246196403948</v>
      </c>
      <c r="AC27" s="44" t="str">
        <f t="shared" si="9"/>
        <v/>
      </c>
      <c r="AD27" s="44" t="str">
        <f t="shared" si="10"/>
        <v/>
      </c>
    </row>
    <row r="28" spans="1:30" x14ac:dyDescent="0.35">
      <c r="A28" s="1">
        <v>24</v>
      </c>
      <c r="B28" s="1">
        <f t="shared" si="4"/>
        <v>25</v>
      </c>
      <c r="C28" s="1">
        <v>55.93</v>
      </c>
      <c r="G28" s="1">
        <v>11.26</v>
      </c>
      <c r="T28" s="1">
        <f t="shared" si="5"/>
        <v>60</v>
      </c>
      <c r="U28" s="1">
        <f t="shared" si="5"/>
        <v>30</v>
      </c>
      <c r="V28" s="1">
        <f t="shared" si="5"/>
        <v>12</v>
      </c>
      <c r="W28" s="1">
        <f t="shared" si="5"/>
        <v>1.875</v>
      </c>
      <c r="X28" s="1">
        <f t="shared" si="5"/>
        <v>0.9375</v>
      </c>
      <c r="Z28" s="44">
        <f t="shared" si="6"/>
        <v>-6.7833333333333341</v>
      </c>
      <c r="AA28" s="44" t="str">
        <f t="shared" si="7"/>
        <v/>
      </c>
      <c r="AB28" s="44">
        <f t="shared" si="8"/>
        <v>-6.1666666666666679</v>
      </c>
      <c r="AC28" s="44" t="str">
        <f t="shared" si="9"/>
        <v/>
      </c>
      <c r="AD28" s="44" t="str">
        <f t="shared" si="10"/>
        <v/>
      </c>
    </row>
    <row r="29" spans="1:30" x14ac:dyDescent="0.35">
      <c r="A29" s="1">
        <v>25</v>
      </c>
      <c r="B29" s="1">
        <f t="shared" si="4"/>
        <v>26</v>
      </c>
      <c r="C29" s="1">
        <v>58.41</v>
      </c>
      <c r="G29" s="1">
        <v>11.76</v>
      </c>
      <c r="T29" s="1">
        <f t="shared" si="5"/>
        <v>62.24</v>
      </c>
      <c r="U29" s="1">
        <f t="shared" si="5"/>
        <v>31.12</v>
      </c>
      <c r="V29" s="1">
        <f t="shared" si="5"/>
        <v>12.448</v>
      </c>
      <c r="W29" s="1">
        <f t="shared" si="5"/>
        <v>1.9450000000000001</v>
      </c>
      <c r="X29" s="1">
        <f t="shared" si="5"/>
        <v>0.97250000000000003</v>
      </c>
      <c r="Z29" s="44">
        <f t="shared" si="6"/>
        <v>-6.1535989717223742</v>
      </c>
      <c r="AA29" s="44" t="str">
        <f t="shared" si="7"/>
        <v/>
      </c>
      <c r="AB29" s="44">
        <f t="shared" si="8"/>
        <v>-5.5269922879177429</v>
      </c>
      <c r="AC29" s="44" t="str">
        <f t="shared" si="9"/>
        <v/>
      </c>
      <c r="AD29" s="44" t="str">
        <f t="shared" si="10"/>
        <v/>
      </c>
    </row>
    <row r="30" spans="1:30" x14ac:dyDescent="0.35">
      <c r="A30" s="1">
        <v>26</v>
      </c>
      <c r="B30" s="1">
        <f t="shared" si="4"/>
        <v>27</v>
      </c>
      <c r="C30" s="1">
        <v>60.68</v>
      </c>
      <c r="G30" s="1">
        <v>12.22</v>
      </c>
      <c r="T30" s="1">
        <f t="shared" si="5"/>
        <v>64.56</v>
      </c>
      <c r="U30" s="1">
        <f t="shared" si="5"/>
        <v>32.28</v>
      </c>
      <c r="V30" s="1">
        <f t="shared" si="5"/>
        <v>12.912000000000001</v>
      </c>
      <c r="W30" s="1">
        <f t="shared" si="5"/>
        <v>2.0175000000000001</v>
      </c>
      <c r="X30" s="1">
        <f t="shared" si="5"/>
        <v>1.00875</v>
      </c>
      <c r="Z30" s="44">
        <f t="shared" si="6"/>
        <v>-6.0099132589838948</v>
      </c>
      <c r="AA30" s="44" t="str">
        <f t="shared" si="7"/>
        <v/>
      </c>
      <c r="AB30" s="44">
        <f t="shared" si="8"/>
        <v>-5.3593556381660479</v>
      </c>
      <c r="AC30" s="44" t="str">
        <f t="shared" si="9"/>
        <v/>
      </c>
      <c r="AD30" s="44" t="str">
        <f t="shared" si="10"/>
        <v/>
      </c>
    </row>
    <row r="31" spans="1:30" x14ac:dyDescent="0.35">
      <c r="A31" s="1">
        <v>27</v>
      </c>
      <c r="B31" s="1">
        <f t="shared" si="4"/>
        <v>28</v>
      </c>
      <c r="C31" s="1">
        <v>63.78</v>
      </c>
      <c r="G31" s="1">
        <v>12.85</v>
      </c>
      <c r="T31" s="1">
        <f t="shared" si="5"/>
        <v>66.959999999999994</v>
      </c>
      <c r="U31" s="1">
        <f t="shared" si="5"/>
        <v>33.479999999999997</v>
      </c>
      <c r="V31" s="1">
        <f t="shared" si="5"/>
        <v>13.391999999999999</v>
      </c>
      <c r="W31" s="1">
        <f t="shared" si="5"/>
        <v>2.0924999999999998</v>
      </c>
      <c r="X31" s="1">
        <f t="shared" si="5"/>
        <v>1.0462499999999999</v>
      </c>
      <c r="Z31" s="44">
        <f t="shared" si="6"/>
        <v>-4.7491039426523187</v>
      </c>
      <c r="AA31" s="44" t="str">
        <f t="shared" si="7"/>
        <v/>
      </c>
      <c r="AB31" s="44">
        <f t="shared" si="8"/>
        <v>-4.0471923536439656</v>
      </c>
      <c r="AC31" s="44" t="str">
        <f t="shared" si="9"/>
        <v/>
      </c>
      <c r="AD31" s="44" t="str">
        <f t="shared" si="10"/>
        <v/>
      </c>
    </row>
    <row r="32" spans="1:30" x14ac:dyDescent="0.35">
      <c r="A32" s="1">
        <v>28</v>
      </c>
      <c r="B32" s="1">
        <f t="shared" si="4"/>
        <v>29</v>
      </c>
      <c r="C32" s="1">
        <v>65.790000000000006</v>
      </c>
      <c r="G32" s="1">
        <v>13.26</v>
      </c>
      <c r="T32" s="1">
        <f t="shared" si="5"/>
        <v>69.44</v>
      </c>
      <c r="U32" s="1">
        <f t="shared" si="5"/>
        <v>34.72</v>
      </c>
      <c r="V32" s="1">
        <f t="shared" si="5"/>
        <v>13.888</v>
      </c>
      <c r="W32" s="1">
        <f t="shared" si="5"/>
        <v>2.17</v>
      </c>
      <c r="X32" s="1">
        <f t="shared" si="5"/>
        <v>1.085</v>
      </c>
      <c r="Z32" s="44">
        <f t="shared" si="6"/>
        <v>-5.2563364055299422</v>
      </c>
      <c r="AA32" s="44" t="str">
        <f t="shared" si="7"/>
        <v/>
      </c>
      <c r="AB32" s="44">
        <f t="shared" si="8"/>
        <v>-4.5218894009216593</v>
      </c>
      <c r="AC32" s="44" t="str">
        <f t="shared" si="9"/>
        <v/>
      </c>
      <c r="AD32" s="44" t="str">
        <f t="shared" si="10"/>
        <v/>
      </c>
    </row>
    <row r="33" spans="1:30" x14ac:dyDescent="0.35">
      <c r="A33" s="1">
        <v>29</v>
      </c>
      <c r="B33" s="1">
        <f t="shared" si="4"/>
        <v>30</v>
      </c>
      <c r="C33" s="1">
        <v>69.25</v>
      </c>
      <c r="G33" s="1">
        <v>13.97</v>
      </c>
      <c r="T33" s="1">
        <f t="shared" si="5"/>
        <v>72</v>
      </c>
      <c r="U33" s="1">
        <f t="shared" si="5"/>
        <v>36</v>
      </c>
      <c r="V33" s="1">
        <f t="shared" si="5"/>
        <v>14.4</v>
      </c>
      <c r="W33" s="1">
        <f t="shared" si="5"/>
        <v>2.25</v>
      </c>
      <c r="X33" s="1">
        <f t="shared" si="5"/>
        <v>1.125</v>
      </c>
      <c r="Z33" s="44">
        <f t="shared" si="6"/>
        <v>-3.8194444444444446</v>
      </c>
      <c r="AA33" s="44" t="str">
        <f t="shared" si="7"/>
        <v/>
      </c>
      <c r="AB33" s="44">
        <f t="shared" si="8"/>
        <v>-2.9861111111111094</v>
      </c>
      <c r="AC33" s="44" t="str">
        <f t="shared" si="9"/>
        <v/>
      </c>
      <c r="AD33" s="44" t="str">
        <f t="shared" si="10"/>
        <v/>
      </c>
    </row>
    <row r="34" spans="1:30" x14ac:dyDescent="0.35">
      <c r="A34" s="1">
        <v>30</v>
      </c>
      <c r="B34" s="1">
        <f t="shared" si="4"/>
        <v>31</v>
      </c>
      <c r="C34" s="1">
        <v>72.459999999999994</v>
      </c>
      <c r="G34" s="1">
        <v>14.62</v>
      </c>
      <c r="T34" s="1">
        <f t="shared" si="5"/>
        <v>74.64</v>
      </c>
      <c r="U34" s="1">
        <f t="shared" si="5"/>
        <v>37.32</v>
      </c>
      <c r="V34" s="1">
        <f t="shared" si="5"/>
        <v>14.928000000000001</v>
      </c>
      <c r="W34" s="1">
        <f t="shared" si="5"/>
        <v>2.3325</v>
      </c>
      <c r="X34" s="1">
        <f t="shared" si="5"/>
        <v>1.16625</v>
      </c>
      <c r="Z34" s="44">
        <f t="shared" si="6"/>
        <v>-2.9206859592711774</v>
      </c>
      <c r="AA34" s="44" t="str">
        <f t="shared" si="7"/>
        <v/>
      </c>
      <c r="AB34" s="44">
        <f t="shared" si="8"/>
        <v>-2.0632368703108357</v>
      </c>
      <c r="AC34" s="44" t="str">
        <f t="shared" si="9"/>
        <v/>
      </c>
      <c r="AD34" s="44" t="str">
        <f t="shared" si="10"/>
        <v/>
      </c>
    </row>
    <row r="35" spans="1:30" x14ac:dyDescent="0.35">
      <c r="A35" s="1">
        <v>31</v>
      </c>
      <c r="B35" s="1">
        <f t="shared" si="4"/>
        <v>32</v>
      </c>
      <c r="C35" s="1">
        <v>76.92</v>
      </c>
      <c r="G35" s="1">
        <v>15.48</v>
      </c>
      <c r="M35" s="1">
        <v>2.4300000000000002</v>
      </c>
      <c r="R35" s="1">
        <v>1.21</v>
      </c>
      <c r="T35" s="1">
        <f t="shared" si="5"/>
        <v>77.360000000000014</v>
      </c>
      <c r="U35" s="1">
        <f t="shared" si="5"/>
        <v>38.680000000000007</v>
      </c>
      <c r="V35" s="1">
        <f t="shared" si="5"/>
        <v>15.472000000000003</v>
      </c>
      <c r="W35" s="1">
        <f t="shared" si="5"/>
        <v>2.4175000000000004</v>
      </c>
      <c r="X35" s="1">
        <f t="shared" si="5"/>
        <v>1.2087500000000002</v>
      </c>
      <c r="Z35" s="44">
        <f t="shared" si="6"/>
        <v>-0.5687693898655789</v>
      </c>
      <c r="AA35" s="44" t="str">
        <f t="shared" si="7"/>
        <v/>
      </c>
      <c r="AB35" s="44">
        <f t="shared" si="8"/>
        <v>5.170630816957951E-2</v>
      </c>
      <c r="AC35" s="44">
        <f t="shared" si="9"/>
        <v>0.51706308169595583</v>
      </c>
      <c r="AD35" s="44">
        <f t="shared" si="10"/>
        <v>0.10341261633917279</v>
      </c>
    </row>
  </sheetData>
  <sortState ref="A2:D19">
    <sortCondition ref="A2:A19"/>
  </sortState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topLeftCell="P1" zoomScale="99" workbookViewId="0">
      <pane ySplit="3" topLeftCell="A4" activePane="bottomLeft" state="frozen"/>
      <selection pane="bottomLeft" activeCell="U14" sqref="U14"/>
    </sheetView>
  </sheetViews>
  <sheetFormatPr defaultRowHeight="14.5" x14ac:dyDescent="0.35"/>
  <cols>
    <col min="1" max="1" width="8.7265625" style="1"/>
    <col min="2" max="2" width="10.36328125" style="1" customWidth="1"/>
    <col min="3" max="18" width="8.7265625" style="1"/>
    <col min="19" max="19" width="15.26953125" customWidth="1"/>
    <col min="20" max="20" width="15.7265625" style="1" bestFit="1" customWidth="1"/>
    <col min="21" max="23" width="15.7265625" style="1" customWidth="1"/>
    <col min="24" max="25" width="19.36328125" style="1" customWidth="1"/>
    <col min="26" max="26" width="18.453125" style="1" customWidth="1"/>
    <col min="27" max="29" width="11.453125" style="1" customWidth="1"/>
    <col min="30" max="30" width="9.54296875" style="1" customWidth="1"/>
    <col min="31" max="32" width="8.7265625" style="1"/>
    <col min="33" max="34" width="8.7265625" style="6"/>
    <col min="35" max="35" width="1.6328125" customWidth="1"/>
    <col min="36" max="40" width="8.7265625" style="41"/>
  </cols>
  <sheetData>
    <row r="1" spans="1:50" s="3" customFormat="1" x14ac:dyDescent="0.35">
      <c r="A1" s="2"/>
      <c r="C1" s="43" t="s">
        <v>49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 t="s">
        <v>87</v>
      </c>
      <c r="V1" s="2" t="s">
        <v>86</v>
      </c>
      <c r="W1" s="2" t="s">
        <v>88</v>
      </c>
      <c r="X1" s="2" t="s">
        <v>89</v>
      </c>
      <c r="Y1" s="2" t="s">
        <v>89</v>
      </c>
      <c r="Z1" s="2" t="s">
        <v>89</v>
      </c>
      <c r="AA1" s="2" t="s">
        <v>79</v>
      </c>
      <c r="AB1" s="2" t="s">
        <v>80</v>
      </c>
      <c r="AC1" s="2" t="s">
        <v>81</v>
      </c>
      <c r="AD1" s="43" t="s">
        <v>27</v>
      </c>
      <c r="AE1" s="2"/>
      <c r="AF1" s="2"/>
      <c r="AG1" s="2"/>
      <c r="AH1" s="2"/>
      <c r="AJ1" s="40"/>
      <c r="AK1" s="40"/>
      <c r="AL1" s="40"/>
      <c r="AM1" s="40"/>
      <c r="AN1" s="40"/>
    </row>
    <row r="2" spans="1:50" s="3" customFormat="1" x14ac:dyDescent="0.35">
      <c r="A2" s="2"/>
      <c r="B2" s="10" t="s">
        <v>9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9</v>
      </c>
      <c r="I2" s="6">
        <v>14</v>
      </c>
      <c r="J2" s="6">
        <v>27</v>
      </c>
      <c r="K2" s="6">
        <v>28</v>
      </c>
      <c r="L2" s="6">
        <v>29</v>
      </c>
      <c r="M2" s="6">
        <v>31</v>
      </c>
      <c r="N2" s="6">
        <v>59</v>
      </c>
      <c r="O2" s="6">
        <v>60</v>
      </c>
      <c r="P2" s="6">
        <v>61</v>
      </c>
      <c r="Q2" s="6">
        <v>62</v>
      </c>
      <c r="R2" s="6">
        <v>63</v>
      </c>
      <c r="T2" s="2"/>
      <c r="U2" s="2">
        <v>0</v>
      </c>
      <c r="V2" s="2"/>
      <c r="W2" s="2"/>
      <c r="X2" s="2">
        <v>0</v>
      </c>
      <c r="Y2" s="2">
        <v>4</v>
      </c>
      <c r="Z2" s="2">
        <v>5</v>
      </c>
      <c r="AA2" s="2"/>
      <c r="AB2" s="2" t="s">
        <v>82</v>
      </c>
      <c r="AC2" s="2" t="s">
        <v>83</v>
      </c>
      <c r="AD2" s="2">
        <v>0</v>
      </c>
      <c r="AE2" s="2">
        <v>1</v>
      </c>
      <c r="AF2" s="2">
        <v>4</v>
      </c>
      <c r="AG2" s="2">
        <v>31</v>
      </c>
      <c r="AH2" s="2">
        <v>63</v>
      </c>
      <c r="AJ2" s="40">
        <v>0</v>
      </c>
      <c r="AK2" s="40">
        <v>1</v>
      </c>
      <c r="AL2" s="40">
        <v>4</v>
      </c>
      <c r="AM2" s="40">
        <v>31</v>
      </c>
      <c r="AN2" s="40">
        <v>63</v>
      </c>
      <c r="AU2" s="55" t="s">
        <v>51</v>
      </c>
    </row>
    <row r="3" spans="1:50" s="3" customFormat="1" x14ac:dyDescent="0.35">
      <c r="A3" s="2" t="s">
        <v>10</v>
      </c>
      <c r="B3" s="2" t="s">
        <v>24</v>
      </c>
      <c r="C3" s="2">
        <f>1/(C2+1)</f>
        <v>1</v>
      </c>
      <c r="D3" s="2">
        <f t="shared" ref="D3:R3" si="0">1/(D2+1)</f>
        <v>0.5</v>
      </c>
      <c r="E3" s="2">
        <f t="shared" si="0"/>
        <v>0.33333333333333331</v>
      </c>
      <c r="F3" s="2">
        <f t="shared" si="0"/>
        <v>0.25</v>
      </c>
      <c r="G3" s="2">
        <f t="shared" si="0"/>
        <v>0.2</v>
      </c>
      <c r="H3" s="2">
        <f t="shared" si="0"/>
        <v>0.1</v>
      </c>
      <c r="I3" s="2">
        <f t="shared" si="0"/>
        <v>6.6666666666666666E-2</v>
      </c>
      <c r="J3" s="2">
        <f t="shared" si="0"/>
        <v>3.5714285714285712E-2</v>
      </c>
      <c r="K3" s="2">
        <f t="shared" si="0"/>
        <v>3.4482758620689655E-2</v>
      </c>
      <c r="L3" s="2">
        <f t="shared" si="0"/>
        <v>3.3333333333333333E-2</v>
      </c>
      <c r="M3" s="2">
        <f t="shared" si="0"/>
        <v>3.125E-2</v>
      </c>
      <c r="N3" s="2">
        <f t="shared" si="0"/>
        <v>1.6666666666666666E-2</v>
      </c>
      <c r="O3" s="2">
        <f t="shared" si="0"/>
        <v>1.6393442622950821E-2</v>
      </c>
      <c r="P3" s="2">
        <f t="shared" si="0"/>
        <v>1.6129032258064516E-2</v>
      </c>
      <c r="Q3" s="2">
        <f t="shared" si="0"/>
        <v>1.5873015873015872E-2</v>
      </c>
      <c r="R3" s="2">
        <f t="shared" si="0"/>
        <v>1.5625E-2</v>
      </c>
      <c r="T3" s="2" t="s">
        <v>90</v>
      </c>
      <c r="U3" s="2">
        <f>1*(U$2 + 1)</f>
        <v>1</v>
      </c>
      <c r="V3" s="2"/>
      <c r="W3" s="2"/>
      <c r="X3" s="2">
        <f>1*(X$2 + 1)</f>
        <v>1</v>
      </c>
      <c r="Y3" s="2">
        <f>1*(Y$2 + 1)</f>
        <v>5</v>
      </c>
      <c r="Z3" s="2">
        <f>1*(Z$2 + 1)</f>
        <v>6</v>
      </c>
      <c r="AA3" s="2">
        <f>2*(C$2 + 1)</f>
        <v>2</v>
      </c>
      <c r="AB3" s="2"/>
      <c r="AC3" s="2"/>
      <c r="AD3" s="2">
        <f t="shared" ref="AD3:AH3" si="1">1/(AD2+1)</f>
        <v>1</v>
      </c>
      <c r="AE3" s="2">
        <f t="shared" si="1"/>
        <v>0.5</v>
      </c>
      <c r="AF3" s="2">
        <f t="shared" si="1"/>
        <v>0.2</v>
      </c>
      <c r="AG3" s="2">
        <f t="shared" si="1"/>
        <v>3.125E-2</v>
      </c>
      <c r="AH3" s="2">
        <f t="shared" si="1"/>
        <v>1.5625E-2</v>
      </c>
      <c r="AJ3" s="40"/>
      <c r="AK3" s="40"/>
      <c r="AL3" s="40"/>
      <c r="AM3" s="40"/>
      <c r="AN3" s="40"/>
      <c r="AU3" s="3">
        <v>0</v>
      </c>
    </row>
    <row r="4" spans="1:50" x14ac:dyDescent="0.35">
      <c r="A4" s="1">
        <v>0</v>
      </c>
      <c r="B4" s="1">
        <f>(A4+1)</f>
        <v>1</v>
      </c>
      <c r="C4" s="1">
        <v>59.59</v>
      </c>
      <c r="D4" s="6">
        <v>15.06</v>
      </c>
      <c r="E4" s="6">
        <v>10.039999999999999</v>
      </c>
      <c r="F4" s="6">
        <v>7.52</v>
      </c>
      <c r="G4" s="6">
        <v>6.02</v>
      </c>
      <c r="H4" s="6">
        <v>3.01</v>
      </c>
      <c r="I4" s="6">
        <v>2.0099999999999998</v>
      </c>
      <c r="J4" s="6"/>
      <c r="K4" s="6"/>
      <c r="L4" s="6">
        <v>1</v>
      </c>
      <c r="M4" s="1">
        <v>0.93979999999999997</v>
      </c>
      <c r="N4" s="6">
        <v>0.70620000000000005</v>
      </c>
      <c r="O4" s="6">
        <v>0.68869999999999998</v>
      </c>
      <c r="P4" s="6">
        <v>0.67749999999999999</v>
      </c>
      <c r="Q4" s="6">
        <v>0.68300000000000005</v>
      </c>
      <c r="R4" s="45">
        <v>0.66949999999999998</v>
      </c>
      <c r="T4" s="1">
        <f>(16 - ($A4 + 0))</f>
        <v>16</v>
      </c>
      <c r="U4" s="1">
        <f>1/($C4*1000000 * $U$3) * 1000000000</f>
        <v>16.781339150864241</v>
      </c>
      <c r="V4" s="1">
        <f>$S$8*((16 - ($A4 + 0))/$S$15 + 1)</f>
        <v>16.841657142857141</v>
      </c>
      <c r="W4" s="36">
        <f>1/(V4*0.000000001) / 1000000</f>
        <v>59.37657984114221</v>
      </c>
      <c r="X4" s="8">
        <f>W4/$X$3</f>
        <v>59.37657984114221</v>
      </c>
      <c r="Y4" s="1">
        <f>W4/$Y$3</f>
        <v>11.875315968228442</v>
      </c>
      <c r="Z4" s="1">
        <f>W4/$Z$3</f>
        <v>9.8960966401903683</v>
      </c>
      <c r="AA4" s="1">
        <f>($C4 *AA$3 - (32/2 - 1)) * 2</f>
        <v>208.36</v>
      </c>
      <c r="AB4" s="1">
        <f>(144 + $T4*2*2*SQRT(2)*($T4/SQRT(2)/49 + 1))</f>
        <v>255.40762717555157</v>
      </c>
      <c r="AC4" s="1">
        <f>AB4 / $AA$3</f>
        <v>127.70381358777578</v>
      </c>
      <c r="AD4" s="1">
        <f t="shared" ref="AD4:AD35" si="2">(64 + ($A4 + 1)*2/7*(($A4 + 1)*2/7 + 7/11))/(AD$2+1)</f>
        <v>64.263450834879407</v>
      </c>
      <c r="AE4" s="1">
        <f>(30 + ($A4 + 1)/5*(($A4 + 1)/5 + 1))/(AE$2+1)</f>
        <v>15.12</v>
      </c>
      <c r="AF4" s="1">
        <f>(30 + ($A4 + 1)/5*(($A4 + 1)/5 + 1))/(AF$2+1)</f>
        <v>6.048</v>
      </c>
      <c r="AG4" s="1">
        <f>(30 + ($A4 + 1)/5*(($A4 + 1)/5 + 1))/(AG$2+1)</f>
        <v>0.94499999999999995</v>
      </c>
      <c r="AH4" s="1">
        <f>(30 + ($A4 + 1)/5*(($A4 + 1)/5 + 1))/(AH$2+1)</f>
        <v>0.47249999999999998</v>
      </c>
      <c r="AJ4" s="44">
        <f>IF(C4="","",(C4-AD4)/AD4*100)</f>
        <v>-7.2723309659911042</v>
      </c>
      <c r="AK4" s="44">
        <f>IF(D4="","",(D4-AE4)/AE4*100)</f>
        <v>-0.39682539682538837</v>
      </c>
      <c r="AL4" s="44">
        <f>IF(G4="","",(G4-AF4)/AF4*100)</f>
        <v>-0.46296296296297074</v>
      </c>
      <c r="AM4" s="44">
        <f>IF(M4="","",(M4-AG4)/AG4*100)</f>
        <v>-0.55026455026454846</v>
      </c>
      <c r="AN4" s="44">
        <f>IF(R4="","",(R4-AH4)/AH4*100)</f>
        <v>41.693121693121697</v>
      </c>
      <c r="AP4">
        <f>1/0.0413</f>
        <v>24.213075060532685</v>
      </c>
      <c r="AQ4">
        <f>0.0084/0.0413</f>
        <v>0.20338983050847453</v>
      </c>
      <c r="AU4">
        <f>(1/(1/(C4*1000) - $AW$6*0.000000001))/1000*2</f>
        <v>119.17999999999998</v>
      </c>
      <c r="AW4" t="s">
        <v>54</v>
      </c>
    </row>
    <row r="5" spans="1:50" x14ac:dyDescent="0.35">
      <c r="A5" s="1">
        <v>1</v>
      </c>
      <c r="B5" s="1">
        <f t="shared" ref="B5:B35" si="3">(A5+1)</f>
        <v>2</v>
      </c>
      <c r="C5" s="1">
        <v>60.9</v>
      </c>
      <c r="G5" s="1">
        <v>6.16</v>
      </c>
      <c r="T5" s="1">
        <f t="shared" ref="T5:T35" si="4">(16 - ($A5 + 0))</f>
        <v>15</v>
      </c>
      <c r="U5" s="1">
        <f t="shared" ref="U5:U35" si="5">1/($C5*1000000 * $U$3) * 1000000000</f>
        <v>16.420361247947454</v>
      </c>
      <c r="V5" s="1">
        <f t="shared" ref="V5:V35" si="6">$S$8*((16 - ($A5 + 0))/$S$15 + 1)</f>
        <v>16.511428571428571</v>
      </c>
      <c r="W5" s="1">
        <f t="shared" ref="W5:W35" si="7">1/(V5*0.000000001) / 1000000</f>
        <v>60.564111437965046</v>
      </c>
      <c r="X5" s="1">
        <f t="shared" ref="X5:X35" si="8">W5/$X$3</f>
        <v>60.564111437965046</v>
      </c>
      <c r="Y5" s="1">
        <f t="shared" ref="Y5:Y35" si="9">W5/$Y$3</f>
        <v>12.112822287593008</v>
      </c>
      <c r="Z5" s="1">
        <f t="shared" ref="Z5:Z35" si="10">W5/$Z$3</f>
        <v>10.094018572994175</v>
      </c>
      <c r="AA5" s="1">
        <f t="shared" ref="AA5:AA35" si="11">($C5 *AA$3 - (32/2 - 1)) * 2</f>
        <v>213.6</v>
      </c>
      <c r="AB5" s="1">
        <f t="shared" ref="AB5:AB35" si="12">(144 + $T5*2*2*SQRT(2)*($T5/SQRT(2)/49 + 1))</f>
        <v>247.22016068116119</v>
      </c>
      <c r="AC5" s="1">
        <f t="shared" ref="AC5:AC35" si="13">AB5 / $AA$3</f>
        <v>123.61008034058059</v>
      </c>
      <c r="AD5" s="1">
        <f t="shared" si="2"/>
        <v>64.690166975881255</v>
      </c>
      <c r="AE5" s="1">
        <f t="shared" ref="AE5:AH35" si="14">(30 + ($A5 + 1)/5*(($A5 + 1)/5 + 1))/(AE$2+1)</f>
        <v>15.28</v>
      </c>
      <c r="AF5" s="1">
        <f t="shared" si="14"/>
        <v>6.1120000000000001</v>
      </c>
      <c r="AG5" s="1">
        <f t="shared" si="14"/>
        <v>0.95499999999999996</v>
      </c>
      <c r="AH5" s="1">
        <f t="shared" si="14"/>
        <v>0.47749999999999998</v>
      </c>
      <c r="AJ5" s="44">
        <f>IF(C5="","",(C5-AD5)/AD5*100)</f>
        <v>-5.8589537684983286</v>
      </c>
      <c r="AK5" s="44" t="str">
        <f>IF(D5="","",(D5-AE5)/AE5*100)</f>
        <v/>
      </c>
      <c r="AL5" s="44">
        <f t="shared" ref="AL5:AL35" si="15">IF(G5="","",(G5-AF5)/AF5*100)</f>
        <v>0.78534031413612626</v>
      </c>
      <c r="AM5" s="44" t="str">
        <f t="shared" ref="AM5:AM35" si="16">IF(M5="","",(M5-AG5)/AG5*100)</f>
        <v/>
      </c>
      <c r="AN5" s="44" t="str">
        <f t="shared" ref="AN5:AN35" si="17">IF(R5="","",(R5-AH5)/AH5*100)</f>
        <v/>
      </c>
      <c r="AU5">
        <f t="shared" ref="AU5:AU35" si="18">(1/(1/(C5*1000) - $AW$6*0.000000001))/1000*2</f>
        <v>121.8</v>
      </c>
      <c r="AW5" t="s">
        <v>77</v>
      </c>
    </row>
    <row r="6" spans="1:50" x14ac:dyDescent="0.35">
      <c r="A6" s="1">
        <v>2</v>
      </c>
      <c r="B6" s="1">
        <f t="shared" si="3"/>
        <v>3</v>
      </c>
      <c r="C6" s="1">
        <v>62.03</v>
      </c>
      <c r="G6" s="1">
        <v>6.28</v>
      </c>
      <c r="S6" s="1"/>
      <c r="T6" s="1">
        <f t="shared" si="4"/>
        <v>14</v>
      </c>
      <c r="U6" s="1">
        <f t="shared" si="5"/>
        <v>16.121231662098982</v>
      </c>
      <c r="V6" s="1">
        <f t="shared" si="6"/>
        <v>16.1812</v>
      </c>
      <c r="W6" s="1">
        <f t="shared" si="7"/>
        <v>61.800113712209225</v>
      </c>
      <c r="X6" s="1">
        <f t="shared" si="8"/>
        <v>61.800113712209225</v>
      </c>
      <c r="Y6" s="1">
        <f t="shared" si="9"/>
        <v>12.360022742441846</v>
      </c>
      <c r="Z6" s="1">
        <f t="shared" si="10"/>
        <v>10.30001895203487</v>
      </c>
      <c r="AA6" s="1">
        <f t="shared" si="11"/>
        <v>218.12</v>
      </c>
      <c r="AB6" s="1">
        <f t="shared" si="12"/>
        <v>239.19595949289334</v>
      </c>
      <c r="AC6" s="1">
        <f t="shared" si="13"/>
        <v>119.59797974644667</v>
      </c>
      <c r="AD6" s="1">
        <f t="shared" si="2"/>
        <v>65.280148423005571</v>
      </c>
      <c r="AE6" s="1">
        <f t="shared" si="14"/>
        <v>15.48</v>
      </c>
      <c r="AF6" s="1">
        <f t="shared" si="14"/>
        <v>6.1920000000000002</v>
      </c>
      <c r="AG6" s="1">
        <f t="shared" si="14"/>
        <v>0.96750000000000003</v>
      </c>
      <c r="AH6" s="1">
        <f t="shared" si="14"/>
        <v>0.48375000000000001</v>
      </c>
      <c r="AJ6" s="44">
        <f>IF(C6="","",(C6-AD6)/AD6*100)</f>
        <v>-4.9787699653271238</v>
      </c>
      <c r="AK6" s="44" t="str">
        <f>IF(D6="","",(D6-AE6)/AE6*100)</f>
        <v/>
      </c>
      <c r="AL6" s="44">
        <f t="shared" si="15"/>
        <v>1.4211886304909573</v>
      </c>
      <c r="AM6" s="44" t="str">
        <f t="shared" si="16"/>
        <v/>
      </c>
      <c r="AN6" s="44" t="str">
        <f t="shared" si="17"/>
        <v/>
      </c>
      <c r="AP6">
        <f>SQRT(0.0413)</f>
        <v>0.20322401432901577</v>
      </c>
      <c r="AQ6">
        <f>0.0084/SQRT(0.0413)</f>
        <v>4.1333697829630318E-2</v>
      </c>
      <c r="AU6">
        <f t="shared" si="18"/>
        <v>124.05999999999999</v>
      </c>
      <c r="AW6" s="51">
        <v>0</v>
      </c>
      <c r="AX6" t="s">
        <v>53</v>
      </c>
    </row>
    <row r="7" spans="1:50" x14ac:dyDescent="0.35">
      <c r="A7" s="1">
        <v>3</v>
      </c>
      <c r="B7" s="1">
        <f t="shared" si="3"/>
        <v>4</v>
      </c>
      <c r="C7" s="1">
        <v>63.53</v>
      </c>
      <c r="G7" s="1">
        <v>6.43</v>
      </c>
      <c r="S7" s="1" t="s">
        <v>96</v>
      </c>
      <c r="T7" s="1">
        <f t="shared" si="4"/>
        <v>13</v>
      </c>
      <c r="U7" s="1">
        <f t="shared" si="5"/>
        <v>15.74059499449079</v>
      </c>
      <c r="V7" s="1">
        <f t="shared" si="6"/>
        <v>15.850971428571428</v>
      </c>
      <c r="W7" s="1">
        <f t="shared" si="7"/>
        <v>63.087616081213589</v>
      </c>
      <c r="X7" s="1">
        <f t="shared" si="8"/>
        <v>63.087616081213589</v>
      </c>
      <c r="Y7" s="1">
        <f t="shared" si="9"/>
        <v>12.617523216242718</v>
      </c>
      <c r="Z7" s="1">
        <f t="shared" si="10"/>
        <v>10.514602680202264</v>
      </c>
      <c r="AA7" s="1">
        <f t="shared" si="11"/>
        <v>224.12</v>
      </c>
      <c r="AB7" s="1">
        <f t="shared" si="12"/>
        <v>231.3350236107479</v>
      </c>
      <c r="AC7" s="1">
        <f t="shared" si="13"/>
        <v>115.66751180537395</v>
      </c>
      <c r="AD7" s="1">
        <f t="shared" si="2"/>
        <v>66.033395176252313</v>
      </c>
      <c r="AE7" s="1">
        <f t="shared" si="14"/>
        <v>15.72</v>
      </c>
      <c r="AF7" s="1">
        <f t="shared" si="14"/>
        <v>6.2880000000000003</v>
      </c>
      <c r="AG7" s="1">
        <f t="shared" si="14"/>
        <v>0.98250000000000004</v>
      </c>
      <c r="AH7" s="1">
        <f t="shared" si="14"/>
        <v>0.49125000000000002</v>
      </c>
      <c r="AJ7" s="44">
        <f>IF(C7="","",(C7-AD7)/AD7*100)</f>
        <v>-3.7911047426387845</v>
      </c>
      <c r="AK7" s="44" t="str">
        <f>IF(D7="","",(D7-AE7)/AE7*100)</f>
        <v/>
      </c>
      <c r="AL7" s="44">
        <f t="shared" si="15"/>
        <v>2.2582697201017727</v>
      </c>
      <c r="AM7" s="44" t="str">
        <f t="shared" si="16"/>
        <v/>
      </c>
      <c r="AN7" s="44" t="str">
        <f t="shared" si="17"/>
        <v/>
      </c>
      <c r="AQ7">
        <f>SQRT(AQ6)</f>
        <v>0.20330690551388145</v>
      </c>
      <c r="AU7">
        <f t="shared" si="18"/>
        <v>127.06</v>
      </c>
    </row>
    <row r="8" spans="1:50" x14ac:dyDescent="0.35">
      <c r="A8" s="1">
        <v>4</v>
      </c>
      <c r="B8" s="1">
        <f t="shared" si="3"/>
        <v>5</v>
      </c>
      <c r="C8" s="1">
        <v>64.599999999999994</v>
      </c>
      <c r="G8" s="1">
        <v>6.54</v>
      </c>
      <c r="S8" s="1">
        <f>ROUND(INTERCEPT(U4:U35,T4:T35),3)</f>
        <v>11.558</v>
      </c>
      <c r="T8" s="1">
        <f t="shared" si="4"/>
        <v>12</v>
      </c>
      <c r="U8" s="1">
        <f t="shared" si="5"/>
        <v>15.479876160990715</v>
      </c>
      <c r="V8" s="1">
        <f t="shared" si="6"/>
        <v>15.520742857142858</v>
      </c>
      <c r="W8" s="1">
        <f t="shared" si="7"/>
        <v>64.429905785069195</v>
      </c>
      <c r="X8" s="1">
        <f t="shared" si="8"/>
        <v>64.429905785069195</v>
      </c>
      <c r="Y8" s="1">
        <f t="shared" si="9"/>
        <v>12.885981157013839</v>
      </c>
      <c r="Z8" s="1">
        <f t="shared" si="10"/>
        <v>10.738317630844866</v>
      </c>
      <c r="AA8" s="1">
        <f t="shared" si="11"/>
        <v>228.39999999999998</v>
      </c>
      <c r="AB8" s="1">
        <f t="shared" si="12"/>
        <v>223.6373530347249</v>
      </c>
      <c r="AC8" s="1">
        <f t="shared" si="13"/>
        <v>111.81867651736245</v>
      </c>
      <c r="AD8" s="1">
        <f t="shared" si="2"/>
        <v>66.949907235621524</v>
      </c>
      <c r="AE8" s="1">
        <f t="shared" si="14"/>
        <v>16</v>
      </c>
      <c r="AF8" s="1">
        <f t="shared" si="14"/>
        <v>6.4</v>
      </c>
      <c r="AG8" s="1">
        <f t="shared" si="14"/>
        <v>1</v>
      </c>
      <c r="AH8" s="1">
        <f t="shared" si="14"/>
        <v>0.5</v>
      </c>
      <c r="AJ8" s="44">
        <f>IF(C8="","",(C8-AD8)/AD8*100)</f>
        <v>-3.5099484564651231</v>
      </c>
      <c r="AK8" s="44" t="str">
        <f>IF(D8="","",(D8-AE8)/AE8*100)</f>
        <v/>
      </c>
      <c r="AL8" s="44">
        <f t="shared" si="15"/>
        <v>2.1874999999999951</v>
      </c>
      <c r="AM8" s="44" t="str">
        <f t="shared" si="16"/>
        <v/>
      </c>
      <c r="AN8" s="44" t="str">
        <f t="shared" si="17"/>
        <v/>
      </c>
      <c r="AU8">
        <f t="shared" si="18"/>
        <v>129.19999999999999</v>
      </c>
    </row>
    <row r="9" spans="1:50" x14ac:dyDescent="0.35">
      <c r="A9" s="1">
        <v>5</v>
      </c>
      <c r="B9" s="1">
        <f t="shared" si="3"/>
        <v>6</v>
      </c>
      <c r="C9" s="1">
        <v>66.23</v>
      </c>
      <c r="G9" s="1">
        <v>6.7</v>
      </c>
      <c r="S9" s="1" t="s">
        <v>93</v>
      </c>
      <c r="T9" s="1">
        <f t="shared" si="4"/>
        <v>11</v>
      </c>
      <c r="U9" s="1">
        <f t="shared" si="5"/>
        <v>15.098897780462027</v>
      </c>
      <c r="V9" s="1">
        <f t="shared" si="6"/>
        <v>15.190514285714286</v>
      </c>
      <c r="W9" s="1">
        <f t="shared" si="7"/>
        <v>65.830555910831578</v>
      </c>
      <c r="X9" s="1">
        <f t="shared" si="8"/>
        <v>65.830555910831578</v>
      </c>
      <c r="Y9" s="1">
        <f t="shared" si="9"/>
        <v>13.166111182166315</v>
      </c>
      <c r="Z9" s="1">
        <f t="shared" si="10"/>
        <v>10.97175931847193</v>
      </c>
      <c r="AA9" s="1">
        <f t="shared" si="11"/>
        <v>234.92000000000002</v>
      </c>
      <c r="AB9" s="1">
        <f t="shared" si="12"/>
        <v>216.10294776482436</v>
      </c>
      <c r="AC9" s="1">
        <f t="shared" si="13"/>
        <v>108.05147388241218</v>
      </c>
      <c r="AD9" s="1">
        <f t="shared" si="2"/>
        <v>68.029684601113175</v>
      </c>
      <c r="AE9" s="1">
        <f t="shared" si="14"/>
        <v>16.32</v>
      </c>
      <c r="AF9" s="1">
        <f t="shared" si="14"/>
        <v>6.5280000000000005</v>
      </c>
      <c r="AG9" s="1">
        <f t="shared" si="14"/>
        <v>1.02</v>
      </c>
      <c r="AH9" s="1">
        <f t="shared" si="14"/>
        <v>0.51</v>
      </c>
      <c r="AJ9" s="44">
        <f>IF(C9="","",(C9-AD9)/AD9*100)</f>
        <v>-2.6454401658121496</v>
      </c>
      <c r="AK9" s="44" t="str">
        <f>IF(D9="","",(D9-AE9)/AE9*100)</f>
        <v/>
      </c>
      <c r="AL9" s="44">
        <f t="shared" si="15"/>
        <v>2.634803921568623</v>
      </c>
      <c r="AM9" s="44" t="str">
        <f t="shared" si="16"/>
        <v/>
      </c>
      <c r="AN9" s="44" t="str">
        <f t="shared" si="17"/>
        <v/>
      </c>
      <c r="AP9">
        <f>(1/5)*(1/5)</f>
        <v>4.0000000000000008E-2</v>
      </c>
      <c r="AQ9">
        <f>(1/5)*(1/5)*(1/5)</f>
        <v>8.0000000000000019E-3</v>
      </c>
      <c r="AU9">
        <f t="shared" si="18"/>
        <v>132.46</v>
      </c>
    </row>
    <row r="10" spans="1:50" x14ac:dyDescent="0.35">
      <c r="A10" s="1">
        <v>6</v>
      </c>
      <c r="B10" s="1">
        <f t="shared" si="3"/>
        <v>7</v>
      </c>
      <c r="C10" s="1">
        <v>67.66</v>
      </c>
      <c r="G10" s="1">
        <v>6.85</v>
      </c>
      <c r="S10" s="1"/>
      <c r="T10" s="1">
        <f t="shared" si="4"/>
        <v>10</v>
      </c>
      <c r="U10" s="1">
        <f t="shared" si="5"/>
        <v>14.779781259237364</v>
      </c>
      <c r="V10" s="1">
        <f t="shared" si="6"/>
        <v>14.860285714285713</v>
      </c>
      <c r="W10" s="1">
        <f t="shared" si="7"/>
        <v>67.293457153294497</v>
      </c>
      <c r="X10" s="1">
        <f t="shared" si="8"/>
        <v>67.293457153294497</v>
      </c>
      <c r="Y10" s="1">
        <f t="shared" si="9"/>
        <v>13.458691430658899</v>
      </c>
      <c r="Z10" s="1">
        <f t="shared" si="10"/>
        <v>11.21557619221575</v>
      </c>
      <c r="AA10" s="1">
        <f t="shared" si="11"/>
        <v>240.64</v>
      </c>
      <c r="AB10" s="1">
        <f t="shared" si="12"/>
        <v>208.73180780104627</v>
      </c>
      <c r="AC10" s="1">
        <f t="shared" si="13"/>
        <v>104.36590390052314</v>
      </c>
      <c r="AD10" s="1">
        <f t="shared" si="2"/>
        <v>69.272727272727266</v>
      </c>
      <c r="AE10" s="1">
        <f t="shared" si="14"/>
        <v>16.68</v>
      </c>
      <c r="AF10" s="1">
        <f t="shared" si="14"/>
        <v>6.6719999999999997</v>
      </c>
      <c r="AG10" s="1">
        <f t="shared" si="14"/>
        <v>1.0425</v>
      </c>
      <c r="AH10" s="1">
        <f t="shared" si="14"/>
        <v>0.52124999999999999</v>
      </c>
      <c r="AJ10" s="44">
        <f>IF(C10="","",(C10-AD10)/AD10*100)</f>
        <v>-2.3280839895013083</v>
      </c>
      <c r="AK10" s="44" t="str">
        <f>IF(D10="","",(D10-AE10)/AE10*100)</f>
        <v/>
      </c>
      <c r="AL10" s="44">
        <f t="shared" si="15"/>
        <v>2.6678657074340517</v>
      </c>
      <c r="AM10" s="44" t="str">
        <f t="shared" si="16"/>
        <v/>
      </c>
      <c r="AN10" s="44" t="str">
        <f t="shared" si="17"/>
        <v/>
      </c>
      <c r="AU10">
        <f t="shared" si="18"/>
        <v>135.32</v>
      </c>
    </row>
    <row r="11" spans="1:50" x14ac:dyDescent="0.35">
      <c r="A11" s="1">
        <v>7</v>
      </c>
      <c r="B11" s="1">
        <f t="shared" si="3"/>
        <v>8</v>
      </c>
      <c r="C11" s="1">
        <v>69.44</v>
      </c>
      <c r="G11" s="1">
        <v>7.04</v>
      </c>
      <c r="S11" s="1"/>
      <c r="T11" s="1">
        <f t="shared" si="4"/>
        <v>9</v>
      </c>
      <c r="U11" s="1">
        <f t="shared" si="5"/>
        <v>14.400921658986176</v>
      </c>
      <c r="V11" s="1">
        <f t="shared" si="6"/>
        <v>14.530057142857142</v>
      </c>
      <c r="W11" s="1">
        <f t="shared" si="7"/>
        <v>68.822853906778477</v>
      </c>
      <c r="X11" s="1">
        <f t="shared" si="8"/>
        <v>68.822853906778477</v>
      </c>
      <c r="Y11" s="1">
        <f t="shared" si="9"/>
        <v>13.764570781355696</v>
      </c>
      <c r="Z11" s="1">
        <f t="shared" si="10"/>
        <v>11.470475651129746</v>
      </c>
      <c r="AA11" s="1">
        <f t="shared" si="11"/>
        <v>247.76</v>
      </c>
      <c r="AB11" s="1">
        <f t="shared" si="12"/>
        <v>201.52393314339059</v>
      </c>
      <c r="AC11" s="1">
        <f t="shared" si="13"/>
        <v>100.7619665716953</v>
      </c>
      <c r="AD11" s="1">
        <f t="shared" si="2"/>
        <v>70.679035250463826</v>
      </c>
      <c r="AE11" s="1">
        <f t="shared" si="14"/>
        <v>17.079999999999998</v>
      </c>
      <c r="AF11" s="1">
        <f t="shared" si="14"/>
        <v>6.831999999999999</v>
      </c>
      <c r="AG11" s="1">
        <f t="shared" si="14"/>
        <v>1.0674999999999999</v>
      </c>
      <c r="AH11" s="1">
        <f t="shared" si="14"/>
        <v>0.53374999999999995</v>
      </c>
      <c r="AJ11" s="44">
        <f>IF(C11="","",(C11-AD11)/AD11*100)</f>
        <v>-1.7530449391012275</v>
      </c>
      <c r="AK11" s="44" t="str">
        <f>IF(D11="","",(D11-AE11)/AE11*100)</f>
        <v/>
      </c>
      <c r="AL11" s="44">
        <f t="shared" si="15"/>
        <v>3.0444964871194542</v>
      </c>
      <c r="AM11" s="44" t="str">
        <f t="shared" si="16"/>
        <v/>
      </c>
      <c r="AN11" s="44" t="str">
        <f t="shared" si="17"/>
        <v/>
      </c>
      <c r="AU11">
        <f t="shared" si="18"/>
        <v>138.88</v>
      </c>
    </row>
    <row r="12" spans="1:50" x14ac:dyDescent="0.35">
      <c r="A12" s="1">
        <v>8</v>
      </c>
      <c r="B12" s="1">
        <f t="shared" si="3"/>
        <v>9</v>
      </c>
      <c r="C12" s="1">
        <v>70.42</v>
      </c>
      <c r="G12" s="1">
        <v>7.14</v>
      </c>
      <c r="S12" s="1" t="s">
        <v>95</v>
      </c>
      <c r="T12" s="1">
        <f t="shared" si="4"/>
        <v>8</v>
      </c>
      <c r="U12" s="1">
        <f t="shared" si="5"/>
        <v>14.200511218403863</v>
      </c>
      <c r="V12" s="1">
        <f t="shared" si="6"/>
        <v>14.199828571428572</v>
      </c>
      <c r="W12" s="1">
        <f t="shared" si="7"/>
        <v>70.423385392982595</v>
      </c>
      <c r="X12" s="1">
        <f t="shared" si="8"/>
        <v>70.423385392982595</v>
      </c>
      <c r="Y12" s="1">
        <f t="shared" si="9"/>
        <v>14.084677078596519</v>
      </c>
      <c r="Z12" s="36">
        <f t="shared" si="10"/>
        <v>11.737230898830433</v>
      </c>
      <c r="AA12" s="1">
        <f t="shared" si="11"/>
        <v>251.68</v>
      </c>
      <c r="AB12" s="1">
        <f t="shared" si="12"/>
        <v>194.47932379185741</v>
      </c>
      <c r="AC12" s="1">
        <f t="shared" si="13"/>
        <v>97.239661895928705</v>
      </c>
      <c r="AD12" s="1">
        <f t="shared" si="2"/>
        <v>72.248608534322827</v>
      </c>
      <c r="AE12" s="1">
        <f t="shared" si="14"/>
        <v>17.52</v>
      </c>
      <c r="AF12" s="1">
        <f t="shared" si="14"/>
        <v>7.008</v>
      </c>
      <c r="AG12" s="1">
        <f t="shared" si="14"/>
        <v>1.095</v>
      </c>
      <c r="AH12" s="1">
        <f t="shared" si="14"/>
        <v>0.54749999999999999</v>
      </c>
      <c r="AJ12" s="44">
        <f>IF(C12="","",(C12-AD12)/AD12*100)</f>
        <v>-2.5309948127985278</v>
      </c>
      <c r="AK12" s="44" t="str">
        <f>IF(D12="","",(D12-AE12)/AE12*100)</f>
        <v/>
      </c>
      <c r="AL12" s="44">
        <f t="shared" si="15"/>
        <v>1.8835616438356118</v>
      </c>
      <c r="AM12" s="44" t="str">
        <f t="shared" si="16"/>
        <v/>
      </c>
      <c r="AN12" s="44" t="str">
        <f t="shared" si="17"/>
        <v/>
      </c>
      <c r="AU12">
        <f t="shared" si="18"/>
        <v>140.84</v>
      </c>
    </row>
    <row r="13" spans="1:50" x14ac:dyDescent="0.35">
      <c r="A13" s="1">
        <v>9</v>
      </c>
      <c r="B13" s="1">
        <f t="shared" si="3"/>
        <v>10</v>
      </c>
      <c r="C13" s="1">
        <v>72.36</v>
      </c>
      <c r="G13" s="1">
        <v>7.33</v>
      </c>
      <c r="S13" s="1">
        <f>($S$8/SLOPE(U4:U35,T4:T35))</f>
        <v>35.63347211390353</v>
      </c>
      <c r="T13" s="1">
        <f t="shared" si="4"/>
        <v>7</v>
      </c>
      <c r="U13" s="1">
        <f t="shared" si="5"/>
        <v>13.819789939192924</v>
      </c>
      <c r="V13" s="1">
        <f t="shared" si="6"/>
        <v>13.8696</v>
      </c>
      <c r="W13" s="1">
        <f t="shared" si="7"/>
        <v>72.1001326642441</v>
      </c>
      <c r="X13" s="1">
        <f t="shared" si="8"/>
        <v>72.1001326642441</v>
      </c>
      <c r="Y13" s="1">
        <f t="shared" si="9"/>
        <v>14.420026532848819</v>
      </c>
      <c r="Z13" s="1">
        <f t="shared" si="10"/>
        <v>12.016688777374016</v>
      </c>
      <c r="AA13" s="1">
        <f t="shared" si="11"/>
        <v>259.44</v>
      </c>
      <c r="AB13" s="1">
        <f t="shared" si="12"/>
        <v>187.59797974644667</v>
      </c>
      <c r="AC13" s="1">
        <f t="shared" si="13"/>
        <v>93.798989873223334</v>
      </c>
      <c r="AD13" s="1">
        <f t="shared" si="2"/>
        <v>73.981447124304268</v>
      </c>
      <c r="AE13" s="1">
        <f t="shared" si="14"/>
        <v>18</v>
      </c>
      <c r="AF13" s="1">
        <f t="shared" si="14"/>
        <v>7.2</v>
      </c>
      <c r="AG13" s="1">
        <f t="shared" si="14"/>
        <v>1.125</v>
      </c>
      <c r="AH13" s="1">
        <f t="shared" si="14"/>
        <v>0.5625</v>
      </c>
      <c r="AJ13" s="44">
        <f>IF(C13="","",(C13-AD13)/AD13*100)</f>
        <v>-2.1916942521817648</v>
      </c>
      <c r="AK13" s="44" t="str">
        <f>IF(D13="","",(D13-AE13)/AE13*100)</f>
        <v/>
      </c>
      <c r="AL13" s="44">
        <f t="shared" si="15"/>
        <v>1.805555555555554</v>
      </c>
      <c r="AM13" s="44" t="str">
        <f t="shared" si="16"/>
        <v/>
      </c>
      <c r="AN13" s="44" t="str">
        <f t="shared" si="17"/>
        <v/>
      </c>
      <c r="AU13">
        <f t="shared" si="18"/>
        <v>144.72</v>
      </c>
    </row>
    <row r="14" spans="1:50" x14ac:dyDescent="0.35">
      <c r="A14" s="1">
        <v>10</v>
      </c>
      <c r="B14" s="1">
        <f t="shared" si="3"/>
        <v>11</v>
      </c>
      <c r="C14" s="1">
        <v>74.069999999999993</v>
      </c>
      <c r="G14" s="1">
        <v>7.51</v>
      </c>
      <c r="S14" s="1" t="s">
        <v>94</v>
      </c>
      <c r="T14" s="1">
        <f t="shared" si="4"/>
        <v>6</v>
      </c>
      <c r="U14" s="1">
        <f t="shared" si="5"/>
        <v>13.500742540839747</v>
      </c>
      <c r="V14" s="1">
        <f t="shared" si="6"/>
        <v>13.539371428571428</v>
      </c>
      <c r="W14" s="1">
        <f t="shared" si="7"/>
        <v>73.858672485323225</v>
      </c>
      <c r="X14" s="1">
        <f t="shared" si="8"/>
        <v>73.858672485323225</v>
      </c>
      <c r="Y14" s="1">
        <f t="shared" si="9"/>
        <v>14.771734497064646</v>
      </c>
      <c r="Z14" s="1">
        <f t="shared" si="10"/>
        <v>12.309778747553871</v>
      </c>
      <c r="AA14" s="1">
        <f t="shared" si="11"/>
        <v>266.27999999999997</v>
      </c>
      <c r="AB14" s="1">
        <f t="shared" si="12"/>
        <v>180.87990100715837</v>
      </c>
      <c r="AC14" s="1">
        <f t="shared" si="13"/>
        <v>90.439950503579183</v>
      </c>
      <c r="AD14" s="1">
        <f t="shared" si="2"/>
        <v>75.877551020408163</v>
      </c>
      <c r="AE14" s="1">
        <f t="shared" si="14"/>
        <v>18.52</v>
      </c>
      <c r="AF14" s="1">
        <f t="shared" si="14"/>
        <v>7.4079999999999995</v>
      </c>
      <c r="AG14" s="1">
        <f t="shared" si="14"/>
        <v>1.1575</v>
      </c>
      <c r="AH14" s="1">
        <f t="shared" si="14"/>
        <v>0.57874999999999999</v>
      </c>
      <c r="AJ14" s="44">
        <f>IF(C14="","",(C14-AD14)/AD14*100)</f>
        <v>-2.3821947283485829</v>
      </c>
      <c r="AK14" s="44" t="str">
        <f>IF(D14="","",(D14-AE14)/AE14*100)</f>
        <v/>
      </c>
      <c r="AL14" s="44">
        <f t="shared" si="15"/>
        <v>1.3768898488120993</v>
      </c>
      <c r="AM14" s="44" t="str">
        <f t="shared" si="16"/>
        <v/>
      </c>
      <c r="AN14" s="44" t="str">
        <f t="shared" si="17"/>
        <v/>
      </c>
      <c r="AU14">
        <f t="shared" si="18"/>
        <v>148.13999999999999</v>
      </c>
    </row>
    <row r="15" spans="1:50" x14ac:dyDescent="0.35">
      <c r="A15" s="1">
        <v>11</v>
      </c>
      <c r="B15" s="1">
        <f t="shared" si="3"/>
        <v>12</v>
      </c>
      <c r="C15" s="1">
        <v>76.22</v>
      </c>
      <c r="G15" s="1">
        <v>7.72</v>
      </c>
      <c r="S15" s="56">
        <v>35</v>
      </c>
      <c r="T15" s="1">
        <f t="shared" si="4"/>
        <v>5</v>
      </c>
      <c r="U15" s="1">
        <f t="shared" si="5"/>
        <v>13.119916032537391</v>
      </c>
      <c r="V15" s="1">
        <f t="shared" si="6"/>
        <v>13.209142857142856</v>
      </c>
      <c r="W15" s="1">
        <f t="shared" si="7"/>
        <v>75.705139297456313</v>
      </c>
      <c r="X15" s="1">
        <f t="shared" si="8"/>
        <v>75.705139297456313</v>
      </c>
      <c r="Y15" s="1">
        <f t="shared" si="9"/>
        <v>15.141027859491263</v>
      </c>
      <c r="Z15" s="1">
        <f t="shared" si="10"/>
        <v>12.617523216242718</v>
      </c>
      <c r="AA15" s="1">
        <f t="shared" si="11"/>
        <v>274.88</v>
      </c>
      <c r="AB15" s="1">
        <f t="shared" si="12"/>
        <v>174.3250875739925</v>
      </c>
      <c r="AC15" s="1">
        <f t="shared" si="13"/>
        <v>87.162543786996252</v>
      </c>
      <c r="AD15" s="1">
        <f t="shared" si="2"/>
        <v>77.936920222634512</v>
      </c>
      <c r="AE15" s="1">
        <f t="shared" si="14"/>
        <v>19.079999999999998</v>
      </c>
      <c r="AF15" s="1">
        <f t="shared" si="14"/>
        <v>7.6319999999999997</v>
      </c>
      <c r="AG15" s="1">
        <f t="shared" si="14"/>
        <v>1.1924999999999999</v>
      </c>
      <c r="AH15" s="1">
        <f t="shared" si="14"/>
        <v>0.59624999999999995</v>
      </c>
      <c r="AJ15" s="44">
        <f>IF(C15="","",(C15-AD15)/AD15*100)</f>
        <v>-2.2029613406970165</v>
      </c>
      <c r="AK15" s="44" t="str">
        <f>IF(D15="","",(D15-AE15)/AE15*100)</f>
        <v/>
      </c>
      <c r="AL15" s="44">
        <f t="shared" si="15"/>
        <v>1.1530398322851163</v>
      </c>
      <c r="AM15" s="44" t="str">
        <f t="shared" si="16"/>
        <v/>
      </c>
      <c r="AN15" s="44" t="str">
        <f t="shared" si="17"/>
        <v/>
      </c>
      <c r="AU15">
        <f t="shared" si="18"/>
        <v>152.44</v>
      </c>
    </row>
    <row r="16" spans="1:50" x14ac:dyDescent="0.35">
      <c r="A16" s="1">
        <v>12</v>
      </c>
      <c r="B16" s="1">
        <f t="shared" si="3"/>
        <v>13</v>
      </c>
      <c r="C16" s="1">
        <v>77.64</v>
      </c>
      <c r="G16" s="1">
        <v>7.86</v>
      </c>
      <c r="T16" s="1">
        <f t="shared" si="4"/>
        <v>4</v>
      </c>
      <c r="U16" s="1">
        <f t="shared" si="5"/>
        <v>12.87995878413189</v>
      </c>
      <c r="V16" s="1">
        <f t="shared" si="6"/>
        <v>12.878914285714286</v>
      </c>
      <c r="W16" s="1">
        <f t="shared" si="7"/>
        <v>77.646296715339801</v>
      </c>
      <c r="X16" s="1">
        <f t="shared" si="8"/>
        <v>77.646296715339801</v>
      </c>
      <c r="Y16" s="1">
        <f t="shared" si="9"/>
        <v>15.52925934306796</v>
      </c>
      <c r="Z16" s="1">
        <f t="shared" si="10"/>
        <v>12.941049452556634</v>
      </c>
      <c r="AA16" s="1">
        <f t="shared" si="11"/>
        <v>280.56</v>
      </c>
      <c r="AB16" s="1">
        <f t="shared" si="12"/>
        <v>167.93353944694911</v>
      </c>
      <c r="AC16" s="1">
        <f t="shared" si="13"/>
        <v>83.966769723474556</v>
      </c>
      <c r="AD16" s="1">
        <f t="shared" si="2"/>
        <v>80.159554730983302</v>
      </c>
      <c r="AE16" s="1">
        <f t="shared" si="14"/>
        <v>19.68</v>
      </c>
      <c r="AF16" s="1">
        <f t="shared" si="14"/>
        <v>7.8719999999999999</v>
      </c>
      <c r="AG16" s="1">
        <f t="shared" si="14"/>
        <v>1.23</v>
      </c>
      <c r="AH16" s="1">
        <f t="shared" si="14"/>
        <v>0.61499999999999999</v>
      </c>
      <c r="AJ16" s="44">
        <f>IF(C16="","",(C16-AD16)/AD16*100)</f>
        <v>-3.1431745590890148</v>
      </c>
      <c r="AK16" s="44" t="str">
        <f>IF(D16="","",(D16-AE16)/AE16*100)</f>
        <v/>
      </c>
      <c r="AL16" s="44">
        <f t="shared" si="15"/>
        <v>-0.1524390243902384</v>
      </c>
      <c r="AM16" s="44" t="str">
        <f t="shared" si="16"/>
        <v/>
      </c>
      <c r="AN16" s="44" t="str">
        <f t="shared" si="17"/>
        <v/>
      </c>
      <c r="AU16">
        <f t="shared" si="18"/>
        <v>155.28</v>
      </c>
    </row>
    <row r="17" spans="1:48" x14ac:dyDescent="0.35">
      <c r="A17" s="1">
        <v>13</v>
      </c>
      <c r="B17" s="1">
        <f t="shared" si="3"/>
        <v>14</v>
      </c>
      <c r="C17" s="1">
        <v>80</v>
      </c>
      <c r="G17" s="1">
        <v>8.1199999999999992</v>
      </c>
      <c r="Q17" s="1">
        <f>SQRT(2*3.14159)</f>
        <v>2.5066272160016134</v>
      </c>
      <c r="T17" s="1">
        <f t="shared" si="4"/>
        <v>3</v>
      </c>
      <c r="U17" s="1">
        <f t="shared" si="5"/>
        <v>12.5</v>
      </c>
      <c r="V17" s="1">
        <f t="shared" si="6"/>
        <v>12.548685714285714</v>
      </c>
      <c r="W17" s="1">
        <f t="shared" si="7"/>
        <v>79.689620313111902</v>
      </c>
      <c r="X17" s="1">
        <f t="shared" si="8"/>
        <v>79.689620313111902</v>
      </c>
      <c r="Y17" s="1">
        <f t="shared" si="9"/>
        <v>15.937924062622381</v>
      </c>
      <c r="Z17" s="1">
        <f t="shared" si="10"/>
        <v>13.28160338551865</v>
      </c>
      <c r="AA17" s="1">
        <f t="shared" si="11"/>
        <v>290</v>
      </c>
      <c r="AB17" s="1">
        <f t="shared" si="12"/>
        <v>161.70525662602816</v>
      </c>
      <c r="AC17" s="1">
        <f t="shared" si="13"/>
        <v>80.85262831301408</v>
      </c>
      <c r="AD17" s="1">
        <f t="shared" si="2"/>
        <v>82.545454545454547</v>
      </c>
      <c r="AE17" s="1">
        <f t="shared" si="14"/>
        <v>20.32</v>
      </c>
      <c r="AF17" s="1">
        <f t="shared" si="14"/>
        <v>8.1280000000000001</v>
      </c>
      <c r="AG17" s="1">
        <f t="shared" si="14"/>
        <v>1.27</v>
      </c>
      <c r="AH17" s="1">
        <f t="shared" si="14"/>
        <v>0.63500000000000001</v>
      </c>
      <c r="AJ17" s="44">
        <f>IF(C17="","",(C17-AD17)/AD17*100)</f>
        <v>-3.0837004405286357</v>
      </c>
      <c r="AK17" s="44" t="str">
        <f>IF(D17="","",(D17-AE17)/AE17*100)</f>
        <v/>
      </c>
      <c r="AL17" s="44">
        <f t="shared" si="15"/>
        <v>-9.8425196850404711E-2</v>
      </c>
      <c r="AM17" s="44" t="str">
        <f t="shared" si="16"/>
        <v/>
      </c>
      <c r="AN17" s="44" t="str">
        <f t="shared" si="17"/>
        <v/>
      </c>
      <c r="AU17">
        <f t="shared" si="18"/>
        <v>160</v>
      </c>
    </row>
    <row r="18" spans="1:48" x14ac:dyDescent="0.35">
      <c r="A18" s="1">
        <v>14</v>
      </c>
      <c r="B18" s="1">
        <f t="shared" si="3"/>
        <v>15</v>
      </c>
      <c r="C18" s="1">
        <v>82.1</v>
      </c>
      <c r="G18" s="1">
        <v>8.33</v>
      </c>
      <c r="Q18" s="1">
        <f>1/Q17</f>
        <v>0.39894244888760372</v>
      </c>
      <c r="R18" s="48"/>
      <c r="T18" s="1">
        <f t="shared" si="4"/>
        <v>2</v>
      </c>
      <c r="U18" s="1">
        <f t="shared" si="5"/>
        <v>12.180267965895249</v>
      </c>
      <c r="V18" s="1">
        <f t="shared" si="6"/>
        <v>12.218457142857142</v>
      </c>
      <c r="W18" s="1">
        <f t="shared" si="7"/>
        <v>81.843393835087895</v>
      </c>
      <c r="X18" s="1">
        <f t="shared" si="8"/>
        <v>81.843393835087895</v>
      </c>
      <c r="Y18" s="1">
        <f t="shared" si="9"/>
        <v>16.368678767017578</v>
      </c>
      <c r="Z18" s="1">
        <f t="shared" si="10"/>
        <v>13.640565639181316</v>
      </c>
      <c r="AA18" s="1">
        <f t="shared" si="11"/>
        <v>298.39999999999998</v>
      </c>
      <c r="AB18" s="1">
        <f t="shared" si="12"/>
        <v>155.64023911122965</v>
      </c>
      <c r="AC18" s="1">
        <f t="shared" si="13"/>
        <v>77.820119555614824</v>
      </c>
      <c r="AD18" s="1">
        <f t="shared" si="2"/>
        <v>85.094619666048231</v>
      </c>
      <c r="AE18" s="1">
        <f t="shared" si="14"/>
        <v>21</v>
      </c>
      <c r="AF18" s="1">
        <f t="shared" si="14"/>
        <v>8.4</v>
      </c>
      <c r="AG18" s="1">
        <f t="shared" si="14"/>
        <v>1.3125</v>
      </c>
      <c r="AH18" s="1">
        <f t="shared" si="14"/>
        <v>0.65625</v>
      </c>
      <c r="AJ18" s="44">
        <f>IF(C18="","",(C18-AD18)/AD18*100)</f>
        <v>-3.5191645227401556</v>
      </c>
      <c r="AK18" s="44" t="str">
        <f>IF(D18="","",(D18-AE18)/AE18*100)</f>
        <v/>
      </c>
      <c r="AL18" s="44">
        <f t="shared" si="15"/>
        <v>-0.83333333333333659</v>
      </c>
      <c r="AM18" s="44" t="str">
        <f t="shared" si="16"/>
        <v/>
      </c>
      <c r="AN18" s="44" t="str">
        <f t="shared" si="17"/>
        <v/>
      </c>
      <c r="AU18">
        <f t="shared" si="18"/>
        <v>164.2</v>
      </c>
    </row>
    <row r="19" spans="1:48" ht="15" thickBot="1" x14ac:dyDescent="0.4">
      <c r="A19" s="1">
        <v>15</v>
      </c>
      <c r="B19" s="1">
        <f t="shared" si="3"/>
        <v>16</v>
      </c>
      <c r="C19" s="1">
        <v>84.89</v>
      </c>
      <c r="G19" s="1">
        <v>8.59</v>
      </c>
      <c r="T19" s="1">
        <f t="shared" si="4"/>
        <v>1</v>
      </c>
      <c r="U19" s="1">
        <f t="shared" si="5"/>
        <v>11.779950524207798</v>
      </c>
      <c r="V19" s="1">
        <f t="shared" si="6"/>
        <v>11.88822857142857</v>
      </c>
      <c r="W19" s="1">
        <f t="shared" si="7"/>
        <v>84.116821441618114</v>
      </c>
      <c r="X19" s="1">
        <f t="shared" si="8"/>
        <v>84.116821441618114</v>
      </c>
      <c r="Y19" s="1">
        <f t="shared" si="9"/>
        <v>16.823364288323624</v>
      </c>
      <c r="Z19" s="1">
        <f t="shared" si="10"/>
        <v>14.019470240269685</v>
      </c>
      <c r="AA19" s="1">
        <f t="shared" si="11"/>
        <v>309.56</v>
      </c>
      <c r="AB19" s="1">
        <f t="shared" si="12"/>
        <v>149.7384869025536</v>
      </c>
      <c r="AC19" s="1">
        <f t="shared" si="13"/>
        <v>74.869243451276802</v>
      </c>
      <c r="AD19" s="1">
        <f t="shared" si="2"/>
        <v>87.807050092764371</v>
      </c>
      <c r="AE19" s="1">
        <f t="shared" si="14"/>
        <v>21.72</v>
      </c>
      <c r="AF19" s="1">
        <f t="shared" si="14"/>
        <v>8.6879999999999988</v>
      </c>
      <c r="AG19" s="1">
        <f t="shared" si="14"/>
        <v>1.3574999999999999</v>
      </c>
      <c r="AH19" s="1">
        <f t="shared" si="14"/>
        <v>0.67874999999999996</v>
      </c>
      <c r="AJ19" s="44">
        <f>IF(C19="","",(C19-AD19)/AD19*100)</f>
        <v>-3.3221137592968129</v>
      </c>
      <c r="AK19" s="44" t="str">
        <f>IF(D19="","",(D19-AE19)/AE19*100)</f>
        <v/>
      </c>
      <c r="AL19" s="44">
        <f t="shared" si="15"/>
        <v>-1.1279926335174839</v>
      </c>
      <c r="AM19" s="44" t="str">
        <f t="shared" si="16"/>
        <v/>
      </c>
      <c r="AN19" s="44" t="str">
        <f t="shared" si="17"/>
        <v/>
      </c>
      <c r="AU19">
        <f t="shared" si="18"/>
        <v>169.78</v>
      </c>
    </row>
    <row r="20" spans="1:48" ht="15.5" thickTop="1" thickBot="1" x14ac:dyDescent="0.4">
      <c r="A20" s="17">
        <v>16</v>
      </c>
      <c r="B20" s="1">
        <f t="shared" si="3"/>
        <v>17</v>
      </c>
      <c r="C20" s="1">
        <v>85.76</v>
      </c>
      <c r="D20" s="1">
        <v>21.69</v>
      </c>
      <c r="E20" s="2">
        <v>14.49</v>
      </c>
      <c r="F20" s="1">
        <v>10.87</v>
      </c>
      <c r="G20" s="1">
        <v>8.7100000000000009</v>
      </c>
      <c r="J20" s="1">
        <v>1.56</v>
      </c>
      <c r="K20" s="1">
        <v>1.5</v>
      </c>
      <c r="M20" s="1">
        <v>1.36</v>
      </c>
      <c r="N20" s="1">
        <v>0.72560000000000002</v>
      </c>
      <c r="O20" s="1">
        <v>0.71419999999999995</v>
      </c>
      <c r="P20" s="1">
        <v>0.70220000000000005</v>
      </c>
      <c r="S20" s="13" t="s">
        <v>78</v>
      </c>
      <c r="T20" s="1">
        <f t="shared" si="4"/>
        <v>0</v>
      </c>
      <c r="U20" s="1">
        <f t="shared" si="5"/>
        <v>11.66044776119403</v>
      </c>
      <c r="V20" s="1">
        <f t="shared" si="6"/>
        <v>11.558</v>
      </c>
      <c r="W20" s="36">
        <f t="shared" si="7"/>
        <v>86.520159197092923</v>
      </c>
      <c r="X20" s="8">
        <f t="shared" si="8"/>
        <v>86.520159197092923</v>
      </c>
      <c r="Y20" s="58">
        <f t="shared" si="9"/>
        <v>17.304031839418585</v>
      </c>
      <c r="Z20" s="57">
        <f t="shared" si="10"/>
        <v>14.420026532848821</v>
      </c>
      <c r="AA20" s="1">
        <f t="shared" si="11"/>
        <v>313.04000000000002</v>
      </c>
      <c r="AB20" s="1">
        <f t="shared" si="12"/>
        <v>144</v>
      </c>
      <c r="AC20" s="1">
        <f t="shared" si="13"/>
        <v>72</v>
      </c>
      <c r="AD20" s="1">
        <f t="shared" si="2"/>
        <v>90.682745825602964</v>
      </c>
      <c r="AE20" s="1">
        <f t="shared" si="14"/>
        <v>22.48</v>
      </c>
      <c r="AF20" s="1">
        <f t="shared" si="14"/>
        <v>8.9920000000000009</v>
      </c>
      <c r="AG20" s="1">
        <f t="shared" si="14"/>
        <v>1.405</v>
      </c>
      <c r="AH20" s="1">
        <f t="shared" si="14"/>
        <v>0.70250000000000001</v>
      </c>
      <c r="AJ20" s="44">
        <f>IF(C20="","",(C20-AD20)/AD20*100)</f>
        <v>-5.4285363558246962</v>
      </c>
      <c r="AK20" s="44">
        <f>IF(D20="","",(D20-AE20)/AE20*100)</f>
        <v>-3.5142348754448363</v>
      </c>
      <c r="AL20" s="44">
        <f t="shared" si="15"/>
        <v>-3.1361209964412815</v>
      </c>
      <c r="AM20" s="44">
        <f t="shared" si="16"/>
        <v>-3.2028469750889625</v>
      </c>
      <c r="AN20" s="44" t="str">
        <f t="shared" si="17"/>
        <v/>
      </c>
      <c r="AT20" s="14" t="s">
        <v>78</v>
      </c>
      <c r="AU20">
        <f t="shared" si="18"/>
        <v>171.52</v>
      </c>
      <c r="AV20">
        <f>AU20/5</f>
        <v>34.304000000000002</v>
      </c>
    </row>
    <row r="21" spans="1:48" ht="15" thickTop="1" x14ac:dyDescent="0.35">
      <c r="A21" s="1">
        <v>17</v>
      </c>
      <c r="B21" s="1">
        <f t="shared" si="3"/>
        <v>18</v>
      </c>
      <c r="C21" s="1">
        <v>88.65</v>
      </c>
      <c r="G21" s="1">
        <v>9.0299999999999994</v>
      </c>
      <c r="T21" s="1">
        <f t="shared" si="4"/>
        <v>-1</v>
      </c>
      <c r="U21" s="1">
        <f t="shared" si="5"/>
        <v>11.280315848843768</v>
      </c>
      <c r="V21" s="1">
        <f t="shared" si="6"/>
        <v>11.227771428571428</v>
      </c>
      <c r="W21" s="1">
        <f t="shared" si="7"/>
        <v>89.064869761713311</v>
      </c>
      <c r="X21" s="1">
        <f t="shared" si="8"/>
        <v>89.064869761713311</v>
      </c>
      <c r="Y21" s="1">
        <f t="shared" si="9"/>
        <v>17.812973952342663</v>
      </c>
      <c r="Z21" s="1">
        <f t="shared" si="10"/>
        <v>14.844144960285552</v>
      </c>
      <c r="AA21" s="1">
        <f t="shared" si="11"/>
        <v>324.60000000000002</v>
      </c>
      <c r="AB21" s="1">
        <f t="shared" si="12"/>
        <v>138.42477840356884</v>
      </c>
      <c r="AC21" s="1">
        <f t="shared" si="13"/>
        <v>69.212389201784418</v>
      </c>
      <c r="AD21" s="1">
        <f t="shared" si="2"/>
        <v>93.721706864564013</v>
      </c>
      <c r="AE21" s="1">
        <f t="shared" si="14"/>
        <v>23.28</v>
      </c>
      <c r="AF21" s="1">
        <f t="shared" si="14"/>
        <v>9.3120000000000012</v>
      </c>
      <c r="AG21" s="1">
        <f t="shared" si="14"/>
        <v>1.4550000000000001</v>
      </c>
      <c r="AH21" s="1">
        <f t="shared" si="14"/>
        <v>0.72750000000000004</v>
      </c>
      <c r="AJ21" s="44">
        <f>IF(C21="","",(C21-AD21)/AD21*100)</f>
        <v>-5.4114537968168497</v>
      </c>
      <c r="AK21" s="44" t="str">
        <f>IF(D21="","",(D21-AE21)/AE21*100)</f>
        <v/>
      </c>
      <c r="AL21" s="44">
        <f t="shared" si="15"/>
        <v>-3.0283505154639365</v>
      </c>
      <c r="AM21" s="44" t="str">
        <f t="shared" si="16"/>
        <v/>
      </c>
      <c r="AN21" s="44" t="str">
        <f t="shared" si="17"/>
        <v/>
      </c>
      <c r="AU21">
        <f t="shared" si="18"/>
        <v>177.3</v>
      </c>
    </row>
    <row r="22" spans="1:48" x14ac:dyDescent="0.35">
      <c r="A22" s="1">
        <v>18</v>
      </c>
      <c r="B22" s="1">
        <f t="shared" si="3"/>
        <v>19</v>
      </c>
      <c r="C22" s="1">
        <v>91.24</v>
      </c>
      <c r="G22" s="1">
        <v>9.2899999999999991</v>
      </c>
      <c r="T22" s="1">
        <f t="shared" si="4"/>
        <v>-2</v>
      </c>
      <c r="U22" s="1">
        <f t="shared" si="5"/>
        <v>10.960105217010083</v>
      </c>
      <c r="V22" s="1">
        <f t="shared" si="6"/>
        <v>10.897542857142858</v>
      </c>
      <c r="W22" s="1">
        <f t="shared" si="7"/>
        <v>91.763805209037926</v>
      </c>
      <c r="X22" s="1">
        <f t="shared" si="8"/>
        <v>91.763805209037926</v>
      </c>
      <c r="Y22" s="1">
        <f t="shared" si="9"/>
        <v>18.352761041807586</v>
      </c>
      <c r="Z22" s="1">
        <f t="shared" si="10"/>
        <v>15.293967534839654</v>
      </c>
      <c r="AA22" s="1">
        <f t="shared" si="11"/>
        <v>334.96</v>
      </c>
      <c r="AB22" s="1">
        <f t="shared" si="12"/>
        <v>133.01282211326014</v>
      </c>
      <c r="AC22" s="1">
        <f t="shared" si="13"/>
        <v>66.506411056630071</v>
      </c>
      <c r="AD22" s="1">
        <f t="shared" si="2"/>
        <v>96.923933209647501</v>
      </c>
      <c r="AE22" s="1">
        <f t="shared" si="14"/>
        <v>24.119999999999997</v>
      </c>
      <c r="AF22" s="1">
        <f t="shared" si="14"/>
        <v>9.6479999999999997</v>
      </c>
      <c r="AG22" s="1">
        <f t="shared" si="14"/>
        <v>1.5074999999999998</v>
      </c>
      <c r="AH22" s="1">
        <f t="shared" si="14"/>
        <v>0.75374999999999992</v>
      </c>
      <c r="AJ22" s="44">
        <f>IF(C22="","",(C22-AD22)/AD22*100)</f>
        <v>-5.8643237242065887</v>
      </c>
      <c r="AK22" s="44" t="str">
        <f>IF(D22="","",(D22-AE22)/AE22*100)</f>
        <v/>
      </c>
      <c r="AL22" s="44">
        <f t="shared" si="15"/>
        <v>-3.710613598673306</v>
      </c>
      <c r="AM22" s="44" t="str">
        <f t="shared" si="16"/>
        <v/>
      </c>
      <c r="AN22" s="44" t="str">
        <f t="shared" si="17"/>
        <v/>
      </c>
      <c r="AU22">
        <f t="shared" si="18"/>
        <v>182.48</v>
      </c>
    </row>
    <row r="23" spans="1:48" x14ac:dyDescent="0.35">
      <c r="A23" s="1">
        <v>19</v>
      </c>
      <c r="B23" s="1">
        <f t="shared" si="3"/>
        <v>20</v>
      </c>
      <c r="C23" s="1">
        <v>94.52</v>
      </c>
      <c r="G23" s="1">
        <v>9.6199999999999992</v>
      </c>
      <c r="T23" s="1">
        <f t="shared" si="4"/>
        <v>-3</v>
      </c>
      <c r="U23" s="1">
        <f t="shared" si="5"/>
        <v>10.579771476936099</v>
      </c>
      <c r="V23" s="1">
        <f t="shared" si="6"/>
        <v>10.567314285714286</v>
      </c>
      <c r="W23" s="1">
        <f t="shared" si="7"/>
        <v>94.631424121820373</v>
      </c>
      <c r="X23" s="1">
        <f t="shared" si="8"/>
        <v>94.631424121820373</v>
      </c>
      <c r="Y23" s="1">
        <f t="shared" si="9"/>
        <v>18.926284824364075</v>
      </c>
      <c r="Z23" s="1">
        <f t="shared" si="10"/>
        <v>15.771904020303396</v>
      </c>
      <c r="AA23" s="1">
        <f t="shared" si="11"/>
        <v>348.08</v>
      </c>
      <c r="AB23" s="1">
        <f t="shared" si="12"/>
        <v>127.76413112907387</v>
      </c>
      <c r="AC23" s="1">
        <f t="shared" si="13"/>
        <v>63.882065564536937</v>
      </c>
      <c r="AD23" s="1">
        <f t="shared" si="2"/>
        <v>100.28942486085344</v>
      </c>
      <c r="AE23" s="1">
        <f t="shared" si="14"/>
        <v>25</v>
      </c>
      <c r="AF23" s="1">
        <f t="shared" si="14"/>
        <v>10</v>
      </c>
      <c r="AG23" s="1">
        <f t="shared" si="14"/>
        <v>1.5625</v>
      </c>
      <c r="AH23" s="1">
        <f t="shared" si="14"/>
        <v>0.78125</v>
      </c>
      <c r="AJ23" s="44">
        <f>IF(C23="","",(C23-AD23)/AD23*100)</f>
        <v>-5.7527749001036108</v>
      </c>
      <c r="AK23" s="44" t="str">
        <f>IF(D23="","",(D23-AE23)/AE23*100)</f>
        <v/>
      </c>
      <c r="AL23" s="44">
        <f t="shared" si="15"/>
        <v>-3.8000000000000074</v>
      </c>
      <c r="AM23" s="44" t="str">
        <f t="shared" si="16"/>
        <v/>
      </c>
      <c r="AN23" s="44" t="str">
        <f t="shared" si="17"/>
        <v/>
      </c>
      <c r="AU23">
        <f t="shared" si="18"/>
        <v>189.04</v>
      </c>
    </row>
    <row r="24" spans="1:48" x14ac:dyDescent="0.35">
      <c r="A24" s="1">
        <v>20</v>
      </c>
      <c r="B24" s="1">
        <f t="shared" si="3"/>
        <v>21</v>
      </c>
      <c r="C24" s="1">
        <v>96.9</v>
      </c>
      <c r="G24" s="1">
        <v>9.84</v>
      </c>
      <c r="T24" s="1">
        <f t="shared" si="4"/>
        <v>-4</v>
      </c>
      <c r="U24" s="1">
        <f t="shared" si="5"/>
        <v>10.319917440660474</v>
      </c>
      <c r="V24" s="1">
        <f t="shared" si="6"/>
        <v>10.237085714285714</v>
      </c>
      <c r="W24" s="1">
        <f t="shared" si="7"/>
        <v>97.68405070639524</v>
      </c>
      <c r="X24" s="1">
        <f t="shared" si="8"/>
        <v>97.68405070639524</v>
      </c>
      <c r="Y24" s="1">
        <f t="shared" si="9"/>
        <v>19.536810141279048</v>
      </c>
      <c r="Z24" s="1">
        <f t="shared" si="10"/>
        <v>16.280675117732539</v>
      </c>
      <c r="AA24" s="1">
        <f t="shared" si="11"/>
        <v>357.6</v>
      </c>
      <c r="AB24" s="1">
        <f t="shared" si="12"/>
        <v>122.67870545101007</v>
      </c>
      <c r="AC24" s="1">
        <f t="shared" si="13"/>
        <v>61.339352725505037</v>
      </c>
      <c r="AD24" s="1">
        <f t="shared" si="2"/>
        <v>103.81818181818181</v>
      </c>
      <c r="AE24" s="1">
        <f t="shared" si="14"/>
        <v>25.92</v>
      </c>
      <c r="AF24" s="1">
        <f t="shared" si="14"/>
        <v>10.368</v>
      </c>
      <c r="AG24" s="1">
        <f t="shared" si="14"/>
        <v>1.62</v>
      </c>
      <c r="AH24" s="1">
        <f t="shared" si="14"/>
        <v>0.81</v>
      </c>
      <c r="AJ24" s="44">
        <f>IF(C24="","",(C24-AD24)/AD24*100)</f>
        <v>-6.6637478108581334</v>
      </c>
      <c r="AK24" s="44" t="str">
        <f>IF(D24="","",(D24-AE24)/AE24*100)</f>
        <v/>
      </c>
      <c r="AL24" s="44">
        <f t="shared" si="15"/>
        <v>-5.092592592592597</v>
      </c>
      <c r="AM24" s="44" t="str">
        <f t="shared" si="16"/>
        <v/>
      </c>
      <c r="AN24" s="44" t="str">
        <f t="shared" si="17"/>
        <v/>
      </c>
      <c r="AU24">
        <f t="shared" si="18"/>
        <v>193.8</v>
      </c>
    </row>
    <row r="25" spans="1:48" x14ac:dyDescent="0.35">
      <c r="A25" s="1">
        <v>21</v>
      </c>
      <c r="B25" s="1">
        <f t="shared" si="3"/>
        <v>22</v>
      </c>
      <c r="C25" s="1">
        <v>100.6</v>
      </c>
      <c r="G25" s="1">
        <v>10.25</v>
      </c>
      <c r="T25" s="1">
        <f t="shared" si="4"/>
        <v>-5</v>
      </c>
      <c r="U25" s="1">
        <f t="shared" si="5"/>
        <v>9.9403578528827037</v>
      </c>
      <c r="V25" s="1">
        <f t="shared" si="6"/>
        <v>9.9068571428571435</v>
      </c>
      <c r="W25" s="1">
        <f t="shared" si="7"/>
        <v>100.94018572994175</v>
      </c>
      <c r="X25" s="1">
        <f t="shared" si="8"/>
        <v>100.94018572994175</v>
      </c>
      <c r="Y25" s="1">
        <f t="shared" si="9"/>
        <v>20.18803714598835</v>
      </c>
      <c r="Z25" s="1">
        <f t="shared" si="10"/>
        <v>16.823364288323624</v>
      </c>
      <c r="AA25" s="1">
        <f t="shared" si="11"/>
        <v>372.4</v>
      </c>
      <c r="AB25" s="1">
        <f t="shared" si="12"/>
        <v>117.75654507906872</v>
      </c>
      <c r="AC25" s="1">
        <f t="shared" si="13"/>
        <v>58.878272539534358</v>
      </c>
      <c r="AD25" s="1">
        <f t="shared" si="2"/>
        <v>107.51020408163265</v>
      </c>
      <c r="AE25" s="1">
        <f t="shared" si="14"/>
        <v>26.880000000000003</v>
      </c>
      <c r="AF25" s="1">
        <f t="shared" si="14"/>
        <v>10.752000000000001</v>
      </c>
      <c r="AG25" s="1">
        <f t="shared" si="14"/>
        <v>1.6800000000000002</v>
      </c>
      <c r="AH25" s="1">
        <f t="shared" si="14"/>
        <v>0.84000000000000008</v>
      </c>
      <c r="AJ25" s="44">
        <f>IF(C25="","",(C25-AD25)/AD25*100)</f>
        <v>-6.4274867122247556</v>
      </c>
      <c r="AK25" s="44" t="str">
        <f>IF(D25="","",(D25-AE25)/AE25*100)</f>
        <v/>
      </c>
      <c r="AL25" s="44">
        <f t="shared" si="15"/>
        <v>-4.6688988095238155</v>
      </c>
      <c r="AM25" s="44" t="str">
        <f t="shared" si="16"/>
        <v/>
      </c>
      <c r="AN25" s="44" t="str">
        <f t="shared" si="17"/>
        <v/>
      </c>
      <c r="AU25">
        <f t="shared" si="18"/>
        <v>201.2</v>
      </c>
    </row>
    <row r="26" spans="1:48" x14ac:dyDescent="0.35">
      <c r="A26" s="1">
        <v>22</v>
      </c>
      <c r="B26" s="1">
        <f t="shared" si="3"/>
        <v>23</v>
      </c>
      <c r="C26" s="1">
        <v>103.9</v>
      </c>
      <c r="G26" s="1">
        <v>10.59</v>
      </c>
      <c r="T26" s="1">
        <f t="shared" si="4"/>
        <v>-6</v>
      </c>
      <c r="U26" s="1">
        <f t="shared" si="5"/>
        <v>9.6246390760346472</v>
      </c>
      <c r="V26" s="1">
        <f t="shared" si="6"/>
        <v>9.5766285714285715</v>
      </c>
      <c r="W26" s="1">
        <f t="shared" si="7"/>
        <v>104.4208817895949</v>
      </c>
      <c r="X26" s="1">
        <f t="shared" si="8"/>
        <v>104.4208817895949</v>
      </c>
      <c r="Y26" s="1">
        <f t="shared" si="9"/>
        <v>20.884176357918982</v>
      </c>
      <c r="Z26" s="1">
        <f t="shared" si="10"/>
        <v>17.403480298265816</v>
      </c>
      <c r="AA26" s="1">
        <f t="shared" si="11"/>
        <v>385.6</v>
      </c>
      <c r="AB26" s="1">
        <f t="shared" si="12"/>
        <v>112.9976500132498</v>
      </c>
      <c r="AC26" s="1">
        <f t="shared" si="13"/>
        <v>56.498825006624898</v>
      </c>
      <c r="AD26" s="1">
        <f t="shared" si="2"/>
        <v>111.36549165120593</v>
      </c>
      <c r="AE26" s="1">
        <f t="shared" si="14"/>
        <v>27.88</v>
      </c>
      <c r="AF26" s="1">
        <f t="shared" si="14"/>
        <v>11.151999999999999</v>
      </c>
      <c r="AG26" s="1">
        <f t="shared" si="14"/>
        <v>1.7424999999999999</v>
      </c>
      <c r="AH26" s="1">
        <f t="shared" si="14"/>
        <v>0.87124999999999997</v>
      </c>
      <c r="AJ26" s="44">
        <f>IF(C26="","",(C26-AD26)/AD26*100)</f>
        <v>-6.7035951087861809</v>
      </c>
      <c r="AK26" s="44" t="str">
        <f>IF(D26="","",(D26-AE26)/AE26*100)</f>
        <v/>
      </c>
      <c r="AL26" s="44">
        <f t="shared" si="15"/>
        <v>-5.0394548063127642</v>
      </c>
      <c r="AM26" s="44" t="str">
        <f t="shared" si="16"/>
        <v/>
      </c>
      <c r="AN26" s="44" t="str">
        <f t="shared" si="17"/>
        <v/>
      </c>
      <c r="AU26">
        <f t="shared" si="18"/>
        <v>207.8</v>
      </c>
    </row>
    <row r="27" spans="1:48" x14ac:dyDescent="0.35">
      <c r="A27" s="1">
        <v>23</v>
      </c>
      <c r="B27" s="1">
        <f t="shared" si="3"/>
        <v>24</v>
      </c>
      <c r="C27" s="1">
        <v>108.2</v>
      </c>
      <c r="G27" s="1">
        <v>11.06</v>
      </c>
      <c r="T27" s="1">
        <f t="shared" si="4"/>
        <v>-7</v>
      </c>
      <c r="U27" s="1">
        <f t="shared" si="5"/>
        <v>9.2421441774491679</v>
      </c>
      <c r="V27" s="1">
        <f t="shared" si="6"/>
        <v>9.2463999999999995</v>
      </c>
      <c r="W27" s="1">
        <f t="shared" si="7"/>
        <v>108.15019899636614</v>
      </c>
      <c r="X27" s="1">
        <f t="shared" si="8"/>
        <v>108.15019899636614</v>
      </c>
      <c r="Y27" s="1">
        <f t="shared" si="9"/>
        <v>21.630039799273227</v>
      </c>
      <c r="Z27" s="1">
        <f t="shared" si="10"/>
        <v>18.025033166061025</v>
      </c>
      <c r="AA27" s="1">
        <f t="shared" si="11"/>
        <v>402.8</v>
      </c>
      <c r="AB27" s="1">
        <f t="shared" si="12"/>
        <v>108.40202025355333</v>
      </c>
      <c r="AC27" s="1">
        <f t="shared" si="13"/>
        <v>54.201010126776666</v>
      </c>
      <c r="AD27" s="1">
        <f t="shared" si="2"/>
        <v>115.38404452690168</v>
      </c>
      <c r="AE27" s="1">
        <f t="shared" si="14"/>
        <v>28.92</v>
      </c>
      <c r="AF27" s="1">
        <f t="shared" si="14"/>
        <v>11.568000000000001</v>
      </c>
      <c r="AG27" s="1">
        <f t="shared" si="14"/>
        <v>1.8075000000000001</v>
      </c>
      <c r="AH27" s="1">
        <f t="shared" si="14"/>
        <v>0.90375000000000005</v>
      </c>
      <c r="AJ27" s="44">
        <f>IF(C27="","",(C27-AD27)/AD27*100)</f>
        <v>-6.2262027270388494</v>
      </c>
      <c r="AK27" s="44" t="str">
        <f>IF(D27="","",(D27-AE27)/AE27*100)</f>
        <v/>
      </c>
      <c r="AL27" s="44">
        <f t="shared" si="15"/>
        <v>-4.3914246196403948</v>
      </c>
      <c r="AM27" s="44" t="str">
        <f t="shared" si="16"/>
        <v/>
      </c>
      <c r="AN27" s="44" t="str">
        <f t="shared" si="17"/>
        <v/>
      </c>
      <c r="AU27">
        <f t="shared" si="18"/>
        <v>216.4</v>
      </c>
    </row>
    <row r="28" spans="1:48" x14ac:dyDescent="0.35">
      <c r="A28" s="1">
        <v>24</v>
      </c>
      <c r="B28" s="1">
        <f t="shared" si="3"/>
        <v>25</v>
      </c>
      <c r="C28" s="1">
        <v>110.6</v>
      </c>
      <c r="G28" s="1">
        <v>11.26</v>
      </c>
      <c r="T28" s="1">
        <f t="shared" si="4"/>
        <v>-8</v>
      </c>
      <c r="U28" s="1">
        <f t="shared" si="5"/>
        <v>9.0415913200723335</v>
      </c>
      <c r="V28" s="1">
        <f t="shared" si="6"/>
        <v>8.9161714285714293</v>
      </c>
      <c r="W28" s="1">
        <f t="shared" si="7"/>
        <v>112.15576192215748</v>
      </c>
      <c r="X28" s="1">
        <f t="shared" si="8"/>
        <v>112.15576192215748</v>
      </c>
      <c r="Y28" s="1">
        <f t="shared" si="9"/>
        <v>22.431152384431496</v>
      </c>
      <c r="Z28" s="1">
        <f t="shared" si="10"/>
        <v>18.692626987026248</v>
      </c>
      <c r="AA28" s="1">
        <f t="shared" si="11"/>
        <v>412.4</v>
      </c>
      <c r="AB28" s="1">
        <f t="shared" si="12"/>
        <v>103.96965579997932</v>
      </c>
      <c r="AC28" s="1">
        <f t="shared" si="13"/>
        <v>51.984827899989661</v>
      </c>
      <c r="AD28" s="1">
        <f t="shared" si="2"/>
        <v>119.56586270871986</v>
      </c>
      <c r="AE28" s="1">
        <f t="shared" si="14"/>
        <v>30</v>
      </c>
      <c r="AF28" s="1">
        <f t="shared" si="14"/>
        <v>12</v>
      </c>
      <c r="AG28" s="1">
        <f t="shared" si="14"/>
        <v>1.875</v>
      </c>
      <c r="AH28" s="1">
        <f t="shared" si="14"/>
        <v>0.9375</v>
      </c>
      <c r="AJ28" s="44">
        <f>IF(C28="","",(C28-AD28)/AD28*100)</f>
        <v>-7.4986810663191017</v>
      </c>
      <c r="AK28" s="44" t="str">
        <f>IF(D28="","",(D28-AE28)/AE28*100)</f>
        <v/>
      </c>
      <c r="AL28" s="44">
        <f t="shared" si="15"/>
        <v>-6.1666666666666679</v>
      </c>
      <c r="AM28" s="44" t="str">
        <f t="shared" si="16"/>
        <v/>
      </c>
      <c r="AN28" s="44" t="str">
        <f t="shared" si="17"/>
        <v/>
      </c>
      <c r="AU28">
        <f t="shared" si="18"/>
        <v>221.2</v>
      </c>
    </row>
    <row r="29" spans="1:48" x14ac:dyDescent="0.35">
      <c r="A29" s="1">
        <v>25</v>
      </c>
      <c r="B29" s="1">
        <f t="shared" si="3"/>
        <v>26</v>
      </c>
      <c r="C29" s="1">
        <v>115.4</v>
      </c>
      <c r="G29" s="1">
        <v>11.76</v>
      </c>
      <c r="T29" s="1">
        <f t="shared" si="4"/>
        <v>-9</v>
      </c>
      <c r="U29" s="1">
        <f t="shared" si="5"/>
        <v>8.6655112651646444</v>
      </c>
      <c r="V29" s="1">
        <f t="shared" si="6"/>
        <v>8.5859428571428573</v>
      </c>
      <c r="W29" s="1">
        <f t="shared" si="7"/>
        <v>116.46944507300969</v>
      </c>
      <c r="X29" s="1">
        <f t="shared" si="8"/>
        <v>116.46944507300969</v>
      </c>
      <c r="Y29" s="1">
        <f t="shared" si="9"/>
        <v>23.293889014601938</v>
      </c>
      <c r="Z29" s="1">
        <f t="shared" si="10"/>
        <v>19.41157417883495</v>
      </c>
      <c r="AA29" s="1">
        <f t="shared" si="11"/>
        <v>431.6</v>
      </c>
      <c r="AB29" s="1">
        <f t="shared" si="12"/>
        <v>99.700556652527752</v>
      </c>
      <c r="AC29" s="1">
        <f t="shared" si="13"/>
        <v>49.850278326263876</v>
      </c>
      <c r="AD29" s="1">
        <f t="shared" si="2"/>
        <v>123.91094619666049</v>
      </c>
      <c r="AE29" s="1">
        <f t="shared" si="14"/>
        <v>31.12</v>
      </c>
      <c r="AF29" s="1">
        <f t="shared" si="14"/>
        <v>12.448</v>
      </c>
      <c r="AG29" s="1">
        <f t="shared" si="14"/>
        <v>1.9450000000000001</v>
      </c>
      <c r="AH29" s="1">
        <f t="shared" si="14"/>
        <v>0.97250000000000003</v>
      </c>
      <c r="AJ29" s="44">
        <f>IF(C29="","",(C29-AD29)/AD29*100)</f>
        <v>-6.8685991495478245</v>
      </c>
      <c r="AK29" s="44" t="str">
        <f>IF(D29="","",(D29-AE29)/AE29*100)</f>
        <v/>
      </c>
      <c r="AL29" s="44">
        <f t="shared" si="15"/>
        <v>-5.5269922879177429</v>
      </c>
      <c r="AM29" s="44" t="str">
        <f t="shared" si="16"/>
        <v/>
      </c>
      <c r="AN29" s="44" t="str">
        <f t="shared" si="17"/>
        <v/>
      </c>
      <c r="AU29">
        <f t="shared" si="18"/>
        <v>230.79999999999998</v>
      </c>
    </row>
    <row r="30" spans="1:48" x14ac:dyDescent="0.35">
      <c r="A30" s="1">
        <v>26</v>
      </c>
      <c r="B30" s="1">
        <f t="shared" si="3"/>
        <v>27</v>
      </c>
      <c r="C30" s="1">
        <v>119.9</v>
      </c>
      <c r="G30" s="1">
        <v>12.22</v>
      </c>
      <c r="T30" s="1">
        <f t="shared" si="4"/>
        <v>-10</v>
      </c>
      <c r="U30" s="1">
        <f t="shared" si="5"/>
        <v>8.3402835696413682</v>
      </c>
      <c r="V30" s="1">
        <f t="shared" si="6"/>
        <v>8.2557142857142853</v>
      </c>
      <c r="W30" s="1">
        <f t="shared" si="7"/>
        <v>121.12822287593009</v>
      </c>
      <c r="X30" s="1">
        <f t="shared" si="8"/>
        <v>121.12822287593009</v>
      </c>
      <c r="Y30" s="1">
        <f t="shared" si="9"/>
        <v>24.225644575186017</v>
      </c>
      <c r="Z30" s="1">
        <f t="shared" si="10"/>
        <v>20.18803714598835</v>
      </c>
      <c r="AA30" s="1">
        <f t="shared" si="11"/>
        <v>449.6</v>
      </c>
      <c r="AB30" s="1">
        <f t="shared" si="12"/>
        <v>95.594722811198636</v>
      </c>
      <c r="AC30" s="1">
        <f t="shared" si="13"/>
        <v>47.797361405599318</v>
      </c>
      <c r="AD30" s="1">
        <f t="shared" si="2"/>
        <v>128.41929499072356</v>
      </c>
      <c r="AE30" s="1">
        <f t="shared" si="14"/>
        <v>32.28</v>
      </c>
      <c r="AF30" s="1">
        <f t="shared" si="14"/>
        <v>12.912000000000001</v>
      </c>
      <c r="AG30" s="1">
        <f t="shared" si="14"/>
        <v>2.0175000000000001</v>
      </c>
      <c r="AH30" s="1">
        <f t="shared" si="14"/>
        <v>1.00875</v>
      </c>
      <c r="AJ30" s="44">
        <f>IF(C30="","",(C30-AD30)/AD30*100)</f>
        <v>-6.6339680429945886</v>
      </c>
      <c r="AK30" s="44" t="str">
        <f>IF(D30="","",(D30-AE30)/AE30*100)</f>
        <v/>
      </c>
      <c r="AL30" s="44">
        <f t="shared" si="15"/>
        <v>-5.3593556381660479</v>
      </c>
      <c r="AM30" s="44" t="str">
        <f t="shared" si="16"/>
        <v/>
      </c>
      <c r="AN30" s="44" t="str">
        <f t="shared" si="17"/>
        <v/>
      </c>
      <c r="AU30">
        <f t="shared" si="18"/>
        <v>239.80000000000004</v>
      </c>
    </row>
    <row r="31" spans="1:48" x14ac:dyDescent="0.35">
      <c r="A31" s="1">
        <v>27</v>
      </c>
      <c r="B31" s="1">
        <f t="shared" si="3"/>
        <v>28</v>
      </c>
      <c r="C31" s="1">
        <v>125.9</v>
      </c>
      <c r="G31" s="1">
        <v>12.85</v>
      </c>
      <c r="T31" s="1">
        <f t="shared" si="4"/>
        <v>-11</v>
      </c>
      <c r="U31" s="1">
        <f t="shared" si="5"/>
        <v>7.9428117553613982</v>
      </c>
      <c r="V31" s="1">
        <f t="shared" si="6"/>
        <v>7.9254857142857142</v>
      </c>
      <c r="W31" s="1">
        <f t="shared" si="7"/>
        <v>126.17523216242718</v>
      </c>
      <c r="X31" s="1">
        <f t="shared" si="8"/>
        <v>126.17523216242718</v>
      </c>
      <c r="Y31" s="1">
        <f t="shared" si="9"/>
        <v>25.235046432485436</v>
      </c>
      <c r="Z31" s="1">
        <f t="shared" si="10"/>
        <v>21.029205360404529</v>
      </c>
      <c r="AA31" s="1">
        <f t="shared" si="11"/>
        <v>473.6</v>
      </c>
      <c r="AB31" s="1">
        <f t="shared" si="12"/>
        <v>91.652154275991975</v>
      </c>
      <c r="AC31" s="1">
        <f t="shared" si="13"/>
        <v>45.826077137995988</v>
      </c>
      <c r="AD31" s="1">
        <f t="shared" si="2"/>
        <v>133.09090909090909</v>
      </c>
      <c r="AE31" s="1">
        <f t="shared" si="14"/>
        <v>33.479999999999997</v>
      </c>
      <c r="AF31" s="1">
        <f t="shared" si="14"/>
        <v>13.391999999999999</v>
      </c>
      <c r="AG31" s="1">
        <f t="shared" si="14"/>
        <v>2.0924999999999998</v>
      </c>
      <c r="AH31" s="1">
        <f t="shared" si="14"/>
        <v>1.0462499999999999</v>
      </c>
      <c r="AJ31" s="44">
        <f>IF(C31="","",(C31-AD31)/AD31*100)</f>
        <v>-5.4030054644808718</v>
      </c>
      <c r="AK31" s="44" t="str">
        <f>IF(D31="","",(D31-AE31)/AE31*100)</f>
        <v/>
      </c>
      <c r="AL31" s="44">
        <f t="shared" si="15"/>
        <v>-4.0471923536439656</v>
      </c>
      <c r="AM31" s="44" t="str">
        <f t="shared" si="16"/>
        <v/>
      </c>
      <c r="AN31" s="44" t="str">
        <f t="shared" si="17"/>
        <v/>
      </c>
      <c r="AU31">
        <f t="shared" si="18"/>
        <v>251.79999999999998</v>
      </c>
    </row>
    <row r="32" spans="1:48" x14ac:dyDescent="0.35">
      <c r="A32" s="1">
        <v>28</v>
      </c>
      <c r="B32" s="1">
        <f t="shared" si="3"/>
        <v>29</v>
      </c>
      <c r="C32" s="1">
        <v>129.80000000000001</v>
      </c>
      <c r="G32" s="1">
        <v>13.26</v>
      </c>
      <c r="T32" s="1">
        <f t="shared" si="4"/>
        <v>-12</v>
      </c>
      <c r="U32" s="1">
        <f t="shared" si="5"/>
        <v>7.7041602465331271</v>
      </c>
      <c r="V32" s="1">
        <f t="shared" si="6"/>
        <v>7.5952571428571432</v>
      </c>
      <c r="W32" s="1">
        <f t="shared" si="7"/>
        <v>131.66111182166316</v>
      </c>
      <c r="X32" s="1">
        <f t="shared" si="8"/>
        <v>131.66111182166316</v>
      </c>
      <c r="Y32" s="1">
        <f t="shared" si="9"/>
        <v>26.33222236433263</v>
      </c>
      <c r="Z32" s="1">
        <f t="shared" si="10"/>
        <v>21.94351863694386</v>
      </c>
      <c r="AA32" s="1">
        <f t="shared" si="11"/>
        <v>489.20000000000005</v>
      </c>
      <c r="AB32" s="1">
        <f t="shared" si="12"/>
        <v>87.872851046907755</v>
      </c>
      <c r="AC32" s="1">
        <f t="shared" si="13"/>
        <v>43.936425523453877</v>
      </c>
      <c r="AD32" s="1">
        <f t="shared" si="2"/>
        <v>137.92578849721707</v>
      </c>
      <c r="AE32" s="1">
        <f t="shared" si="14"/>
        <v>34.72</v>
      </c>
      <c r="AF32" s="1">
        <f t="shared" si="14"/>
        <v>13.888</v>
      </c>
      <c r="AG32" s="1">
        <f t="shared" si="14"/>
        <v>2.17</v>
      </c>
      <c r="AH32" s="1">
        <f t="shared" si="14"/>
        <v>1.085</v>
      </c>
      <c r="AJ32" s="44">
        <f>IF(C32="","",(C32-AD32)/AD32*100)</f>
        <v>-5.8914207312151872</v>
      </c>
      <c r="AK32" s="44" t="str">
        <f>IF(D32="","",(D32-AE32)/AE32*100)</f>
        <v/>
      </c>
      <c r="AL32" s="44">
        <f t="shared" si="15"/>
        <v>-4.5218894009216593</v>
      </c>
      <c r="AM32" s="44" t="str">
        <f t="shared" si="16"/>
        <v/>
      </c>
      <c r="AN32" s="44" t="str">
        <f t="shared" si="17"/>
        <v/>
      </c>
      <c r="AU32">
        <f t="shared" si="18"/>
        <v>259.60000000000002</v>
      </c>
    </row>
    <row r="33" spans="1:47" x14ac:dyDescent="0.35">
      <c r="A33" s="1">
        <v>29</v>
      </c>
      <c r="B33" s="1">
        <f t="shared" si="3"/>
        <v>30</v>
      </c>
      <c r="C33" s="1">
        <v>136.6</v>
      </c>
      <c r="G33" s="1">
        <v>13.97</v>
      </c>
      <c r="T33" s="1">
        <f t="shared" si="4"/>
        <v>-13</v>
      </c>
      <c r="U33" s="1">
        <f t="shared" si="5"/>
        <v>7.3206442166910684</v>
      </c>
      <c r="V33" s="1">
        <f t="shared" si="6"/>
        <v>7.2650285714285712</v>
      </c>
      <c r="W33" s="1">
        <f t="shared" si="7"/>
        <v>137.64570781355695</v>
      </c>
      <c r="X33" s="1">
        <f t="shared" si="8"/>
        <v>137.64570781355695</v>
      </c>
      <c r="Y33" s="1">
        <f t="shared" si="9"/>
        <v>27.529141562711391</v>
      </c>
      <c r="Z33" s="1">
        <f t="shared" si="10"/>
        <v>22.940951302259492</v>
      </c>
      <c r="AA33" s="1">
        <f t="shared" si="11"/>
        <v>516.4</v>
      </c>
      <c r="AB33" s="1">
        <f t="shared" si="12"/>
        <v>84.256813123945989</v>
      </c>
      <c r="AC33" s="1">
        <f t="shared" si="13"/>
        <v>42.128406561972994</v>
      </c>
      <c r="AD33" s="1">
        <f t="shared" si="2"/>
        <v>142.92393320964749</v>
      </c>
      <c r="AE33" s="1">
        <f t="shared" si="14"/>
        <v>36</v>
      </c>
      <c r="AF33" s="1">
        <f t="shared" si="14"/>
        <v>14.4</v>
      </c>
      <c r="AG33" s="1">
        <f t="shared" si="14"/>
        <v>2.25</v>
      </c>
      <c r="AH33" s="1">
        <f t="shared" si="14"/>
        <v>1.125</v>
      </c>
      <c r="AJ33" s="44">
        <f>IF(C33="","",(C33-AD33)/AD33*100)</f>
        <v>-4.4246845630614242</v>
      </c>
      <c r="AK33" s="44" t="str">
        <f>IF(D33="","",(D33-AE33)/AE33*100)</f>
        <v/>
      </c>
      <c r="AL33" s="44">
        <f t="shared" si="15"/>
        <v>-2.9861111111111094</v>
      </c>
      <c r="AM33" s="44" t="str">
        <f t="shared" si="16"/>
        <v/>
      </c>
      <c r="AN33" s="44" t="str">
        <f t="shared" si="17"/>
        <v/>
      </c>
      <c r="AU33">
        <f t="shared" si="18"/>
        <v>273.2</v>
      </c>
    </row>
    <row r="34" spans="1:47" x14ac:dyDescent="0.35">
      <c r="A34" s="1">
        <v>30</v>
      </c>
      <c r="B34" s="1">
        <f t="shared" si="3"/>
        <v>31</v>
      </c>
      <c r="C34" s="1">
        <v>142.80000000000001</v>
      </c>
      <c r="G34" s="1">
        <v>14.62</v>
      </c>
      <c r="T34" s="1">
        <f t="shared" si="4"/>
        <v>-14</v>
      </c>
      <c r="U34" s="1">
        <f t="shared" si="5"/>
        <v>7.0028011204481793</v>
      </c>
      <c r="V34" s="1">
        <f t="shared" si="6"/>
        <v>6.9348000000000001</v>
      </c>
      <c r="W34" s="1">
        <f t="shared" si="7"/>
        <v>144.2002653284882</v>
      </c>
      <c r="X34" s="1">
        <f t="shared" si="8"/>
        <v>144.2002653284882</v>
      </c>
      <c r="Y34" s="1">
        <f t="shared" si="9"/>
        <v>28.840053065697639</v>
      </c>
      <c r="Z34" s="1">
        <f t="shared" si="10"/>
        <v>24.033377554748032</v>
      </c>
      <c r="AA34" s="1">
        <f t="shared" si="11"/>
        <v>541.20000000000005</v>
      </c>
      <c r="AB34" s="1">
        <f t="shared" si="12"/>
        <v>80.804040507106677</v>
      </c>
      <c r="AC34" s="1">
        <f t="shared" si="13"/>
        <v>40.402020253553339</v>
      </c>
      <c r="AD34" s="1">
        <f t="shared" si="2"/>
        <v>148.08534322820037</v>
      </c>
      <c r="AE34" s="1">
        <f t="shared" si="14"/>
        <v>37.32</v>
      </c>
      <c r="AF34" s="1">
        <f t="shared" si="14"/>
        <v>14.928000000000001</v>
      </c>
      <c r="AG34" s="1">
        <f t="shared" si="14"/>
        <v>2.3325</v>
      </c>
      <c r="AH34" s="1">
        <f t="shared" si="14"/>
        <v>1.16625</v>
      </c>
      <c r="AJ34" s="44">
        <f>IF(C34="","",(C34-AD34)/AD34*100)</f>
        <v>-3.5691197474253857</v>
      </c>
      <c r="AK34" s="44" t="str">
        <f>IF(D34="","",(D34-AE34)/AE34*100)</f>
        <v/>
      </c>
      <c r="AL34" s="44">
        <f t="shared" si="15"/>
        <v>-2.0632368703108357</v>
      </c>
      <c r="AM34" s="44" t="str">
        <f t="shared" si="16"/>
        <v/>
      </c>
      <c r="AN34" s="44" t="str">
        <f t="shared" si="17"/>
        <v/>
      </c>
      <c r="AU34">
        <f t="shared" si="18"/>
        <v>285.60000000000002</v>
      </c>
    </row>
    <row r="35" spans="1:47" x14ac:dyDescent="0.35">
      <c r="A35" s="1">
        <v>31</v>
      </c>
      <c r="B35" s="1">
        <f t="shared" si="3"/>
        <v>32</v>
      </c>
      <c r="C35" s="1">
        <v>151.5</v>
      </c>
      <c r="G35" s="1">
        <v>15.48</v>
      </c>
      <c r="M35" s="1">
        <v>2.4300000000000002</v>
      </c>
      <c r="R35" s="1">
        <v>1.21</v>
      </c>
      <c r="T35" s="1">
        <f t="shared" si="4"/>
        <v>-15</v>
      </c>
      <c r="U35" s="1">
        <f t="shared" si="5"/>
        <v>6.6006600660066006</v>
      </c>
      <c r="V35" s="1">
        <f t="shared" si="6"/>
        <v>6.6045714285714281</v>
      </c>
      <c r="W35" s="36">
        <f t="shared" si="7"/>
        <v>151.41027859491263</v>
      </c>
      <c r="X35" s="8">
        <f t="shared" si="8"/>
        <v>151.41027859491263</v>
      </c>
      <c r="Y35" s="1">
        <f t="shared" si="9"/>
        <v>30.282055718982527</v>
      </c>
      <c r="Z35" s="1">
        <f t="shared" si="10"/>
        <v>25.235046432485436</v>
      </c>
      <c r="AA35" s="1">
        <f t="shared" si="11"/>
        <v>576</v>
      </c>
      <c r="AB35" s="1">
        <f t="shared" si="12"/>
        <v>77.514533196389792</v>
      </c>
      <c r="AC35" s="1">
        <f t="shared" si="13"/>
        <v>38.757266598194896</v>
      </c>
      <c r="AD35" s="1">
        <f t="shared" si="2"/>
        <v>153.41001855287567</v>
      </c>
      <c r="AE35" s="1">
        <f t="shared" si="14"/>
        <v>38.680000000000007</v>
      </c>
      <c r="AF35" s="1">
        <f t="shared" si="14"/>
        <v>15.472000000000003</v>
      </c>
      <c r="AG35" s="1">
        <f t="shared" si="14"/>
        <v>2.4175000000000004</v>
      </c>
      <c r="AH35" s="1">
        <f t="shared" si="14"/>
        <v>1.2087500000000002</v>
      </c>
      <c r="AJ35" s="44">
        <f>IF(C35="","",(C35-AD35)/AD35*100)</f>
        <v>-1.2450416021671658</v>
      </c>
      <c r="AK35" s="44" t="str">
        <f>IF(D35="","",(D35-AE35)/AE35*100)</f>
        <v/>
      </c>
      <c r="AL35" s="44">
        <f t="shared" si="15"/>
        <v>5.170630816957951E-2</v>
      </c>
      <c r="AM35" s="44">
        <f t="shared" si="16"/>
        <v>0.51706308169595583</v>
      </c>
      <c r="AN35" s="44">
        <f t="shared" si="17"/>
        <v>0.10341261633917279</v>
      </c>
      <c r="AU35">
        <f t="shared" si="18"/>
        <v>303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5"/>
  <sheetViews>
    <sheetView topLeftCell="R1" zoomScaleNormal="100" workbookViewId="0">
      <pane ySplit="3" topLeftCell="A4" activePane="bottomLeft" state="frozen"/>
      <selection pane="bottomLeft" activeCell="P23" sqref="A23:XFD23"/>
    </sheetView>
  </sheetViews>
  <sheetFormatPr defaultRowHeight="14.5" x14ac:dyDescent="0.35"/>
  <cols>
    <col min="1" max="1" width="8.7265625" style="1"/>
    <col min="2" max="2" width="10.36328125" style="1" customWidth="1"/>
    <col min="3" max="3" width="8.7265625" style="1"/>
    <col min="4" max="4" width="10" style="1" bestFit="1" customWidth="1"/>
    <col min="5" max="18" width="8.7265625" style="1"/>
    <col min="19" max="19" width="14.81640625" bestFit="1" customWidth="1"/>
    <col min="20" max="22" width="11.90625" style="1" customWidth="1"/>
    <col min="23" max="23" width="14.1796875" style="1" customWidth="1"/>
    <col min="24" max="25" width="18.08984375" style="1" customWidth="1"/>
    <col min="26" max="26" width="18" style="1" customWidth="1"/>
    <col min="27" max="28" width="11.90625" customWidth="1"/>
    <col min="29" max="29" width="9.54296875" style="1" customWidth="1"/>
    <col min="30" max="31" width="8.7265625" style="1"/>
    <col min="32" max="33" width="8.7265625" style="6"/>
    <col min="34" max="34" width="11.90625" customWidth="1"/>
    <col min="35" max="39" width="8.7265625" style="41"/>
    <col min="44" max="44" width="8.7265625" style="1"/>
    <col min="47" max="47" width="10.81640625" bestFit="1" customWidth="1"/>
    <col min="49" max="49" width="10.81640625" bestFit="1" customWidth="1"/>
  </cols>
  <sheetData>
    <row r="1" spans="1:54" s="3" customFormat="1" x14ac:dyDescent="0.35">
      <c r="A1" s="2"/>
      <c r="C1" s="43" t="s">
        <v>50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T1" s="2"/>
      <c r="U1" s="2" t="s">
        <v>85</v>
      </c>
      <c r="V1" s="2" t="s">
        <v>84</v>
      </c>
      <c r="W1" s="2" t="s">
        <v>91</v>
      </c>
      <c r="X1" s="2" t="s">
        <v>92</v>
      </c>
      <c r="Y1" s="2" t="s">
        <v>92</v>
      </c>
      <c r="Z1" s="2" t="s">
        <v>92</v>
      </c>
      <c r="AC1" s="43" t="s">
        <v>76</v>
      </c>
      <c r="AD1" s="2"/>
      <c r="AE1" s="2"/>
      <c r="AF1" s="2"/>
      <c r="AG1" s="2"/>
      <c r="AI1" s="40"/>
      <c r="AJ1" s="40"/>
      <c r="AK1" s="40"/>
      <c r="AL1" s="40"/>
      <c r="AM1" s="40"/>
      <c r="AR1" s="2"/>
    </row>
    <row r="2" spans="1:54" s="3" customFormat="1" x14ac:dyDescent="0.35">
      <c r="A2" s="2"/>
      <c r="B2" s="10" t="s">
        <v>39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9</v>
      </c>
      <c r="I2" s="6">
        <v>14</v>
      </c>
      <c r="J2" s="6">
        <v>27</v>
      </c>
      <c r="K2" s="6">
        <v>28</v>
      </c>
      <c r="L2" s="6">
        <v>29</v>
      </c>
      <c r="M2" s="6">
        <v>31</v>
      </c>
      <c r="N2" s="6">
        <v>59</v>
      </c>
      <c r="O2" s="6">
        <v>60</v>
      </c>
      <c r="P2" s="6">
        <v>61</v>
      </c>
      <c r="Q2" s="6">
        <v>62</v>
      </c>
      <c r="R2" s="6">
        <v>63</v>
      </c>
      <c r="T2" s="2"/>
      <c r="U2" s="2">
        <v>0</v>
      </c>
      <c r="V2" s="2"/>
      <c r="W2" s="2"/>
      <c r="X2" s="2">
        <v>0</v>
      </c>
      <c r="Y2" s="2">
        <v>3</v>
      </c>
      <c r="Z2" s="2">
        <v>4</v>
      </c>
      <c r="AC2" s="2">
        <v>0</v>
      </c>
      <c r="AD2" s="2">
        <v>1</v>
      </c>
      <c r="AE2" s="2">
        <v>4</v>
      </c>
      <c r="AF2" s="2">
        <v>31</v>
      </c>
      <c r="AG2" s="2">
        <v>63</v>
      </c>
      <c r="AI2" s="40">
        <v>0</v>
      </c>
      <c r="AJ2" s="40">
        <v>1</v>
      </c>
      <c r="AK2" s="40">
        <v>4</v>
      </c>
      <c r="AL2" s="40">
        <v>31</v>
      </c>
      <c r="AM2" s="40">
        <v>63</v>
      </c>
      <c r="AR2" s="2" t="s">
        <v>51</v>
      </c>
      <c r="AT2" s="2" t="s">
        <v>51</v>
      </c>
    </row>
    <row r="3" spans="1:54" s="3" customFormat="1" x14ac:dyDescent="0.35">
      <c r="A3" s="2" t="s">
        <v>41</v>
      </c>
      <c r="B3" s="2" t="s">
        <v>40</v>
      </c>
      <c r="C3" s="2">
        <f>1/(C2+1)</f>
        <v>1</v>
      </c>
      <c r="D3" s="2">
        <f t="shared" ref="D3:R3" si="0">1/(D2+1)</f>
        <v>0.5</v>
      </c>
      <c r="E3" s="2">
        <f t="shared" si="0"/>
        <v>0.33333333333333331</v>
      </c>
      <c r="F3" s="2">
        <f t="shared" si="0"/>
        <v>0.25</v>
      </c>
      <c r="G3" s="2">
        <f t="shared" si="0"/>
        <v>0.2</v>
      </c>
      <c r="H3" s="2">
        <f t="shared" si="0"/>
        <v>0.1</v>
      </c>
      <c r="I3" s="2">
        <f t="shared" si="0"/>
        <v>6.6666666666666666E-2</v>
      </c>
      <c r="J3" s="2">
        <f t="shared" si="0"/>
        <v>3.5714285714285712E-2</v>
      </c>
      <c r="K3" s="2">
        <f t="shared" si="0"/>
        <v>3.4482758620689655E-2</v>
      </c>
      <c r="L3" s="2">
        <f t="shared" si="0"/>
        <v>3.3333333333333333E-2</v>
      </c>
      <c r="M3" s="2">
        <f t="shared" si="0"/>
        <v>3.125E-2</v>
      </c>
      <c r="N3" s="2">
        <f t="shared" si="0"/>
        <v>1.6666666666666666E-2</v>
      </c>
      <c r="O3" s="2">
        <f t="shared" si="0"/>
        <v>1.6393442622950821E-2</v>
      </c>
      <c r="P3" s="2">
        <f t="shared" si="0"/>
        <v>1.6129032258064516E-2</v>
      </c>
      <c r="Q3" s="2">
        <f t="shared" si="0"/>
        <v>1.5873015873015872E-2</v>
      </c>
      <c r="R3" s="2">
        <f t="shared" si="0"/>
        <v>1.5625E-2</v>
      </c>
      <c r="T3" s="2" t="s">
        <v>90</v>
      </c>
      <c r="U3" s="2">
        <f>1*(U$2 + 1)</f>
        <v>1</v>
      </c>
      <c r="V3" s="2"/>
      <c r="W3" s="2"/>
      <c r="X3" s="2">
        <f>1*(X$2 + 1)</f>
        <v>1</v>
      </c>
      <c r="Y3" s="2">
        <f>1*(Y$2 + 1)</f>
        <v>4</v>
      </c>
      <c r="Z3" s="2">
        <f>1*(Z$2 + 1)</f>
        <v>5</v>
      </c>
      <c r="AC3" s="2">
        <f t="shared" ref="AC3:AG3" si="1">1/(AC2+1)</f>
        <v>1</v>
      </c>
      <c r="AD3" s="2">
        <f t="shared" si="1"/>
        <v>0.5</v>
      </c>
      <c r="AE3" s="2">
        <f t="shared" si="1"/>
        <v>0.2</v>
      </c>
      <c r="AF3" s="2">
        <f t="shared" si="1"/>
        <v>3.125E-2</v>
      </c>
      <c r="AG3" s="2">
        <f t="shared" si="1"/>
        <v>1.5625E-2</v>
      </c>
      <c r="AI3" s="40"/>
      <c r="AJ3" s="40"/>
      <c r="AK3" s="40"/>
      <c r="AL3" s="40"/>
      <c r="AM3" s="40"/>
      <c r="AR3" s="2">
        <v>0</v>
      </c>
      <c r="AT3" s="2">
        <v>0</v>
      </c>
    </row>
    <row r="4" spans="1:54" x14ac:dyDescent="0.35">
      <c r="A4" s="1">
        <v>0</v>
      </c>
      <c r="B4" s="1">
        <f>(A4+1)</f>
        <v>1</v>
      </c>
      <c r="C4" s="1">
        <v>75.5</v>
      </c>
      <c r="D4" s="6">
        <v>15.06</v>
      </c>
      <c r="E4" s="6">
        <v>10.039999999999999</v>
      </c>
      <c r="F4" s="6">
        <v>7.52</v>
      </c>
      <c r="G4" s="6">
        <v>6.02</v>
      </c>
      <c r="H4" s="6">
        <v>3.01</v>
      </c>
      <c r="I4" s="6">
        <v>2.0099999999999998</v>
      </c>
      <c r="J4" s="6"/>
      <c r="K4" s="6"/>
      <c r="L4" s="6">
        <v>1</v>
      </c>
      <c r="M4" s="1">
        <v>0.93979999999999997</v>
      </c>
      <c r="N4" s="6">
        <v>0.70620000000000005</v>
      </c>
      <c r="O4" s="6">
        <v>0.68869999999999998</v>
      </c>
      <c r="P4" s="6">
        <v>0.67749999999999999</v>
      </c>
      <c r="Q4" s="6">
        <v>0.68300000000000005</v>
      </c>
      <c r="R4" s="45">
        <v>0.66949999999999998</v>
      </c>
      <c r="T4" s="1">
        <f>(16 - ($A4 + 0))</f>
        <v>16</v>
      </c>
      <c r="U4" s="1">
        <f>1/($C4*1000 * $U$3) * 1000000</f>
        <v>13.245033112582782</v>
      </c>
      <c r="V4" s="1">
        <f>$S$8*((16 - ($A4 + 0))/$S$15 + 1)</f>
        <v>13.232774193548387</v>
      </c>
      <c r="W4" s="36">
        <f>1/(V4*0.000001) / 1000</f>
        <v>75.569943639448496</v>
      </c>
      <c r="X4" s="57">
        <f>W4/$X$3</f>
        <v>75.569943639448496</v>
      </c>
      <c r="Y4" s="1">
        <f>W4/$Y$3</f>
        <v>18.892485909862124</v>
      </c>
      <c r="Z4" s="1">
        <f>W4/$Z$3</f>
        <v>15.1139887278897</v>
      </c>
      <c r="AC4" s="1">
        <f>(85.115 + ($A4 + 1)/7*(($A4 + 1)/1 - 7/6))/(AC$2+1)</f>
        <v>85.091190476190476</v>
      </c>
      <c r="AD4" s="1">
        <f>(30 + ($A4 + 1)/5*(($A4 + 1)/5 + 1))/(AD$2+1)</f>
        <v>15.12</v>
      </c>
      <c r="AE4" s="1">
        <f>(30 + ($A4 + 1)/5*(($A4 + 1)/5 + 1))/(AE$2+1)</f>
        <v>6.048</v>
      </c>
      <c r="AF4" s="1">
        <f>(30 + ($A4 + 1)/5*(($A4 + 1)/5 + 1))/(AF$2+1)</f>
        <v>0.94499999999999995</v>
      </c>
      <c r="AG4" s="1">
        <f>(30 + ($A4 + 1)/5*(($A4 + 1)/5 + 1))/(AG$2+1)</f>
        <v>0.47249999999999998</v>
      </c>
      <c r="AI4" s="44">
        <f>IF(C4="","",(C4-AC4)/AC4*100)</f>
        <v>-11.27166093518718</v>
      </c>
      <c r="AJ4" s="44">
        <f>IF(D4="","",(D4-AD4)/AD4*100)</f>
        <v>-0.39682539682538837</v>
      </c>
      <c r="AK4" s="44">
        <f>IF(G4="","",(G4-AE4)/AE4*100)</f>
        <v>-0.46296296296297074</v>
      </c>
      <c r="AL4" s="44">
        <f>IF(M4="","",(M4-AF4)/AF4*100)</f>
        <v>-0.55026455026454846</v>
      </c>
      <c r="AM4" s="44">
        <f>IF(R4="","",(R4-AG4)/AG4*100)</f>
        <v>41.693121693121697</v>
      </c>
      <c r="AO4">
        <f>1/0.0413</f>
        <v>24.213075060532685</v>
      </c>
      <c r="AP4">
        <f>0.0084/0.0413</f>
        <v>0.20338983050847453</v>
      </c>
      <c r="AR4" s="1">
        <f>C4*2</f>
        <v>151</v>
      </c>
      <c r="AT4">
        <f>(1/(1/(C4*1000) - $AV$6*0.000000001))/1000*2</f>
        <v>154.78638453858281</v>
      </c>
      <c r="AV4" t="s">
        <v>54</v>
      </c>
    </row>
    <row r="5" spans="1:54" x14ac:dyDescent="0.35">
      <c r="A5" s="1">
        <v>1</v>
      </c>
      <c r="B5" s="1">
        <f t="shared" ref="B5:B35" si="2">(A5+1)</f>
        <v>2</v>
      </c>
      <c r="C5" s="1">
        <v>77.2</v>
      </c>
      <c r="G5" s="1">
        <v>6.16</v>
      </c>
      <c r="T5" s="1">
        <f t="shared" ref="T5:T35" si="3">(16 - ($A5 + 0))</f>
        <v>15</v>
      </c>
      <c r="U5" s="1">
        <f t="shared" ref="U5:U35" si="4">1/($C5*1000 * $U$3) * 1000000</f>
        <v>12.953367875647668</v>
      </c>
      <c r="V5" s="1">
        <f t="shared" ref="V5:V35" si="5">$S$8*((16 - ($A5 + 0))/$S$15 + 1)</f>
        <v>12.951225806451612</v>
      </c>
      <c r="W5" s="1">
        <f t="shared" ref="W5:W35" si="6">1/(V5*0.000001) / 1000</f>
        <v>77.212768501175645</v>
      </c>
      <c r="X5" s="1">
        <f t="shared" ref="X5:Y35" si="7">W5/$X$3</f>
        <v>77.212768501175645</v>
      </c>
      <c r="Y5" s="1">
        <f t="shared" ref="Y5:Y35" si="8">W5/$Y$3</f>
        <v>19.303192125293911</v>
      </c>
      <c r="Z5" s="1">
        <f t="shared" ref="Z5:Z35" si="9">W5/$Z$3</f>
        <v>15.442553700235129</v>
      </c>
      <c r="AC5" s="1">
        <f t="shared" ref="AC5:AC35" si="10">(85.115 + ($A5 + 1)/7*(($A5 + 1)/1 - 7/6))/(AC$2+1)</f>
        <v>85.353095238095236</v>
      </c>
      <c r="AD5" s="1">
        <f t="shared" ref="AD5:AG35" si="11">(30 + ($A5 + 1)/5*(($A5 + 1)/5 + 1))/(AD$2+1)</f>
        <v>15.28</v>
      </c>
      <c r="AE5" s="1">
        <f t="shared" si="11"/>
        <v>6.1120000000000001</v>
      </c>
      <c r="AF5" s="1">
        <f t="shared" si="11"/>
        <v>0.95499999999999996</v>
      </c>
      <c r="AG5" s="1">
        <f t="shared" si="11"/>
        <v>0.47749999999999998</v>
      </c>
      <c r="AI5" s="44">
        <f>IF(C5="","",(C5-AC5)/AC5*100)</f>
        <v>-9.5521963384595576</v>
      </c>
      <c r="AJ5" s="44" t="str">
        <f>IF(D5="","",(D5-AD5)/AD5*100)</f>
        <v/>
      </c>
      <c r="AK5" s="44">
        <f t="shared" ref="AK5:AK35" si="12">IF(G5="","",(G5-AE5)/AE5*100)</f>
        <v>0.78534031413612626</v>
      </c>
      <c r="AL5" s="44" t="str">
        <f t="shared" ref="AL5:AL35" si="13">IF(M5="","",(M5-AF5)/AF5*100)</f>
        <v/>
      </c>
      <c r="AM5" s="44" t="str">
        <f t="shared" ref="AM5:AM35" si="14">IF(R5="","",(R5-AG5)/AG5*100)</f>
        <v/>
      </c>
      <c r="AR5" s="1">
        <f t="shared" ref="AR5:AR35" si="15">C5*2</f>
        <v>154.4</v>
      </c>
      <c r="AT5">
        <f t="shared" ref="AT5:AT35" si="16">(1/(1/(C5*1000) - $AV$6*0.000000001))/1000*2</f>
        <v>158.36105335536712</v>
      </c>
      <c r="AV5" t="s">
        <v>55</v>
      </c>
    </row>
    <row r="6" spans="1:54" x14ac:dyDescent="0.35">
      <c r="A6" s="1">
        <v>2</v>
      </c>
      <c r="B6" s="1">
        <f t="shared" si="2"/>
        <v>3</v>
      </c>
      <c r="C6" s="1">
        <v>78.900000000000006</v>
      </c>
      <c r="G6" s="1">
        <v>6.28</v>
      </c>
      <c r="T6" s="1">
        <f t="shared" si="3"/>
        <v>14</v>
      </c>
      <c r="U6" s="1">
        <f t="shared" si="4"/>
        <v>12.674271229404308</v>
      </c>
      <c r="V6" s="1">
        <f t="shared" si="5"/>
        <v>12.669677419354839</v>
      </c>
      <c r="W6" s="1">
        <f t="shared" si="6"/>
        <v>78.92860780120175</v>
      </c>
      <c r="X6" s="1">
        <f t="shared" si="7"/>
        <v>78.92860780120175</v>
      </c>
      <c r="Y6" s="1">
        <f t="shared" si="8"/>
        <v>19.732151950300437</v>
      </c>
      <c r="Z6" s="1">
        <f t="shared" si="9"/>
        <v>15.785721560240351</v>
      </c>
      <c r="AC6" s="1">
        <f t="shared" si="10"/>
        <v>85.900714285714287</v>
      </c>
      <c r="AD6" s="1">
        <f t="shared" si="11"/>
        <v>15.48</v>
      </c>
      <c r="AE6" s="1">
        <f t="shared" si="11"/>
        <v>6.1920000000000002</v>
      </c>
      <c r="AF6" s="1">
        <f t="shared" si="11"/>
        <v>0.96750000000000003</v>
      </c>
      <c r="AG6" s="1">
        <f t="shared" si="11"/>
        <v>0.48375000000000001</v>
      </c>
      <c r="AI6" s="44">
        <f>IF(C6="","",(C6-AC6)/AC6*100)</f>
        <v>-8.1497742410257636</v>
      </c>
      <c r="AJ6" s="44" t="str">
        <f>IF(D6="","",(D6-AD6)/AD6*100)</f>
        <v/>
      </c>
      <c r="AK6" s="44">
        <f t="shared" si="12"/>
        <v>1.4211886304909573</v>
      </c>
      <c r="AL6" s="44" t="str">
        <f t="shared" si="13"/>
        <v/>
      </c>
      <c r="AM6" s="44" t="str">
        <f t="shared" si="14"/>
        <v/>
      </c>
      <c r="AO6">
        <f>SQRT(0.0413)</f>
        <v>0.20322401432901577</v>
      </c>
      <c r="AP6">
        <f>0.0084/SQRT(0.0413)</f>
        <v>4.1333697829630318E-2</v>
      </c>
      <c r="AR6" s="1">
        <f t="shared" si="15"/>
        <v>157.80000000000001</v>
      </c>
      <c r="AT6">
        <f t="shared" si="16"/>
        <v>161.93976333396412</v>
      </c>
      <c r="AV6" s="51">
        <v>324</v>
      </c>
      <c r="AW6" t="s">
        <v>53</v>
      </c>
    </row>
    <row r="7" spans="1:54" x14ac:dyDescent="0.35">
      <c r="A7" s="1">
        <v>3</v>
      </c>
      <c r="B7" s="1">
        <f t="shared" si="2"/>
        <v>4</v>
      </c>
      <c r="C7" s="1">
        <v>80.900000000000006</v>
      </c>
      <c r="G7" s="1">
        <v>6.43</v>
      </c>
      <c r="S7" s="1" t="s">
        <v>97</v>
      </c>
      <c r="T7" s="1">
        <f t="shared" si="3"/>
        <v>13</v>
      </c>
      <c r="U7" s="1">
        <f t="shared" si="4"/>
        <v>12.360939431396785</v>
      </c>
      <c r="V7" s="1">
        <f t="shared" si="5"/>
        <v>12.388129032258064</v>
      </c>
      <c r="W7" s="1">
        <f t="shared" si="6"/>
        <v>80.722439796683616</v>
      </c>
      <c r="X7" s="1">
        <f t="shared" si="7"/>
        <v>80.722439796683616</v>
      </c>
      <c r="Y7" s="1">
        <f t="shared" si="8"/>
        <v>20.180609949170904</v>
      </c>
      <c r="Z7" s="1">
        <f t="shared" si="9"/>
        <v>16.144487959336722</v>
      </c>
      <c r="AC7" s="1">
        <f t="shared" si="10"/>
        <v>86.734047619047615</v>
      </c>
      <c r="AD7" s="1">
        <f t="shared" si="11"/>
        <v>15.72</v>
      </c>
      <c r="AE7" s="1">
        <f t="shared" si="11"/>
        <v>6.2880000000000003</v>
      </c>
      <c r="AF7" s="1">
        <f t="shared" si="11"/>
        <v>0.98250000000000004</v>
      </c>
      <c r="AG7" s="1">
        <f t="shared" si="11"/>
        <v>0.49125000000000002</v>
      </c>
      <c r="AI7" s="44">
        <f>IF(C7="","",(C7-AC7)/AC7*100)</f>
        <v>-6.7263638434952933</v>
      </c>
      <c r="AJ7" s="44" t="str">
        <f>IF(D7="","",(D7-AD7)/AD7*100)</f>
        <v/>
      </c>
      <c r="AK7" s="44">
        <f t="shared" si="12"/>
        <v>2.2582697201017727</v>
      </c>
      <c r="AL7" s="44" t="str">
        <f t="shared" si="13"/>
        <v/>
      </c>
      <c r="AM7" s="44" t="str">
        <f t="shared" si="14"/>
        <v/>
      </c>
      <c r="AP7">
        <f>SQRT(AP6)</f>
        <v>0.20330690551388145</v>
      </c>
      <c r="AR7" s="1">
        <f t="shared" si="15"/>
        <v>161.80000000000001</v>
      </c>
      <c r="AT7">
        <f t="shared" si="16"/>
        <v>166.15519346913561</v>
      </c>
      <c r="AV7" s="52" t="s">
        <v>56</v>
      </c>
      <c r="AW7" s="52" t="s">
        <v>57</v>
      </c>
      <c r="AX7" s="52" t="s">
        <v>58</v>
      </c>
      <c r="AY7" s="52"/>
      <c r="AZ7" s="52"/>
    </row>
    <row r="8" spans="1:54" x14ac:dyDescent="0.35">
      <c r="A8" s="1">
        <v>4</v>
      </c>
      <c r="B8" s="1">
        <f t="shared" si="2"/>
        <v>5</v>
      </c>
      <c r="C8" s="1">
        <v>82.4</v>
      </c>
      <c r="G8" s="1">
        <v>6.54</v>
      </c>
      <c r="S8" s="1">
        <f>ROUND(INTERCEPT(U4:U35,T4:T35),3)</f>
        <v>8.7279999999999998</v>
      </c>
      <c r="T8" s="1">
        <f t="shared" si="3"/>
        <v>12</v>
      </c>
      <c r="U8" s="1">
        <f t="shared" si="4"/>
        <v>12.135922330097088</v>
      </c>
      <c r="V8" s="1">
        <f t="shared" si="5"/>
        <v>12.106580645161291</v>
      </c>
      <c r="W8" s="1">
        <f t="shared" si="6"/>
        <v>82.599705838466946</v>
      </c>
      <c r="X8" s="1">
        <f t="shared" si="7"/>
        <v>82.599705838466946</v>
      </c>
      <c r="Y8" s="1">
        <f t="shared" si="8"/>
        <v>20.649926459616736</v>
      </c>
      <c r="Z8" s="1">
        <f t="shared" si="9"/>
        <v>16.519941167693389</v>
      </c>
      <c r="AC8" s="1">
        <f t="shared" si="10"/>
        <v>87.853095238095236</v>
      </c>
      <c r="AD8" s="1">
        <f t="shared" si="11"/>
        <v>16</v>
      </c>
      <c r="AE8" s="1">
        <f t="shared" si="11"/>
        <v>6.4</v>
      </c>
      <c r="AF8" s="1">
        <f t="shared" si="11"/>
        <v>1</v>
      </c>
      <c r="AG8" s="1">
        <f t="shared" si="11"/>
        <v>0.5</v>
      </c>
      <c r="AI8" s="44">
        <f>IF(C8="","",(C8-AC8)/AC8*100)</f>
        <v>-6.2070610299119382</v>
      </c>
      <c r="AJ8" s="44" t="str">
        <f>IF(D8="","",(D8-AD8)/AD8*100)</f>
        <v/>
      </c>
      <c r="AK8" s="44">
        <f t="shared" si="12"/>
        <v>2.1874999999999951</v>
      </c>
      <c r="AL8" s="44" t="str">
        <f t="shared" si="13"/>
        <v/>
      </c>
      <c r="AM8" s="44">
        <f>IF(S8="","",(S8-AG8)/AG8*100)</f>
        <v>1645.6</v>
      </c>
      <c r="AR8" s="1">
        <f t="shared" si="15"/>
        <v>164.8</v>
      </c>
      <c r="AT8">
        <f t="shared" si="16"/>
        <v>169.3204496362076</v>
      </c>
      <c r="AV8" s="52" t="s">
        <v>59</v>
      </c>
      <c r="AW8" s="52"/>
      <c r="AX8" s="52"/>
      <c r="AY8" s="52"/>
      <c r="AZ8" s="52"/>
    </row>
    <row r="9" spans="1:54" x14ac:dyDescent="0.35">
      <c r="A9" s="1">
        <v>5</v>
      </c>
      <c r="B9" s="1">
        <f t="shared" si="2"/>
        <v>6</v>
      </c>
      <c r="C9" s="1">
        <v>84.6</v>
      </c>
      <c r="G9" s="1">
        <v>6.7</v>
      </c>
      <c r="S9" s="1" t="s">
        <v>93</v>
      </c>
      <c r="T9" s="1">
        <f t="shared" si="3"/>
        <v>11</v>
      </c>
      <c r="U9" s="1">
        <f t="shared" si="4"/>
        <v>11.82033096926714</v>
      </c>
      <c r="V9" s="1">
        <f t="shared" si="5"/>
        <v>11.825032258064518</v>
      </c>
      <c r="W9" s="1">
        <f t="shared" si="6"/>
        <v>84.566365501287578</v>
      </c>
      <c r="X9" s="1">
        <f t="shared" si="7"/>
        <v>84.566365501287578</v>
      </c>
      <c r="Y9" s="1">
        <f t="shared" si="8"/>
        <v>21.141591375321894</v>
      </c>
      <c r="Z9" s="1">
        <f t="shared" si="9"/>
        <v>16.913273100257516</v>
      </c>
      <c r="AC9" s="1">
        <f t="shared" si="10"/>
        <v>89.257857142857134</v>
      </c>
      <c r="AD9" s="1">
        <f t="shared" si="11"/>
        <v>16.32</v>
      </c>
      <c r="AE9" s="1">
        <f t="shared" si="11"/>
        <v>6.5280000000000005</v>
      </c>
      <c r="AF9" s="1">
        <f t="shared" si="11"/>
        <v>1.02</v>
      </c>
      <c r="AG9" s="1">
        <f t="shared" si="11"/>
        <v>0.51</v>
      </c>
      <c r="AI9" s="44">
        <f>IF(C9="","",(C9-AC9)/AC9*100)</f>
        <v>-5.2184281495826665</v>
      </c>
      <c r="AJ9" s="44" t="str">
        <f>IF(D9="","",(D9-AD9)/AD9*100)</f>
        <v/>
      </c>
      <c r="AK9" s="44">
        <f t="shared" si="12"/>
        <v>2.634803921568623</v>
      </c>
      <c r="AL9" s="44" t="str">
        <f t="shared" si="13"/>
        <v/>
      </c>
      <c r="AM9" s="44" t="str">
        <f t="shared" si="14"/>
        <v/>
      </c>
      <c r="AO9">
        <f>(1/5)*(1/5)</f>
        <v>4.0000000000000008E-2</v>
      </c>
      <c r="AP9">
        <f>(1/5)*(1/5)*(1/5)</f>
        <v>8.0000000000000019E-3</v>
      </c>
      <c r="AR9" s="1">
        <f t="shared" si="15"/>
        <v>169.2</v>
      </c>
      <c r="AT9">
        <f t="shared" si="16"/>
        <v>173.96854747367234</v>
      </c>
      <c r="AV9" s="52" t="s">
        <v>60</v>
      </c>
      <c r="AW9" s="52" t="s">
        <v>61</v>
      </c>
      <c r="AX9" s="52"/>
      <c r="AY9" s="52"/>
      <c r="AZ9" s="52"/>
    </row>
    <row r="10" spans="1:54" x14ac:dyDescent="0.35">
      <c r="A10" s="1">
        <v>6</v>
      </c>
      <c r="B10" s="1">
        <f t="shared" si="2"/>
        <v>7</v>
      </c>
      <c r="C10" s="1">
        <v>86.7</v>
      </c>
      <c r="G10" s="1">
        <v>6.85</v>
      </c>
      <c r="S10" s="1"/>
      <c r="T10" s="1">
        <f t="shared" si="3"/>
        <v>10</v>
      </c>
      <c r="U10" s="1">
        <f t="shared" si="4"/>
        <v>11.534025374855824</v>
      </c>
      <c r="V10" s="1">
        <f t="shared" si="5"/>
        <v>11.543483870967741</v>
      </c>
      <c r="W10" s="1">
        <f t="shared" si="6"/>
        <v>86.628959781806813</v>
      </c>
      <c r="X10" s="1">
        <f t="shared" si="7"/>
        <v>86.628959781806813</v>
      </c>
      <c r="Y10" s="1">
        <f t="shared" si="8"/>
        <v>21.657239945451703</v>
      </c>
      <c r="Z10" s="1">
        <f t="shared" si="9"/>
        <v>17.325791956361364</v>
      </c>
      <c r="AC10" s="1">
        <f t="shared" si="10"/>
        <v>90.948333333333323</v>
      </c>
      <c r="AD10" s="1">
        <f t="shared" si="11"/>
        <v>16.68</v>
      </c>
      <c r="AE10" s="1">
        <f t="shared" si="11"/>
        <v>6.6719999999999997</v>
      </c>
      <c r="AF10" s="1">
        <f t="shared" si="11"/>
        <v>1.0425</v>
      </c>
      <c r="AG10" s="1">
        <f t="shared" si="11"/>
        <v>0.52124999999999999</v>
      </c>
      <c r="AI10" s="44">
        <f>IF(C10="","",(C10-AC10)/AC10*100)</f>
        <v>-4.6711502867928543</v>
      </c>
      <c r="AJ10" s="44" t="str">
        <f>IF(D10="","",(D10-AD10)/AD10*100)</f>
        <v/>
      </c>
      <c r="AK10" s="44">
        <f t="shared" si="12"/>
        <v>2.6678657074340517</v>
      </c>
      <c r="AL10" s="44" t="str">
        <f t="shared" si="13"/>
        <v/>
      </c>
      <c r="AM10" s="44" t="str">
        <f t="shared" si="14"/>
        <v/>
      </c>
      <c r="AR10" s="1">
        <f t="shared" si="15"/>
        <v>173.4</v>
      </c>
      <c r="AT10">
        <f t="shared" si="16"/>
        <v>178.41172817378413</v>
      </c>
      <c r="AV10" s="52" t="s">
        <v>62</v>
      </c>
      <c r="AW10" s="52" t="s">
        <v>63</v>
      </c>
      <c r="AX10" s="52" t="s">
        <v>64</v>
      </c>
      <c r="AY10" s="52"/>
      <c r="AZ10" s="52"/>
    </row>
    <row r="11" spans="1:54" x14ac:dyDescent="0.35">
      <c r="A11" s="1">
        <v>7</v>
      </c>
      <c r="B11" s="1">
        <f t="shared" si="2"/>
        <v>8</v>
      </c>
      <c r="C11" s="1">
        <v>89.1</v>
      </c>
      <c r="G11" s="1">
        <v>7.04</v>
      </c>
      <c r="S11" s="1"/>
      <c r="T11" s="1">
        <f t="shared" si="3"/>
        <v>9</v>
      </c>
      <c r="U11" s="1">
        <f t="shared" si="4"/>
        <v>11.22334455667789</v>
      </c>
      <c r="V11" s="1">
        <f t="shared" si="5"/>
        <v>11.261935483870968</v>
      </c>
      <c r="W11" s="1">
        <f t="shared" si="6"/>
        <v>88.794683776351988</v>
      </c>
      <c r="X11" s="1">
        <f t="shared" si="7"/>
        <v>88.794683776351988</v>
      </c>
      <c r="Y11" s="1">
        <f t="shared" si="8"/>
        <v>22.198670944087997</v>
      </c>
      <c r="Z11" s="1">
        <f t="shared" si="9"/>
        <v>17.758936755270398</v>
      </c>
      <c r="AC11" s="1">
        <f t="shared" si="10"/>
        <v>92.924523809523805</v>
      </c>
      <c r="AD11" s="1">
        <f t="shared" si="11"/>
        <v>17.079999999999998</v>
      </c>
      <c r="AE11" s="1">
        <f t="shared" si="11"/>
        <v>6.831999999999999</v>
      </c>
      <c r="AF11" s="1">
        <f t="shared" si="11"/>
        <v>1.0674999999999999</v>
      </c>
      <c r="AG11" s="1">
        <f t="shared" si="11"/>
        <v>0.53374999999999995</v>
      </c>
      <c r="AI11" s="44">
        <f>IF(C11="","",(C11-AC11)/AC11*100)</f>
        <v>-4.1157314051598473</v>
      </c>
      <c r="AJ11" s="44" t="str">
        <f>IF(D11="","",(D11-AD11)/AD11*100)</f>
        <v/>
      </c>
      <c r="AK11" s="44">
        <f t="shared" si="12"/>
        <v>3.0444964871194542</v>
      </c>
      <c r="AL11" s="44" t="str">
        <f t="shared" si="13"/>
        <v/>
      </c>
      <c r="AM11" s="44" t="str">
        <f t="shared" si="14"/>
        <v/>
      </c>
      <c r="AR11" s="1">
        <f t="shared" si="15"/>
        <v>178.2</v>
      </c>
      <c r="AT11">
        <f t="shared" si="16"/>
        <v>183.49727266623805</v>
      </c>
      <c r="AV11" s="52" t="s">
        <v>56</v>
      </c>
      <c r="AW11" s="52" t="s">
        <v>57</v>
      </c>
      <c r="AX11" s="52" t="s">
        <v>58</v>
      </c>
      <c r="AY11" s="52"/>
      <c r="AZ11" s="52"/>
    </row>
    <row r="12" spans="1:54" x14ac:dyDescent="0.35">
      <c r="A12" s="1">
        <v>8</v>
      </c>
      <c r="B12" s="1">
        <f t="shared" si="2"/>
        <v>9</v>
      </c>
      <c r="C12" s="1">
        <v>90.6</v>
      </c>
      <c r="G12" s="1">
        <v>7.14</v>
      </c>
      <c r="S12" s="1" t="s">
        <v>95</v>
      </c>
      <c r="T12" s="1">
        <f t="shared" si="3"/>
        <v>8</v>
      </c>
      <c r="U12" s="1">
        <f t="shared" si="4"/>
        <v>11.037527593818984</v>
      </c>
      <c r="V12" s="1">
        <f t="shared" si="5"/>
        <v>10.980387096774193</v>
      </c>
      <c r="W12" s="1">
        <f t="shared" si="6"/>
        <v>91.071470539848193</v>
      </c>
      <c r="X12" s="1">
        <f t="shared" si="7"/>
        <v>91.071470539848193</v>
      </c>
      <c r="Y12" s="1">
        <f t="shared" si="8"/>
        <v>22.767867634962048</v>
      </c>
      <c r="Z12" s="1">
        <f t="shared" si="9"/>
        <v>18.214294107969639</v>
      </c>
      <c r="AC12" s="1">
        <f t="shared" si="10"/>
        <v>95.186428571428564</v>
      </c>
      <c r="AD12" s="1">
        <f t="shared" si="11"/>
        <v>17.52</v>
      </c>
      <c r="AE12" s="1">
        <f t="shared" si="11"/>
        <v>7.008</v>
      </c>
      <c r="AF12" s="1">
        <f t="shared" si="11"/>
        <v>1.095</v>
      </c>
      <c r="AG12" s="1">
        <f t="shared" si="11"/>
        <v>0.54749999999999999</v>
      </c>
      <c r="AI12" s="44">
        <f>IF(C12="","",(C12-AC12)/AC12*100)</f>
        <v>-4.8183639624496273</v>
      </c>
      <c r="AJ12" s="44" t="str">
        <f>IF(D12="","",(D12-AD12)/AD12*100)</f>
        <v/>
      </c>
      <c r="AK12" s="44">
        <f t="shared" si="12"/>
        <v>1.8835616438356118</v>
      </c>
      <c r="AL12" s="44" t="str">
        <f t="shared" si="13"/>
        <v/>
      </c>
      <c r="AM12" s="44" t="str">
        <f t="shared" si="14"/>
        <v/>
      </c>
      <c r="AR12" s="1">
        <f t="shared" si="15"/>
        <v>181.2</v>
      </c>
      <c r="AT12">
        <f t="shared" si="16"/>
        <v>186.67987574455603</v>
      </c>
    </row>
    <row r="13" spans="1:54" x14ac:dyDescent="0.35">
      <c r="A13" s="1">
        <v>9</v>
      </c>
      <c r="B13" s="1">
        <f t="shared" si="2"/>
        <v>10</v>
      </c>
      <c r="C13" s="1">
        <v>93.5</v>
      </c>
      <c r="G13" s="1">
        <v>7.33</v>
      </c>
      <c r="S13" s="1">
        <f>($S$8/SLOPE(U4:U35,T4:T35))</f>
        <v>30.938379906655982</v>
      </c>
      <c r="T13" s="1">
        <f t="shared" si="3"/>
        <v>7</v>
      </c>
      <c r="U13" s="1">
        <f t="shared" si="4"/>
        <v>10.695187165775401</v>
      </c>
      <c r="V13" s="1">
        <f t="shared" si="5"/>
        <v>10.698838709677419</v>
      </c>
      <c r="W13" s="1">
        <f t="shared" si="6"/>
        <v>93.468088185633647</v>
      </c>
      <c r="X13" s="1">
        <f t="shared" si="7"/>
        <v>93.468088185633647</v>
      </c>
      <c r="Y13" s="1">
        <f t="shared" si="8"/>
        <v>23.367022046408412</v>
      </c>
      <c r="Z13" s="1">
        <f t="shared" si="9"/>
        <v>18.693617637126728</v>
      </c>
      <c r="AC13" s="1">
        <f t="shared" si="10"/>
        <v>97.734047619047615</v>
      </c>
      <c r="AD13" s="1">
        <f t="shared" si="11"/>
        <v>18</v>
      </c>
      <c r="AE13" s="1">
        <f t="shared" si="11"/>
        <v>7.2</v>
      </c>
      <c r="AF13" s="1">
        <f t="shared" si="11"/>
        <v>1.125</v>
      </c>
      <c r="AG13" s="1">
        <f t="shared" si="11"/>
        <v>0.5625</v>
      </c>
      <c r="AI13" s="44">
        <f>IF(C13="","",(C13-AC13)/AC13*100)</f>
        <v>-4.3322135143233664</v>
      </c>
      <c r="AJ13" s="44" t="str">
        <f>IF(D13="","",(D13-AD13)/AD13*100)</f>
        <v/>
      </c>
      <c r="AK13" s="44">
        <f t="shared" si="12"/>
        <v>1.805555555555554</v>
      </c>
      <c r="AL13" s="44" t="str">
        <f t="shared" si="13"/>
        <v/>
      </c>
      <c r="AM13" s="44" t="str">
        <f t="shared" si="14"/>
        <v/>
      </c>
      <c r="AR13" s="1">
        <f t="shared" si="15"/>
        <v>187</v>
      </c>
      <c r="AT13">
        <f t="shared" si="16"/>
        <v>192.84195415930188</v>
      </c>
      <c r="AV13" s="54" t="s">
        <v>65</v>
      </c>
      <c r="AW13" s="54" t="s">
        <v>26</v>
      </c>
      <c r="AX13" s="54" t="s">
        <v>25</v>
      </c>
      <c r="AY13" s="54" t="s">
        <v>66</v>
      </c>
      <c r="AZ13" s="54" t="s">
        <v>67</v>
      </c>
      <c r="BA13" s="54" t="s">
        <v>75</v>
      </c>
      <c r="BB13" s="54" t="s">
        <v>68</v>
      </c>
    </row>
    <row r="14" spans="1:54" x14ac:dyDescent="0.35">
      <c r="A14" s="1">
        <v>10</v>
      </c>
      <c r="B14" s="1">
        <f t="shared" si="2"/>
        <v>11</v>
      </c>
      <c r="C14" s="1">
        <v>95.8</v>
      </c>
      <c r="G14" s="1">
        <v>7.51</v>
      </c>
      <c r="S14" s="1" t="s">
        <v>94</v>
      </c>
      <c r="T14" s="1">
        <f t="shared" si="3"/>
        <v>6</v>
      </c>
      <c r="U14" s="1">
        <f t="shared" si="4"/>
        <v>10.438413361169102</v>
      </c>
      <c r="V14" s="1">
        <f t="shared" si="5"/>
        <v>10.417290322580646</v>
      </c>
      <c r="W14" s="1">
        <f t="shared" si="6"/>
        <v>95.994252731191324</v>
      </c>
      <c r="X14" s="1">
        <f t="shared" si="7"/>
        <v>95.994252731191324</v>
      </c>
      <c r="Y14" s="1">
        <f t="shared" si="8"/>
        <v>23.998563182797831</v>
      </c>
      <c r="Z14" s="1">
        <f t="shared" si="9"/>
        <v>19.198850546238265</v>
      </c>
      <c r="AC14" s="1">
        <f t="shared" si="10"/>
        <v>100.56738095238094</v>
      </c>
      <c r="AD14" s="1">
        <f t="shared" si="11"/>
        <v>18.52</v>
      </c>
      <c r="AE14" s="1">
        <f t="shared" si="11"/>
        <v>7.4079999999999995</v>
      </c>
      <c r="AF14" s="1">
        <f t="shared" si="11"/>
        <v>1.1575</v>
      </c>
      <c r="AG14" s="1">
        <f t="shared" si="11"/>
        <v>0.57874999999999999</v>
      </c>
      <c r="AI14" s="44">
        <f>IF(C14="","",(C14-AC14)/AC14*100)</f>
        <v>-4.7404843471446485</v>
      </c>
      <c r="AJ14" s="44" t="str">
        <f>IF(D14="","",(D14-AD14)/AD14*100)</f>
        <v/>
      </c>
      <c r="AK14" s="44">
        <f t="shared" si="12"/>
        <v>1.3768898488120993</v>
      </c>
      <c r="AL14" s="44" t="str">
        <f t="shared" si="13"/>
        <v/>
      </c>
      <c r="AM14" s="44" t="str">
        <f t="shared" si="14"/>
        <v/>
      </c>
      <c r="AR14" s="1">
        <f t="shared" si="15"/>
        <v>191.6</v>
      </c>
      <c r="AT14">
        <f t="shared" si="16"/>
        <v>197.73761745573196</v>
      </c>
      <c r="AV14" s="23" t="s">
        <v>8</v>
      </c>
      <c r="AW14" s="23">
        <v>22</v>
      </c>
      <c r="AX14" s="23">
        <v>0</v>
      </c>
      <c r="AY14" s="53" t="s">
        <v>45</v>
      </c>
      <c r="AZ14" s="23">
        <v>50</v>
      </c>
      <c r="BA14">
        <f>1/(AZ14*1000000)*1000000000</f>
        <v>20</v>
      </c>
      <c r="BB14" s="23">
        <v>324</v>
      </c>
    </row>
    <row r="15" spans="1:54" x14ac:dyDescent="0.35">
      <c r="A15" s="1">
        <v>11</v>
      </c>
      <c r="B15" s="1">
        <f t="shared" si="2"/>
        <v>12</v>
      </c>
      <c r="C15" s="1">
        <v>98.8</v>
      </c>
      <c r="G15" s="1">
        <v>7.72</v>
      </c>
      <c r="S15" s="56">
        <v>31</v>
      </c>
      <c r="T15" s="1">
        <f t="shared" si="3"/>
        <v>5</v>
      </c>
      <c r="U15" s="1">
        <f t="shared" si="4"/>
        <v>10.121457489878543</v>
      </c>
      <c r="V15" s="1">
        <f t="shared" si="5"/>
        <v>10.135741935483871</v>
      </c>
      <c r="W15" s="1">
        <f t="shared" si="6"/>
        <v>98.660759751502198</v>
      </c>
      <c r="X15" s="1">
        <f t="shared" si="7"/>
        <v>98.660759751502198</v>
      </c>
      <c r="Y15" s="1">
        <f t="shared" si="8"/>
        <v>24.665189937875549</v>
      </c>
      <c r="Z15" s="1">
        <f t="shared" si="9"/>
        <v>19.732151950300441</v>
      </c>
      <c r="AC15" s="1">
        <f t="shared" si="10"/>
        <v>103.68642857142856</v>
      </c>
      <c r="AD15" s="1">
        <f t="shared" si="11"/>
        <v>19.079999999999998</v>
      </c>
      <c r="AE15" s="1">
        <f t="shared" si="11"/>
        <v>7.6319999999999997</v>
      </c>
      <c r="AF15" s="1">
        <f t="shared" si="11"/>
        <v>1.1924999999999999</v>
      </c>
      <c r="AG15" s="1">
        <f t="shared" si="11"/>
        <v>0.59624999999999995</v>
      </c>
      <c r="AI15" s="44">
        <f>IF(C15="","",(C15-AC15)/AC15*100)</f>
        <v>-4.7126983142855137</v>
      </c>
      <c r="AJ15" s="44" t="str">
        <f>IF(D15="","",(D15-AD15)/AD15*100)</f>
        <v/>
      </c>
      <c r="AK15" s="44">
        <f t="shared" si="12"/>
        <v>1.1530398322851163</v>
      </c>
      <c r="AL15" s="44" t="str">
        <f t="shared" si="13"/>
        <v/>
      </c>
      <c r="AM15" s="44" t="str">
        <f t="shared" si="14"/>
        <v/>
      </c>
      <c r="AR15" s="1">
        <f t="shared" si="15"/>
        <v>197.6</v>
      </c>
      <c r="AT15">
        <f t="shared" si="16"/>
        <v>204.13459329281497</v>
      </c>
      <c r="AV15" s="23" t="s">
        <v>69</v>
      </c>
      <c r="AW15" s="53" t="s">
        <v>45</v>
      </c>
      <c r="AX15" s="53" t="s">
        <v>45</v>
      </c>
      <c r="AY15" s="23" t="s">
        <v>70</v>
      </c>
      <c r="AZ15" s="23">
        <v>256</v>
      </c>
      <c r="BA15">
        <f>1/(AZ15*1000000)*1000000000</f>
        <v>3.90625</v>
      </c>
      <c r="BB15" s="23">
        <v>66</v>
      </c>
    </row>
    <row r="16" spans="1:54" x14ac:dyDescent="0.35">
      <c r="A16" s="1">
        <v>12</v>
      </c>
      <c r="B16" s="1">
        <f t="shared" si="2"/>
        <v>13</v>
      </c>
      <c r="C16" s="1">
        <v>101.2</v>
      </c>
      <c r="G16" s="1">
        <v>7.86</v>
      </c>
      <c r="T16" s="1">
        <f t="shared" si="3"/>
        <v>4</v>
      </c>
      <c r="U16" s="1">
        <f t="shared" si="4"/>
        <v>9.8814229249011856</v>
      </c>
      <c r="V16" s="1">
        <f t="shared" si="5"/>
        <v>9.8541935483870962</v>
      </c>
      <c r="W16" s="1">
        <f t="shared" si="6"/>
        <v>101.47963860154512</v>
      </c>
      <c r="X16" s="1">
        <f t="shared" si="7"/>
        <v>101.47963860154512</v>
      </c>
      <c r="Y16" s="1">
        <f t="shared" si="8"/>
        <v>25.36990965038628</v>
      </c>
      <c r="Z16" s="1">
        <f t="shared" si="9"/>
        <v>20.295927720309024</v>
      </c>
      <c r="AC16" s="1">
        <f t="shared" si="10"/>
        <v>107.09119047619048</v>
      </c>
      <c r="AD16" s="1">
        <f t="shared" si="11"/>
        <v>19.68</v>
      </c>
      <c r="AE16" s="1">
        <f t="shared" si="11"/>
        <v>7.8719999999999999</v>
      </c>
      <c r="AF16" s="1">
        <f t="shared" si="11"/>
        <v>1.23</v>
      </c>
      <c r="AG16" s="1">
        <f t="shared" si="11"/>
        <v>0.61499999999999999</v>
      </c>
      <c r="AI16" s="44">
        <f>IF(C16="","",(C16-AC16)/AC16*100)</f>
        <v>-5.5010971957588408</v>
      </c>
      <c r="AJ16" s="44" t="str">
        <f>IF(D16="","",(D16-AD16)/AD16*100)</f>
        <v/>
      </c>
      <c r="AK16" s="44">
        <f t="shared" si="12"/>
        <v>-0.1524390243902384</v>
      </c>
      <c r="AL16" s="44" t="str">
        <f t="shared" si="13"/>
        <v/>
      </c>
      <c r="AM16" s="44" t="str">
        <f t="shared" si="14"/>
        <v/>
      </c>
      <c r="AR16" s="1">
        <f t="shared" si="15"/>
        <v>202.4</v>
      </c>
      <c r="AT16">
        <f t="shared" si="16"/>
        <v>209.26143121585028</v>
      </c>
      <c r="AV16" s="23" t="s">
        <v>69</v>
      </c>
      <c r="AW16" s="53" t="s">
        <v>45</v>
      </c>
      <c r="AX16" s="53" t="s">
        <v>45</v>
      </c>
      <c r="AY16" s="23" t="s">
        <v>71</v>
      </c>
      <c r="AZ16" s="23">
        <v>128</v>
      </c>
      <c r="BA16">
        <f>1/(AZ16*1000000)*1000000000</f>
        <v>7.8125</v>
      </c>
      <c r="BB16" s="23">
        <v>133</v>
      </c>
    </row>
    <row r="17" spans="1:54" x14ac:dyDescent="0.35">
      <c r="A17" s="1">
        <v>13</v>
      </c>
      <c r="B17" s="1">
        <f t="shared" si="2"/>
        <v>14</v>
      </c>
      <c r="C17" s="1">
        <v>104.6</v>
      </c>
      <c r="G17" s="1">
        <v>8.1199999999999992</v>
      </c>
      <c r="T17" s="1">
        <f t="shared" si="3"/>
        <v>3</v>
      </c>
      <c r="U17" s="1">
        <f t="shared" si="4"/>
        <v>9.5602294455066925</v>
      </c>
      <c r="V17" s="1">
        <f t="shared" si="5"/>
        <v>9.5726451612903212</v>
      </c>
      <c r="W17" s="1">
        <f t="shared" si="6"/>
        <v>104.46433385453176</v>
      </c>
      <c r="X17" s="1">
        <f t="shared" si="7"/>
        <v>104.46433385453176</v>
      </c>
      <c r="Y17" s="1">
        <f t="shared" si="8"/>
        <v>26.11608346363294</v>
      </c>
      <c r="Z17" s="1">
        <f t="shared" si="9"/>
        <v>20.892866770906352</v>
      </c>
      <c r="AC17" s="1">
        <f t="shared" si="10"/>
        <v>110.78166666666667</v>
      </c>
      <c r="AD17" s="1">
        <f t="shared" si="11"/>
        <v>20.32</v>
      </c>
      <c r="AE17" s="1">
        <f t="shared" si="11"/>
        <v>8.1280000000000001</v>
      </c>
      <c r="AF17" s="1">
        <f t="shared" si="11"/>
        <v>1.27</v>
      </c>
      <c r="AG17" s="1">
        <f t="shared" si="11"/>
        <v>0.63500000000000001</v>
      </c>
      <c r="AI17" s="44">
        <f>IF(C17="","",(C17-AC17)/AC17*100)</f>
        <v>-5.5800448329296408</v>
      </c>
      <c r="AJ17" s="44" t="str">
        <f>IF(D17="","",(D17-AD17)/AD17*100)</f>
        <v/>
      </c>
      <c r="AK17" s="44">
        <f t="shared" si="12"/>
        <v>-9.8425196850404711E-2</v>
      </c>
      <c r="AL17" s="44" t="str">
        <f t="shared" si="13"/>
        <v/>
      </c>
      <c r="AM17" s="44" t="str">
        <f t="shared" si="14"/>
        <v/>
      </c>
      <c r="AR17" s="1">
        <f t="shared" si="15"/>
        <v>209.2</v>
      </c>
      <c r="AT17">
        <f t="shared" si="16"/>
        <v>216.53857905976716</v>
      </c>
      <c r="AV17" s="23" t="s">
        <v>69</v>
      </c>
      <c r="AW17" s="53" t="s">
        <v>45</v>
      </c>
      <c r="AX17" s="53" t="s">
        <v>45</v>
      </c>
      <c r="AY17" s="23" t="s">
        <v>72</v>
      </c>
      <c r="AZ17" s="23">
        <v>64</v>
      </c>
      <c r="BA17">
        <f>1/(AZ17*1000000)*1000000000</f>
        <v>15.625</v>
      </c>
      <c r="BB17" s="23">
        <v>265</v>
      </c>
    </row>
    <row r="18" spans="1:54" x14ac:dyDescent="0.35">
      <c r="A18" s="1">
        <v>14</v>
      </c>
      <c r="B18" s="1">
        <f t="shared" si="2"/>
        <v>15</v>
      </c>
      <c r="C18" s="1">
        <v>107.8</v>
      </c>
      <c r="G18" s="1">
        <v>8.33</v>
      </c>
      <c r="T18" s="1">
        <f t="shared" si="3"/>
        <v>2</v>
      </c>
      <c r="U18" s="1">
        <f t="shared" si="4"/>
        <v>9.2764378478664185</v>
      </c>
      <c r="V18" s="1">
        <f t="shared" si="5"/>
        <v>9.291096774193548</v>
      </c>
      <c r="W18" s="1">
        <f t="shared" si="6"/>
        <v>107.6299197289115</v>
      </c>
      <c r="X18" s="1">
        <f t="shared" si="7"/>
        <v>107.6299197289115</v>
      </c>
      <c r="Y18" s="1">
        <f t="shared" si="8"/>
        <v>26.907479932227876</v>
      </c>
      <c r="Z18" s="1">
        <f t="shared" si="9"/>
        <v>21.525983945782301</v>
      </c>
      <c r="AC18" s="1">
        <f t="shared" si="10"/>
        <v>114.75785714285713</v>
      </c>
      <c r="AD18" s="1">
        <f t="shared" si="11"/>
        <v>21</v>
      </c>
      <c r="AE18" s="1">
        <f t="shared" si="11"/>
        <v>8.4</v>
      </c>
      <c r="AF18" s="1">
        <f t="shared" si="11"/>
        <v>1.3125</v>
      </c>
      <c r="AG18" s="1">
        <f t="shared" si="11"/>
        <v>0.65625</v>
      </c>
      <c r="AI18" s="44">
        <f>IF(C18="","",(C18-AC18)/AC18*100)</f>
        <v>-6.0630769135010931</v>
      </c>
      <c r="AJ18" s="44" t="str">
        <f>IF(D18="","",(D18-AD18)/AD18*100)</f>
        <v/>
      </c>
      <c r="AK18" s="44">
        <f t="shared" si="12"/>
        <v>-0.83333333333333659</v>
      </c>
      <c r="AL18" s="44" t="str">
        <f t="shared" si="13"/>
        <v/>
      </c>
      <c r="AM18" s="44" t="str">
        <f t="shared" si="14"/>
        <v/>
      </c>
      <c r="AR18" s="1">
        <f t="shared" si="15"/>
        <v>215.6</v>
      </c>
      <c r="AT18">
        <f t="shared" si="16"/>
        <v>223.4028355166574</v>
      </c>
      <c r="AV18" s="23" t="s">
        <v>69</v>
      </c>
      <c r="AW18" s="53" t="s">
        <v>45</v>
      </c>
      <c r="AX18" s="53" t="s">
        <v>45</v>
      </c>
      <c r="AY18" s="23" t="s">
        <v>73</v>
      </c>
      <c r="AZ18" s="23">
        <v>32</v>
      </c>
      <c r="BA18">
        <f>1/(AZ18*1000000)*1000000000</f>
        <v>31.25</v>
      </c>
      <c r="BB18" s="23">
        <v>530</v>
      </c>
    </row>
    <row r="19" spans="1:54" ht="15" thickBot="1" x14ac:dyDescent="0.4">
      <c r="A19" s="1">
        <v>15</v>
      </c>
      <c r="B19" s="1">
        <f t="shared" si="2"/>
        <v>16</v>
      </c>
      <c r="C19" s="1">
        <v>111.6</v>
      </c>
      <c r="G19" s="1">
        <v>8.59</v>
      </c>
      <c r="T19" s="1">
        <f t="shared" si="3"/>
        <v>1</v>
      </c>
      <c r="U19" s="1">
        <f t="shared" si="4"/>
        <v>8.9605734767025087</v>
      </c>
      <c r="V19" s="1">
        <f t="shared" si="5"/>
        <v>9.009548387096773</v>
      </c>
      <c r="W19" s="1">
        <f t="shared" si="6"/>
        <v>110.99335472043998</v>
      </c>
      <c r="X19" s="36">
        <f t="shared" si="7"/>
        <v>110.99335472043998</v>
      </c>
      <c r="Y19" s="1">
        <f t="shared" si="8"/>
        <v>27.748338680109995</v>
      </c>
      <c r="Z19" s="1">
        <f t="shared" si="9"/>
        <v>22.198670944087997</v>
      </c>
      <c r="AC19" s="1">
        <f t="shared" si="10"/>
        <v>119.01976190476191</v>
      </c>
      <c r="AD19" s="1">
        <f t="shared" si="11"/>
        <v>21.72</v>
      </c>
      <c r="AE19" s="1">
        <f t="shared" si="11"/>
        <v>8.6879999999999988</v>
      </c>
      <c r="AF19" s="1">
        <f t="shared" si="11"/>
        <v>1.3574999999999999</v>
      </c>
      <c r="AG19" s="1">
        <f t="shared" si="11"/>
        <v>0.67874999999999996</v>
      </c>
      <c r="AI19" s="44">
        <f>IF(C19="","",(C19-AC19)/AC19*100)</f>
        <v>-6.2340587697521288</v>
      </c>
      <c r="AJ19" s="44" t="str">
        <f>IF(D19="","",(D19-AD19)/AD19*100)</f>
        <v/>
      </c>
      <c r="AK19" s="44">
        <f t="shared" si="12"/>
        <v>-1.1279926335174839</v>
      </c>
      <c r="AL19" s="44" t="str">
        <f t="shared" si="13"/>
        <v/>
      </c>
      <c r="AM19" s="44" t="str">
        <f t="shared" si="14"/>
        <v/>
      </c>
      <c r="AR19" s="1">
        <f t="shared" si="15"/>
        <v>223.2</v>
      </c>
      <c r="AS19" s="50" t="s">
        <v>52</v>
      </c>
      <c r="AT19">
        <f t="shared" si="16"/>
        <v>231.57332076141975</v>
      </c>
      <c r="AV19" s="23" t="s">
        <v>69</v>
      </c>
      <c r="AW19" s="53" t="s">
        <v>45</v>
      </c>
      <c r="AX19" s="53" t="s">
        <v>45</v>
      </c>
      <c r="AY19" s="23" t="s">
        <v>74</v>
      </c>
      <c r="AZ19" s="23">
        <v>1</v>
      </c>
      <c r="BA19">
        <f>1/(AZ19*1000000)*1000000000</f>
        <v>1000</v>
      </c>
      <c r="BB19" s="23">
        <v>17000</v>
      </c>
    </row>
    <row r="20" spans="1:54" ht="15.5" thickTop="1" thickBot="1" x14ac:dyDescent="0.4">
      <c r="A20" s="17">
        <v>16</v>
      </c>
      <c r="B20" s="1">
        <f t="shared" si="2"/>
        <v>17</v>
      </c>
      <c r="C20" s="1">
        <v>113.9</v>
      </c>
      <c r="D20" s="1">
        <v>21.69</v>
      </c>
      <c r="E20" s="1">
        <v>14.49</v>
      </c>
      <c r="F20" s="1">
        <v>10.87</v>
      </c>
      <c r="G20" s="1">
        <v>8.7100000000000009</v>
      </c>
      <c r="J20" s="1">
        <v>1.56</v>
      </c>
      <c r="K20" s="1">
        <v>1.5</v>
      </c>
      <c r="M20" s="1">
        <v>1.36</v>
      </c>
      <c r="N20" s="1">
        <v>0.72560000000000002</v>
      </c>
      <c r="O20" s="1">
        <v>0.71419999999999995</v>
      </c>
      <c r="P20" s="1">
        <v>0.70220000000000005</v>
      </c>
      <c r="Q20" s="1">
        <v>0.6915</v>
      </c>
      <c r="R20" s="1">
        <v>0.68120000000000003</v>
      </c>
      <c r="S20" s="13" t="s">
        <v>78</v>
      </c>
      <c r="T20" s="1">
        <f t="shared" si="3"/>
        <v>0</v>
      </c>
      <c r="U20" s="1">
        <f t="shared" si="4"/>
        <v>8.7796312554872689</v>
      </c>
      <c r="V20" s="1">
        <f t="shared" si="5"/>
        <v>8.7279999999999998</v>
      </c>
      <c r="W20" s="36">
        <f t="shared" si="6"/>
        <v>114.5737855178735</v>
      </c>
      <c r="X20" s="8">
        <f t="shared" si="7"/>
        <v>114.5737855178735</v>
      </c>
      <c r="Y20" s="8">
        <f t="shared" si="8"/>
        <v>28.643446379468376</v>
      </c>
      <c r="Z20" s="58">
        <f t="shared" si="9"/>
        <v>22.914757103574701</v>
      </c>
      <c r="AC20" s="1">
        <f t="shared" si="10"/>
        <v>123.56738095238094</v>
      </c>
      <c r="AD20" s="1">
        <f t="shared" si="11"/>
        <v>22.48</v>
      </c>
      <c r="AE20" s="1">
        <f t="shared" si="11"/>
        <v>8.9920000000000009</v>
      </c>
      <c r="AF20" s="1">
        <f t="shared" si="11"/>
        <v>1.405</v>
      </c>
      <c r="AG20" s="1">
        <f t="shared" si="11"/>
        <v>0.70250000000000001</v>
      </c>
      <c r="AI20" s="44">
        <f>IF(C20="","",(C20-AC20)/AC20*100)</f>
        <v>-7.8235703288932283</v>
      </c>
      <c r="AJ20" s="44">
        <f>IF(D20="","",(D20-AD20)/AD20*100)</f>
        <v>-3.5142348754448363</v>
      </c>
      <c r="AK20" s="44">
        <f t="shared" si="12"/>
        <v>-3.1361209964412815</v>
      </c>
      <c r="AL20" s="44">
        <f t="shared" si="13"/>
        <v>-3.2028469750889625</v>
      </c>
      <c r="AM20" s="44">
        <f t="shared" si="14"/>
        <v>-3.0320284697508875</v>
      </c>
      <c r="AR20" s="1">
        <f t="shared" si="15"/>
        <v>227.8</v>
      </c>
      <c r="AS20" s="7">
        <f>AR20/5</f>
        <v>45.56</v>
      </c>
      <c r="AT20">
        <f t="shared" si="16"/>
        <v>236.52876285281519</v>
      </c>
      <c r="AU20">
        <f>AT20/5</f>
        <v>47.305752570563037</v>
      </c>
    </row>
    <row r="21" spans="1:54" ht="15" thickTop="1" x14ac:dyDescent="0.35">
      <c r="A21" s="1">
        <v>17</v>
      </c>
      <c r="B21" s="1">
        <f t="shared" si="2"/>
        <v>18</v>
      </c>
      <c r="C21" s="1">
        <v>118.2</v>
      </c>
      <c r="G21" s="1">
        <v>9.0299999999999994</v>
      </c>
      <c r="T21" s="1">
        <f t="shared" si="3"/>
        <v>-1</v>
      </c>
      <c r="U21" s="1">
        <f t="shared" si="4"/>
        <v>8.4602368866328259</v>
      </c>
      <c r="V21" s="1">
        <f t="shared" si="5"/>
        <v>8.4464516129032265</v>
      </c>
      <c r="W21" s="1">
        <f t="shared" si="6"/>
        <v>118.39291170180263</v>
      </c>
      <c r="X21" s="1">
        <f t="shared" si="7"/>
        <v>118.39291170180263</v>
      </c>
      <c r="Y21" s="1">
        <f t="shared" si="8"/>
        <v>29.598227925450658</v>
      </c>
      <c r="Z21" s="1">
        <f t="shared" si="9"/>
        <v>23.678582340360528</v>
      </c>
      <c r="AC21" s="1">
        <f t="shared" si="10"/>
        <v>128.40071428571429</v>
      </c>
      <c r="AD21" s="1">
        <f t="shared" si="11"/>
        <v>23.28</v>
      </c>
      <c r="AE21" s="1">
        <f t="shared" si="11"/>
        <v>9.3120000000000012</v>
      </c>
      <c r="AF21" s="1">
        <f t="shared" si="11"/>
        <v>1.4550000000000001</v>
      </c>
      <c r="AG21" s="1">
        <f t="shared" si="11"/>
        <v>0.72750000000000004</v>
      </c>
      <c r="AI21" s="44">
        <f>IF(C21="","",(C21-AC21)/AC21*100)</f>
        <v>-7.9444373362408962</v>
      </c>
      <c r="AJ21" s="44" t="str">
        <f>IF(D21="","",(D21-AD21)/AD21*100)</f>
        <v/>
      </c>
      <c r="AK21" s="44">
        <f t="shared" si="12"/>
        <v>-3.0283505154639365</v>
      </c>
      <c r="AL21" s="44" t="str">
        <f t="shared" si="13"/>
        <v/>
      </c>
      <c r="AM21" s="44" t="str">
        <f t="shared" si="14"/>
        <v/>
      </c>
      <c r="AR21" s="1">
        <f t="shared" si="15"/>
        <v>236.4</v>
      </c>
      <c r="AT21">
        <f t="shared" si="16"/>
        <v>245.8138851986767</v>
      </c>
    </row>
    <row r="22" spans="1:54" x14ac:dyDescent="0.35">
      <c r="A22" s="1">
        <v>18</v>
      </c>
      <c r="B22" s="1">
        <f t="shared" si="2"/>
        <v>19</v>
      </c>
      <c r="C22" s="1">
        <v>122.2</v>
      </c>
      <c r="G22" s="1">
        <v>9.2899999999999991</v>
      </c>
      <c r="T22" s="1">
        <f t="shared" si="3"/>
        <v>-2</v>
      </c>
      <c r="U22" s="1">
        <f t="shared" si="4"/>
        <v>8.1833060556464812</v>
      </c>
      <c r="V22" s="1">
        <f t="shared" si="5"/>
        <v>8.1649032258064516</v>
      </c>
      <c r="W22" s="1">
        <f t="shared" si="6"/>
        <v>122.47542589841652</v>
      </c>
      <c r="X22" s="1">
        <f t="shared" si="7"/>
        <v>122.47542589841652</v>
      </c>
      <c r="Y22" s="1">
        <f t="shared" si="8"/>
        <v>30.618856474604129</v>
      </c>
      <c r="Z22" s="1">
        <f t="shared" si="9"/>
        <v>24.495085179683304</v>
      </c>
      <c r="AC22" s="1">
        <f t="shared" si="10"/>
        <v>133.51976190476191</v>
      </c>
      <c r="AD22" s="1">
        <f t="shared" si="11"/>
        <v>24.119999999999997</v>
      </c>
      <c r="AE22" s="1">
        <f t="shared" si="11"/>
        <v>9.6479999999999997</v>
      </c>
      <c r="AF22" s="1">
        <f t="shared" si="11"/>
        <v>1.5074999999999998</v>
      </c>
      <c r="AG22" s="1">
        <f t="shared" si="11"/>
        <v>0.75374999999999992</v>
      </c>
      <c r="AI22" s="44">
        <f>IF(C22="","",(C22-AC22)/AC22*100)</f>
        <v>-8.4779674134201635</v>
      </c>
      <c r="AJ22" s="44" t="str">
        <f>IF(D22="","",(D22-AD22)/AD22*100)</f>
        <v/>
      </c>
      <c r="AK22" s="44">
        <f t="shared" si="12"/>
        <v>-3.710613598673306</v>
      </c>
      <c r="AL22" s="44" t="str">
        <f t="shared" si="13"/>
        <v/>
      </c>
      <c r="AM22" s="44" t="str">
        <f t="shared" si="14"/>
        <v/>
      </c>
      <c r="AR22" s="1">
        <f t="shared" si="15"/>
        <v>244.4</v>
      </c>
      <c r="AT22">
        <f t="shared" si="16"/>
        <v>254.47539335398568</v>
      </c>
    </row>
    <row r="23" spans="1:54" x14ac:dyDescent="0.35">
      <c r="A23" s="1">
        <v>19</v>
      </c>
      <c r="B23" s="1">
        <f t="shared" si="2"/>
        <v>20</v>
      </c>
      <c r="C23" s="1">
        <v>127.2</v>
      </c>
      <c r="G23" s="1">
        <v>9.6199999999999992</v>
      </c>
      <c r="T23" s="1">
        <f t="shared" si="3"/>
        <v>-3</v>
      </c>
      <c r="U23" s="1">
        <f t="shared" si="4"/>
        <v>7.8616352201257858</v>
      </c>
      <c r="V23" s="1">
        <f t="shared" si="5"/>
        <v>7.8833548387096766</v>
      </c>
      <c r="W23" s="1">
        <f t="shared" si="6"/>
        <v>126.8495482519314</v>
      </c>
      <c r="X23" s="1">
        <f t="shared" si="7"/>
        <v>126.8495482519314</v>
      </c>
      <c r="Y23" s="1">
        <f t="shared" si="8"/>
        <v>31.712387062982849</v>
      </c>
      <c r="Z23" s="1">
        <f t="shared" si="9"/>
        <v>25.36990965038628</v>
      </c>
      <c r="AC23" s="1">
        <f t="shared" si="10"/>
        <v>138.92452380952381</v>
      </c>
      <c r="AD23" s="1">
        <f t="shared" si="11"/>
        <v>25</v>
      </c>
      <c r="AE23" s="1">
        <f t="shared" si="11"/>
        <v>10</v>
      </c>
      <c r="AF23" s="1">
        <f t="shared" si="11"/>
        <v>1.5625</v>
      </c>
      <c r="AG23" s="1">
        <f t="shared" si="11"/>
        <v>0.78125</v>
      </c>
      <c r="AI23" s="44">
        <f>IF(C23="","",(C23-AC23)/AC23*100)</f>
        <v>-8.4394918103869294</v>
      </c>
      <c r="AJ23" s="44" t="str">
        <f>IF(D23="","",(D23-AD23)/AD23*100)</f>
        <v/>
      </c>
      <c r="AK23" s="44">
        <f t="shared" si="12"/>
        <v>-3.8000000000000074</v>
      </c>
      <c r="AL23" s="44" t="str">
        <f t="shared" si="13"/>
        <v/>
      </c>
      <c r="AM23" s="44" t="str">
        <f t="shared" si="14"/>
        <v/>
      </c>
      <c r="AR23" s="1">
        <f t="shared" si="15"/>
        <v>254.4</v>
      </c>
      <c r="AT23">
        <f t="shared" si="16"/>
        <v>265.33520681127163</v>
      </c>
    </row>
    <row r="24" spans="1:54" x14ac:dyDescent="0.35">
      <c r="A24" s="1">
        <v>20</v>
      </c>
      <c r="B24" s="1">
        <f t="shared" si="2"/>
        <v>21</v>
      </c>
      <c r="C24" s="1">
        <v>130.9</v>
      </c>
      <c r="G24" s="1">
        <v>9.84</v>
      </c>
      <c r="T24" s="1">
        <f t="shared" si="3"/>
        <v>-4</v>
      </c>
      <c r="U24" s="1">
        <f t="shared" si="4"/>
        <v>7.6394194041252863</v>
      </c>
      <c r="V24" s="1">
        <f t="shared" si="5"/>
        <v>7.6018064516129034</v>
      </c>
      <c r="W24" s="1">
        <f t="shared" si="6"/>
        <v>131.54767966866959</v>
      </c>
      <c r="X24" s="1">
        <f t="shared" si="7"/>
        <v>131.54767966866959</v>
      </c>
      <c r="Y24" s="1">
        <f t="shared" si="8"/>
        <v>32.886919917167397</v>
      </c>
      <c r="Z24" s="1">
        <f t="shared" si="9"/>
        <v>26.309535933733919</v>
      </c>
      <c r="AC24" s="1">
        <f t="shared" si="10"/>
        <v>144.61500000000001</v>
      </c>
      <c r="AD24" s="1">
        <f t="shared" si="11"/>
        <v>25.92</v>
      </c>
      <c r="AE24" s="1">
        <f t="shared" si="11"/>
        <v>10.368</v>
      </c>
      <c r="AF24" s="1">
        <f t="shared" si="11"/>
        <v>1.62</v>
      </c>
      <c r="AG24" s="1">
        <f t="shared" si="11"/>
        <v>0.81</v>
      </c>
      <c r="AI24" s="44">
        <f>IF(C24="","",(C24-AC24)/AC24*100)</f>
        <v>-9.4838018186218598</v>
      </c>
      <c r="AJ24" s="44" t="str">
        <f>IF(D24="","",(D24-AD24)/AD24*100)</f>
        <v/>
      </c>
      <c r="AK24" s="44">
        <f t="shared" si="12"/>
        <v>-5.092592592592597</v>
      </c>
      <c r="AL24" s="44" t="str">
        <f t="shared" si="13"/>
        <v/>
      </c>
      <c r="AM24" s="44" t="str">
        <f t="shared" si="14"/>
        <v/>
      </c>
      <c r="AR24" s="1">
        <f t="shared" si="15"/>
        <v>261.8</v>
      </c>
      <c r="AT24">
        <f t="shared" si="16"/>
        <v>273.39512466943</v>
      </c>
    </row>
    <row r="25" spans="1:54" x14ac:dyDescent="0.35">
      <c r="A25" s="1">
        <v>21</v>
      </c>
      <c r="B25" s="1">
        <f t="shared" si="2"/>
        <v>22</v>
      </c>
      <c r="C25" s="1">
        <v>136.6</v>
      </c>
      <c r="G25" s="1">
        <v>10.25</v>
      </c>
      <c r="T25" s="1">
        <f t="shared" si="3"/>
        <v>-5</v>
      </c>
      <c r="U25" s="1">
        <f t="shared" si="4"/>
        <v>7.3206442166910692</v>
      </c>
      <c r="V25" s="1">
        <f t="shared" si="5"/>
        <v>7.3202580645161293</v>
      </c>
      <c r="W25" s="1">
        <f t="shared" si="6"/>
        <v>136.60720580977227</v>
      </c>
      <c r="X25" s="1">
        <f t="shared" si="7"/>
        <v>136.60720580977227</v>
      </c>
      <c r="Y25" s="1">
        <f t="shared" si="8"/>
        <v>34.151801452443067</v>
      </c>
      <c r="Z25" s="1">
        <f t="shared" si="9"/>
        <v>27.321441161954453</v>
      </c>
      <c r="AC25" s="1">
        <f t="shared" si="10"/>
        <v>150.59119047619046</v>
      </c>
      <c r="AD25" s="1">
        <f t="shared" si="11"/>
        <v>26.880000000000003</v>
      </c>
      <c r="AE25" s="1">
        <f t="shared" si="11"/>
        <v>10.752000000000001</v>
      </c>
      <c r="AF25" s="1">
        <f t="shared" si="11"/>
        <v>1.6800000000000002</v>
      </c>
      <c r="AG25" s="1">
        <f t="shared" si="11"/>
        <v>0.84000000000000008</v>
      </c>
      <c r="AI25" s="44">
        <f>IF(C25="","",(C25-AC25)/AC25*100)</f>
        <v>-9.2908425997220441</v>
      </c>
      <c r="AJ25" s="44" t="str">
        <f>IF(D25="","",(D25-AD25)/AD25*100)</f>
        <v/>
      </c>
      <c r="AK25" s="44">
        <f t="shared" si="12"/>
        <v>-4.6688988095238155</v>
      </c>
      <c r="AL25" s="44" t="str">
        <f t="shared" si="13"/>
        <v/>
      </c>
      <c r="AM25" s="44" t="str">
        <f t="shared" si="14"/>
        <v/>
      </c>
      <c r="AR25" s="1">
        <f t="shared" si="15"/>
        <v>273.2</v>
      </c>
      <c r="AT25">
        <f t="shared" si="16"/>
        <v>285.85132215653266</v>
      </c>
    </row>
    <row r="26" spans="1:54" x14ac:dyDescent="0.35">
      <c r="A26" s="1">
        <v>22</v>
      </c>
      <c r="B26" s="1">
        <f t="shared" si="2"/>
        <v>23</v>
      </c>
      <c r="C26" s="1">
        <v>142</v>
      </c>
      <c r="G26" s="1">
        <v>10.59</v>
      </c>
      <c r="T26" s="1">
        <f t="shared" si="3"/>
        <v>-6</v>
      </c>
      <c r="U26" s="1">
        <f t="shared" si="4"/>
        <v>7.042253521126761</v>
      </c>
      <c r="V26" s="1">
        <f t="shared" si="5"/>
        <v>7.0387096774193543</v>
      </c>
      <c r="W26" s="1">
        <f t="shared" si="6"/>
        <v>142.07149404216318</v>
      </c>
      <c r="X26" s="1">
        <f t="shared" si="7"/>
        <v>142.07149404216318</v>
      </c>
      <c r="Y26" s="1">
        <f t="shared" si="8"/>
        <v>35.517873510540795</v>
      </c>
      <c r="Z26" s="1">
        <f t="shared" si="9"/>
        <v>28.414298808432637</v>
      </c>
      <c r="AC26" s="1">
        <f t="shared" si="10"/>
        <v>156.85309523809522</v>
      </c>
      <c r="AD26" s="1">
        <f t="shared" si="11"/>
        <v>27.88</v>
      </c>
      <c r="AE26" s="1">
        <f t="shared" si="11"/>
        <v>11.151999999999999</v>
      </c>
      <c r="AF26" s="1">
        <f t="shared" si="11"/>
        <v>1.7424999999999999</v>
      </c>
      <c r="AG26" s="1">
        <f t="shared" si="11"/>
        <v>0.87124999999999997</v>
      </c>
      <c r="AI26" s="44">
        <f>IF(C26="","",(C26-AC26)/AC26*100)</f>
        <v>-9.4694307533740147</v>
      </c>
      <c r="AJ26" s="44" t="str">
        <f>IF(D26="","",(D26-AD26)/AD26*100)</f>
        <v/>
      </c>
      <c r="AK26" s="44">
        <f t="shared" si="12"/>
        <v>-5.0394548063127642</v>
      </c>
      <c r="AL26" s="44" t="str">
        <f t="shared" si="13"/>
        <v/>
      </c>
      <c r="AM26" s="44" t="str">
        <f t="shared" si="14"/>
        <v/>
      </c>
      <c r="AR26" s="1">
        <f t="shared" si="15"/>
        <v>284</v>
      </c>
      <c r="AT26">
        <f t="shared" si="16"/>
        <v>297.6964167414402</v>
      </c>
    </row>
    <row r="27" spans="1:54" x14ac:dyDescent="0.35">
      <c r="A27" s="1">
        <v>23</v>
      </c>
      <c r="B27" s="1">
        <f t="shared" si="2"/>
        <v>24</v>
      </c>
      <c r="C27" s="1">
        <v>148.4</v>
      </c>
      <c r="G27" s="1">
        <v>11.06</v>
      </c>
      <c r="T27" s="1">
        <f t="shared" si="3"/>
        <v>-7</v>
      </c>
      <c r="U27" s="1">
        <f t="shared" si="4"/>
        <v>6.7385444743935308</v>
      </c>
      <c r="V27" s="1">
        <f t="shared" si="5"/>
        <v>6.7571612903225802</v>
      </c>
      <c r="W27" s="1">
        <f t="shared" si="6"/>
        <v>147.99113962725329</v>
      </c>
      <c r="X27" s="1">
        <f t="shared" si="7"/>
        <v>147.99113962725329</v>
      </c>
      <c r="Y27" s="1">
        <f t="shared" si="8"/>
        <v>36.997784906813322</v>
      </c>
      <c r="Z27" s="1">
        <f t="shared" si="9"/>
        <v>29.598227925450658</v>
      </c>
      <c r="AC27" s="1">
        <f t="shared" si="10"/>
        <v>163.40071428571429</v>
      </c>
      <c r="AD27" s="1">
        <f t="shared" si="11"/>
        <v>28.92</v>
      </c>
      <c r="AE27" s="1">
        <f t="shared" si="11"/>
        <v>11.568000000000001</v>
      </c>
      <c r="AF27" s="1">
        <f t="shared" si="11"/>
        <v>1.8075000000000001</v>
      </c>
      <c r="AG27" s="1">
        <f t="shared" si="11"/>
        <v>0.90375000000000005</v>
      </c>
      <c r="AI27" s="44">
        <f>IF(C27="","",(C27-AC27)/AC27*100)</f>
        <v>-9.1803235691398424</v>
      </c>
      <c r="AJ27" s="44" t="str">
        <f>IF(D27="","",(D27-AD27)/AD27*100)</f>
        <v/>
      </c>
      <c r="AK27" s="44">
        <f t="shared" si="12"/>
        <v>-4.3914246196403948</v>
      </c>
      <c r="AL27" s="44" t="str">
        <f t="shared" si="13"/>
        <v/>
      </c>
      <c r="AM27" s="44" t="str">
        <f t="shared" si="14"/>
        <v/>
      </c>
      <c r="AR27" s="1">
        <f t="shared" si="15"/>
        <v>296.8</v>
      </c>
      <c r="AT27">
        <f t="shared" si="16"/>
        <v>311.79143086214111</v>
      </c>
    </row>
    <row r="28" spans="1:54" x14ac:dyDescent="0.35">
      <c r="A28" s="1">
        <v>24</v>
      </c>
      <c r="B28" s="1">
        <f t="shared" si="2"/>
        <v>25</v>
      </c>
      <c r="C28" s="1">
        <v>152.4</v>
      </c>
      <c r="G28" s="1">
        <v>11.26</v>
      </c>
      <c r="T28" s="1">
        <f t="shared" si="3"/>
        <v>-8</v>
      </c>
      <c r="U28" s="1">
        <f t="shared" si="4"/>
        <v>6.5616797900262469</v>
      </c>
      <c r="V28" s="1">
        <f t="shared" si="5"/>
        <v>6.4756129032258061</v>
      </c>
      <c r="W28" s="1">
        <f t="shared" si="6"/>
        <v>154.42553700235129</v>
      </c>
      <c r="X28" s="1">
        <f t="shared" si="7"/>
        <v>154.42553700235129</v>
      </c>
      <c r="Y28" s="1">
        <f t="shared" si="8"/>
        <v>38.606384250587823</v>
      </c>
      <c r="Z28" s="1">
        <f t="shared" si="9"/>
        <v>30.885107400470257</v>
      </c>
      <c r="AC28" s="1">
        <f t="shared" si="10"/>
        <v>170.2340476190476</v>
      </c>
      <c r="AD28" s="1">
        <f t="shared" si="11"/>
        <v>30</v>
      </c>
      <c r="AE28" s="1">
        <f t="shared" si="11"/>
        <v>12</v>
      </c>
      <c r="AF28" s="1">
        <f t="shared" si="11"/>
        <v>1.875</v>
      </c>
      <c r="AG28" s="1">
        <f t="shared" si="11"/>
        <v>0.9375</v>
      </c>
      <c r="AI28" s="44">
        <f>IF(C28="","",(C28-AC28)/AC28*100)</f>
        <v>-10.47619314025647</v>
      </c>
      <c r="AJ28" s="44" t="str">
        <f>IF(D28="","",(D28-AD28)/AD28*100)</f>
        <v/>
      </c>
      <c r="AK28" s="44">
        <f t="shared" si="12"/>
        <v>-6.1666666666666679</v>
      </c>
      <c r="AL28" s="44" t="str">
        <f t="shared" si="13"/>
        <v/>
      </c>
      <c r="AM28" s="44" t="str">
        <f t="shared" si="14"/>
        <v/>
      </c>
      <c r="AR28" s="1">
        <f t="shared" si="15"/>
        <v>304.8</v>
      </c>
      <c r="AT28">
        <f t="shared" si="16"/>
        <v>320.63204065042021</v>
      </c>
    </row>
    <row r="29" spans="1:54" x14ac:dyDescent="0.35">
      <c r="A29" s="1">
        <v>25</v>
      </c>
      <c r="B29" s="1">
        <f t="shared" si="2"/>
        <v>26</v>
      </c>
      <c r="C29" s="1">
        <v>161.80000000000001</v>
      </c>
      <c r="G29" s="1">
        <v>11.76</v>
      </c>
      <c r="T29" s="1">
        <f t="shared" si="3"/>
        <v>-9</v>
      </c>
      <c r="U29" s="1">
        <f t="shared" si="4"/>
        <v>6.1804697156983925</v>
      </c>
      <c r="V29" s="1">
        <f t="shared" si="5"/>
        <v>6.194064516129032</v>
      </c>
      <c r="W29" s="1">
        <f t="shared" si="6"/>
        <v>161.44487959336723</v>
      </c>
      <c r="X29" s="1">
        <f t="shared" si="7"/>
        <v>161.44487959336723</v>
      </c>
      <c r="Y29" s="1">
        <f t="shared" si="8"/>
        <v>40.361219898341808</v>
      </c>
      <c r="Z29" s="1">
        <f t="shared" si="9"/>
        <v>32.288975918673444</v>
      </c>
      <c r="AC29" s="1">
        <f t="shared" si="10"/>
        <v>177.35309523809525</v>
      </c>
      <c r="AD29" s="1">
        <f t="shared" si="11"/>
        <v>31.12</v>
      </c>
      <c r="AE29" s="1">
        <f t="shared" si="11"/>
        <v>12.448</v>
      </c>
      <c r="AF29" s="1">
        <f t="shared" si="11"/>
        <v>1.9450000000000001</v>
      </c>
      <c r="AG29" s="1">
        <f t="shared" si="11"/>
        <v>0.97250000000000003</v>
      </c>
      <c r="AI29" s="44">
        <f>IF(C29="","",(C29-AC29)/AC29*100)</f>
        <v>-8.7695651531851304</v>
      </c>
      <c r="AJ29" s="44" t="str">
        <f>IF(D29="","",(D29-AD29)/AD29*100)</f>
        <v/>
      </c>
      <c r="AK29" s="44">
        <f t="shared" si="12"/>
        <v>-5.5269922879177429</v>
      </c>
      <c r="AL29" s="44" t="str">
        <f t="shared" si="13"/>
        <v/>
      </c>
      <c r="AM29" s="44" t="str">
        <f t="shared" si="14"/>
        <v/>
      </c>
      <c r="AR29" s="1">
        <f t="shared" si="15"/>
        <v>323.60000000000002</v>
      </c>
      <c r="AT29">
        <f t="shared" si="16"/>
        <v>341.50266236995247</v>
      </c>
    </row>
    <row r="30" spans="1:54" x14ac:dyDescent="0.35">
      <c r="A30" s="1">
        <v>26</v>
      </c>
      <c r="B30" s="1">
        <f t="shared" si="2"/>
        <v>27</v>
      </c>
      <c r="C30" s="1">
        <v>168.9</v>
      </c>
      <c r="G30" s="1">
        <v>12.22</v>
      </c>
      <c r="T30" s="1">
        <f t="shared" si="3"/>
        <v>-10</v>
      </c>
      <c r="U30" s="1">
        <f t="shared" si="4"/>
        <v>5.9206631142687982</v>
      </c>
      <c r="V30" s="1">
        <f t="shared" si="5"/>
        <v>5.9125161290322588</v>
      </c>
      <c r="W30" s="1">
        <f t="shared" si="6"/>
        <v>169.13273100257516</v>
      </c>
      <c r="X30" s="1">
        <f t="shared" si="7"/>
        <v>169.13273100257516</v>
      </c>
      <c r="Y30" s="1">
        <f t="shared" si="8"/>
        <v>42.283182750643789</v>
      </c>
      <c r="Z30" s="1">
        <f t="shared" si="9"/>
        <v>33.826546200515033</v>
      </c>
      <c r="AC30" s="1">
        <f t="shared" si="10"/>
        <v>184.75785714285712</v>
      </c>
      <c r="AD30" s="1">
        <f t="shared" si="11"/>
        <v>32.28</v>
      </c>
      <c r="AE30" s="1">
        <f t="shared" si="11"/>
        <v>12.912000000000001</v>
      </c>
      <c r="AF30" s="1">
        <f t="shared" si="11"/>
        <v>2.0175000000000001</v>
      </c>
      <c r="AG30" s="1">
        <f t="shared" si="11"/>
        <v>1.00875</v>
      </c>
      <c r="AI30" s="44">
        <f>IF(C30="","",(C30-AC30)/AC30*100)</f>
        <v>-8.5830488554517146</v>
      </c>
      <c r="AJ30" s="44" t="str">
        <f>IF(D30="","",(D30-AD30)/AD30*100)</f>
        <v/>
      </c>
      <c r="AK30" s="44">
        <f t="shared" si="12"/>
        <v>-5.3593556381660479</v>
      </c>
      <c r="AL30" s="44" t="str">
        <f t="shared" si="13"/>
        <v/>
      </c>
      <c r="AM30" s="44" t="str">
        <f t="shared" si="14"/>
        <v/>
      </c>
      <c r="AR30" s="1">
        <f t="shared" si="15"/>
        <v>337.8</v>
      </c>
      <c r="AT30">
        <f t="shared" si="16"/>
        <v>357.35579561702798</v>
      </c>
    </row>
    <row r="31" spans="1:54" x14ac:dyDescent="0.35">
      <c r="A31" s="1">
        <v>27</v>
      </c>
      <c r="B31" s="1">
        <f t="shared" si="2"/>
        <v>28</v>
      </c>
      <c r="C31" s="1">
        <v>178.6</v>
      </c>
      <c r="G31" s="1">
        <v>12.85</v>
      </c>
      <c r="T31" s="1">
        <f t="shared" si="3"/>
        <v>-11</v>
      </c>
      <c r="U31" s="1">
        <f t="shared" si="4"/>
        <v>5.5991041433370663</v>
      </c>
      <c r="V31" s="1">
        <f t="shared" si="5"/>
        <v>5.6309677419354838</v>
      </c>
      <c r="W31" s="1">
        <f t="shared" si="6"/>
        <v>177.58936755270398</v>
      </c>
      <c r="X31" s="1">
        <f t="shared" si="7"/>
        <v>177.58936755270398</v>
      </c>
      <c r="Y31" s="1">
        <f t="shared" si="8"/>
        <v>44.397341888175994</v>
      </c>
      <c r="Z31" s="1">
        <f t="shared" si="9"/>
        <v>35.517873510540795</v>
      </c>
      <c r="AC31" s="1">
        <f t="shared" si="10"/>
        <v>192.44833333333332</v>
      </c>
      <c r="AD31" s="1">
        <f t="shared" si="11"/>
        <v>33.479999999999997</v>
      </c>
      <c r="AE31" s="1">
        <f t="shared" si="11"/>
        <v>13.391999999999999</v>
      </c>
      <c r="AF31" s="1">
        <f t="shared" si="11"/>
        <v>2.0924999999999998</v>
      </c>
      <c r="AG31" s="1">
        <f t="shared" si="11"/>
        <v>1.0462499999999999</v>
      </c>
      <c r="AI31" s="44">
        <f>IF(C31="","",(C31-AC31)/AC31*100)</f>
        <v>-7.1958707531891655</v>
      </c>
      <c r="AJ31" s="44" t="str">
        <f>IF(D31="","",(D31-AD31)/AD31*100)</f>
        <v/>
      </c>
      <c r="AK31" s="44">
        <f t="shared" si="12"/>
        <v>-4.0471923536439656</v>
      </c>
      <c r="AL31" s="44" t="str">
        <f t="shared" si="13"/>
        <v/>
      </c>
      <c r="AM31" s="44" t="str">
        <f t="shared" si="14"/>
        <v/>
      </c>
      <c r="AR31" s="1">
        <f t="shared" si="15"/>
        <v>357.2</v>
      </c>
      <c r="AT31">
        <f t="shared" si="16"/>
        <v>379.13943415243864</v>
      </c>
    </row>
    <row r="32" spans="1:54" x14ac:dyDescent="0.35">
      <c r="A32" s="1">
        <v>28</v>
      </c>
      <c r="B32" s="1">
        <f t="shared" si="2"/>
        <v>29</v>
      </c>
      <c r="C32" s="1">
        <v>186.6</v>
      </c>
      <c r="G32" s="1">
        <v>13.26</v>
      </c>
      <c r="T32" s="1">
        <f t="shared" si="3"/>
        <v>-12</v>
      </c>
      <c r="U32" s="1">
        <f t="shared" si="4"/>
        <v>5.3590568060021431</v>
      </c>
      <c r="V32" s="1">
        <f t="shared" si="5"/>
        <v>5.3494193548387097</v>
      </c>
      <c r="W32" s="1">
        <f t="shared" si="6"/>
        <v>186.93617637126729</v>
      </c>
      <c r="X32" s="1">
        <f t="shared" si="7"/>
        <v>186.93617637126729</v>
      </c>
      <c r="Y32" s="1">
        <f t="shared" si="8"/>
        <v>46.734044092816823</v>
      </c>
      <c r="Z32" s="1">
        <f t="shared" si="9"/>
        <v>37.387235274253456</v>
      </c>
      <c r="AC32" s="1">
        <f t="shared" si="10"/>
        <v>200.42452380952381</v>
      </c>
      <c r="AD32" s="1">
        <f t="shared" si="11"/>
        <v>34.72</v>
      </c>
      <c r="AE32" s="1">
        <f t="shared" si="11"/>
        <v>13.888</v>
      </c>
      <c r="AF32" s="1">
        <f t="shared" si="11"/>
        <v>2.17</v>
      </c>
      <c r="AG32" s="1">
        <f t="shared" si="11"/>
        <v>1.085</v>
      </c>
      <c r="AI32" s="44">
        <f>IF(C32="","",(C32-AC32)/AC32*100)</f>
        <v>-6.8976208832917756</v>
      </c>
      <c r="AJ32" s="44" t="str">
        <f>IF(D32="","",(D32-AD32)/AD32*100)</f>
        <v/>
      </c>
      <c r="AK32" s="44">
        <f t="shared" si="12"/>
        <v>-4.5218894009216593</v>
      </c>
      <c r="AL32" s="44" t="str">
        <f t="shared" si="13"/>
        <v/>
      </c>
      <c r="AM32" s="44" t="str">
        <f t="shared" si="14"/>
        <v/>
      </c>
      <c r="AR32" s="1">
        <f t="shared" si="15"/>
        <v>373.2</v>
      </c>
      <c r="AT32">
        <f t="shared" si="16"/>
        <v>397.21498228497813</v>
      </c>
    </row>
    <row r="33" spans="1:46" x14ac:dyDescent="0.35">
      <c r="A33" s="1">
        <v>29</v>
      </c>
      <c r="B33" s="1">
        <f t="shared" si="2"/>
        <v>30</v>
      </c>
      <c r="C33" s="1">
        <v>198.4</v>
      </c>
      <c r="G33" s="1">
        <v>13.97</v>
      </c>
      <c r="T33" s="1">
        <f t="shared" si="3"/>
        <v>-13</v>
      </c>
      <c r="U33" s="1">
        <f t="shared" si="4"/>
        <v>5.040322580645161</v>
      </c>
      <c r="V33" s="1">
        <f t="shared" si="5"/>
        <v>5.0678709677419347</v>
      </c>
      <c r="W33" s="1">
        <f t="shared" si="6"/>
        <v>197.32151950300442</v>
      </c>
      <c r="X33" s="1">
        <f t="shared" si="7"/>
        <v>197.32151950300442</v>
      </c>
      <c r="Y33" s="1">
        <f t="shared" si="8"/>
        <v>49.330379875751106</v>
      </c>
      <c r="Z33" s="1">
        <f t="shared" si="9"/>
        <v>39.464303900600882</v>
      </c>
      <c r="AC33" s="1">
        <f t="shared" si="10"/>
        <v>208.68642857142856</v>
      </c>
      <c r="AD33" s="1">
        <f t="shared" si="11"/>
        <v>36</v>
      </c>
      <c r="AE33" s="1">
        <f t="shared" si="11"/>
        <v>14.4</v>
      </c>
      <c r="AF33" s="1">
        <f t="shared" si="11"/>
        <v>2.25</v>
      </c>
      <c r="AG33" s="1">
        <f t="shared" si="11"/>
        <v>1.125</v>
      </c>
      <c r="AI33" s="44">
        <f>IF(C33="","",(C33-AC33)/AC33*100)</f>
        <v>-4.9291315404862326</v>
      </c>
      <c r="AJ33" s="44" t="str">
        <f>IF(D33="","",(D33-AD33)/AD33*100)</f>
        <v/>
      </c>
      <c r="AK33" s="44">
        <f t="shared" si="12"/>
        <v>-2.9861111111111094</v>
      </c>
      <c r="AL33" s="44" t="str">
        <f t="shared" si="13"/>
        <v/>
      </c>
      <c r="AM33" s="44" t="str">
        <f t="shared" si="14"/>
        <v/>
      </c>
      <c r="AR33" s="1">
        <f t="shared" si="15"/>
        <v>396.8</v>
      </c>
      <c r="AT33">
        <f t="shared" si="16"/>
        <v>424.05920413662915</v>
      </c>
    </row>
    <row r="34" spans="1:46" x14ac:dyDescent="0.35">
      <c r="A34" s="1">
        <v>30</v>
      </c>
      <c r="B34" s="1">
        <f t="shared" si="2"/>
        <v>31</v>
      </c>
      <c r="C34" s="1">
        <v>210.1</v>
      </c>
      <c r="G34" s="1">
        <v>14.62</v>
      </c>
      <c r="T34" s="1">
        <f t="shared" si="3"/>
        <v>-14</v>
      </c>
      <c r="U34" s="1">
        <f t="shared" si="4"/>
        <v>4.7596382674916704</v>
      </c>
      <c r="V34" s="1">
        <f t="shared" si="5"/>
        <v>4.7863225806451606</v>
      </c>
      <c r="W34" s="1">
        <f t="shared" si="6"/>
        <v>208.92866770906352</v>
      </c>
      <c r="X34" s="1">
        <f t="shared" si="7"/>
        <v>208.92866770906352</v>
      </c>
      <c r="Y34" s="1">
        <f t="shared" si="8"/>
        <v>52.23216692726588</v>
      </c>
      <c r="Z34" s="1">
        <f t="shared" si="9"/>
        <v>41.785733541812704</v>
      </c>
      <c r="AC34" s="1">
        <f t="shared" si="10"/>
        <v>217.2340476190476</v>
      </c>
      <c r="AD34" s="1">
        <f t="shared" si="11"/>
        <v>37.32</v>
      </c>
      <c r="AE34" s="1">
        <f t="shared" si="11"/>
        <v>14.928000000000001</v>
      </c>
      <c r="AF34" s="1">
        <f t="shared" si="11"/>
        <v>2.3325</v>
      </c>
      <c r="AG34" s="1">
        <f t="shared" si="11"/>
        <v>1.16625</v>
      </c>
      <c r="AI34" s="44">
        <f>IF(C34="","",(C34-AC34)/AC34*100)</f>
        <v>-3.2840375149471162</v>
      </c>
      <c r="AJ34" s="44" t="str">
        <f>IF(D34="","",(D34-AD34)/AD34*100)</f>
        <v/>
      </c>
      <c r="AK34" s="44">
        <f t="shared" si="12"/>
        <v>-2.0632368703108357</v>
      </c>
      <c r="AL34" s="44" t="str">
        <f t="shared" si="13"/>
        <v/>
      </c>
      <c r="AM34" s="44" t="str">
        <f t="shared" si="14"/>
        <v/>
      </c>
      <c r="AR34" s="1">
        <f t="shared" si="15"/>
        <v>420.2</v>
      </c>
      <c r="AT34">
        <f t="shared" si="16"/>
        <v>450.89339558137345</v>
      </c>
    </row>
    <row r="35" spans="1:46" x14ac:dyDescent="0.35">
      <c r="A35" s="1">
        <v>31</v>
      </c>
      <c r="B35" s="1">
        <f t="shared" si="2"/>
        <v>32</v>
      </c>
      <c r="C35" s="1">
        <v>225.2</v>
      </c>
      <c r="G35" s="1">
        <v>15.48</v>
      </c>
      <c r="M35" s="1">
        <v>2.4300000000000002</v>
      </c>
      <c r="R35" s="1">
        <v>1.21</v>
      </c>
      <c r="T35" s="1">
        <f t="shared" si="3"/>
        <v>-15</v>
      </c>
      <c r="U35" s="1">
        <f t="shared" si="4"/>
        <v>4.4404973357015987</v>
      </c>
      <c r="V35" s="1">
        <f t="shared" si="5"/>
        <v>4.5047741935483865</v>
      </c>
      <c r="W35" s="36">
        <f t="shared" si="6"/>
        <v>221.98670944087996</v>
      </c>
      <c r="X35" s="57">
        <f t="shared" si="7"/>
        <v>221.98670944087996</v>
      </c>
      <c r="Y35" s="1">
        <f t="shared" si="8"/>
        <v>55.496677360219991</v>
      </c>
      <c r="Z35" s="1">
        <f t="shared" si="9"/>
        <v>44.397341888175994</v>
      </c>
      <c r="AC35" s="1">
        <f t="shared" si="10"/>
        <v>226.06738095238092</v>
      </c>
      <c r="AD35" s="1">
        <f t="shared" si="11"/>
        <v>38.680000000000007</v>
      </c>
      <c r="AE35" s="1">
        <f t="shared" si="11"/>
        <v>15.472000000000003</v>
      </c>
      <c r="AF35" s="1">
        <f t="shared" si="11"/>
        <v>2.4175000000000004</v>
      </c>
      <c r="AG35" s="1">
        <f t="shared" si="11"/>
        <v>1.2087500000000002</v>
      </c>
      <c r="AI35" s="44">
        <f>IF(C35="","",(C35-AC35)/AC35*100)</f>
        <v>-0.38368248825938883</v>
      </c>
      <c r="AJ35" s="44" t="str">
        <f>IF(D35="","",(D35-AD35)/AD35*100)</f>
        <v/>
      </c>
      <c r="AK35" s="44">
        <f t="shared" si="12"/>
        <v>5.170630816957951E-2</v>
      </c>
      <c r="AL35" s="44">
        <f t="shared" si="13"/>
        <v>0.51706308169595583</v>
      </c>
      <c r="AM35" s="44">
        <f t="shared" si="14"/>
        <v>0.10341261633917279</v>
      </c>
      <c r="AR35" s="1">
        <f t="shared" si="15"/>
        <v>450.4</v>
      </c>
      <c r="AT35">
        <f t="shared" si="16"/>
        <v>485.84994399349665</v>
      </c>
    </row>
    <row r="74" spans="1:44" x14ac:dyDescent="0.35">
      <c r="B74" s="1">
        <f>1/0.071</f>
        <v>14.084507042253522</v>
      </c>
      <c r="C74" s="1">
        <f>1/0.0398</f>
        <v>25.125628140703515</v>
      </c>
    </row>
    <row r="75" spans="1:44" x14ac:dyDescent="0.35">
      <c r="B75" s="1">
        <f>0.071/0.0398</f>
        <v>1.7839195979899496</v>
      </c>
      <c r="C75" s="1">
        <f>0.0398/0.071</f>
        <v>0.56056338028169017</v>
      </c>
      <c r="E75" s="1">
        <f>1/B75</f>
        <v>0.56056338028169017</v>
      </c>
      <c r="F75" s="1">
        <f>1/C75</f>
        <v>1.7839195979899496</v>
      </c>
    </row>
    <row r="77" spans="1:44" s="3" customFormat="1" x14ac:dyDescent="0.35">
      <c r="A77" s="2"/>
      <c r="B77" s="2"/>
      <c r="C77" s="2"/>
      <c r="D77" s="9" t="s">
        <v>44</v>
      </c>
      <c r="E77" s="9" t="s">
        <v>44</v>
      </c>
      <c r="F77" s="9" t="s">
        <v>44</v>
      </c>
      <c r="G77" s="9" t="s">
        <v>44</v>
      </c>
      <c r="H77" s="9" t="s">
        <v>44</v>
      </c>
      <c r="I77" s="2" t="s">
        <v>44</v>
      </c>
      <c r="J77" s="9" t="s">
        <v>44</v>
      </c>
      <c r="K77" s="9" t="s">
        <v>44</v>
      </c>
      <c r="L77" s="2" t="s">
        <v>43</v>
      </c>
      <c r="M77" s="2" t="s">
        <v>43</v>
      </c>
      <c r="N77" s="2" t="s">
        <v>43</v>
      </c>
      <c r="O77" s="2" t="s">
        <v>43</v>
      </c>
      <c r="P77" s="2" t="s">
        <v>43</v>
      </c>
      <c r="Q77" s="2" t="s">
        <v>43</v>
      </c>
      <c r="R77" s="2" t="s">
        <v>43</v>
      </c>
      <c r="S77" s="2" t="s">
        <v>42</v>
      </c>
      <c r="T77" s="2"/>
      <c r="U77" s="2"/>
      <c r="V77" s="2"/>
      <c r="W77" s="2"/>
      <c r="X77" s="2"/>
      <c r="Y77" s="2"/>
      <c r="Z77" s="2"/>
      <c r="AA77" s="2"/>
      <c r="AB77" s="2"/>
      <c r="AC77" s="2" t="s">
        <v>42</v>
      </c>
      <c r="AD77" s="2" t="s">
        <v>42</v>
      </c>
      <c r="AE77" s="2" t="s">
        <v>42</v>
      </c>
      <c r="AF77" s="2" t="s">
        <v>42</v>
      </c>
      <c r="AG77" s="2" t="s">
        <v>42</v>
      </c>
      <c r="AH77" s="2" t="s">
        <v>42</v>
      </c>
      <c r="AI77" s="40"/>
      <c r="AJ77" s="40"/>
      <c r="AK77" s="40"/>
      <c r="AL77" s="40"/>
      <c r="AM77" s="40"/>
      <c r="AR77" s="2"/>
    </row>
    <row r="78" spans="1:44" s="3" customFormat="1" x14ac:dyDescent="0.35">
      <c r="A78" s="2"/>
      <c r="B78" s="2" t="s">
        <v>25</v>
      </c>
      <c r="C78" s="2" t="s">
        <v>26</v>
      </c>
      <c r="D78" s="9">
        <v>1</v>
      </c>
      <c r="E78" s="2">
        <v>2</v>
      </c>
      <c r="F78" s="2">
        <v>5</v>
      </c>
      <c r="G78" s="2">
        <v>10</v>
      </c>
      <c r="H78" s="2">
        <v>16</v>
      </c>
      <c r="I78" s="2">
        <v>24</v>
      </c>
      <c r="J78" s="2">
        <v>20</v>
      </c>
      <c r="K78" s="2">
        <v>30</v>
      </c>
      <c r="L78" s="9">
        <v>1</v>
      </c>
      <c r="M78" s="2">
        <v>2</v>
      </c>
      <c r="N78" s="2">
        <v>5</v>
      </c>
      <c r="O78" s="2">
        <v>10</v>
      </c>
      <c r="P78" s="2">
        <v>16</v>
      </c>
      <c r="Q78" s="2">
        <v>20</v>
      </c>
      <c r="R78" s="2">
        <v>30</v>
      </c>
      <c r="S78" s="9">
        <v>1</v>
      </c>
      <c r="T78" s="9"/>
      <c r="U78" s="9"/>
      <c r="V78" s="9"/>
      <c r="W78" s="9"/>
      <c r="X78" s="9"/>
      <c r="Y78" s="9"/>
      <c r="Z78" s="9"/>
      <c r="AA78" s="9"/>
      <c r="AB78" s="9"/>
      <c r="AC78" s="2">
        <v>2</v>
      </c>
      <c r="AD78" s="2">
        <v>5</v>
      </c>
      <c r="AE78" s="2">
        <v>10</v>
      </c>
      <c r="AF78" s="2">
        <v>16</v>
      </c>
      <c r="AG78" s="2">
        <v>20</v>
      </c>
      <c r="AH78" s="2">
        <v>30</v>
      </c>
      <c r="AI78" s="40"/>
      <c r="AJ78" s="40"/>
      <c r="AK78" s="40"/>
      <c r="AL78" s="40"/>
      <c r="AM78" s="40"/>
      <c r="AR78" s="2"/>
    </row>
    <row r="79" spans="1:44" s="5" customFormat="1" x14ac:dyDescent="0.35">
      <c r="A79" s="6"/>
      <c r="B79" s="6">
        <v>63</v>
      </c>
      <c r="C79" s="6">
        <v>0</v>
      </c>
      <c r="D79" s="46">
        <f>D80/(B79+1)</f>
        <v>0.61124999999999996</v>
      </c>
      <c r="E79" s="6"/>
      <c r="F79" s="6"/>
      <c r="G79" s="6"/>
      <c r="L79" s="6"/>
      <c r="M79" s="6"/>
      <c r="N79" s="6"/>
      <c r="O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G79" s="6"/>
      <c r="AH79" s="6"/>
      <c r="AI79" s="41"/>
      <c r="AJ79" s="41"/>
      <c r="AK79" s="41"/>
      <c r="AL79" s="41"/>
      <c r="AM79" s="41"/>
      <c r="AR79" s="6"/>
    </row>
    <row r="80" spans="1:44" x14ac:dyDescent="0.35">
      <c r="B80" s="1">
        <v>0</v>
      </c>
      <c r="C80" s="1">
        <v>0</v>
      </c>
      <c r="D80" s="1">
        <v>39.119999999999997</v>
      </c>
      <c r="E80" s="1">
        <v>19.579999999999998</v>
      </c>
      <c r="F80" s="1">
        <v>7.82</v>
      </c>
      <c r="G80" s="1">
        <v>3.91</v>
      </c>
      <c r="H80" s="1">
        <v>2.44</v>
      </c>
      <c r="I80" s="1">
        <v>1.63</v>
      </c>
      <c r="J80" s="1">
        <v>1.95</v>
      </c>
      <c r="K80" s="1">
        <v>1.3</v>
      </c>
      <c r="L80" s="1">
        <v>2.44</v>
      </c>
      <c r="O80" s="1">
        <v>1.78</v>
      </c>
      <c r="Q80" s="1">
        <v>1.4</v>
      </c>
      <c r="R80" s="1">
        <v>0.97650000000000003</v>
      </c>
      <c r="S80" s="1">
        <v>2.44</v>
      </c>
      <c r="AA80" s="1"/>
      <c r="AB80" s="1"/>
      <c r="AE80" s="1">
        <v>1.78</v>
      </c>
      <c r="AF80" s="1"/>
      <c r="AG80" s="1">
        <v>1.1499999999999999</v>
      </c>
      <c r="AH80" s="1">
        <v>0.85029999999999994</v>
      </c>
    </row>
    <row r="81" spans="2:34" x14ac:dyDescent="0.35">
      <c r="B81" s="1">
        <v>63</v>
      </c>
      <c r="C81" s="1">
        <v>31</v>
      </c>
      <c r="S81" s="1"/>
      <c r="AA81" s="1"/>
      <c r="AB81" s="1"/>
      <c r="AF81" s="1"/>
      <c r="AG81" s="1"/>
      <c r="AH81" s="1"/>
    </row>
    <row r="82" spans="2:34" x14ac:dyDescent="0.35">
      <c r="B82" s="1">
        <v>0</v>
      </c>
      <c r="C82" s="1">
        <v>31</v>
      </c>
      <c r="D82" s="1">
        <v>116.8</v>
      </c>
      <c r="E82" s="1">
        <v>58.28</v>
      </c>
      <c r="F82" s="1">
        <v>23.32</v>
      </c>
      <c r="G82" s="1">
        <v>11.66</v>
      </c>
      <c r="H82" s="1">
        <v>7.3</v>
      </c>
      <c r="I82" s="1">
        <v>4.8499999999999996</v>
      </c>
      <c r="J82" s="1">
        <v>5.85</v>
      </c>
      <c r="K82" s="1">
        <v>3.89</v>
      </c>
      <c r="L82" s="1">
        <v>7.3</v>
      </c>
      <c r="O82" s="1">
        <v>5.32</v>
      </c>
      <c r="Q82" s="1">
        <v>4.17</v>
      </c>
      <c r="R82" s="1">
        <v>2.92</v>
      </c>
      <c r="S82" s="1">
        <v>7.3</v>
      </c>
      <c r="AA82" s="1"/>
      <c r="AB82" s="1"/>
      <c r="AE82" s="1">
        <v>5.31</v>
      </c>
      <c r="AF82" s="1"/>
      <c r="AG82" s="1">
        <v>3.43</v>
      </c>
      <c r="AH82" s="1">
        <v>2.54</v>
      </c>
    </row>
    <row r="83" spans="2:34" x14ac:dyDescent="0.35">
      <c r="B83" s="47" t="s">
        <v>46</v>
      </c>
      <c r="S83" s="1"/>
      <c r="AA83" s="1"/>
      <c r="AB83" s="1"/>
      <c r="AF83" s="1"/>
      <c r="AG83" s="1"/>
      <c r="AH83" s="1"/>
    </row>
    <row r="84" spans="2:34" x14ac:dyDescent="0.35">
      <c r="B84" s="1">
        <f>B79</f>
        <v>63</v>
      </c>
      <c r="C84" s="1">
        <f>C79</f>
        <v>0</v>
      </c>
      <c r="D84" s="49">
        <f>D79*2</f>
        <v>1.2224999999999999</v>
      </c>
      <c r="E84" s="42"/>
      <c r="F84" s="42"/>
      <c r="G84" s="42"/>
      <c r="S84" s="1"/>
      <c r="AA84" s="1"/>
      <c r="AB84" s="1"/>
      <c r="AF84" s="1"/>
      <c r="AG84" s="1"/>
      <c r="AH84" s="1"/>
    </row>
    <row r="85" spans="2:34" x14ac:dyDescent="0.35">
      <c r="B85" s="1">
        <f t="shared" ref="B85:C85" si="17">B80</f>
        <v>0</v>
      </c>
      <c r="C85" s="1">
        <f t="shared" si="17"/>
        <v>0</v>
      </c>
      <c r="D85" s="42">
        <f>D80*2</f>
        <v>78.239999999999995</v>
      </c>
      <c r="E85" s="42">
        <f>E80*2</f>
        <v>39.159999999999997</v>
      </c>
      <c r="F85" s="42">
        <f>F80*2</f>
        <v>15.64</v>
      </c>
      <c r="G85" s="42">
        <f>G80*2</f>
        <v>7.82</v>
      </c>
      <c r="H85" s="42">
        <f>H80*2</f>
        <v>4.88</v>
      </c>
      <c r="I85" s="42">
        <f>I80*2</f>
        <v>3.26</v>
      </c>
      <c r="J85" s="42">
        <f>J80*2</f>
        <v>3.9</v>
      </c>
      <c r="K85" s="42">
        <f>K80*2</f>
        <v>2.6</v>
      </c>
      <c r="L85" s="42">
        <f>L80*2</f>
        <v>4.88</v>
      </c>
      <c r="O85" s="42">
        <f>O80*2</f>
        <v>3.56</v>
      </c>
      <c r="Q85" s="42">
        <f>Q80*2</f>
        <v>2.8</v>
      </c>
      <c r="R85" s="42">
        <f>R80*2</f>
        <v>1.9530000000000001</v>
      </c>
      <c r="S85" s="42">
        <f>S80*2</f>
        <v>4.88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>
        <f>AE80*2</f>
        <v>3.56</v>
      </c>
      <c r="AF85" s="1"/>
      <c r="AG85" s="42">
        <f>AG80*2</f>
        <v>2.2999999999999998</v>
      </c>
      <c r="AH85" s="42">
        <f>AH80*2</f>
        <v>1.7005999999999999</v>
      </c>
    </row>
    <row r="86" spans="2:34" x14ac:dyDescent="0.35">
      <c r="B86" s="1">
        <f t="shared" ref="B86:C86" si="18">B81</f>
        <v>63</v>
      </c>
      <c r="C86" s="1">
        <f t="shared" si="18"/>
        <v>31</v>
      </c>
      <c r="D86" s="42"/>
      <c r="E86" s="42"/>
      <c r="F86" s="42"/>
      <c r="G86" s="42"/>
      <c r="H86" s="42"/>
      <c r="I86" s="42"/>
      <c r="J86" s="42"/>
      <c r="K86" s="42"/>
      <c r="S86" s="1"/>
      <c r="AA86" s="1"/>
      <c r="AB86" s="1"/>
      <c r="AF86" s="1"/>
      <c r="AG86" s="1"/>
      <c r="AH86" s="1"/>
    </row>
    <row r="87" spans="2:34" x14ac:dyDescent="0.35">
      <c r="B87" s="1">
        <f t="shared" ref="B87:C87" si="19">B82</f>
        <v>0</v>
      </c>
      <c r="C87" s="1">
        <f t="shared" si="19"/>
        <v>31</v>
      </c>
      <c r="D87" s="49">
        <f>D82*2</f>
        <v>233.6</v>
      </c>
      <c r="E87" s="42">
        <f t="shared" ref="E87:G87" si="20">E82*2</f>
        <v>116.56</v>
      </c>
      <c r="F87" s="42">
        <f t="shared" si="20"/>
        <v>46.64</v>
      </c>
      <c r="G87" s="42">
        <f t="shared" si="20"/>
        <v>23.32</v>
      </c>
      <c r="H87" s="42">
        <f t="shared" ref="H87:I87" si="21">H82*2</f>
        <v>14.6</v>
      </c>
      <c r="I87" s="42">
        <f t="shared" si="21"/>
        <v>9.6999999999999993</v>
      </c>
      <c r="J87" s="42">
        <f t="shared" ref="J87:K87" si="22">J82*2</f>
        <v>11.7</v>
      </c>
      <c r="K87" s="42">
        <f t="shared" si="22"/>
        <v>7.78</v>
      </c>
      <c r="L87" s="42">
        <f>L82*2</f>
        <v>14.6</v>
      </c>
      <c r="O87" s="42">
        <f>O82*2</f>
        <v>10.64</v>
      </c>
      <c r="Q87" s="42">
        <f>Q82*2</f>
        <v>8.34</v>
      </c>
      <c r="R87" s="42">
        <f>R82*2</f>
        <v>5.84</v>
      </c>
      <c r="S87" s="42">
        <f>S82*2</f>
        <v>14.6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>
        <f>AE82*2</f>
        <v>10.62</v>
      </c>
      <c r="AF87" s="1"/>
      <c r="AG87" s="42">
        <f>AG82*2</f>
        <v>6.86</v>
      </c>
      <c r="AH87" s="42">
        <f>AH82*2</f>
        <v>5.08</v>
      </c>
    </row>
    <row r="88" spans="2:34" x14ac:dyDescent="0.35">
      <c r="B88" s="47" t="s">
        <v>47</v>
      </c>
      <c r="S88" s="1"/>
      <c r="AA88" s="1"/>
      <c r="AB88" s="1"/>
      <c r="AF88" s="1"/>
      <c r="AG88" s="1"/>
      <c r="AH88" s="1"/>
    </row>
    <row r="89" spans="2:34" x14ac:dyDescent="0.35">
      <c r="B89" s="1">
        <v>0</v>
      </c>
      <c r="C89" s="1">
        <v>0</v>
      </c>
      <c r="D89" s="1">
        <f>D85*D78</f>
        <v>78.239999999999995</v>
      </c>
      <c r="E89" s="1">
        <f>E85*E78</f>
        <v>78.319999999999993</v>
      </c>
      <c r="F89" s="1">
        <f>F85*F78</f>
        <v>78.2</v>
      </c>
      <c r="G89" s="1">
        <f>G85*G78</f>
        <v>78.2</v>
      </c>
      <c r="H89" s="1">
        <f>H85*H78</f>
        <v>78.08</v>
      </c>
      <c r="I89" s="1">
        <f>I85*I78</f>
        <v>78.239999999999995</v>
      </c>
      <c r="J89" s="1">
        <f>J85*J78</f>
        <v>78</v>
      </c>
      <c r="K89" s="1">
        <f>K85*K78</f>
        <v>78</v>
      </c>
      <c r="L89" s="1">
        <f>L85*L78</f>
        <v>4.88</v>
      </c>
      <c r="O89" s="1">
        <f>O85*O78</f>
        <v>35.6</v>
      </c>
      <c r="Q89" s="1">
        <f>Q85*Q78</f>
        <v>56</v>
      </c>
      <c r="R89" s="1">
        <f>R85*R78</f>
        <v>58.59</v>
      </c>
      <c r="S89" s="1">
        <f>S85*S78</f>
        <v>4.88</v>
      </c>
      <c r="AA89" s="1"/>
      <c r="AB89" s="1"/>
      <c r="AE89" s="1">
        <f>AE85*AE78</f>
        <v>35.6</v>
      </c>
      <c r="AF89" s="1"/>
      <c r="AG89" s="1">
        <f>AG85*AG78</f>
        <v>46</v>
      </c>
      <c r="AH89" s="1">
        <f>AH85*AH78</f>
        <v>51.017999999999994</v>
      </c>
    </row>
    <row r="90" spans="2:34" x14ac:dyDescent="0.35">
      <c r="B90" s="1">
        <v>0</v>
      </c>
      <c r="C90" s="1">
        <v>31</v>
      </c>
      <c r="D90" s="1">
        <f>D87*D78</f>
        <v>233.6</v>
      </c>
      <c r="E90" s="1">
        <f>E87*E78</f>
        <v>233.12</v>
      </c>
      <c r="F90" s="1">
        <f>F87*F78</f>
        <v>233.2</v>
      </c>
      <c r="G90" s="1">
        <f>G87*G78</f>
        <v>233.2</v>
      </c>
      <c r="H90" s="1">
        <f>H87*H78</f>
        <v>233.6</v>
      </c>
      <c r="I90" s="1">
        <f>I87*I78</f>
        <v>232.79999999999998</v>
      </c>
      <c r="J90" s="1">
        <f>J87*J78</f>
        <v>234</v>
      </c>
      <c r="K90" s="1">
        <f>K87*K78</f>
        <v>233.4</v>
      </c>
      <c r="L90" s="1">
        <f>L87*L78</f>
        <v>14.6</v>
      </c>
      <c r="O90" s="1">
        <f>O87*O78</f>
        <v>106.4</v>
      </c>
      <c r="Q90" s="1">
        <f>Q87*Q78</f>
        <v>166.8</v>
      </c>
      <c r="R90" s="1">
        <f>R87*R78</f>
        <v>175.2</v>
      </c>
      <c r="S90" s="1">
        <f>S87*S78</f>
        <v>14.6</v>
      </c>
      <c r="AA90" s="1"/>
      <c r="AB90" s="1"/>
      <c r="AE90" s="1">
        <f>AE87*AE78</f>
        <v>106.19999999999999</v>
      </c>
      <c r="AF90" s="1"/>
      <c r="AG90" s="1">
        <f>AG87*AG78</f>
        <v>137.20000000000002</v>
      </c>
      <c r="AH90" s="1">
        <f>AH87*AH78</f>
        <v>152.4</v>
      </c>
    </row>
    <row r="91" spans="2:34" x14ac:dyDescent="0.35">
      <c r="B91" s="47" t="s">
        <v>48</v>
      </c>
      <c r="S91" s="1"/>
      <c r="AA91" s="1"/>
      <c r="AB91" s="1"/>
      <c r="AF91" s="1"/>
      <c r="AG91" s="1"/>
      <c r="AH91" s="1"/>
    </row>
    <row r="92" spans="2:34" x14ac:dyDescent="0.35">
      <c r="B92" s="1">
        <v>0</v>
      </c>
      <c r="C92" s="1">
        <v>0</v>
      </c>
      <c r="D92" s="48" t="s">
        <v>45</v>
      </c>
      <c r="L92" s="1">
        <f>$D89/L89</f>
        <v>16.032786885245901</v>
      </c>
      <c r="O92" s="1">
        <f>$D89/O89</f>
        <v>2.1977528089887639</v>
      </c>
      <c r="Q92" s="1">
        <f>$D89/Q89</f>
        <v>1.397142857142857</v>
      </c>
      <c r="R92" s="1">
        <f>$D89/R89</f>
        <v>1.3353814644137223</v>
      </c>
      <c r="S92" s="1">
        <f>$D89/S89</f>
        <v>16.032786885245901</v>
      </c>
      <c r="AA92" s="1"/>
      <c r="AB92" s="1"/>
      <c r="AE92" s="1">
        <f>$D89/AE89</f>
        <v>2.1977528089887639</v>
      </c>
      <c r="AF92" s="1"/>
      <c r="AG92" s="1">
        <f>$D89/AG89</f>
        <v>1.7008695652173913</v>
      </c>
      <c r="AH92" s="1">
        <f>$D89/AH89</f>
        <v>1.533576384805363</v>
      </c>
    </row>
    <row r="93" spans="2:34" x14ac:dyDescent="0.35">
      <c r="B93" s="1">
        <v>0</v>
      </c>
      <c r="C93" s="1">
        <v>31</v>
      </c>
      <c r="D93" s="48" t="s">
        <v>45</v>
      </c>
      <c r="L93" s="1">
        <f>$D90/L90</f>
        <v>16</v>
      </c>
      <c r="O93" s="1">
        <f>$D90/O90</f>
        <v>2.1954887218045109</v>
      </c>
      <c r="Q93" s="1">
        <f>$D90/Q90</f>
        <v>1.4004796163069544</v>
      </c>
      <c r="R93" s="1">
        <f>$D90/R90</f>
        <v>1.3333333333333335</v>
      </c>
      <c r="S93" s="1">
        <f>$D90/S90</f>
        <v>16</v>
      </c>
      <c r="AA93" s="1"/>
      <c r="AB93" s="1"/>
      <c r="AE93" s="1">
        <f>$D90/AE90</f>
        <v>2.1996233521657254</v>
      </c>
      <c r="AF93" s="1"/>
      <c r="AG93" s="1">
        <f>$D90/AG90</f>
        <v>1.7026239067055391</v>
      </c>
      <c r="AH93" s="1">
        <f>$D90/AH90</f>
        <v>1.5328083989501311</v>
      </c>
    </row>
    <row r="94" spans="2:34" x14ac:dyDescent="0.35">
      <c r="S94" s="1"/>
      <c r="AA94" s="1"/>
      <c r="AB94" s="1"/>
      <c r="AF94" s="1"/>
      <c r="AG94" s="1"/>
    </row>
    <row r="95" spans="2:34" x14ac:dyDescent="0.35">
      <c r="D95" s="48" t="s">
        <v>45</v>
      </c>
      <c r="L95" s="1">
        <f>$D80/L80</f>
        <v>16.032786885245901</v>
      </c>
      <c r="O95" s="1">
        <f>$G80/O80</f>
        <v>2.196629213483146</v>
      </c>
      <c r="Q95" s="1">
        <f>$J80/Q80</f>
        <v>1.392857142857143</v>
      </c>
      <c r="R95" s="1">
        <f>$J80/R80</f>
        <v>1.9969278033794162</v>
      </c>
      <c r="S95" s="1">
        <f>$D80/S80</f>
        <v>16.032786885245901</v>
      </c>
      <c r="AA95" s="1"/>
      <c r="AB95" s="1"/>
      <c r="AE95" s="1">
        <f>$G80/AE80</f>
        <v>2.196629213483146</v>
      </c>
      <c r="AF95" s="1"/>
      <c r="AG95" s="1">
        <f>$J80/AG80</f>
        <v>1.6956521739130437</v>
      </c>
      <c r="AH95" s="1">
        <f>$J80/AH80</f>
        <v>2.2933082441491242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2"/>
  <sheetViews>
    <sheetView topLeftCell="A4" workbookViewId="0">
      <selection activeCell="J10" sqref="J10"/>
    </sheetView>
  </sheetViews>
  <sheetFormatPr defaultRowHeight="14.5" x14ac:dyDescent="0.35"/>
  <cols>
    <col min="2" max="2" width="21.26953125" customWidth="1"/>
    <col min="3" max="3" width="12.90625" bestFit="1" customWidth="1"/>
    <col min="4" max="4" width="12.54296875" style="1" customWidth="1"/>
    <col min="6" max="6" width="3.54296875" customWidth="1"/>
    <col min="7" max="7" width="10.90625" customWidth="1"/>
    <col min="8" max="8" width="13.81640625" style="1" customWidth="1"/>
    <col min="10" max="10" width="52.90625" customWidth="1"/>
  </cols>
  <sheetData>
    <row r="3" spans="2:10" x14ac:dyDescent="0.35">
      <c r="C3" t="s">
        <v>188</v>
      </c>
    </row>
    <row r="4" spans="2:10" x14ac:dyDescent="0.35">
      <c r="C4" s="4" t="s">
        <v>194</v>
      </c>
      <c r="D4" s="1" t="s">
        <v>190</v>
      </c>
      <c r="E4" t="s">
        <v>196</v>
      </c>
      <c r="H4" s="1" t="s">
        <v>191</v>
      </c>
      <c r="I4" t="s">
        <v>195</v>
      </c>
    </row>
    <row r="5" spans="2:10" x14ac:dyDescent="0.35">
      <c r="C5" s="4" t="s">
        <v>189</v>
      </c>
      <c r="D5" s="1" t="s">
        <v>192</v>
      </c>
      <c r="E5" t="s">
        <v>197</v>
      </c>
      <c r="H5" s="1" t="s">
        <v>193</v>
      </c>
      <c r="I5" t="s">
        <v>198</v>
      </c>
    </row>
    <row r="6" spans="2:10" x14ac:dyDescent="0.35">
      <c r="C6" s="4" t="s">
        <v>102</v>
      </c>
      <c r="D6" s="56">
        <v>75570</v>
      </c>
      <c r="E6" t="s">
        <v>116</v>
      </c>
      <c r="G6" s="4" t="s">
        <v>98</v>
      </c>
      <c r="H6" s="56">
        <v>59376580</v>
      </c>
      <c r="I6" t="s">
        <v>116</v>
      </c>
    </row>
    <row r="7" spans="2:10" x14ac:dyDescent="0.35">
      <c r="C7" s="4" t="s">
        <v>103</v>
      </c>
      <c r="D7" s="56">
        <v>225987</v>
      </c>
      <c r="E7" t="s">
        <v>116</v>
      </c>
      <c r="G7" s="4" t="s">
        <v>99</v>
      </c>
      <c r="H7" s="56">
        <v>151410279</v>
      </c>
      <c r="I7" t="s">
        <v>116</v>
      </c>
    </row>
    <row r="8" spans="2:10" x14ac:dyDescent="0.35">
      <c r="C8" s="4" t="s">
        <v>104</v>
      </c>
      <c r="D8" s="56">
        <v>8728</v>
      </c>
      <c r="E8" t="s">
        <v>114</v>
      </c>
      <c r="G8" s="4" t="s">
        <v>100</v>
      </c>
      <c r="H8" s="56">
        <v>11558</v>
      </c>
      <c r="I8" t="s">
        <v>117</v>
      </c>
    </row>
    <row r="9" spans="2:10" x14ac:dyDescent="0.35">
      <c r="C9" s="4" t="s">
        <v>105</v>
      </c>
      <c r="D9" s="56">
        <v>31</v>
      </c>
      <c r="E9" t="s">
        <v>115</v>
      </c>
      <c r="G9" s="4" t="s">
        <v>101</v>
      </c>
      <c r="H9" s="56">
        <v>35</v>
      </c>
      <c r="I9" t="s">
        <v>115</v>
      </c>
    </row>
    <row r="10" spans="2:10" x14ac:dyDescent="0.35">
      <c r="C10" s="4" t="s">
        <v>109</v>
      </c>
      <c r="D10" s="61">
        <f>0.000001/0.000000001</f>
        <v>999.99999999999989</v>
      </c>
      <c r="E10" t="s">
        <v>113</v>
      </c>
      <c r="G10" s="4" t="s">
        <v>110</v>
      </c>
      <c r="H10" s="61">
        <f>0.000001/0.000000000001</f>
        <v>1000000</v>
      </c>
      <c r="I10" t="s">
        <v>118</v>
      </c>
    </row>
    <row r="11" spans="2:10" x14ac:dyDescent="0.35">
      <c r="C11" s="4"/>
      <c r="G11" s="4"/>
    </row>
    <row r="12" spans="2:10" x14ac:dyDescent="0.35">
      <c r="B12" s="4" t="s">
        <v>111</v>
      </c>
      <c r="D12" s="59">
        <v>104464</v>
      </c>
      <c r="E12" t="s">
        <v>116</v>
      </c>
      <c r="H12" s="59">
        <v>68822854</v>
      </c>
      <c r="I12" t="s">
        <v>116</v>
      </c>
      <c r="J12" t="s">
        <v>11</v>
      </c>
    </row>
    <row r="13" spans="2:10" x14ac:dyDescent="0.35">
      <c r="B13" s="60" t="s">
        <v>120</v>
      </c>
      <c r="D13" s="1" t="str">
        <f>IF(D12&lt;D6,"Low",IF(D12&gt;D7,"High","."))</f>
        <v>.</v>
      </c>
      <c r="H13" s="1" t="str">
        <f>IF(H12&lt;H6,"Low",IF(H12&gt;H7,"High","."))</f>
        <v>.</v>
      </c>
    </row>
    <row r="14" spans="2:10" x14ac:dyDescent="0.35">
      <c r="B14" s="4" t="s">
        <v>106</v>
      </c>
      <c r="D14" s="1">
        <f>D8</f>
        <v>8728</v>
      </c>
      <c r="E14" s="62" t="str">
        <f>IF(D14&gt;((2^32)-1),"OFL32",".")</f>
        <v>.</v>
      </c>
      <c r="H14" s="1">
        <f>H8</f>
        <v>11558</v>
      </c>
      <c r="I14" s="62" t="str">
        <f>IF(H14&gt;((2^32)-1),"OFL32",".")</f>
        <v>.</v>
      </c>
    </row>
    <row r="15" spans="2:10" x14ac:dyDescent="0.35">
      <c r="B15" s="4" t="s">
        <v>107</v>
      </c>
      <c r="D15" s="1">
        <f>D9</f>
        <v>31</v>
      </c>
      <c r="E15" s="62" t="str">
        <f t="shared" ref="E15:E31" si="0">IF(D15&gt;((2^32)-1),"OFL32",".")</f>
        <v>.</v>
      </c>
      <c r="H15" s="1">
        <f>H9</f>
        <v>35</v>
      </c>
      <c r="I15" s="62" t="str">
        <f t="shared" ref="I15:I31" si="1">IF(H15&gt;((2^32)-1),"OFL32",".")</f>
        <v>.</v>
      </c>
    </row>
    <row r="16" spans="2:10" x14ac:dyDescent="0.35">
      <c r="B16" s="4" t="s">
        <v>108</v>
      </c>
      <c r="D16" s="1">
        <f>D10</f>
        <v>999.99999999999989</v>
      </c>
      <c r="E16" s="62" t="str">
        <f t="shared" si="0"/>
        <v>.</v>
      </c>
      <c r="H16" s="1">
        <f>H10</f>
        <v>1000000</v>
      </c>
      <c r="I16" s="62" t="str">
        <f t="shared" si="1"/>
        <v>.</v>
      </c>
    </row>
    <row r="17" spans="2:10" x14ac:dyDescent="0.35">
      <c r="B17" s="4" t="s">
        <v>147</v>
      </c>
      <c r="E17" s="62"/>
      <c r="H17" s="1">
        <f>H12/1000</f>
        <v>68822.854000000007</v>
      </c>
      <c r="I17" s="62"/>
      <c r="J17" t="s">
        <v>148</v>
      </c>
    </row>
    <row r="18" spans="2:10" x14ac:dyDescent="0.35">
      <c r="B18" s="4" t="s">
        <v>123</v>
      </c>
      <c r="D18" s="1">
        <f>D12*D14</f>
        <v>911761792</v>
      </c>
      <c r="E18" s="62" t="str">
        <f t="shared" si="0"/>
        <v>.</v>
      </c>
      <c r="H18" s="1">
        <f>H14*H17</f>
        <v>795454546.53200006</v>
      </c>
      <c r="I18" s="62" t="str">
        <f t="shared" si="1"/>
        <v>.</v>
      </c>
      <c r="J18" t="s">
        <v>146</v>
      </c>
    </row>
    <row r="19" spans="2:10" x14ac:dyDescent="0.35">
      <c r="B19" s="4" t="s">
        <v>124</v>
      </c>
      <c r="D19" s="1">
        <f>INT(D18/D16)</f>
        <v>911761</v>
      </c>
      <c r="E19" s="62" t="str">
        <f t="shared" si="0"/>
        <v>.</v>
      </c>
      <c r="H19" s="1">
        <f>INT(H18/(H16/1000))</f>
        <v>795454</v>
      </c>
      <c r="I19" s="62" t="str">
        <f t="shared" si="1"/>
        <v>.</v>
      </c>
      <c r="J19" t="s">
        <v>122</v>
      </c>
    </row>
    <row r="20" spans="2:10" x14ac:dyDescent="0.35">
      <c r="B20" s="4" t="s">
        <v>129</v>
      </c>
      <c r="D20" s="1">
        <f>1000000</f>
        <v>1000000</v>
      </c>
      <c r="E20" s="62" t="str">
        <f t="shared" si="0"/>
        <v>.</v>
      </c>
      <c r="H20" s="1">
        <f>1000000</f>
        <v>1000000</v>
      </c>
      <c r="I20" s="62" t="str">
        <f t="shared" si="1"/>
        <v>.</v>
      </c>
      <c r="J20" t="s">
        <v>130</v>
      </c>
    </row>
    <row r="21" spans="2:10" x14ac:dyDescent="0.35">
      <c r="B21" s="4" t="s">
        <v>125</v>
      </c>
      <c r="D21" s="1">
        <f>D20*2^10</f>
        <v>1024000000</v>
      </c>
      <c r="E21" s="62" t="str">
        <f t="shared" si="0"/>
        <v>.</v>
      </c>
      <c r="H21" s="1">
        <f>H20*2^10</f>
        <v>1024000000</v>
      </c>
      <c r="I21" s="62" t="str">
        <f t="shared" si="1"/>
        <v>.</v>
      </c>
      <c r="J21" t="s">
        <v>126</v>
      </c>
    </row>
    <row r="22" spans="2:10" x14ac:dyDescent="0.35">
      <c r="B22" s="4" t="s">
        <v>127</v>
      </c>
      <c r="D22" s="1">
        <f>INT(D21/D19)</f>
        <v>1123</v>
      </c>
      <c r="E22" s="62" t="str">
        <f t="shared" si="0"/>
        <v>.</v>
      </c>
      <c r="H22" s="1">
        <f>INT(H21/H19)</f>
        <v>1287</v>
      </c>
      <c r="I22" s="62" t="str">
        <f t="shared" si="1"/>
        <v>.</v>
      </c>
      <c r="J22" t="s">
        <v>128</v>
      </c>
    </row>
    <row r="23" spans="2:10" x14ac:dyDescent="0.35">
      <c r="B23" s="4" t="s">
        <v>131</v>
      </c>
      <c r="D23" s="1">
        <f>(2^10)</f>
        <v>1024</v>
      </c>
      <c r="E23" s="62" t="str">
        <f t="shared" si="0"/>
        <v>.</v>
      </c>
      <c r="H23" s="1">
        <f>(2^10)</f>
        <v>1024</v>
      </c>
      <c r="I23" s="62" t="str">
        <f t="shared" si="1"/>
        <v>.</v>
      </c>
      <c r="J23" t="s">
        <v>132</v>
      </c>
    </row>
    <row r="24" spans="2:10" x14ac:dyDescent="0.35">
      <c r="B24" s="4" t="s">
        <v>133</v>
      </c>
      <c r="D24" s="1">
        <f>D22-D23</f>
        <v>99</v>
      </c>
      <c r="E24" s="62" t="str">
        <f t="shared" si="0"/>
        <v>.</v>
      </c>
      <c r="H24" s="1">
        <f>H22-H23</f>
        <v>263</v>
      </c>
      <c r="I24" s="62" t="str">
        <f t="shared" si="1"/>
        <v>.</v>
      </c>
      <c r="J24" t="s">
        <v>134</v>
      </c>
    </row>
    <row r="25" spans="2:10" x14ac:dyDescent="0.35">
      <c r="B25" s="4" t="s">
        <v>135</v>
      </c>
      <c r="D25" s="1">
        <f>D15*D24</f>
        <v>3069</v>
      </c>
      <c r="E25" s="62" t="str">
        <f t="shared" si="0"/>
        <v>.</v>
      </c>
      <c r="H25" s="1">
        <f>H15*H24</f>
        <v>9205</v>
      </c>
      <c r="I25" s="62" t="str">
        <f t="shared" si="1"/>
        <v>.</v>
      </c>
      <c r="J25" t="s">
        <v>136</v>
      </c>
    </row>
    <row r="26" spans="2:10" x14ac:dyDescent="0.35">
      <c r="B26" s="4" t="s">
        <v>137</v>
      </c>
      <c r="D26" s="1">
        <f>D25*2^1</f>
        <v>6138</v>
      </c>
      <c r="E26" s="62" t="str">
        <f t="shared" si="0"/>
        <v>.</v>
      </c>
      <c r="H26" s="1">
        <f>H25*2^1</f>
        <v>18410</v>
      </c>
      <c r="I26" s="62" t="str">
        <f t="shared" si="1"/>
        <v>.</v>
      </c>
      <c r="J26" t="s">
        <v>140</v>
      </c>
    </row>
    <row r="27" spans="2:10" x14ac:dyDescent="0.35">
      <c r="B27" s="4" t="s">
        <v>142</v>
      </c>
      <c r="D27" s="1">
        <f>D26+(2^10)/2^1</f>
        <v>6650</v>
      </c>
      <c r="E27" s="62" t="str">
        <f t="shared" si="0"/>
        <v>.</v>
      </c>
      <c r="H27" s="1">
        <f>H26+(2^10)/2^1</f>
        <v>18922</v>
      </c>
      <c r="I27" s="62" t="str">
        <f t="shared" si="1"/>
        <v>.</v>
      </c>
      <c r="J27" t="s">
        <v>141</v>
      </c>
    </row>
    <row r="28" spans="2:10" x14ac:dyDescent="0.35">
      <c r="B28" s="4" t="s">
        <v>138</v>
      </c>
      <c r="D28" s="1">
        <f>INT(D27/2^(10+1))</f>
        <v>3</v>
      </c>
      <c r="E28" s="62" t="str">
        <f t="shared" si="0"/>
        <v>.</v>
      </c>
      <c r="H28" s="1">
        <f>INT(H27/2^(10+1))</f>
        <v>9</v>
      </c>
      <c r="I28" s="62" t="str">
        <f t="shared" si="1"/>
        <v>.</v>
      </c>
      <c r="J28" t="s">
        <v>139</v>
      </c>
    </row>
    <row r="29" spans="2:10" x14ac:dyDescent="0.35">
      <c r="B29" s="4" t="s">
        <v>143</v>
      </c>
      <c r="D29" s="1">
        <f>(2^5)/(2^1)</f>
        <v>16</v>
      </c>
      <c r="E29" s="62" t="str">
        <f t="shared" si="0"/>
        <v>.</v>
      </c>
      <c r="H29" s="1">
        <f>(2^5)/(2^1)</f>
        <v>16</v>
      </c>
      <c r="I29" s="62" t="str">
        <f t="shared" si="1"/>
        <v>.</v>
      </c>
      <c r="J29" t="s">
        <v>144</v>
      </c>
    </row>
    <row r="30" spans="2:10" x14ac:dyDescent="0.35">
      <c r="B30" s="4" t="s">
        <v>121</v>
      </c>
      <c r="D30" s="1">
        <f>D29-D28</f>
        <v>13</v>
      </c>
      <c r="E30" s="62" t="str">
        <f t="shared" si="0"/>
        <v>.</v>
      </c>
      <c r="H30" s="1">
        <f>H29-H28</f>
        <v>7</v>
      </c>
      <c r="I30" s="62" t="str">
        <f t="shared" si="1"/>
        <v>.</v>
      </c>
      <c r="J30" t="s">
        <v>145</v>
      </c>
    </row>
    <row r="31" spans="2:10" x14ac:dyDescent="0.35">
      <c r="B31" s="4" t="s">
        <v>112</v>
      </c>
      <c r="D31" s="8">
        <f>_xlfn.BITAND(D30,((2^5)/(2^1)-1))</f>
        <v>13</v>
      </c>
      <c r="E31" s="62" t="str">
        <f t="shared" si="0"/>
        <v>.</v>
      </c>
      <c r="G31">
        <v>7</v>
      </c>
      <c r="H31" s="8">
        <f>_xlfn.BITAND(H30,((2^5)/(2^1)-1))</f>
        <v>7</v>
      </c>
      <c r="I31" s="62" t="str">
        <f t="shared" si="1"/>
        <v>.</v>
      </c>
      <c r="J31" t="s">
        <v>119</v>
      </c>
    </row>
    <row r="34" spans="1:8" s="5" customFormat="1" x14ac:dyDescent="0.35">
      <c r="A34" s="3" t="s">
        <v>149</v>
      </c>
      <c r="D34" s="6"/>
      <c r="H34" s="6"/>
    </row>
    <row r="36" spans="1:8" s="63" customFormat="1" ht="12" x14ac:dyDescent="0.3">
      <c r="A36" s="63" t="s">
        <v>161</v>
      </c>
      <c r="D36" s="64"/>
      <c r="H36" s="64"/>
    </row>
    <row r="37" spans="1:8" s="63" customFormat="1" ht="12" x14ac:dyDescent="0.3">
      <c r="A37" s="63" t="s">
        <v>157</v>
      </c>
      <c r="D37" s="64"/>
      <c r="H37" s="64"/>
    </row>
    <row r="38" spans="1:8" s="63" customFormat="1" ht="12" x14ac:dyDescent="0.3">
      <c r="A38" s="63" t="s">
        <v>158</v>
      </c>
      <c r="D38" s="64"/>
      <c r="H38" s="64"/>
    </row>
    <row r="39" spans="1:8" s="63" customFormat="1" ht="12" x14ac:dyDescent="0.3">
      <c r="A39" s="63" t="s">
        <v>159</v>
      </c>
      <c r="D39" s="64"/>
      <c r="H39" s="64"/>
    </row>
    <row r="40" spans="1:8" s="63" customFormat="1" ht="12" x14ac:dyDescent="0.3">
      <c r="A40" s="63" t="s">
        <v>160</v>
      </c>
      <c r="D40" s="64"/>
      <c r="H40" s="64"/>
    </row>
    <row r="41" spans="1:8" s="63" customFormat="1" ht="12" x14ac:dyDescent="0.3">
      <c r="A41" s="63" t="s">
        <v>156</v>
      </c>
      <c r="D41" s="64"/>
      <c r="H41" s="64"/>
    </row>
    <row r="42" spans="1:8" s="63" customFormat="1" ht="12" x14ac:dyDescent="0.3">
      <c r="D42" s="64"/>
      <c r="H42" s="64"/>
    </row>
    <row r="43" spans="1:8" s="63" customFormat="1" ht="12" x14ac:dyDescent="0.3">
      <c r="A43" s="63" t="s">
        <v>174</v>
      </c>
      <c r="D43" s="64"/>
      <c r="H43" s="64"/>
    </row>
    <row r="44" spans="1:8" s="63" customFormat="1" ht="12" x14ac:dyDescent="0.3">
      <c r="A44" s="63" t="s">
        <v>165</v>
      </c>
      <c r="D44" s="64"/>
      <c r="H44" s="64"/>
    </row>
    <row r="45" spans="1:8" s="63" customFormat="1" ht="12" x14ac:dyDescent="0.3">
      <c r="A45" s="63" t="s">
        <v>166</v>
      </c>
      <c r="D45" s="64"/>
      <c r="H45" s="64"/>
    </row>
    <row r="46" spans="1:8" s="63" customFormat="1" ht="12" x14ac:dyDescent="0.3">
      <c r="A46" s="63" t="s">
        <v>171</v>
      </c>
      <c r="D46" s="64"/>
      <c r="H46" s="64"/>
    </row>
    <row r="47" spans="1:8" s="63" customFormat="1" ht="12" x14ac:dyDescent="0.3">
      <c r="A47" s="63" t="s">
        <v>172</v>
      </c>
      <c r="D47" s="64"/>
      <c r="H47" s="64"/>
    </row>
    <row r="48" spans="1:8" s="63" customFormat="1" ht="12" x14ac:dyDescent="0.3">
      <c r="A48" s="63" t="s">
        <v>156</v>
      </c>
      <c r="D48" s="64"/>
      <c r="H48" s="64"/>
    </row>
    <row r="49" spans="1:8" s="63" customFormat="1" ht="12" x14ac:dyDescent="0.3">
      <c r="D49" s="64"/>
      <c r="H49" s="64"/>
    </row>
    <row r="50" spans="1:8" s="63" customFormat="1" ht="12" x14ac:dyDescent="0.3">
      <c r="A50" s="63" t="s">
        <v>175</v>
      </c>
      <c r="D50" s="64"/>
      <c r="H50" s="64"/>
    </row>
    <row r="51" spans="1:8" s="63" customFormat="1" ht="12" x14ac:dyDescent="0.3">
      <c r="A51" s="63" t="s">
        <v>167</v>
      </c>
      <c r="D51" s="64"/>
      <c r="H51" s="64"/>
    </row>
    <row r="52" spans="1:8" s="63" customFormat="1" ht="12" x14ac:dyDescent="0.3">
      <c r="A52" s="63" t="s">
        <v>168</v>
      </c>
      <c r="D52" s="64"/>
      <c r="H52" s="64"/>
    </row>
    <row r="53" spans="1:8" s="63" customFormat="1" ht="12" x14ac:dyDescent="0.3">
      <c r="A53" s="63" t="s">
        <v>169</v>
      </c>
      <c r="D53" s="64"/>
      <c r="H53" s="64"/>
    </row>
    <row r="54" spans="1:8" s="63" customFormat="1" ht="12" x14ac:dyDescent="0.3">
      <c r="A54" s="63" t="s">
        <v>170</v>
      </c>
      <c r="D54" s="64"/>
      <c r="H54" s="64"/>
    </row>
    <row r="55" spans="1:8" s="63" customFormat="1" ht="12" x14ac:dyDescent="0.3">
      <c r="A55" s="63" t="s">
        <v>156</v>
      </c>
      <c r="D55" s="64"/>
      <c r="H55" s="64"/>
    </row>
    <row r="56" spans="1:8" s="63" customFormat="1" ht="12" x14ac:dyDescent="0.3">
      <c r="D56" s="64"/>
      <c r="H56" s="64"/>
    </row>
    <row r="57" spans="1:8" s="63" customFormat="1" ht="12" x14ac:dyDescent="0.3">
      <c r="A57" s="63" t="s">
        <v>162</v>
      </c>
      <c r="D57" s="64"/>
      <c r="H57" s="64"/>
    </row>
    <row r="58" spans="1:8" s="63" customFormat="1" ht="12" x14ac:dyDescent="0.3">
      <c r="A58" s="63" t="s">
        <v>173</v>
      </c>
      <c r="D58" s="64"/>
      <c r="H58" s="64"/>
    </row>
    <row r="59" spans="1:8" s="63" customFormat="1" ht="12" x14ac:dyDescent="0.3">
      <c r="D59" s="64"/>
      <c r="H59" s="64"/>
    </row>
    <row r="60" spans="1:8" s="63" customFormat="1" ht="12" x14ac:dyDescent="0.3">
      <c r="A60" s="63" t="s">
        <v>186</v>
      </c>
      <c r="D60" s="64"/>
      <c r="H60" s="64"/>
    </row>
    <row r="61" spans="1:8" s="63" customFormat="1" ht="12" x14ac:dyDescent="0.3">
      <c r="A61" s="63" t="s">
        <v>150</v>
      </c>
      <c r="D61" s="64"/>
      <c r="H61" s="64"/>
    </row>
    <row r="62" spans="1:8" s="63" customFormat="1" ht="12" x14ac:dyDescent="0.3">
      <c r="A62" s="63" t="s">
        <v>180</v>
      </c>
      <c r="D62" s="64"/>
      <c r="H62" s="64"/>
    </row>
    <row r="63" spans="1:8" s="63" customFormat="1" ht="12" x14ac:dyDescent="0.3">
      <c r="A63" s="63" t="s">
        <v>163</v>
      </c>
      <c r="D63" s="64"/>
      <c r="H63" s="64"/>
    </row>
    <row r="64" spans="1:8" s="63" customFormat="1" ht="12" x14ac:dyDescent="0.3">
      <c r="D64" s="64"/>
      <c r="H64" s="64"/>
    </row>
    <row r="65" spans="1:8" s="63" customFormat="1" ht="12" x14ac:dyDescent="0.3">
      <c r="A65" s="63" t="s">
        <v>182</v>
      </c>
      <c r="D65" s="64"/>
      <c r="H65" s="64"/>
    </row>
    <row r="66" spans="1:8" s="63" customFormat="1" ht="12" x14ac:dyDescent="0.3">
      <c r="D66" s="64"/>
      <c r="H66" s="64"/>
    </row>
    <row r="67" spans="1:8" s="63" customFormat="1" ht="12" x14ac:dyDescent="0.3">
      <c r="A67" s="63" t="s">
        <v>178</v>
      </c>
      <c r="D67" s="64"/>
      <c r="H67" s="64"/>
    </row>
    <row r="68" spans="1:8" s="63" customFormat="1" ht="12" x14ac:dyDescent="0.3">
      <c r="A68" s="63" t="s">
        <v>179</v>
      </c>
      <c r="D68" s="64"/>
      <c r="H68" s="64"/>
    </row>
    <row r="69" spans="1:8" s="63" customFormat="1" ht="12" x14ac:dyDescent="0.3">
      <c r="A69" s="63" t="s">
        <v>176</v>
      </c>
      <c r="D69" s="64"/>
      <c r="H69" s="64"/>
    </row>
    <row r="70" spans="1:8" s="63" customFormat="1" ht="12" x14ac:dyDescent="0.3">
      <c r="D70" s="64"/>
      <c r="H70" s="64"/>
    </row>
    <row r="71" spans="1:8" s="63" customFormat="1" ht="12" x14ac:dyDescent="0.3">
      <c r="A71" s="63" t="s">
        <v>155</v>
      </c>
      <c r="D71" s="64"/>
      <c r="H71" s="64"/>
    </row>
    <row r="72" spans="1:8" s="63" customFormat="1" ht="12" x14ac:dyDescent="0.3">
      <c r="A72" s="63" t="s">
        <v>151</v>
      </c>
      <c r="D72" s="64"/>
      <c r="H72" s="64"/>
    </row>
    <row r="73" spans="1:8" s="63" customFormat="1" ht="12" x14ac:dyDescent="0.3">
      <c r="D73" s="64"/>
      <c r="H73" s="64"/>
    </row>
    <row r="74" spans="1:8" s="63" customFormat="1" ht="12" x14ac:dyDescent="0.3">
      <c r="A74" s="63" t="s">
        <v>187</v>
      </c>
      <c r="D74" s="64"/>
      <c r="H74" s="64"/>
    </row>
    <row r="75" spans="1:8" s="63" customFormat="1" ht="12" x14ac:dyDescent="0.3">
      <c r="A75" s="63" t="s">
        <v>152</v>
      </c>
      <c r="D75" s="64"/>
      <c r="H75" s="64"/>
    </row>
    <row r="76" spans="1:8" s="63" customFormat="1" ht="12" x14ac:dyDescent="0.3">
      <c r="A76" s="63" t="s">
        <v>164</v>
      </c>
      <c r="D76" s="64"/>
      <c r="H76" s="64"/>
    </row>
    <row r="77" spans="1:8" s="63" customFormat="1" ht="12" x14ac:dyDescent="0.3">
      <c r="A77" s="63" t="s">
        <v>180</v>
      </c>
      <c r="D77" s="64"/>
      <c r="H77" s="64"/>
    </row>
    <row r="78" spans="1:8" s="63" customFormat="1" ht="12" x14ac:dyDescent="0.3">
      <c r="A78" s="63" t="s">
        <v>163</v>
      </c>
      <c r="D78" s="64"/>
      <c r="H78" s="64"/>
    </row>
    <row r="79" spans="1:8" s="63" customFormat="1" ht="12" x14ac:dyDescent="0.3">
      <c r="D79" s="64"/>
      <c r="H79" s="64"/>
    </row>
    <row r="80" spans="1:8" s="63" customFormat="1" ht="12" x14ac:dyDescent="0.3">
      <c r="A80" s="63" t="s">
        <v>181</v>
      </c>
      <c r="D80" s="64"/>
      <c r="H80" s="64"/>
    </row>
    <row r="81" spans="1:8" s="63" customFormat="1" ht="12" x14ac:dyDescent="0.3">
      <c r="A81" s="63" t="s">
        <v>184</v>
      </c>
      <c r="D81" s="64"/>
      <c r="H81" s="64"/>
    </row>
    <row r="82" spans="1:8" s="63" customFormat="1" ht="12" x14ac:dyDescent="0.3">
      <c r="A82" s="63" t="s">
        <v>183</v>
      </c>
      <c r="D82" s="64"/>
      <c r="H82" s="64"/>
    </row>
    <row r="83" spans="1:8" s="63" customFormat="1" ht="12" x14ac:dyDescent="0.3">
      <c r="A83" s="63" t="s">
        <v>185</v>
      </c>
      <c r="D83" s="64"/>
      <c r="H83" s="64"/>
    </row>
    <row r="84" spans="1:8" s="63" customFormat="1" ht="12" x14ac:dyDescent="0.3">
      <c r="D84" s="64"/>
      <c r="H84" s="64"/>
    </row>
    <row r="85" spans="1:8" s="63" customFormat="1" ht="12" x14ac:dyDescent="0.3">
      <c r="A85" s="63" t="s">
        <v>153</v>
      </c>
      <c r="D85" s="64"/>
      <c r="H85" s="64"/>
    </row>
    <row r="86" spans="1:8" s="63" customFormat="1" ht="12" x14ac:dyDescent="0.3">
      <c r="D86" s="64"/>
      <c r="H86" s="64"/>
    </row>
    <row r="87" spans="1:8" s="63" customFormat="1" ht="12" x14ac:dyDescent="0.3">
      <c r="A87" s="63" t="s">
        <v>178</v>
      </c>
      <c r="D87" s="64"/>
      <c r="H87" s="64"/>
    </row>
    <row r="88" spans="1:8" s="63" customFormat="1" ht="12" x14ac:dyDescent="0.3">
      <c r="A88" s="63" t="s">
        <v>179</v>
      </c>
      <c r="D88" s="64"/>
      <c r="H88" s="64"/>
    </row>
    <row r="89" spans="1:8" s="63" customFormat="1" ht="12" x14ac:dyDescent="0.3">
      <c r="A89" s="63" t="s">
        <v>177</v>
      </c>
      <c r="D89" s="64"/>
      <c r="H89" s="64"/>
    </row>
    <row r="90" spans="1:8" s="63" customFormat="1" ht="12" x14ac:dyDescent="0.3">
      <c r="D90" s="64"/>
      <c r="H90" s="64"/>
    </row>
    <row r="91" spans="1:8" s="63" customFormat="1" ht="12" x14ac:dyDescent="0.3">
      <c r="A91" s="63" t="s">
        <v>154</v>
      </c>
      <c r="D91" s="64"/>
      <c r="H91" s="64"/>
    </row>
    <row r="92" spans="1:8" s="63" customFormat="1" ht="12" x14ac:dyDescent="0.3">
      <c r="A92" s="63" t="s">
        <v>151</v>
      </c>
      <c r="D92" s="64"/>
      <c r="H92" s="6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5" workbookViewId="0">
      <selection activeCell="F32" sqref="F32"/>
    </sheetView>
  </sheetViews>
  <sheetFormatPr defaultRowHeight="14.5" x14ac:dyDescent="0.35"/>
  <cols>
    <col min="1" max="2" width="8.7265625" style="1"/>
    <col min="3" max="3" width="10.54296875" customWidth="1"/>
    <col min="4" max="4" width="10.54296875" style="1" customWidth="1"/>
    <col min="5" max="5" width="7.26953125" customWidth="1"/>
    <col min="6" max="8" width="11.81640625" style="1" bestFit="1" customWidth="1"/>
    <col min="9" max="9" width="10.6328125" customWidth="1"/>
    <col min="11" max="11" width="10.81640625" bestFit="1" customWidth="1"/>
  </cols>
  <sheetData>
    <row r="1" spans="1:13" x14ac:dyDescent="0.35">
      <c r="E1" s="4" t="s">
        <v>33</v>
      </c>
      <c r="F1" s="1">
        <f>2^F$2/$A$4 *1000000</f>
        <v>976.5625</v>
      </c>
      <c r="G1" s="1">
        <f t="shared" ref="G1:H1" si="0">2^G$2/$A$4 *1000000</f>
        <v>15625</v>
      </c>
      <c r="H1" s="1">
        <f t="shared" si="0"/>
        <v>62500</v>
      </c>
    </row>
    <row r="2" spans="1:13" x14ac:dyDescent="0.35">
      <c r="E2" s="10" t="s">
        <v>29</v>
      </c>
      <c r="F2" s="2">
        <v>5</v>
      </c>
      <c r="G2" s="2">
        <v>9</v>
      </c>
      <c r="H2" s="2">
        <v>11</v>
      </c>
      <c r="K2" t="s">
        <v>31</v>
      </c>
    </row>
    <row r="3" spans="1:13" s="3" customFormat="1" x14ac:dyDescent="0.35">
      <c r="A3" s="2" t="s">
        <v>32</v>
      </c>
      <c r="B3" s="2"/>
      <c r="D3" s="2" t="s">
        <v>28</v>
      </c>
      <c r="E3" s="10" t="s">
        <v>30</v>
      </c>
      <c r="F3" s="6">
        <f>2^F2</f>
        <v>32</v>
      </c>
      <c r="G3" s="6">
        <f>2^G2</f>
        <v>512</v>
      </c>
      <c r="H3" s="6">
        <f>2^H2</f>
        <v>2048</v>
      </c>
      <c r="J3" s="3" t="s">
        <v>34</v>
      </c>
      <c r="K3" s="3">
        <f>2^32 - 1</f>
        <v>4294967295</v>
      </c>
    </row>
    <row r="4" spans="1:13" x14ac:dyDescent="0.35">
      <c r="A4" s="1">
        <v>32768</v>
      </c>
      <c r="D4" s="1">
        <v>30.08</v>
      </c>
      <c r="F4" s="1">
        <f>$D4*F$1</f>
        <v>29375</v>
      </c>
      <c r="G4" s="1">
        <f>$D4*G$1</f>
        <v>470000</v>
      </c>
      <c r="H4" s="1">
        <f>$D4*H$1</f>
        <v>1880000</v>
      </c>
    </row>
    <row r="5" spans="1:13" x14ac:dyDescent="0.35">
      <c r="D5" s="1">
        <v>40</v>
      </c>
      <c r="F5" s="1">
        <f t="shared" ref="F5:H8" si="1">$D5*F$1</f>
        <v>39062.5</v>
      </c>
      <c r="G5" s="1">
        <f t="shared" si="1"/>
        <v>625000</v>
      </c>
      <c r="H5" s="1">
        <f t="shared" si="1"/>
        <v>2500000</v>
      </c>
    </row>
    <row r="6" spans="1:13" x14ac:dyDescent="0.35">
      <c r="D6" s="1">
        <v>50</v>
      </c>
      <c r="F6" s="1">
        <f t="shared" si="1"/>
        <v>48828.125</v>
      </c>
      <c r="G6" s="1">
        <f t="shared" si="1"/>
        <v>781250</v>
      </c>
      <c r="H6" s="1">
        <f t="shared" si="1"/>
        <v>3125000</v>
      </c>
    </row>
    <row r="7" spans="1:13" x14ac:dyDescent="0.35">
      <c r="D7" s="1">
        <v>60</v>
      </c>
      <c r="F7" s="1">
        <f t="shared" si="1"/>
        <v>58593.75</v>
      </c>
      <c r="H7" s="1">
        <f t="shared" si="1"/>
        <v>3750000</v>
      </c>
    </row>
    <row r="8" spans="1:13" x14ac:dyDescent="0.35">
      <c r="D8" s="1">
        <v>70</v>
      </c>
      <c r="F8" s="1">
        <f t="shared" si="1"/>
        <v>68359.375</v>
      </c>
      <c r="G8" s="1">
        <f t="shared" si="1"/>
        <v>1093750</v>
      </c>
      <c r="H8" s="1">
        <f t="shared" si="1"/>
        <v>4375000</v>
      </c>
    </row>
    <row r="9" spans="1:13" x14ac:dyDescent="0.35">
      <c r="A9" s="1" t="s">
        <v>29</v>
      </c>
      <c r="B9" s="1" t="s">
        <v>33</v>
      </c>
      <c r="K9" t="s">
        <v>35</v>
      </c>
    </row>
    <row r="10" spans="1:13" x14ac:dyDescent="0.35">
      <c r="A10" s="1">
        <v>0</v>
      </c>
      <c r="B10" s="1">
        <v>39.6</v>
      </c>
      <c r="F10" s="1">
        <f>F4*$A$4/2^F$2</f>
        <v>30080000</v>
      </c>
      <c r="G10" s="1">
        <f>G4*$A$4/2^G$2</f>
        <v>30080000</v>
      </c>
      <c r="H10" s="1">
        <f>H4*$A$4/2^H$2</f>
        <v>30080000</v>
      </c>
      <c r="K10" t="str">
        <f>IF(F10&gt;$K$3,"OFL",".")</f>
        <v>.</v>
      </c>
      <c r="L10" t="str">
        <f t="shared" ref="L10:M14" si="2">IF(G10&gt;$K$3,"OFL",".")</f>
        <v>.</v>
      </c>
      <c r="M10" t="str">
        <f t="shared" si="2"/>
        <v>.</v>
      </c>
    </row>
    <row r="11" spans="1:13" x14ac:dyDescent="0.35">
      <c r="A11" s="1">
        <v>1</v>
      </c>
      <c r="B11" s="1">
        <v>82.2</v>
      </c>
      <c r="F11" s="1">
        <f>F5*$A$4/2^F$2</f>
        <v>40000000</v>
      </c>
      <c r="G11" s="1">
        <f>G5*$A$4/2^G$2</f>
        <v>40000000</v>
      </c>
      <c r="H11" s="1">
        <f>H5*$A$4/2^H$2</f>
        <v>40000000</v>
      </c>
      <c r="K11" t="str">
        <f t="shared" ref="K11:K14" si="3">IF(F11&gt;$K$3,"OFL",".")</f>
        <v>.</v>
      </c>
      <c r="L11" t="str">
        <f t="shared" si="2"/>
        <v>.</v>
      </c>
      <c r="M11" t="str">
        <f t="shared" si="2"/>
        <v>.</v>
      </c>
    </row>
    <row r="12" spans="1:13" x14ac:dyDescent="0.35">
      <c r="A12" s="1">
        <v>2</v>
      </c>
      <c r="B12" s="1">
        <v>167.2</v>
      </c>
      <c r="F12" s="1">
        <f>F6*$A$4/2^F$2</f>
        <v>50000000</v>
      </c>
      <c r="G12" s="1">
        <f>G6*$A$4/2^G$2</f>
        <v>50000000</v>
      </c>
      <c r="H12" s="1">
        <f>H6*$A$4/2^H$2</f>
        <v>50000000</v>
      </c>
      <c r="K12" t="str">
        <f t="shared" si="3"/>
        <v>.</v>
      </c>
      <c r="L12" t="str">
        <f t="shared" si="2"/>
        <v>.</v>
      </c>
      <c r="M12" t="str">
        <f t="shared" si="2"/>
        <v>.</v>
      </c>
    </row>
    <row r="13" spans="1:13" x14ac:dyDescent="0.35">
      <c r="A13" s="1">
        <v>3</v>
      </c>
      <c r="B13" s="1">
        <v>337.6</v>
      </c>
      <c r="F13" s="1">
        <f>F7*$A$4/2^F$2</f>
        <v>60000000</v>
      </c>
      <c r="G13" s="1">
        <f>G7*$A$4/2^G$2</f>
        <v>0</v>
      </c>
      <c r="H13" s="1">
        <f>H7*$A$4/2^H$2</f>
        <v>60000000</v>
      </c>
      <c r="K13" t="str">
        <f t="shared" si="3"/>
        <v>.</v>
      </c>
      <c r="L13" t="str">
        <f t="shared" si="2"/>
        <v>.</v>
      </c>
      <c r="M13" t="str">
        <f t="shared" si="2"/>
        <v>.</v>
      </c>
    </row>
    <row r="14" spans="1:13" x14ac:dyDescent="0.35">
      <c r="A14" s="1">
        <v>4</v>
      </c>
      <c r="B14" s="1">
        <v>678</v>
      </c>
      <c r="F14" s="1">
        <f>F8*$A$4/2^F$2</f>
        <v>70000000</v>
      </c>
      <c r="G14" s="1">
        <f>G8*$A$4/2^G$2</f>
        <v>70000000</v>
      </c>
      <c r="H14" s="1">
        <f>H8*$A$4/2^H$2</f>
        <v>70000000</v>
      </c>
      <c r="K14" t="str">
        <f t="shared" si="3"/>
        <v>.</v>
      </c>
      <c r="L14" t="str">
        <f t="shared" si="2"/>
        <v>.</v>
      </c>
      <c r="M14" t="str">
        <f t="shared" si="2"/>
        <v>.</v>
      </c>
    </row>
    <row r="15" spans="1:13" x14ac:dyDescent="0.35">
      <c r="A15" s="1">
        <v>5</v>
      </c>
      <c r="B15" s="1">
        <v>1360</v>
      </c>
    </row>
    <row r="16" spans="1:13" x14ac:dyDescent="0.35">
      <c r="A16" s="1">
        <v>11</v>
      </c>
      <c r="B16" s="1">
        <v>19420</v>
      </c>
      <c r="H16" s="1">
        <f>HEX2DEC(I16)</f>
        <v>112782</v>
      </c>
      <c r="I16" s="1" t="s">
        <v>36</v>
      </c>
    </row>
    <row r="17" spans="2:10" x14ac:dyDescent="0.35">
      <c r="H17" s="1">
        <f t="shared" ref="H17:H18" si="4">HEX2DEC(I17)</f>
        <v>113244</v>
      </c>
      <c r="I17" s="1" t="s">
        <v>37</v>
      </c>
    </row>
    <row r="18" spans="2:10" x14ac:dyDescent="0.35">
      <c r="B18" s="1">
        <f>SLOPE(B10:B15,A10:A15)</f>
        <v>244.56571428571428</v>
      </c>
      <c r="H18" s="1">
        <f t="shared" si="4"/>
        <v>113068</v>
      </c>
      <c r="I18" s="1" t="s">
        <v>38</v>
      </c>
    </row>
    <row r="19" spans="2:10" x14ac:dyDescent="0.35">
      <c r="B19" s="1">
        <f>INTERCEPT(A10:A15,B10:B15)</f>
        <v>1.0106418501687693</v>
      </c>
      <c r="I19" s="1"/>
    </row>
    <row r="20" spans="2:10" x14ac:dyDescent="0.35">
      <c r="H20" s="42">
        <f>AVERAGE(H16:H19)</f>
        <v>113031.33333333333</v>
      </c>
    </row>
    <row r="22" spans="2:10" x14ac:dyDescent="0.35">
      <c r="F22" s="1">
        <f>F1/F3</f>
        <v>30.517578125</v>
      </c>
      <c r="G22" s="1">
        <f>G1/G3</f>
        <v>30.517578125</v>
      </c>
      <c r="H22" s="1">
        <f>H1/H3</f>
        <v>30.517578125</v>
      </c>
    </row>
    <row r="24" spans="2:10" x14ac:dyDescent="0.35">
      <c r="B24" s="1" t="s">
        <v>202</v>
      </c>
      <c r="D24" s="1" t="s">
        <v>203</v>
      </c>
      <c r="F24" s="1" t="s">
        <v>204</v>
      </c>
      <c r="H24" s="1" t="s">
        <v>205</v>
      </c>
    </row>
    <row r="25" spans="2:10" x14ac:dyDescent="0.35">
      <c r="B25" t="s">
        <v>199</v>
      </c>
      <c r="D25">
        <v>28643.446380000001</v>
      </c>
      <c r="F25">
        <v>527.4</v>
      </c>
      <c r="H25" s="48" t="s">
        <v>45</v>
      </c>
      <c r="J25">
        <f>D25/F25</f>
        <v>54.310668145620028</v>
      </c>
    </row>
    <row r="26" spans="2:10" x14ac:dyDescent="0.35">
      <c r="B26" t="s">
        <v>200</v>
      </c>
      <c r="D26">
        <v>53814.959860000003</v>
      </c>
      <c r="F26">
        <v>999</v>
      </c>
      <c r="H26" s="48" t="s">
        <v>45</v>
      </c>
      <c r="J26">
        <f>D26/F26</f>
        <v>53.868828688688694</v>
      </c>
    </row>
    <row r="27" spans="2:10" x14ac:dyDescent="0.35">
      <c r="B27" t="s">
        <v>201</v>
      </c>
      <c r="D27">
        <v>5414.3099860000002</v>
      </c>
      <c r="F27">
        <v>100.4</v>
      </c>
      <c r="H27" s="48">
        <v>100.2</v>
      </c>
      <c r="J27">
        <f>D27/F27</f>
        <v>53.927390298804781</v>
      </c>
    </row>
    <row r="29" spans="2:10" x14ac:dyDescent="0.35">
      <c r="F29" s="1">
        <f>F27*J29</f>
        <v>5425.1771560548659</v>
      </c>
      <c r="J29">
        <f>AVERAGE(J25:J27)</f>
        <v>54.03562904437117</v>
      </c>
    </row>
    <row r="31" spans="2:10" x14ac:dyDescent="0.35">
      <c r="B31" t="s">
        <v>199</v>
      </c>
      <c r="D31">
        <f>29.6*1000</f>
        <v>29600</v>
      </c>
      <c r="F31" s="48">
        <v>307.5</v>
      </c>
      <c r="J31">
        <f>D31/F31</f>
        <v>96.260162601626021</v>
      </c>
    </row>
    <row r="32" spans="2:10" x14ac:dyDescent="0.35">
      <c r="B32" t="s">
        <v>200</v>
      </c>
      <c r="D32">
        <v>53814.959860000003</v>
      </c>
      <c r="F32"/>
      <c r="H32" s="48" t="s">
        <v>45</v>
      </c>
      <c r="J32" t="e">
        <f>D32/F32</f>
        <v>#DIV/0!</v>
      </c>
    </row>
    <row r="33" spans="2:10" x14ac:dyDescent="0.35">
      <c r="B33" t="s">
        <v>201</v>
      </c>
      <c r="D33">
        <v>5414.3099860000002</v>
      </c>
      <c r="F33"/>
      <c r="H33" s="48"/>
      <c r="J33" t="e">
        <f>D33/F33</f>
        <v>#DIV/0!</v>
      </c>
    </row>
    <row r="36" spans="2:10" x14ac:dyDescent="0.35">
      <c r="B36" s="15" t="s">
        <v>207</v>
      </c>
    </row>
    <row r="37" spans="2:10" x14ac:dyDescent="0.35">
      <c r="B37" s="15" t="s">
        <v>206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sifive prci table</vt:lpstr>
      <vt:lpstr>PLL calc and meas</vt:lpstr>
      <vt:lpstr>HFR calc and meas</vt:lpstr>
      <vt:lpstr>HFR calc and meas 2x</vt:lpstr>
      <vt:lpstr>LFR calc and meas</vt:lpstr>
      <vt:lpstr>code impl</vt:lpstr>
      <vt:lpstr>clock_meas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 Sherman</dc:creator>
  <cp:lastModifiedBy>Paul D Sherman</cp:lastModifiedBy>
  <dcterms:created xsi:type="dcterms:W3CDTF">2022-09-20T23:24:15Z</dcterms:created>
  <dcterms:modified xsi:type="dcterms:W3CDTF">2022-10-05T09:08:04Z</dcterms:modified>
</cp:coreProperties>
</file>