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diverter\Diverter\"/>
    </mc:Choice>
  </mc:AlternateContent>
  <xr:revisionPtr revIDLastSave="0" documentId="13_ncr:1_{B9798CE0-EDD3-4E19-BC89-0BAF54903281}" xr6:coauthVersionLast="47" xr6:coauthVersionMax="47" xr10:uidLastSave="{00000000-0000-0000-0000-000000000000}"/>
  <bookViews>
    <workbookView xWindow="-28920" yWindow="-120" windowWidth="29040" windowHeight="15840" xr2:uid="{54332720-7196-4076-8558-7DFDF859265D}"/>
  </bookViews>
  <sheets>
    <sheet name="Cost-ben calc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2" i="2" l="1"/>
  <c r="M23" i="2"/>
  <c r="M38" i="2"/>
  <c r="M37" i="2"/>
  <c r="I32" i="2"/>
  <c r="H32" i="2"/>
  <c r="G69" i="2"/>
  <c r="G29" i="2"/>
  <c r="H21" i="2"/>
  <c r="J17" i="2"/>
  <c r="G36" i="2" s="1"/>
  <c r="G11" i="2"/>
  <c r="I13" i="2" s="1"/>
  <c r="I21" i="2" l="1"/>
  <c r="G43" i="2"/>
  <c r="G45" i="2"/>
  <c r="G44" i="2"/>
  <c r="G48" i="2" s="1"/>
  <c r="G25" i="2"/>
  <c r="G38" i="2" s="1"/>
  <c r="G46" i="2" l="1"/>
  <c r="G55" i="2" s="1"/>
  <c r="G58" i="2" l="1"/>
  <c r="G59" i="2"/>
  <c r="G60" i="2" l="1"/>
  <c r="G62" i="2" s="1"/>
  <c r="H60" i="2" s="1"/>
  <c r="G6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Shersby</author>
  </authors>
  <commentList>
    <comment ref="H54" authorId="0" shapeId="0" xr:uid="{E54C5840-6C41-405F-A77F-E7BD2CABB728}">
      <text>
        <r>
          <rPr>
            <b/>
            <sz val="9"/>
            <color indexed="81"/>
            <rFont val="Tahoma"/>
            <family val="2"/>
          </rPr>
          <t>for example On days when you export lots more than needed for hot water you don't get benefiticial usage, also whatever amount is below the threshold to trigger your device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<sst xmlns="http://schemas.openxmlformats.org/spreadsheetml/2006/main" count="64" uniqueCount="57">
  <si>
    <t>Electricity Diverter Cost Benefit Calculator</t>
  </si>
  <si>
    <t>1.  How much is your capital investment?</t>
  </si>
  <si>
    <t>The Diverter Device</t>
  </si>
  <si>
    <t>Installation</t>
  </si>
  <si>
    <t>Other Equipment</t>
  </si>
  <si>
    <t>2.  How much do you currently spend heating your water</t>
  </si>
  <si>
    <t>Helper -Efficiency</t>
  </si>
  <si>
    <t>(if you measure in m3 then multiply that by 33)</t>
  </si>
  <si>
    <t>Unit cost of Gas / kWh</t>
  </si>
  <si>
    <t>GAS</t>
  </si>
  <si>
    <t>multiplier</t>
  </si>
  <si>
    <t>Per Month</t>
  </si>
  <si>
    <t>Are you giving figures per day, weekly, monthly or yearly?</t>
  </si>
  <si>
    <t>kWh</t>
  </si>
  <si>
    <t>Current yearly cost of Gas for water heating</t>
  </si>
  <si>
    <t>Electricity kWh actual usage</t>
  </si>
  <si>
    <t>For gas are you using m3 or kWh</t>
  </si>
  <si>
    <t>meters cubed</t>
  </si>
  <si>
    <t>Gas actual usage</t>
  </si>
  <si>
    <t>Unit cost of electricity purchased</t>
  </si>
  <si>
    <t>Current yearly cost of electricity used for heating</t>
  </si>
  <si>
    <t>Total cost of fuels to heat water</t>
  </si>
  <si>
    <t>Elect</t>
  </si>
  <si>
    <t>3. Equivalent Export costs (reduction in export income)</t>
  </si>
  <si>
    <t>cost you will lose per kWh you no longer export</t>
  </si>
  <si>
    <t>Maximum running cost</t>
  </si>
  <si>
    <t>4. Payback and value check</t>
  </si>
  <si>
    <t>How much electricity do you actually export per year?</t>
  </si>
  <si>
    <t>Percentage of costs and savings likely realised</t>
  </si>
  <si>
    <t>Saving Per year</t>
  </si>
  <si>
    <t>Payback period in years</t>
  </si>
  <si>
    <t>Efficiency to use</t>
  </si>
  <si>
    <t>Extra - Calculate efficiency</t>
  </si>
  <si>
    <t>Fuel costs saved per year</t>
  </si>
  <si>
    <t>Reduced export income per year</t>
  </si>
  <si>
    <t>You won't use every little bit!</t>
  </si>
  <si>
    <t>How many kwh electricity to heat tank from cold</t>
  </si>
  <si>
    <t>How many kWh of gas/oil to heat tank from cold</t>
  </si>
  <si>
    <r>
      <t>approx kWh/m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</si>
  <si>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t>Efficiency heating water relative to electricity</t>
  </si>
  <si>
    <t xml:space="preserve">Oil </t>
  </si>
  <si>
    <t>approx kWh/litre</t>
  </si>
  <si>
    <t>Oil usage in Litres</t>
  </si>
  <si>
    <t>Unit cost of Oil / Litre</t>
  </si>
  <si>
    <t>Litre</t>
  </si>
  <si>
    <t>US Gallon</t>
  </si>
  <si>
    <t>Imperial Gallon</t>
  </si>
  <si>
    <t>foot3</t>
  </si>
  <si>
    <t>m3</t>
  </si>
  <si>
    <t>(Heating oil is usually 10.35, fuel oil is about 11.85 but these vary a bit)</t>
  </si>
  <si>
    <t>(avg)</t>
  </si>
  <si>
    <t>Amount of electricity export lost vs gas</t>
  </si>
  <si>
    <t>Amount of electricity export lost vs electricity</t>
  </si>
  <si>
    <t>Amount of electricity lost vs oil</t>
  </si>
  <si>
    <t>Est portion you will divert</t>
  </si>
  <si>
    <t>Life expectancy - either replacment or becomes no longer viable</t>
  </si>
  <si>
    <t>TOTAL GAIN DURING LIFE EXPECTANCY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</si>
</sst>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£&quot;* #,##0.00_-;\-&quot;£&quot;* #,##0.00_-;_-&quot;£&quot;* &quot;-&quot;??_-;_-@_-"/>
    <numFmt numFmtId="164" formatCode="#,##0.0_ ;\-#,##0.0\ "/>
    <numFmt numFmtId="165" formatCode="_-&quot;£&quot;* #,##0.0000_-;\-&quot;£&quot;* #,##0.0000_-;_-&quot;£&quot;* &quot;-&quot;??_-;_-@_-"/>
    <numFmt numFmtId="166" formatCode="0.0"/>
    <numFmt numFmtId="167" formatCode="0.000"/>
    <numFmt numFmtId="168" formatCode="#,##0_ ;\-#,##0\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22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vertAlign val="superscript"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/>
      <bottom/>
      <diagonal/>
    </border>
    <border>
      <left/>
      <right style="thin">
        <color rgb="FFB2B2B2"/>
      </right>
      <top/>
      <bottom/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64">
    <xf numFmtId="0" fontId="0" fillId="0" borderId="0" xfId="0"/>
    <xf numFmtId="0" fontId="1" fillId="4" borderId="1" xfId="5" applyBorder="1"/>
    <xf numFmtId="0" fontId="2" fillId="4" borderId="1" xfId="5" applyFont="1" applyBorder="1"/>
    <xf numFmtId="0" fontId="1" fillId="4" borderId="3" xfId="5" applyBorder="1"/>
    <xf numFmtId="0" fontId="1" fillId="4" borderId="4" xfId="5" applyBorder="1"/>
    <xf numFmtId="44" fontId="2" fillId="4" borderId="2" xfId="5" applyNumberFormat="1" applyFont="1" applyBorder="1"/>
    <xf numFmtId="0" fontId="1" fillId="4" borderId="5" xfId="5" applyBorder="1"/>
    <xf numFmtId="0" fontId="1" fillId="4" borderId="6" xfId="5" applyBorder="1"/>
    <xf numFmtId="9" fontId="1" fillId="4" borderId="3" xfId="2" applyFill="1" applyBorder="1"/>
    <xf numFmtId="44" fontId="1" fillId="4" borderId="4" xfId="5" applyNumberFormat="1" applyBorder="1"/>
    <xf numFmtId="0" fontId="2" fillId="2" borderId="1" xfId="3" applyFont="1"/>
    <xf numFmtId="9" fontId="2" fillId="2" borderId="1" xfId="3" applyNumberFormat="1" applyFont="1"/>
    <xf numFmtId="44" fontId="2" fillId="2" borderId="1" xfId="3" applyNumberFormat="1" applyFont="1"/>
    <xf numFmtId="164" fontId="2" fillId="2" borderId="1" xfId="3" applyNumberFormat="1" applyFont="1"/>
    <xf numFmtId="0" fontId="3" fillId="3" borderId="1" xfId="4" applyBorder="1"/>
    <xf numFmtId="0" fontId="4" fillId="3" borderId="1" xfId="4" applyFont="1" applyBorder="1"/>
    <xf numFmtId="0" fontId="3" fillId="3" borderId="5" xfId="4" applyBorder="1"/>
    <xf numFmtId="9" fontId="2" fillId="4" borderId="2" xfId="2" applyFont="1" applyFill="1" applyBorder="1"/>
    <xf numFmtId="0" fontId="2" fillId="5" borderId="1" xfId="6" applyFont="1" applyBorder="1"/>
    <xf numFmtId="44" fontId="2" fillId="4" borderId="7" xfId="5" applyNumberFormat="1" applyFont="1" applyBorder="1"/>
    <xf numFmtId="0" fontId="1" fillId="6" borderId="13" xfId="7" applyBorder="1"/>
    <xf numFmtId="0" fontId="1" fillId="6" borderId="14" xfId="7" applyBorder="1"/>
    <xf numFmtId="0" fontId="1" fillId="6" borderId="15" xfId="7" applyBorder="1"/>
    <xf numFmtId="0" fontId="1" fillId="6" borderId="1" xfId="7" applyBorder="1"/>
    <xf numFmtId="0" fontId="1" fillId="6" borderId="12" xfId="7" applyBorder="1"/>
    <xf numFmtId="0" fontId="1" fillId="6" borderId="11" xfId="7" applyBorder="1"/>
    <xf numFmtId="0" fontId="1" fillId="6" borderId="8" xfId="7" applyBorder="1"/>
    <xf numFmtId="0" fontId="1" fillId="6" borderId="9" xfId="7" applyBorder="1"/>
    <xf numFmtId="0" fontId="1" fillId="6" borderId="10" xfId="7" applyBorder="1"/>
    <xf numFmtId="0" fontId="1" fillId="6" borderId="21" xfId="7" applyBorder="1"/>
    <xf numFmtId="0" fontId="1" fillId="6" borderId="22" xfId="7" applyBorder="1"/>
    <xf numFmtId="0" fontId="1" fillId="6" borderId="23" xfId="7" applyBorder="1"/>
    <xf numFmtId="0" fontId="1" fillId="6" borderId="0" xfId="7" applyBorder="1"/>
    <xf numFmtId="167" fontId="1" fillId="6" borderId="20" xfId="7" applyNumberFormat="1" applyBorder="1" applyAlignment="1">
      <alignment horizontal="left"/>
    </xf>
    <xf numFmtId="0" fontId="1" fillId="6" borderId="19" xfId="7" applyBorder="1"/>
    <xf numFmtId="0" fontId="1" fillId="6" borderId="16" xfId="7" applyBorder="1"/>
    <xf numFmtId="0" fontId="1" fillId="6" borderId="17" xfId="7" applyBorder="1"/>
    <xf numFmtId="0" fontId="1" fillId="6" borderId="18" xfId="7" applyBorder="1"/>
    <xf numFmtId="166" fontId="1" fillId="4" borderId="3" xfId="5" applyNumberFormat="1" applyBorder="1"/>
    <xf numFmtId="166" fontId="1" fillId="4" borderId="2" xfId="5" applyNumberFormat="1" applyBorder="1"/>
    <xf numFmtId="0" fontId="1" fillId="7" borderId="1" xfId="5" applyFill="1" applyBorder="1" applyProtection="1">
      <protection locked="0"/>
    </xf>
    <xf numFmtId="44" fontId="0" fillId="0" borderId="24" xfId="1" applyFont="1" applyBorder="1" applyProtection="1">
      <protection locked="0"/>
    </xf>
    <xf numFmtId="0" fontId="0" fillId="0" borderId="24" xfId="0" applyBorder="1" applyProtection="1">
      <protection locked="0"/>
    </xf>
    <xf numFmtId="0" fontId="1" fillId="4" borderId="25" xfId="5" applyBorder="1"/>
    <xf numFmtId="9" fontId="0" fillId="0" borderId="24" xfId="0" applyNumberFormat="1" applyBorder="1" applyProtection="1">
      <protection locked="0"/>
    </xf>
    <xf numFmtId="165" fontId="0" fillId="0" borderId="24" xfId="1" applyNumberFormat="1" applyFont="1" applyBorder="1" applyProtection="1">
      <protection locked="0"/>
    </xf>
    <xf numFmtId="0" fontId="1" fillId="4" borderId="7" xfId="5" applyBorder="1"/>
    <xf numFmtId="44" fontId="2" fillId="4" borderId="4" xfId="5" applyNumberFormat="1" applyFont="1" applyBorder="1"/>
    <xf numFmtId="9" fontId="1" fillId="4" borderId="4" xfId="2" applyFill="1" applyBorder="1"/>
    <xf numFmtId="9" fontId="0" fillId="0" borderId="24" xfId="2" applyFont="1" applyBorder="1" applyProtection="1">
      <protection locked="0"/>
    </xf>
    <xf numFmtId="168" fontId="2" fillId="7" borderId="24" xfId="5" applyNumberFormat="1" applyFont="1" applyFill="1" applyBorder="1" applyProtection="1">
      <protection locked="0"/>
    </xf>
    <xf numFmtId="0" fontId="1" fillId="2" borderId="1" xfId="3"/>
    <xf numFmtId="0" fontId="3" fillId="3" borderId="1" xfId="4" applyBorder="1" applyAlignment="1">
      <alignment horizontal="left"/>
    </xf>
    <xf numFmtId="0" fontId="3" fillId="3" borderId="3" xfId="4" applyBorder="1" applyAlignment="1">
      <alignment horizontal="left"/>
    </xf>
    <xf numFmtId="0" fontId="8" fillId="7" borderId="0" xfId="5" applyFont="1" applyFill="1" applyBorder="1" applyAlignment="1" applyProtection="1">
      <alignment horizontal="center" vertical="center"/>
      <protection locked="0"/>
    </xf>
    <xf numFmtId="0" fontId="9" fillId="2" borderId="26" xfId="3" applyFont="1" applyBorder="1" applyAlignment="1">
      <alignment horizontal="center" vertical="center"/>
    </xf>
    <xf numFmtId="0" fontId="9" fillId="2" borderId="27" xfId="3" applyFont="1" applyBorder="1" applyAlignment="1">
      <alignment horizontal="center" vertical="center"/>
    </xf>
    <xf numFmtId="0" fontId="9" fillId="2" borderId="28" xfId="3" applyFont="1" applyBorder="1" applyAlignment="1">
      <alignment horizontal="center" vertical="center"/>
    </xf>
    <xf numFmtId="0" fontId="9" fillId="2" borderId="32" xfId="3" applyFont="1" applyBorder="1" applyAlignment="1">
      <alignment horizontal="center" vertical="center"/>
    </xf>
    <xf numFmtId="0" fontId="9" fillId="2" borderId="0" xfId="3" applyFont="1" applyBorder="1" applyAlignment="1">
      <alignment horizontal="center" vertical="center"/>
    </xf>
    <xf numFmtId="0" fontId="9" fillId="2" borderId="33" xfId="3" applyFont="1" applyBorder="1" applyAlignment="1">
      <alignment horizontal="center" vertical="center"/>
    </xf>
    <xf numFmtId="0" fontId="9" fillId="2" borderId="29" xfId="3" applyFont="1" applyBorder="1" applyAlignment="1">
      <alignment horizontal="center" vertical="center"/>
    </xf>
    <xf numFmtId="0" fontId="9" fillId="2" borderId="30" xfId="3" applyFont="1" applyBorder="1" applyAlignment="1">
      <alignment horizontal="center" vertical="center"/>
    </xf>
    <xf numFmtId="0" fontId="9" fillId="2" borderId="31" xfId="3" applyFont="1" applyBorder="1" applyAlignment="1">
      <alignment horizontal="center" vertical="center"/>
    </xf>
  </cellXfs>
  <cellStyles count="8">
    <cellStyle name="20% - Accent5" xfId="5" builtinId="46"/>
    <cellStyle name="20% - Accent6" xfId="7" builtinId="50"/>
    <cellStyle name="40% - Accent1" xfId="6" builtinId="31"/>
    <cellStyle name="Accent1" xfId="4" builtinId="29"/>
    <cellStyle name="Currency" xfId="1" builtinId="4"/>
    <cellStyle name="Normal" xfId="0" builtinId="0"/>
    <cellStyle name="Note" xfId="3" builtinId="10"/>
    <cellStyle name="Percent" xfId="2" builtinId="5"/>
  </cellStyles>
  <dxfs count="2"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A326D-30F5-4EB4-BBD7-66FD86889CCA}">
  <dimension ref="A1:N70"/>
  <sheetViews>
    <sheetView showGridLines="0" tabSelected="1" zoomScale="175" zoomScaleNormal="175" workbookViewId="0">
      <selection activeCell="G23" sqref="G23"/>
    </sheetView>
  </sheetViews>
  <sheetFormatPr defaultRowHeight="14.5" x14ac:dyDescent="0.35"/>
  <cols>
    <col min="1" max="1" width="2.26953125" style="14" customWidth="1"/>
    <col min="2" max="2" width="8.7265625" style="1"/>
    <col min="3" max="3" width="7.6328125" style="1" customWidth="1"/>
    <col min="4" max="5" width="8.7265625" style="1"/>
    <col min="6" max="6" width="36.90625" style="1" customWidth="1"/>
    <col min="7" max="7" width="12.36328125" style="1" customWidth="1"/>
    <col min="8" max="8" width="13.1796875" style="1" customWidth="1"/>
    <col min="9" max="9" width="8.7265625" style="1"/>
    <col min="10" max="10" width="13" style="1" customWidth="1"/>
    <col min="11" max="16384" width="8.7265625" style="1"/>
  </cols>
  <sheetData>
    <row r="1" spans="3:11" s="14" customFormat="1" ht="10" customHeight="1" x14ac:dyDescent="0.35"/>
    <row r="2" spans="3:11" s="14" customFormat="1" ht="28.5" x14ac:dyDescent="0.65">
      <c r="C2" s="15" t="s">
        <v>0</v>
      </c>
    </row>
    <row r="3" spans="3:11" s="14" customFormat="1" ht="9" customHeight="1" x14ac:dyDescent="0.35"/>
    <row r="6" spans="3:11" x14ac:dyDescent="0.35">
      <c r="C6" s="52" t="s">
        <v>1</v>
      </c>
      <c r="D6" s="52"/>
      <c r="E6" s="52"/>
      <c r="F6" s="52"/>
      <c r="G6" s="52"/>
      <c r="H6" s="52"/>
      <c r="I6" s="52"/>
      <c r="J6" s="52"/>
      <c r="K6" s="52"/>
    </row>
    <row r="7" spans="3:11" x14ac:dyDescent="0.35">
      <c r="G7" s="3"/>
    </row>
    <row r="8" spans="3:11" x14ac:dyDescent="0.35">
      <c r="D8" s="1" t="s">
        <v>2</v>
      </c>
      <c r="F8" s="6"/>
      <c r="G8" s="41">
        <v>350</v>
      </c>
      <c r="H8" s="7"/>
    </row>
    <row r="9" spans="3:11" x14ac:dyDescent="0.35">
      <c r="D9" s="1" t="s">
        <v>3</v>
      </c>
      <c r="F9" s="6"/>
      <c r="G9" s="41">
        <v>0</v>
      </c>
      <c r="H9" s="7"/>
    </row>
    <row r="10" spans="3:11" x14ac:dyDescent="0.35">
      <c r="D10" s="1" t="s">
        <v>4</v>
      </c>
      <c r="F10" s="6"/>
      <c r="G10" s="41">
        <v>0</v>
      </c>
      <c r="H10" s="7"/>
    </row>
    <row r="11" spans="3:11" x14ac:dyDescent="0.35">
      <c r="G11" s="5">
        <f>SUM(G8:G10)</f>
        <v>350</v>
      </c>
    </row>
    <row r="12" spans="3:11" x14ac:dyDescent="0.35">
      <c r="G12" s="19"/>
    </row>
    <row r="13" spans="3:11" x14ac:dyDescent="0.35">
      <c r="D13" s="1" t="s">
        <v>55</v>
      </c>
      <c r="F13" s="6"/>
      <c r="G13" s="50">
        <v>10</v>
      </c>
      <c r="H13" s="7"/>
      <c r="I13" s="1">
        <f>IF(G13=0,G11/10,G11/G13)</f>
        <v>35</v>
      </c>
    </row>
    <row r="14" spans="3:11" x14ac:dyDescent="0.35">
      <c r="G14" s="4"/>
    </row>
    <row r="15" spans="3:11" x14ac:dyDescent="0.35">
      <c r="C15" s="52" t="s">
        <v>5</v>
      </c>
      <c r="D15" s="52"/>
      <c r="E15" s="52"/>
      <c r="F15" s="52"/>
      <c r="G15" s="52"/>
      <c r="H15" s="52"/>
      <c r="I15" s="52"/>
      <c r="J15" s="52"/>
      <c r="K15" s="52"/>
    </row>
    <row r="16" spans="3:11" x14ac:dyDescent="0.35">
      <c r="G16" s="3"/>
    </row>
    <row r="17" spans="3:14" x14ac:dyDescent="0.35">
      <c r="D17" s="1" t="s">
        <v>12</v>
      </c>
      <c r="F17" s="6"/>
      <c r="G17" s="42" t="s">
        <v>11</v>
      </c>
      <c r="H17" s="7"/>
      <c r="I17" s="1" t="s">
        <v>10</v>
      </c>
      <c r="J17" s="1">
        <f>IF(G17="Per Day",365,IF(G17="Per Week",52,IF(G17="Per Month",12,1)))</f>
        <v>12</v>
      </c>
    </row>
    <row r="18" spans="3:14" x14ac:dyDescent="0.35">
      <c r="D18" s="1" t="s">
        <v>16</v>
      </c>
      <c r="F18" s="6"/>
      <c r="G18" s="42" t="s">
        <v>17</v>
      </c>
      <c r="H18" s="7"/>
    </row>
    <row r="19" spans="3:14" x14ac:dyDescent="0.35">
      <c r="G19" s="4"/>
    </row>
    <row r="20" spans="3:14" x14ac:dyDescent="0.35">
      <c r="C20" s="18" t="s">
        <v>9</v>
      </c>
      <c r="G20" s="3"/>
    </row>
    <row r="21" spans="3:14" ht="15" thickBot="1" x14ac:dyDescent="0.4">
      <c r="D21" s="2" t="s">
        <v>18</v>
      </c>
      <c r="F21" s="6"/>
      <c r="G21" s="42">
        <v>15.12</v>
      </c>
      <c r="H21" s="7" t="str">
        <f>G18</f>
        <v>meters cubed</v>
      </c>
      <c r="I21" s="3">
        <f>IF(H21="meters cubed",G21*G22,G21)</f>
        <v>171.80351999999999</v>
      </c>
      <c r="J21" s="3" t="s">
        <v>13</v>
      </c>
      <c r="K21" s="3"/>
      <c r="L21" s="3"/>
      <c r="M21" s="3"/>
    </row>
    <row r="22" spans="3:14" ht="16.5" x14ac:dyDescent="0.35">
      <c r="D22" s="2" t="s">
        <v>38</v>
      </c>
      <c r="F22" s="6"/>
      <c r="G22" s="42">
        <f>1*40*1.02264/3.6</f>
        <v>11.362666666666666</v>
      </c>
      <c r="H22" s="43" t="s">
        <v>50</v>
      </c>
      <c r="I22" s="26"/>
      <c r="J22" s="27"/>
      <c r="K22" s="27"/>
      <c r="L22" s="27"/>
      <c r="M22" s="28"/>
      <c r="N22" s="7"/>
    </row>
    <row r="23" spans="3:14" x14ac:dyDescent="0.35">
      <c r="D23" s="1" t="s">
        <v>39</v>
      </c>
      <c r="F23" s="6"/>
      <c r="G23" s="44">
        <v>0.56000000000000005</v>
      </c>
      <c r="H23" s="43"/>
      <c r="I23" s="25"/>
      <c r="J23" s="23" t="s">
        <v>47</v>
      </c>
      <c r="K23" s="40">
        <v>35.5</v>
      </c>
      <c r="L23" s="23" t="s">
        <v>48</v>
      </c>
      <c r="M23" s="24">
        <f>K23*0.0283168</f>
        <v>1.0052464000000001</v>
      </c>
      <c r="N23" s="7"/>
    </row>
    <row r="24" spans="3:14" ht="15" thickBot="1" x14ac:dyDescent="0.4">
      <c r="D24" s="1" t="s">
        <v>8</v>
      </c>
      <c r="F24" s="6"/>
      <c r="G24" s="45">
        <v>3.1300000000000001E-2</v>
      </c>
      <c r="H24" s="43"/>
      <c r="I24" s="20"/>
      <c r="J24" s="21"/>
      <c r="K24" s="21"/>
      <c r="L24" s="21"/>
      <c r="M24" s="22"/>
      <c r="N24" s="7"/>
    </row>
    <row r="25" spans="3:14" x14ac:dyDescent="0.35">
      <c r="D25" s="1" t="s">
        <v>14</v>
      </c>
      <c r="G25" s="5">
        <f>I21*G24*IF(G17="Per Day",365,IF(G17="Per Week",52,IF(G17="Per Month",12,1)))</f>
        <v>64.529402112</v>
      </c>
      <c r="I25" s="4"/>
      <c r="J25" s="4"/>
      <c r="K25" s="4"/>
      <c r="L25" s="4"/>
      <c r="M25" s="4"/>
    </row>
    <row r="26" spans="3:14" x14ac:dyDescent="0.35">
      <c r="C26" s="18" t="s">
        <v>22</v>
      </c>
      <c r="G26" s="46"/>
    </row>
    <row r="27" spans="3:14" x14ac:dyDescent="0.35">
      <c r="D27" s="2" t="s">
        <v>15</v>
      </c>
      <c r="F27" s="6"/>
      <c r="G27" s="42">
        <v>0</v>
      </c>
      <c r="H27" s="7" t="s">
        <v>13</v>
      </c>
    </row>
    <row r="28" spans="3:14" x14ac:dyDescent="0.35">
      <c r="D28" s="1" t="s">
        <v>19</v>
      </c>
      <c r="F28" s="6"/>
      <c r="G28" s="41">
        <v>0.05</v>
      </c>
      <c r="H28" s="7"/>
      <c r="J28" s="5"/>
    </row>
    <row r="29" spans="3:14" x14ac:dyDescent="0.35">
      <c r="D29" s="1" t="s">
        <v>20</v>
      </c>
      <c r="G29" s="5">
        <f>G27*G28*IF(G17="Per Day",365,IF(G17="Per Week",52,IF(G17="Per Month",12,1)))</f>
        <v>0</v>
      </c>
      <c r="M29" s="5"/>
    </row>
    <row r="30" spans="3:14" x14ac:dyDescent="0.35">
      <c r="G30" s="4"/>
    </row>
    <row r="31" spans="3:14" x14ac:dyDescent="0.35">
      <c r="C31" s="18" t="s">
        <v>40</v>
      </c>
      <c r="G31" s="3"/>
    </row>
    <row r="32" spans="3:14" x14ac:dyDescent="0.35">
      <c r="D32" s="2" t="s">
        <v>42</v>
      </c>
      <c r="F32" s="6"/>
      <c r="G32" s="42">
        <v>0</v>
      </c>
      <c r="H32" s="7">
        <f>G30</f>
        <v>0</v>
      </c>
      <c r="I32" s="1">
        <f>G32*G33</f>
        <v>0</v>
      </c>
      <c r="J32" s="1" t="s">
        <v>13</v>
      </c>
    </row>
    <row r="33" spans="3:14" x14ac:dyDescent="0.35">
      <c r="D33" s="2" t="s">
        <v>41</v>
      </c>
      <c r="F33" s="6"/>
      <c r="G33" s="42">
        <v>10.35</v>
      </c>
      <c r="H33" s="7" t="s">
        <v>50</v>
      </c>
      <c r="I33" s="1" t="s">
        <v>49</v>
      </c>
    </row>
    <row r="34" spans="3:14" x14ac:dyDescent="0.35">
      <c r="D34" s="1" t="s">
        <v>39</v>
      </c>
      <c r="F34" s="6"/>
      <c r="G34" s="44">
        <v>0.6</v>
      </c>
      <c r="H34" s="7"/>
    </row>
    <row r="35" spans="3:14" ht="15" thickBot="1" x14ac:dyDescent="0.4">
      <c r="D35" s="1" t="s">
        <v>43</v>
      </c>
      <c r="F35" s="6"/>
      <c r="G35" s="45">
        <v>1.0609999999999999</v>
      </c>
      <c r="H35" s="7"/>
      <c r="I35" s="3"/>
      <c r="J35" s="3"/>
      <c r="K35" s="3"/>
      <c r="L35" s="3"/>
      <c r="M35" s="3"/>
    </row>
    <row r="36" spans="3:14" x14ac:dyDescent="0.35">
      <c r="D36" s="1" t="s">
        <v>14</v>
      </c>
      <c r="G36" s="5">
        <f>G32*G35*IF(J17="Per Day",365,IF(J17="Per Week",52,IF(J17="Per Month",12,1)))</f>
        <v>0</v>
      </c>
      <c r="H36" s="6"/>
      <c r="I36" s="35"/>
      <c r="J36" s="36"/>
      <c r="K36" s="36"/>
      <c r="L36" s="36"/>
      <c r="M36" s="37"/>
      <c r="N36" s="7"/>
    </row>
    <row r="37" spans="3:14" x14ac:dyDescent="0.35">
      <c r="G37" s="4"/>
      <c r="H37" s="6"/>
      <c r="I37" s="34"/>
      <c r="J37" s="32" t="s">
        <v>45</v>
      </c>
      <c r="K37" s="54">
        <v>3.2</v>
      </c>
      <c r="L37" s="32" t="s">
        <v>44</v>
      </c>
      <c r="M37" s="33">
        <f>K37*3.78541</f>
        <v>12.113312000000001</v>
      </c>
      <c r="N37" s="7"/>
    </row>
    <row r="38" spans="3:14" x14ac:dyDescent="0.35">
      <c r="D38" s="2" t="s">
        <v>21</v>
      </c>
      <c r="G38" s="5">
        <f>G36+G29+G25</f>
        <v>64.529402112</v>
      </c>
      <c r="H38" s="6"/>
      <c r="I38" s="34"/>
      <c r="J38" s="32" t="s">
        <v>46</v>
      </c>
      <c r="K38" s="54"/>
      <c r="L38" s="32" t="s">
        <v>44</v>
      </c>
      <c r="M38" s="33">
        <f>K37*4.54608785742778</f>
        <v>14.547481143768898</v>
      </c>
      <c r="N38" s="7"/>
    </row>
    <row r="39" spans="3:14" ht="15" thickBot="1" x14ac:dyDescent="0.4">
      <c r="D39" s="2"/>
      <c r="G39" s="19"/>
      <c r="H39" s="6"/>
      <c r="I39" s="29"/>
      <c r="J39" s="30"/>
      <c r="K39" s="30"/>
      <c r="L39" s="30"/>
      <c r="M39" s="31"/>
      <c r="N39" s="7"/>
    </row>
    <row r="40" spans="3:14" x14ac:dyDescent="0.35">
      <c r="G40" s="4"/>
      <c r="I40" s="4"/>
      <c r="J40" s="4"/>
      <c r="K40" s="4"/>
      <c r="L40" s="4"/>
      <c r="M40" s="4"/>
    </row>
    <row r="41" spans="3:14" x14ac:dyDescent="0.35">
      <c r="C41" s="52" t="s">
        <v>23</v>
      </c>
      <c r="D41" s="52"/>
      <c r="E41" s="52"/>
      <c r="F41" s="52"/>
      <c r="G41" s="52"/>
      <c r="H41" s="52"/>
      <c r="I41" s="52"/>
      <c r="J41" s="52"/>
      <c r="K41" s="52"/>
    </row>
    <row r="43" spans="3:14" x14ac:dyDescent="0.35">
      <c r="D43" s="1" t="s">
        <v>51</v>
      </c>
      <c r="G43" s="1">
        <f>I21*J17*G23</f>
        <v>1154.5196544000003</v>
      </c>
    </row>
    <row r="44" spans="3:14" x14ac:dyDescent="0.35">
      <c r="D44" s="1" t="s">
        <v>52</v>
      </c>
      <c r="G44" s="1">
        <f>G27*J17</f>
        <v>0</v>
      </c>
    </row>
    <row r="45" spans="3:14" x14ac:dyDescent="0.35">
      <c r="D45" s="1" t="s">
        <v>53</v>
      </c>
      <c r="G45" s="38">
        <f>I32*G34*J17</f>
        <v>0</v>
      </c>
      <c r="H45" s="1" t="s">
        <v>13</v>
      </c>
    </row>
    <row r="46" spans="3:14" x14ac:dyDescent="0.35">
      <c r="G46" s="39">
        <f>SUM(G43:G45)</f>
        <v>1154.5196544000003</v>
      </c>
    </row>
    <row r="47" spans="3:14" x14ac:dyDescent="0.35">
      <c r="D47" s="1" t="s">
        <v>24</v>
      </c>
      <c r="F47" s="6"/>
      <c r="G47" s="45">
        <v>0</v>
      </c>
      <c r="H47" s="7"/>
    </row>
    <row r="48" spans="3:14" x14ac:dyDescent="0.35">
      <c r="D48" s="2" t="s">
        <v>25</v>
      </c>
      <c r="G48" s="47">
        <f>G47*SUM(G43:G45)</f>
        <v>0</v>
      </c>
    </row>
    <row r="51" spans="1:11" x14ac:dyDescent="0.35">
      <c r="C51" s="52" t="s">
        <v>26</v>
      </c>
      <c r="D51" s="52"/>
      <c r="E51" s="52"/>
      <c r="F51" s="52"/>
      <c r="G51" s="53"/>
      <c r="H51" s="52"/>
      <c r="I51" s="52"/>
      <c r="J51" s="52"/>
      <c r="K51" s="52"/>
    </row>
    <row r="53" spans="1:11" x14ac:dyDescent="0.35">
      <c r="D53" s="1" t="s">
        <v>27</v>
      </c>
      <c r="F53" s="6"/>
      <c r="G53" s="42">
        <v>1000</v>
      </c>
      <c r="H53" s="7"/>
    </row>
    <row r="54" spans="1:11" x14ac:dyDescent="0.35">
      <c r="D54" s="1" t="s">
        <v>54</v>
      </c>
      <c r="F54" s="6"/>
      <c r="G54" s="49">
        <v>0.7</v>
      </c>
      <c r="H54" s="7" t="s">
        <v>35</v>
      </c>
    </row>
    <row r="55" spans="1:11" x14ac:dyDescent="0.35">
      <c r="D55" s="1" t="s">
        <v>28</v>
      </c>
      <c r="G55" s="48">
        <f>MIN(G46,G53*G54)/G46</f>
        <v>0.6063127616166808</v>
      </c>
    </row>
    <row r="56" spans="1:11" x14ac:dyDescent="0.35">
      <c r="C56" s="3"/>
      <c r="D56" s="3"/>
      <c r="E56" s="3"/>
      <c r="F56" s="3"/>
      <c r="G56" s="8"/>
      <c r="H56" s="3"/>
    </row>
    <row r="57" spans="1:11" x14ac:dyDescent="0.35">
      <c r="A57" s="16"/>
      <c r="B57" s="6"/>
      <c r="C57" s="10"/>
      <c r="D57" s="10"/>
      <c r="E57" s="10"/>
      <c r="F57" s="10"/>
      <c r="G57" s="11"/>
      <c r="H57" s="10"/>
      <c r="I57" s="51"/>
      <c r="J57" s="51"/>
      <c r="K57" s="51"/>
    </row>
    <row r="58" spans="1:11" x14ac:dyDescent="0.35">
      <c r="A58" s="16"/>
      <c r="B58" s="6"/>
      <c r="C58" s="10"/>
      <c r="D58" s="10" t="s">
        <v>33</v>
      </c>
      <c r="E58" s="10"/>
      <c r="F58" s="10"/>
      <c r="G58" s="12">
        <f>G55*G38</f>
        <v>39.124999999999993</v>
      </c>
      <c r="H58" s="10"/>
      <c r="I58" s="51"/>
      <c r="J58" s="51"/>
      <c r="K58" s="51"/>
    </row>
    <row r="59" spans="1:11" x14ac:dyDescent="0.35">
      <c r="A59" s="16"/>
      <c r="B59" s="6"/>
      <c r="C59" s="10"/>
      <c r="D59" s="10" t="s">
        <v>34</v>
      </c>
      <c r="E59" s="10"/>
      <c r="F59" s="10"/>
      <c r="G59" s="12">
        <f>G55*G48</f>
        <v>0</v>
      </c>
      <c r="H59" s="10"/>
      <c r="I59" s="51"/>
      <c r="J59" s="51"/>
      <c r="K59" s="51"/>
    </row>
    <row r="60" spans="1:11" ht="14.5" customHeight="1" x14ac:dyDescent="0.35">
      <c r="A60" s="16"/>
      <c r="B60" s="6"/>
      <c r="C60" s="10"/>
      <c r="D60" s="10" t="s">
        <v>29</v>
      </c>
      <c r="E60" s="10"/>
      <c r="F60" s="10"/>
      <c r="G60" s="12">
        <f>G58-G59</f>
        <v>39.124999999999993</v>
      </c>
      <c r="H60" s="55" t="str">
        <f>IF(G62&lt;0,"YOU ARE LOSING MONEY","")</f>
        <v/>
      </c>
      <c r="I60" s="56"/>
      <c r="J60" s="57"/>
      <c r="K60" s="51"/>
    </row>
    <row r="61" spans="1:11" ht="14.5" customHeight="1" x14ac:dyDescent="0.35">
      <c r="A61" s="16"/>
      <c r="B61" s="6"/>
      <c r="C61" s="10"/>
      <c r="D61" s="10" t="s">
        <v>30</v>
      </c>
      <c r="E61" s="10"/>
      <c r="F61" s="10"/>
      <c r="G61" s="13">
        <f>G11/G60</f>
        <v>8.9456869009584672</v>
      </c>
      <c r="H61" s="58"/>
      <c r="I61" s="59"/>
      <c r="J61" s="60"/>
      <c r="K61" s="51"/>
    </row>
    <row r="62" spans="1:11" ht="21" customHeight="1" x14ac:dyDescent="0.35">
      <c r="A62" s="16"/>
      <c r="B62" s="6"/>
      <c r="C62" s="10"/>
      <c r="D62" s="10" t="s">
        <v>56</v>
      </c>
      <c r="E62" s="10"/>
      <c r="F62" s="10"/>
      <c r="G62" s="12">
        <f>G60*G13-G11</f>
        <v>41.249999999999943</v>
      </c>
      <c r="H62" s="61"/>
      <c r="I62" s="62"/>
      <c r="J62" s="63"/>
      <c r="K62" s="51"/>
    </row>
    <row r="63" spans="1:11" ht="14" customHeight="1" x14ac:dyDescent="0.35">
      <c r="A63" s="16"/>
      <c r="B63" s="6"/>
      <c r="C63" s="10"/>
      <c r="D63" s="10"/>
      <c r="E63" s="10"/>
      <c r="F63" s="10"/>
      <c r="G63" s="12"/>
      <c r="H63" s="10"/>
      <c r="I63" s="51"/>
      <c r="J63" s="51"/>
      <c r="K63" s="51"/>
    </row>
    <row r="64" spans="1:11" ht="14" customHeight="1" x14ac:dyDescent="0.35">
      <c r="C64" s="4"/>
      <c r="D64" s="4"/>
      <c r="E64" s="4"/>
      <c r="F64" s="4"/>
      <c r="G64" s="9"/>
      <c r="H64" s="4"/>
    </row>
    <row r="66" spans="3:11" x14ac:dyDescent="0.35">
      <c r="C66" s="52" t="s">
        <v>32</v>
      </c>
      <c r="D66" s="52" t="s">
        <v>6</v>
      </c>
      <c r="E66" s="52"/>
      <c r="F66" s="52"/>
      <c r="G66" s="53"/>
      <c r="H66" s="52"/>
      <c r="I66" s="52"/>
      <c r="J66" s="52"/>
      <c r="K66" s="52"/>
    </row>
    <row r="67" spans="3:11" x14ac:dyDescent="0.35">
      <c r="E67" s="1" t="s">
        <v>36</v>
      </c>
      <c r="F67" s="6"/>
      <c r="G67" s="42">
        <v>15.6</v>
      </c>
      <c r="H67" s="7"/>
    </row>
    <row r="68" spans="3:11" x14ac:dyDescent="0.35">
      <c r="E68" s="1" t="s">
        <v>37</v>
      </c>
      <c r="F68" s="6"/>
      <c r="G68" s="42">
        <v>28</v>
      </c>
      <c r="H68" s="7"/>
      <c r="I68" s="1" t="s">
        <v>7</v>
      </c>
    </row>
    <row r="69" spans="3:11" x14ac:dyDescent="0.35">
      <c r="F69" s="2" t="s">
        <v>31</v>
      </c>
      <c r="G69" s="17">
        <f>G67/G68</f>
        <v>0.55714285714285716</v>
      </c>
    </row>
    <row r="70" spans="3:11" x14ac:dyDescent="0.35">
      <c r="G70" s="4"/>
    </row>
  </sheetData>
  <sheetProtection sheet="1" objects="1" scenarios="1"/>
  <mergeCells count="7">
    <mergeCell ref="C6:K6"/>
    <mergeCell ref="C15:K15"/>
    <mergeCell ref="C41:K41"/>
    <mergeCell ref="C51:K51"/>
    <mergeCell ref="C66:K66"/>
    <mergeCell ref="K37:K38"/>
    <mergeCell ref="H60:J62"/>
  </mergeCells>
  <conditionalFormatting sqref="G62">
    <cfRule type="expression" dxfId="1" priority="2" stopIfTrue="1">
      <formula>$G$62&lt;0</formula>
    </cfRule>
  </conditionalFormatting>
  <conditionalFormatting sqref="G60">
    <cfRule type="expression" dxfId="0" priority="1" stopIfTrue="1">
      <formula>$G$62&lt;0</formula>
    </cfRule>
  </conditionalFormatting>
  <dataValidations count="3">
    <dataValidation type="list" allowBlank="1" showInputMessage="1" showErrorMessage="1" sqref="G17" xr:uid="{CE0B240D-CED6-473B-9D86-DB60124B1E82}">
      <formula1>"Per Day, Per Week, Per Month, Per Year"</formula1>
    </dataValidation>
    <dataValidation type="list" allowBlank="1" showInputMessage="1" showErrorMessage="1" sqref="G18" xr:uid="{2260FA96-CD49-46F2-8CE7-742D7E7FD4D5}">
      <formula1>"meters cubed, kWh"</formula1>
    </dataValidation>
    <dataValidation type="whole" allowBlank="1" showInputMessage="1" showErrorMessage="1" sqref="G13" xr:uid="{DEC47909-AF2D-419D-98AA-28025CA0FA36}">
      <formula1>1</formula1>
      <formula2>100</formula2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Cost-ben 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Shersby</dc:creator>
  <cp:lastModifiedBy>Peter Shersby</cp:lastModifiedBy>
  <dcterms:created xsi:type="dcterms:W3CDTF">2022-05-03T10:51:16Z</dcterms:created>
  <dcterms:modified xsi:type="dcterms:W3CDTF">2022-08-22T09:43:48Z</dcterms:modified>
</cp:coreProperties>
</file>