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 Torque" sheetId="1" r:id="rId4"/>
    <sheet state="visible" name="Harmonic" sheetId="2" r:id="rId5"/>
    <sheet state="visible" name="Precession" sheetId="3" r:id="rId6"/>
    <sheet state="visible" name="Spring" sheetId="4" r:id="rId7"/>
  </sheets>
  <definedNames/>
  <calcPr/>
</workbook>
</file>

<file path=xl/sharedStrings.xml><?xml version="1.0" encoding="utf-8"?>
<sst xmlns="http://schemas.openxmlformats.org/spreadsheetml/2006/main" count="84" uniqueCount="62">
  <si>
    <t>2.6.</t>
  </si>
  <si>
    <t>a</t>
  </si>
  <si>
    <t>r error (m)</t>
  </si>
  <si>
    <t>I error</t>
  </si>
  <si>
    <t>B error</t>
  </si>
  <si>
    <t>I (amps)</t>
  </si>
  <si>
    <t>B</t>
  </si>
  <si>
    <t>r (m)</t>
  </si>
  <si>
    <t>const</t>
  </si>
  <si>
    <t>magn per</t>
  </si>
  <si>
    <t>moment</t>
  </si>
  <si>
    <t>m = mu B /rg</t>
  </si>
  <si>
    <t>fit r= a +bB</t>
  </si>
  <si>
    <t>n</t>
  </si>
  <si>
    <t>b</t>
  </si>
  <si>
    <t>r</t>
  </si>
  <si>
    <t>mu error %</t>
  </si>
  <si>
    <t xml:space="preserve">error </t>
  </si>
  <si>
    <t>Harmonic</t>
  </si>
  <si>
    <t>c</t>
  </si>
  <si>
    <t xml:space="preserve">m error </t>
  </si>
  <si>
    <t>r error 0.005</t>
  </si>
  <si>
    <t>I error %</t>
  </si>
  <si>
    <t>m</t>
  </si>
  <si>
    <t>I</t>
  </si>
  <si>
    <t xml:space="preserve">I  </t>
  </si>
  <si>
    <t>t/20 cycles</t>
  </si>
  <si>
    <t>1/I</t>
  </si>
  <si>
    <t>t^2</t>
  </si>
  <si>
    <t>1/B</t>
  </si>
  <si>
    <t>t error</t>
  </si>
  <si>
    <t>t/20 error</t>
  </si>
  <si>
    <t>t/20 sq error</t>
  </si>
  <si>
    <t>1/ B error</t>
  </si>
  <si>
    <t>`</t>
  </si>
  <si>
    <t>% error</t>
  </si>
  <si>
    <t>mu</t>
  </si>
  <si>
    <t>error</t>
  </si>
  <si>
    <t>1/b</t>
  </si>
  <si>
    <t>t^2 = a + b (1/B)</t>
  </si>
  <si>
    <t xml:space="preserve">t^2 </t>
  </si>
  <si>
    <t>Precession</t>
  </si>
  <si>
    <t>t  err</t>
  </si>
  <si>
    <t>t/5 error</t>
  </si>
  <si>
    <t>ang f error</t>
  </si>
  <si>
    <t>I err</t>
  </si>
  <si>
    <t>time/5</t>
  </si>
  <si>
    <t>angular frequency</t>
  </si>
  <si>
    <t xml:space="preserve">mu </t>
  </si>
  <si>
    <t>fit f = a +bB</t>
  </si>
  <si>
    <t>% err</t>
  </si>
  <si>
    <t>mu erro</t>
  </si>
  <si>
    <t xml:space="preserve">f </t>
  </si>
  <si>
    <t>anngulra velocity</t>
  </si>
  <si>
    <t>frequency uncertainity</t>
  </si>
  <si>
    <t xml:space="preserve">L </t>
  </si>
  <si>
    <t>i err</t>
  </si>
  <si>
    <t>l error %</t>
  </si>
  <si>
    <t xml:space="preserve">L error   </t>
  </si>
  <si>
    <t>Spring Calibration</t>
  </si>
  <si>
    <t>cm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</si>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</sst>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A61D4C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1" numFmtId="0" xfId="0" applyFont="1"/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'Net Torque'!$D$1:$D$6</c:f>
            </c:numRef>
          </c:xVal>
          <c:yVal>
            <c:numRef>
              <c:f>'Net Torque'!$E$1:$E$6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04321"/>
        <c:axId val="1466864734"/>
      </c:scatterChart>
      <c:valAx>
        <c:axId val="2018804321"/>
        <c:scaling>
          <c:orientation val="minMax"/>
          <c:max val="0.00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864734"/>
      </c:valAx>
      <c:valAx>
        <c:axId val="1466864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804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t/20 cycles and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Harmonic!$C$4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Harmonic!$B$5:$B$11</c:f>
            </c:numRef>
          </c:xVal>
          <c:yVal>
            <c:numRef>
              <c:f>Harmonic!$C$5:$C$11</c:f>
              <c:numCache/>
            </c:numRef>
          </c:yVal>
        </c:ser>
        <c:ser>
          <c:idx val="1"/>
          <c:order val="1"/>
          <c:tx>
            <c:strRef>
              <c:f>Harmonic!$D$4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Harmonic!$B$5:$B$11</c:f>
            </c:numRef>
          </c:xVal>
          <c:yVal>
            <c:numRef>
              <c:f>Harmonic!$D$5:$D$11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821802"/>
        <c:axId val="137962026"/>
      </c:scatterChart>
      <c:valAx>
        <c:axId val="15668218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62026"/>
      </c:valAx>
      <c:valAx>
        <c:axId val="137962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821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Harmonic!$F$5:$F$11</c:f>
            </c:numRef>
          </c:xVal>
          <c:yVal>
            <c:numRef>
              <c:f>Harmonic!$G$5:$G$11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289606"/>
        <c:axId val="106695240"/>
      </c:scatterChart>
      <c:valAx>
        <c:axId val="18082896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95240"/>
      </c:valAx>
      <c:valAx>
        <c:axId val="106695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289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Precession!$D$3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Precession!$A$4:$A$9</c:f>
            </c:numRef>
          </c:xVal>
          <c:yVal>
            <c:numRef>
              <c:f>Precession!$D$4:$D$9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01122"/>
        <c:axId val="1111188097"/>
      </c:scatterChart>
      <c:valAx>
        <c:axId val="1064501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188097"/>
      </c:valAx>
      <c:valAx>
        <c:axId val="1111188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501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 vs. 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Spring!$C$11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Spring!$B$12:$B$20</c:f>
            </c:numRef>
          </c:xVal>
          <c:yVal>
            <c:numRef>
              <c:f>Spring!$C$12:$C$20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664257"/>
        <c:axId val="2012410126"/>
      </c:scatterChart>
      <c:valAx>
        <c:axId val="1948664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410126"/>
      </c:valAx>
      <c:valAx>
        <c:axId val="2012410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664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11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476250</xdr:colOff>
      <xdr:row>18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15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8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>
        <v>0.114</v>
      </c>
      <c r="K1" s="1" t="s">
        <v>2</v>
      </c>
      <c r="L1" s="1" t="s">
        <v>3</v>
      </c>
      <c r="M1" s="1" t="s">
        <v>4</v>
      </c>
    </row>
    <row r="2">
      <c r="C2" s="1" t="s">
        <v>5</v>
      </c>
      <c r="D2" s="1" t="s">
        <v>6</v>
      </c>
      <c r="E2" s="1" t="s">
        <v>7</v>
      </c>
      <c r="H2" s="1" t="s">
        <v>8</v>
      </c>
      <c r="K2" s="1">
        <v>5.0E-4</v>
      </c>
      <c r="L2" s="2">
        <v>0.05</v>
      </c>
      <c r="M2" s="3">
        <f>(0.76*$A$11 *$A$4*L2)/$D$1</f>
        <v>0.00008168140899</v>
      </c>
    </row>
    <row r="3">
      <c r="A3" s="1" t="s">
        <v>9</v>
      </c>
      <c r="C3" s="1">
        <v>2.5</v>
      </c>
      <c r="D3" s="4">
        <f t="shared" ref="D3:D6" si="1">(0.76*$A$11 *$A$4*C3)/$D$1</f>
        <v>0.00408407045</v>
      </c>
      <c r="E3" s="1">
        <v>0.063</v>
      </c>
      <c r="H3" s="3">
        <f>(0.76*$A$11 *$A$4)/$D$1</f>
        <v>0.00163362818</v>
      </c>
    </row>
    <row r="4">
      <c r="A4" s="4">
        <f>A8 * 10^-7</f>
        <v>0.000001256637061</v>
      </c>
      <c r="C4" s="1">
        <v>3.0</v>
      </c>
      <c r="D4" s="4">
        <f t="shared" si="1"/>
        <v>0.00490088454</v>
      </c>
      <c r="E4" s="1">
        <v>0.091</v>
      </c>
    </row>
    <row r="5">
      <c r="C5" s="1">
        <v>3.5</v>
      </c>
      <c r="D5" s="4">
        <f t="shared" si="1"/>
        <v>0.00571769863</v>
      </c>
      <c r="E5" s="1">
        <v>0.108</v>
      </c>
      <c r="M5" s="1" t="s">
        <v>10</v>
      </c>
      <c r="N5" s="4">
        <f> (0.002 *9.81 *M13)/M12</f>
        <v>0.3509273262</v>
      </c>
      <c r="P5" s="1">
        <v>0.35</v>
      </c>
    </row>
    <row r="6">
      <c r="C6" s="1">
        <v>3.7</v>
      </c>
      <c r="D6" s="4">
        <f t="shared" si="1"/>
        <v>0.006044424266</v>
      </c>
      <c r="E6" s="1">
        <v>0.115</v>
      </c>
    </row>
    <row r="7">
      <c r="O7" s="1" t="s">
        <v>11</v>
      </c>
      <c r="P7" s="4">
        <f> (P5 *M12)/(9.81 * M13)</f>
        <v>0.001994714996</v>
      </c>
    </row>
    <row r="8">
      <c r="A8" s="4">
        <f>4*pi()</f>
        <v>12.56637061</v>
      </c>
    </row>
    <row r="9">
      <c r="L9" s="1" t="s">
        <v>12</v>
      </c>
    </row>
    <row r="10">
      <c r="A10" s="1" t="s">
        <v>13</v>
      </c>
      <c r="L10" s="1" t="s">
        <v>1</v>
      </c>
      <c r="M10" s="1">
        <v>-0.0411646172826613</v>
      </c>
    </row>
    <row r="11">
      <c r="A11" s="1">
        <v>195.0</v>
      </c>
      <c r="L11" s="1" t="s">
        <v>14</v>
      </c>
      <c r="M11" s="1">
        <v>26.1191276463808</v>
      </c>
    </row>
    <row r="12">
      <c r="L12" s="1" t="s">
        <v>6</v>
      </c>
      <c r="M12" s="1">
        <v>0.005</v>
      </c>
    </row>
    <row r="13">
      <c r="L13" s="1" t="s">
        <v>15</v>
      </c>
      <c r="M13" s="4">
        <f>M10+M11*M12</f>
        <v>0.08943102095</v>
      </c>
    </row>
    <row r="16">
      <c r="O16" s="1" t="s">
        <v>16</v>
      </c>
      <c r="P16" s="4">
        <f>SQRT((K2/M13)^2+(M2/M12)^2)</f>
        <v>0.01726650743</v>
      </c>
    </row>
    <row r="17">
      <c r="O17" s="1" t="s">
        <v>17</v>
      </c>
      <c r="P17" s="4">
        <f>N5*P16</f>
        <v>0.006059289286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18</v>
      </c>
      <c r="C1" s="1" t="s">
        <v>19</v>
      </c>
      <c r="D1" s="1">
        <v>18.2</v>
      </c>
      <c r="H1" s="1" t="s">
        <v>20</v>
      </c>
      <c r="I1" s="1">
        <v>5.0E-4</v>
      </c>
      <c r="J1" s="1" t="s">
        <v>21</v>
      </c>
      <c r="L1" s="1" t="s">
        <v>22</v>
      </c>
      <c r="M1" s="4">
        <f>sqrt((0.00005/0.1402)^2 + (0.0005/0.027)^2)</f>
        <v>0.01852195226</v>
      </c>
      <c r="N1" s="4">
        <f>(4.08 * 10^-5) *M1</f>
        <v>0.0000007556956522</v>
      </c>
    </row>
    <row r="2">
      <c r="A2" s="1" t="s">
        <v>23</v>
      </c>
      <c r="B2" s="2">
        <v>0.1402</v>
      </c>
      <c r="C2" s="1" t="s">
        <v>15</v>
      </c>
      <c r="D2" s="2">
        <v>0.027</v>
      </c>
      <c r="F2" s="1" t="s">
        <v>24</v>
      </c>
      <c r="L2" s="1" t="s">
        <v>25</v>
      </c>
      <c r="M2" s="4">
        <f>(2/5)*B2*(D2)^2</f>
        <v>0.00004088232</v>
      </c>
    </row>
    <row r="4">
      <c r="B4" s="1" t="s">
        <v>24</v>
      </c>
      <c r="C4" s="1" t="s">
        <v>26</v>
      </c>
      <c r="F4" s="1" t="s">
        <v>27</v>
      </c>
      <c r="G4" s="1" t="s">
        <v>28</v>
      </c>
      <c r="I4" s="1" t="s">
        <v>6</v>
      </c>
      <c r="J4" s="1" t="s">
        <v>29</v>
      </c>
      <c r="L4" s="1" t="s">
        <v>30</v>
      </c>
      <c r="M4" s="1" t="s">
        <v>31</v>
      </c>
      <c r="N4" s="1" t="s">
        <v>32</v>
      </c>
      <c r="O4" s="1" t="s">
        <v>3</v>
      </c>
      <c r="P4" s="1" t="s">
        <v>4</v>
      </c>
      <c r="Q4" s="1" t="s">
        <v>33</v>
      </c>
    </row>
    <row r="5">
      <c r="B5" s="1">
        <v>1.0</v>
      </c>
      <c r="C5" s="1">
        <v>32.83</v>
      </c>
      <c r="F5" s="4">
        <f t="shared" ref="F5:F11" si="1">1/B5</f>
        <v>1</v>
      </c>
      <c r="G5" s="4">
        <f t="shared" ref="G5:G11" si="2">(C5/20)^2</f>
        <v>2.69452225</v>
      </c>
      <c r="I5" s="4">
        <f t="shared" ref="I5:I11" si="3">$A$9*B5</f>
        <v>0.00163362818</v>
      </c>
      <c r="J5" s="4">
        <f t="shared" ref="J5:J11" si="4">1/I5</f>
        <v>612.1343965</v>
      </c>
      <c r="L5" s="1">
        <v>0.25</v>
      </c>
      <c r="M5" s="4">
        <f>L5/20</f>
        <v>0.0125</v>
      </c>
      <c r="N5" s="4">
        <f>SQRT(2)*M5</f>
        <v>0.01767766953</v>
      </c>
      <c r="O5" s="1">
        <v>0.05</v>
      </c>
      <c r="P5" s="4">
        <f>A9*O5</f>
        <v>0.00008168140899</v>
      </c>
      <c r="Q5" s="1">
        <v>13.0</v>
      </c>
    </row>
    <row r="6">
      <c r="B6" s="1">
        <v>2.0</v>
      </c>
      <c r="C6" s="1">
        <v>24.15</v>
      </c>
      <c r="D6" s="1">
        <v>24.26</v>
      </c>
      <c r="F6" s="4">
        <f t="shared" si="1"/>
        <v>0.5</v>
      </c>
      <c r="G6" s="4">
        <f t="shared" si="2"/>
        <v>1.45805625</v>
      </c>
      <c r="I6" s="4">
        <f t="shared" si="3"/>
        <v>0.00326725636</v>
      </c>
      <c r="J6" s="4">
        <f t="shared" si="4"/>
        <v>306.0671983</v>
      </c>
    </row>
    <row r="7">
      <c r="B7" s="1">
        <v>3.0</v>
      </c>
      <c r="C7" s="1">
        <v>19.52</v>
      </c>
      <c r="D7" s="1">
        <v>19.48</v>
      </c>
      <c r="F7" s="4">
        <f t="shared" si="1"/>
        <v>0.3333333333</v>
      </c>
      <c r="G7" s="4">
        <f t="shared" si="2"/>
        <v>0.952576</v>
      </c>
      <c r="I7" s="4">
        <f t="shared" si="3"/>
        <v>0.00490088454</v>
      </c>
      <c r="J7" s="4">
        <f t="shared" si="4"/>
        <v>204.0447988</v>
      </c>
      <c r="N7" s="1" t="s">
        <v>34</v>
      </c>
    </row>
    <row r="8">
      <c r="A8" s="1" t="s">
        <v>8</v>
      </c>
      <c r="B8" s="1">
        <v>3.9</v>
      </c>
      <c r="C8" s="1">
        <v>16.8</v>
      </c>
      <c r="D8" s="1">
        <v>16.77</v>
      </c>
      <c r="F8" s="4">
        <f t="shared" si="1"/>
        <v>0.2564102564</v>
      </c>
      <c r="G8" s="4">
        <f t="shared" si="2"/>
        <v>0.7056</v>
      </c>
      <c r="I8" s="4">
        <f t="shared" si="3"/>
        <v>0.006371149901</v>
      </c>
      <c r="J8" s="4">
        <f t="shared" si="4"/>
        <v>156.9575376</v>
      </c>
      <c r="P8" s="1" t="s">
        <v>35</v>
      </c>
      <c r="Q8" s="4">
        <f>sqrt((Q5/M10)^2+(N5/M11)^2+(N1/M2)^2)</f>
        <v>0.03854109609</v>
      </c>
    </row>
    <row r="9">
      <c r="A9" s="4">
        <v>0.0016336281798666923</v>
      </c>
      <c r="B9" s="1">
        <v>1.5</v>
      </c>
      <c r="C9" s="1">
        <v>28.43</v>
      </c>
      <c r="D9" s="1">
        <v>28.83</v>
      </c>
      <c r="F9" s="4">
        <f t="shared" si="1"/>
        <v>0.6666666667</v>
      </c>
      <c r="G9" s="4">
        <f t="shared" si="2"/>
        <v>2.02066225</v>
      </c>
      <c r="I9" s="4">
        <f t="shared" si="3"/>
        <v>0.00245044227</v>
      </c>
      <c r="J9" s="4">
        <f t="shared" si="4"/>
        <v>408.0895977</v>
      </c>
      <c r="L9" s="1" t="s">
        <v>36</v>
      </c>
      <c r="M9" s="1">
        <f>(4*PI()*PI()*M2*M17)/M18</f>
        <v>0.3520384999</v>
      </c>
      <c r="P9" s="1" t="s">
        <v>37</v>
      </c>
      <c r="Q9" s="4">
        <f>M9*Q8</f>
        <v>0.01356794965</v>
      </c>
    </row>
    <row r="10">
      <c r="B10" s="1">
        <v>2.5</v>
      </c>
      <c r="C10" s="1">
        <v>21.14</v>
      </c>
      <c r="D10" s="1">
        <v>22.03</v>
      </c>
      <c r="F10" s="4">
        <f t="shared" si="1"/>
        <v>0.4</v>
      </c>
      <c r="G10" s="4">
        <f t="shared" si="2"/>
        <v>1.117249</v>
      </c>
      <c r="I10" s="4">
        <f t="shared" si="3"/>
        <v>0.00408407045</v>
      </c>
      <c r="J10" s="4">
        <f t="shared" si="4"/>
        <v>244.8537586</v>
      </c>
      <c r="L10" s="1" t="s">
        <v>38</v>
      </c>
      <c r="M10" s="1">
        <v>400.0</v>
      </c>
    </row>
    <row r="11">
      <c r="B11" s="1">
        <v>3.5</v>
      </c>
      <c r="C11" s="1">
        <v>18.07</v>
      </c>
      <c r="D11" s="1">
        <v>17.87</v>
      </c>
      <c r="F11" s="4">
        <f t="shared" si="1"/>
        <v>0.2857142857</v>
      </c>
      <c r="G11" s="4">
        <f t="shared" si="2"/>
        <v>0.81631225</v>
      </c>
      <c r="I11" s="4">
        <f t="shared" si="3"/>
        <v>0.00571769863</v>
      </c>
      <c r="J11" s="4">
        <f t="shared" si="4"/>
        <v>174.8955419</v>
      </c>
      <c r="L11" s="1" t="s">
        <v>28</v>
      </c>
      <c r="M11" s="1">
        <v>1.89</v>
      </c>
    </row>
    <row r="12">
      <c r="L12" s="1">
        <f>1/400</f>
        <v>0.0025</v>
      </c>
    </row>
    <row r="14">
      <c r="L14" s="1" t="s">
        <v>39</v>
      </c>
    </row>
    <row r="15">
      <c r="L15" s="1" t="s">
        <v>1</v>
      </c>
      <c r="M15" s="1">
        <v>0.0514669167580601</v>
      </c>
    </row>
    <row r="16">
      <c r="L16" s="1" t="s">
        <v>14</v>
      </c>
      <c r="M16" s="1">
        <v>0.00445597132543596</v>
      </c>
    </row>
    <row r="17">
      <c r="L17" s="1" t="s">
        <v>29</v>
      </c>
      <c r="M17" s="1">
        <v>400.0</v>
      </c>
    </row>
    <row r="18">
      <c r="L18" s="2" t="s">
        <v>40</v>
      </c>
      <c r="M18" s="4">
        <f>M15+M16*M17</f>
        <v>1.833855447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41</v>
      </c>
      <c r="F1" s="1" t="s">
        <v>8</v>
      </c>
      <c r="L1" s="4">
        <f>0.008 *2 * PI()</f>
        <v>0.05026548246</v>
      </c>
    </row>
    <row r="2">
      <c r="F2" s="4">
        <v>0.0016336281798666923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</v>
      </c>
    </row>
    <row r="3">
      <c r="A3" s="1" t="s">
        <v>24</v>
      </c>
      <c r="B3" s="1" t="s">
        <v>46</v>
      </c>
      <c r="D3" s="1" t="s">
        <v>47</v>
      </c>
      <c r="F3" s="1" t="s">
        <v>6</v>
      </c>
      <c r="H3" s="4">
        <f>0.25</f>
        <v>0.25</v>
      </c>
      <c r="I3" s="1">
        <v>0.05</v>
      </c>
      <c r="J3" s="4">
        <f>0.05</f>
        <v>0.05</v>
      </c>
      <c r="K3" s="1">
        <v>0.05</v>
      </c>
      <c r="L3" s="4">
        <f>K3*F2</f>
        <v>0.00008168140899</v>
      </c>
    </row>
    <row r="4">
      <c r="A4" s="1">
        <v>1.0</v>
      </c>
      <c r="B4" s="1">
        <v>41.5</v>
      </c>
      <c r="C4" s="4">
        <f t="shared" ref="C4:C9" si="1">B4/5</f>
        <v>8.3</v>
      </c>
      <c r="D4" s="1">
        <f t="shared" ref="D4:D9" si="2">(2*pi())/C4</f>
        <v>0.757010278</v>
      </c>
      <c r="F4" s="4">
        <f t="shared" ref="F4:F9" si="3">$F$2*A4</f>
        <v>0.00163362818</v>
      </c>
    </row>
    <row r="5">
      <c r="A5" s="1">
        <v>1.5</v>
      </c>
      <c r="B5" s="1">
        <v>24.84</v>
      </c>
      <c r="C5" s="4">
        <f t="shared" si="1"/>
        <v>4.968</v>
      </c>
      <c r="D5" s="1">
        <f t="shared" si="2"/>
        <v>1.264731342</v>
      </c>
      <c r="F5" s="4">
        <f t="shared" si="3"/>
        <v>0.00245044227</v>
      </c>
      <c r="M5" s="1" t="s">
        <v>48</v>
      </c>
      <c r="N5" s="4">
        <f>(I10 * D19)/I9</f>
        <v>0.5385922078</v>
      </c>
    </row>
    <row r="6">
      <c r="A6" s="1">
        <v>1.7</v>
      </c>
      <c r="B6" s="1">
        <v>26.3</v>
      </c>
      <c r="C6" s="4">
        <f t="shared" si="1"/>
        <v>5.26</v>
      </c>
      <c r="D6" s="1">
        <f t="shared" si="2"/>
        <v>1.194521922</v>
      </c>
      <c r="F6" s="4">
        <f t="shared" si="3"/>
        <v>0.002777167906</v>
      </c>
      <c r="H6" s="1" t="s">
        <v>49</v>
      </c>
    </row>
    <row r="7">
      <c r="A7" s="1">
        <v>2.0</v>
      </c>
      <c r="B7" s="1">
        <v>17.05</v>
      </c>
      <c r="C7" s="4">
        <f t="shared" si="1"/>
        <v>3.41</v>
      </c>
      <c r="D7" s="1">
        <f t="shared" si="2"/>
        <v>1.842576336</v>
      </c>
      <c r="F7" s="4">
        <f t="shared" si="3"/>
        <v>0.00326725636</v>
      </c>
      <c r="H7" s="1" t="s">
        <v>1</v>
      </c>
      <c r="I7" s="1">
        <v>0.272724129276391</v>
      </c>
      <c r="K7" s="1" t="s">
        <v>50</v>
      </c>
      <c r="L7" s="4">
        <f>SQRT((J3/I10)^2+(L3/I9)^2+(D21/D19)^2)</f>
        <v>0.336858412</v>
      </c>
    </row>
    <row r="8">
      <c r="A8" s="1">
        <v>2.5</v>
      </c>
      <c r="B8" s="1">
        <v>17.93</v>
      </c>
      <c r="C8" s="4">
        <f t="shared" si="1"/>
        <v>3.586</v>
      </c>
      <c r="D8" s="1">
        <f t="shared" si="2"/>
        <v>1.752143142</v>
      </c>
      <c r="F8" s="4">
        <f t="shared" si="3"/>
        <v>0.00408407045</v>
      </c>
      <c r="H8" s="1" t="s">
        <v>14</v>
      </c>
      <c r="I8" s="1">
        <v>375.034269055525</v>
      </c>
      <c r="K8" s="1" t="s">
        <v>51</v>
      </c>
      <c r="L8" s="4">
        <f>N5*L7</f>
        <v>0.1814293158</v>
      </c>
    </row>
    <row r="9">
      <c r="A9" s="1">
        <v>3.0</v>
      </c>
      <c r="B9" s="1">
        <v>15.64</v>
      </c>
      <c r="C9" s="4">
        <f t="shared" si="1"/>
        <v>3.128</v>
      </c>
      <c r="D9" s="1">
        <f t="shared" si="2"/>
        <v>2.008690955</v>
      </c>
      <c r="F9" s="4">
        <f t="shared" si="3"/>
        <v>0.00490088454</v>
      </c>
      <c r="H9" s="1" t="s">
        <v>6</v>
      </c>
      <c r="I9" s="1">
        <v>0.003</v>
      </c>
    </row>
    <row r="10">
      <c r="D10" s="1"/>
      <c r="H10" s="1" t="s">
        <v>52</v>
      </c>
      <c r="I10" s="4">
        <f>I7+I8*I9</f>
        <v>1.397826936</v>
      </c>
    </row>
    <row r="11">
      <c r="A11" s="1" t="s">
        <v>53</v>
      </c>
    </row>
    <row r="12">
      <c r="A12" s="4">
        <f> 2*PI()* 4.5</f>
        <v>28.27433388</v>
      </c>
    </row>
    <row r="14">
      <c r="A14" s="1" t="s">
        <v>24</v>
      </c>
    </row>
    <row r="15">
      <c r="A15" s="5">
        <v>4.088232E-5</v>
      </c>
    </row>
    <row r="18">
      <c r="A18" s="1" t="s">
        <v>54</v>
      </c>
    </row>
    <row r="19">
      <c r="A19" s="1">
        <f>3 * PI()</f>
        <v>9.424777961</v>
      </c>
      <c r="C19" s="1" t="s">
        <v>55</v>
      </c>
      <c r="D19" s="4">
        <f>A12*A15</f>
        <v>0.001155920366</v>
      </c>
    </row>
    <row r="20">
      <c r="A20" s="1" t="s">
        <v>56</v>
      </c>
      <c r="C20" s="2" t="s">
        <v>57</v>
      </c>
      <c r="D20" s="4">
        <f>SQRT((A19/A12)^2+(A21/A15)^2)</f>
        <v>0.3338454637</v>
      </c>
    </row>
    <row r="21">
      <c r="A21" s="4">
        <v>7.556956521720451E-7</v>
      </c>
      <c r="C21" s="1" t="s">
        <v>58</v>
      </c>
      <c r="D21" s="4">
        <f>D20*D19</f>
        <v>0.0003858987705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59</v>
      </c>
      <c r="B1" s="1" t="s">
        <v>23</v>
      </c>
      <c r="C1" s="1" t="s">
        <v>60</v>
      </c>
    </row>
    <row r="2">
      <c r="B2" s="1">
        <v>0.0</v>
      </c>
      <c r="C2" s="1">
        <v>4.9</v>
      </c>
    </row>
    <row r="3">
      <c r="B3" s="1">
        <v>1.0</v>
      </c>
      <c r="C3" s="1">
        <v>4.0</v>
      </c>
      <c r="D3" s="4">
        <f t="shared" ref="D3:D6" si="1">C3-C2</f>
        <v>-0.9</v>
      </c>
    </row>
    <row r="4">
      <c r="B4" s="1">
        <v>2.0</v>
      </c>
      <c r="C4" s="1">
        <v>3.25</v>
      </c>
      <c r="D4" s="4">
        <f t="shared" si="1"/>
        <v>-0.75</v>
      </c>
      <c r="E4" s="4">
        <f>AVERAGE(D3:D6)</f>
        <v>-0.85</v>
      </c>
    </row>
    <row r="5">
      <c r="B5" s="1">
        <v>3.0</v>
      </c>
      <c r="C5" s="1">
        <v>2.35</v>
      </c>
      <c r="D5" s="4">
        <f t="shared" si="1"/>
        <v>-0.9</v>
      </c>
      <c r="E5" s="4">
        <f>STDEV(D3:D6)</f>
        <v>0.07071067812</v>
      </c>
      <c r="F5" s="4">
        <f>E5/E4*100</f>
        <v>-8.318903308</v>
      </c>
    </row>
    <row r="6">
      <c r="B6" s="1">
        <v>4.0</v>
      </c>
      <c r="C6" s="4">
        <f>1.5</f>
        <v>1.5</v>
      </c>
      <c r="D6" s="4">
        <f t="shared" si="1"/>
        <v>-0.85</v>
      </c>
    </row>
    <row r="11">
      <c r="B11" s="1" t="s">
        <v>24</v>
      </c>
      <c r="C11" s="1" t="s">
        <v>61</v>
      </c>
    </row>
    <row r="12">
      <c r="B12" s="1">
        <v>0.0</v>
      </c>
      <c r="C12" s="1">
        <v>0.0</v>
      </c>
    </row>
    <row r="13">
      <c r="B13" s="1">
        <v>0.5</v>
      </c>
      <c r="C13" s="1">
        <v>0.0</v>
      </c>
    </row>
    <row r="14">
      <c r="B14" s="1">
        <v>1.0</v>
      </c>
      <c r="C14" s="1">
        <v>0.3</v>
      </c>
    </row>
    <row r="15">
      <c r="B15" s="1">
        <v>1.5</v>
      </c>
      <c r="C15" s="1">
        <v>0.6</v>
      </c>
    </row>
    <row r="16">
      <c r="B16" s="1">
        <v>2.0</v>
      </c>
      <c r="C16" s="1">
        <v>0.9</v>
      </c>
    </row>
    <row r="17">
      <c r="B17" s="1">
        <v>2.5</v>
      </c>
      <c r="C17" s="1">
        <v>1.2</v>
      </c>
    </row>
    <row r="18">
      <c r="B18" s="1">
        <v>3.0</v>
      </c>
      <c r="C18" s="1">
        <v>1.5</v>
      </c>
    </row>
    <row r="19">
      <c r="B19" s="1">
        <v>3.5</v>
      </c>
      <c r="C19" s="1">
        <v>1.8</v>
      </c>
    </row>
    <row r="20">
      <c r="B20" s="1">
        <v>3.8</v>
      </c>
      <c r="C20" s="1">
        <v>2.0</v>
      </c>
    </row>
  </sheetData>
  <drawing r:id="rId1"/>
</worksheet>
</file>