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saveExternalLinkValues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Personal Business Stuff_Bryfin Related\Resume &amp; Examples of Work\"/>
    </mc:Choice>
  </mc:AlternateContent>
  <xr:revisionPtr revIDLastSave="0" documentId="13_ncr:1_{4408AD9A-5687-47E9-879D-80A847D90D4C}" xr6:coauthVersionLast="47" xr6:coauthVersionMax="47" xr10:uidLastSave="{00000000-0000-0000-0000-000000000000}"/>
  <bookViews>
    <workbookView xWindow="-108" yWindow="-108" windowWidth="21240" windowHeight="13176" xr2:uid="{00000000-000D-0000-FFFF-FFFF00000000}"/>
  </bookViews>
  <sheets>
    <sheet name="Dashboard" sheetId="65" r:id="rId1"/>
    <sheet name="Range Setup" sheetId="63" state="hidden" r:id="rId2"/>
    <sheet name="Model - Quarterly" sheetId="2" r:id="rId3"/>
    <sheet name="Model - Annual" sheetId="107" r:id="rId4"/>
    <sheet name="Price Deck" sheetId="19" r:id="rId5"/>
    <sheet name="Global_Master" sheetId="67" r:id="rId6"/>
    <sheet name="Expense Proportions" sheetId="108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Order1" hidden="1">0</definedName>
    <definedName name="Alt_Chk_1_Hdg" hidden="1">[1]BS!$B$17</definedName>
    <definedName name="Alt_Chk_2_Hdg" hidden="1">[1]Operational!$B$17</definedName>
    <definedName name="Alt_Chk_3_Hdg" hidden="1">[1]Operational!$B$72</definedName>
    <definedName name="Alt_Chk_4_Hdg" hidden="1">[1]Operational!$B$163</definedName>
    <definedName name="Alt_Chk_5_Hdg" hidden="1">[1]BookAssets!$B$17</definedName>
    <definedName name="anscount" hidden="1">1</definedName>
    <definedName name="BLP" hidden="1">'[2]Sheet3 (2)'!$J$3</definedName>
    <definedName name="BLPH1" hidden="1">[3]Sheet1!$Q$2</definedName>
    <definedName name="BLPH10" localSheetId="6" hidden="1">#REF!</definedName>
    <definedName name="BLPH10" localSheetId="3" hidden="1">#REF!</definedName>
    <definedName name="BLPH10" hidden="1">#REF!</definedName>
    <definedName name="BLPH11" hidden="1">'[4]gold spec positions'!$E$4</definedName>
    <definedName name="BLPH12" hidden="1">'[4]gold spec positions'!$I$4</definedName>
    <definedName name="BLPH13" hidden="1">'[4]gold spec positions'!$L$4</definedName>
    <definedName name="BLPH14" localSheetId="6" hidden="1">#REF!</definedName>
    <definedName name="BLPH14" localSheetId="3" hidden="1">#REF!</definedName>
    <definedName name="BLPH14" hidden="1">#REF!</definedName>
    <definedName name="BLPH15" localSheetId="6" hidden="1">#REF!</definedName>
    <definedName name="BLPH15" localSheetId="3" hidden="1">#REF!</definedName>
    <definedName name="BLPH15" hidden="1">#REF!</definedName>
    <definedName name="BLPH16" localSheetId="6" hidden="1">#REF!</definedName>
    <definedName name="BLPH16" localSheetId="3" hidden="1">#REF!</definedName>
    <definedName name="BLPH16" hidden="1">#REF!</definedName>
    <definedName name="BLPH17" localSheetId="6" hidden="1">#REF!</definedName>
    <definedName name="BLPH17" localSheetId="3" hidden="1">#REF!</definedName>
    <definedName name="BLPH17" hidden="1">#REF!</definedName>
    <definedName name="BLPH18" localSheetId="6" hidden="1">#REF!</definedName>
    <definedName name="BLPH18" localSheetId="3" hidden="1">#REF!</definedName>
    <definedName name="BLPH18" hidden="1">#REF!</definedName>
    <definedName name="BLPH19" localSheetId="6" hidden="1">#REF!</definedName>
    <definedName name="BLPH19" localSheetId="3" hidden="1">#REF!</definedName>
    <definedName name="BLPH19" hidden="1">#REF!</definedName>
    <definedName name="BLPH2" localSheetId="6" hidden="1">[3]Sheet1!#REF!</definedName>
    <definedName name="BLPH2" localSheetId="3" hidden="1">[3]Sheet1!#REF!</definedName>
    <definedName name="BLPH2" hidden="1">[3]Sheet1!#REF!</definedName>
    <definedName name="BLPH20" localSheetId="6" hidden="1">#REF!</definedName>
    <definedName name="BLPH20" localSheetId="3" hidden="1">#REF!</definedName>
    <definedName name="BLPH20" hidden="1">#REF!</definedName>
    <definedName name="BLPH21" localSheetId="6" hidden="1">#REF!</definedName>
    <definedName name="BLPH21" localSheetId="3" hidden="1">#REF!</definedName>
    <definedName name="BLPH21" hidden="1">#REF!</definedName>
    <definedName name="BLPH22" localSheetId="6" hidden="1">#REF!</definedName>
    <definedName name="BLPH22" localSheetId="3" hidden="1">#REF!</definedName>
    <definedName name="BLPH22" hidden="1">#REF!</definedName>
    <definedName name="BLPH23" localSheetId="6" hidden="1">#REF!</definedName>
    <definedName name="BLPH23" localSheetId="3" hidden="1">#REF!</definedName>
    <definedName name="BLPH23" hidden="1">#REF!</definedName>
    <definedName name="BLPH24" localSheetId="6" hidden="1">#REF!</definedName>
    <definedName name="BLPH24" localSheetId="3" hidden="1">#REF!</definedName>
    <definedName name="BLPH24" hidden="1">#REF!</definedName>
    <definedName name="BLPH25" localSheetId="6" hidden="1">#REF!</definedName>
    <definedName name="BLPH25" localSheetId="3" hidden="1">#REF!</definedName>
    <definedName name="BLPH25" hidden="1">#REF!</definedName>
    <definedName name="BLPH26" localSheetId="6" hidden="1">#REF!</definedName>
    <definedName name="BLPH26" localSheetId="3" hidden="1">#REF!</definedName>
    <definedName name="BLPH26" hidden="1">#REF!</definedName>
    <definedName name="BLPH27" localSheetId="6" hidden="1">#REF!</definedName>
    <definedName name="BLPH27" localSheetId="3" hidden="1">#REF!</definedName>
    <definedName name="BLPH27" hidden="1">#REF!</definedName>
    <definedName name="BLPH28" localSheetId="6" hidden="1">#REF!</definedName>
    <definedName name="BLPH28" localSheetId="3" hidden="1">#REF!</definedName>
    <definedName name="BLPH28" hidden="1">#REF!</definedName>
    <definedName name="BLPH29" localSheetId="6" hidden="1">#REF!</definedName>
    <definedName name="BLPH29" localSheetId="3" hidden="1">#REF!</definedName>
    <definedName name="BLPH29" hidden="1">#REF!</definedName>
    <definedName name="BLPH3" hidden="1">'[3]Sheet3 (2)'!$A$3</definedName>
    <definedName name="BLPH30" localSheetId="6" hidden="1">#REF!</definedName>
    <definedName name="BLPH30" localSheetId="3" hidden="1">#REF!</definedName>
    <definedName name="BLPH30" hidden="1">#REF!</definedName>
    <definedName name="BLPH31" localSheetId="6" hidden="1">#REF!</definedName>
    <definedName name="BLPH31" localSheetId="3" hidden="1">#REF!</definedName>
    <definedName name="BLPH31" hidden="1">#REF!</definedName>
    <definedName name="BLPH32" localSheetId="6" hidden="1">#REF!</definedName>
    <definedName name="BLPH32" localSheetId="3" hidden="1">#REF!</definedName>
    <definedName name="BLPH32" hidden="1">#REF!</definedName>
    <definedName name="BLPH33" localSheetId="6" hidden="1">#REF!</definedName>
    <definedName name="BLPH33" localSheetId="3" hidden="1">#REF!</definedName>
    <definedName name="BLPH33" hidden="1">#REF!</definedName>
    <definedName name="BLPH34" localSheetId="6" hidden="1">#REF!</definedName>
    <definedName name="BLPH34" localSheetId="3" hidden="1">#REF!</definedName>
    <definedName name="BLPH34" hidden="1">#REF!</definedName>
    <definedName name="BLPH35" localSheetId="6" hidden="1">#REF!</definedName>
    <definedName name="BLPH35" localSheetId="3" hidden="1">#REF!</definedName>
    <definedName name="BLPH35" hidden="1">#REF!</definedName>
    <definedName name="BLPH36" localSheetId="6" hidden="1">#REF!</definedName>
    <definedName name="BLPH36" localSheetId="3" hidden="1">#REF!</definedName>
    <definedName name="BLPH36" hidden="1">#REF!</definedName>
    <definedName name="BLPH37" localSheetId="6" hidden="1">#REF!</definedName>
    <definedName name="BLPH37" localSheetId="3" hidden="1">#REF!</definedName>
    <definedName name="BLPH37" hidden="1">#REF!</definedName>
    <definedName name="BLPH38" localSheetId="6" hidden="1">#REF!</definedName>
    <definedName name="BLPH38" localSheetId="3" hidden="1">#REF!</definedName>
    <definedName name="BLPH38" hidden="1">#REF!</definedName>
    <definedName name="BLPH39" localSheetId="6" hidden="1">#REF!</definedName>
    <definedName name="BLPH39" localSheetId="3" hidden="1">#REF!</definedName>
    <definedName name="BLPH39" hidden="1">#REF!</definedName>
    <definedName name="BLPH4" hidden="1">'[3]Sheet3 (2)'!$D$3</definedName>
    <definedName name="BLPH40" localSheetId="6" hidden="1">#REF!</definedName>
    <definedName name="BLPH40" localSheetId="3" hidden="1">#REF!</definedName>
    <definedName name="BLPH40" hidden="1">#REF!</definedName>
    <definedName name="BLPH41" localSheetId="6" hidden="1">#REF!</definedName>
    <definedName name="BLPH41" localSheetId="3" hidden="1">#REF!</definedName>
    <definedName name="BLPH41" hidden="1">#REF!</definedName>
    <definedName name="BLPH42" localSheetId="6" hidden="1">#REF!</definedName>
    <definedName name="BLPH42" localSheetId="3" hidden="1">#REF!</definedName>
    <definedName name="BLPH42" hidden="1">#REF!</definedName>
    <definedName name="BLPH43" localSheetId="6" hidden="1">#REF!</definedName>
    <definedName name="BLPH43" localSheetId="3" hidden="1">#REF!</definedName>
    <definedName name="BLPH43" hidden="1">#REF!</definedName>
    <definedName name="BLPH44" localSheetId="6" hidden="1">#REF!</definedName>
    <definedName name="BLPH44" localSheetId="3" hidden="1">#REF!</definedName>
    <definedName name="BLPH44" hidden="1">#REF!</definedName>
    <definedName name="BLPH45" localSheetId="6" hidden="1">#REF!</definedName>
    <definedName name="BLPH45" localSheetId="3" hidden="1">#REF!</definedName>
    <definedName name="BLPH45" hidden="1">#REF!</definedName>
    <definedName name="BLPH46" localSheetId="6" hidden="1">#REF!</definedName>
    <definedName name="BLPH46" localSheetId="3" hidden="1">#REF!</definedName>
    <definedName name="BLPH46" hidden="1">#REF!</definedName>
    <definedName name="BLPH47" localSheetId="6" hidden="1">#REF!</definedName>
    <definedName name="BLPH47" localSheetId="3" hidden="1">#REF!</definedName>
    <definedName name="BLPH47" hidden="1">#REF!</definedName>
    <definedName name="BLPH48" localSheetId="6" hidden="1">#REF!</definedName>
    <definedName name="BLPH48" localSheetId="3" hidden="1">#REF!</definedName>
    <definedName name="BLPH48" hidden="1">#REF!</definedName>
    <definedName name="BLPH49" localSheetId="6" hidden="1">#REF!</definedName>
    <definedName name="BLPH49" localSheetId="3" hidden="1">#REF!</definedName>
    <definedName name="BLPH49" hidden="1">#REF!</definedName>
    <definedName name="BLPH5" hidden="1">'[3]Sheet3 (2)'!$G$3</definedName>
    <definedName name="BLPH50" localSheetId="6" hidden="1">#REF!</definedName>
    <definedName name="BLPH50" localSheetId="3" hidden="1">#REF!</definedName>
    <definedName name="BLPH50" hidden="1">#REF!</definedName>
    <definedName name="BLPH51" localSheetId="6" hidden="1">#REF!</definedName>
    <definedName name="BLPH51" localSheetId="3" hidden="1">#REF!</definedName>
    <definedName name="BLPH51" hidden="1">#REF!</definedName>
    <definedName name="BLPH52" localSheetId="6" hidden="1">#REF!</definedName>
    <definedName name="BLPH52" localSheetId="3" hidden="1">#REF!</definedName>
    <definedName name="BLPH52" hidden="1">#REF!</definedName>
    <definedName name="BLPH53" localSheetId="6" hidden="1">#REF!</definedName>
    <definedName name="BLPH53" localSheetId="3" hidden="1">#REF!</definedName>
    <definedName name="BLPH53" hidden="1">#REF!</definedName>
    <definedName name="BLPH54" localSheetId="6" hidden="1">#REF!</definedName>
    <definedName name="BLPH54" localSheetId="3" hidden="1">#REF!</definedName>
    <definedName name="BLPH54" hidden="1">#REF!</definedName>
    <definedName name="BLPH55" localSheetId="6" hidden="1">#REF!</definedName>
    <definedName name="BLPH55" localSheetId="3" hidden="1">#REF!</definedName>
    <definedName name="BLPH55" hidden="1">#REF!</definedName>
    <definedName name="BLPH56" localSheetId="6" hidden="1">#REF!</definedName>
    <definedName name="BLPH56" localSheetId="3" hidden="1">#REF!</definedName>
    <definedName name="BLPH56" hidden="1">#REF!</definedName>
    <definedName name="BLPH57" localSheetId="6" hidden="1">#REF!</definedName>
    <definedName name="BLPH57" localSheetId="3" hidden="1">#REF!</definedName>
    <definedName name="BLPH57" hidden="1">#REF!</definedName>
    <definedName name="BLPH58" localSheetId="6" hidden="1">#REF!</definedName>
    <definedName name="BLPH58" localSheetId="3" hidden="1">#REF!</definedName>
    <definedName name="BLPH58" hidden="1">#REF!</definedName>
    <definedName name="BLPH59" localSheetId="6" hidden="1">#REF!</definedName>
    <definedName name="BLPH59" localSheetId="3" hidden="1">#REF!</definedName>
    <definedName name="BLPH59" hidden="1">#REF!</definedName>
    <definedName name="BLPH6" hidden="1">'[3]Sheet3 (2)'!$J$3</definedName>
    <definedName name="BLPH60" localSheetId="6" hidden="1">#REF!</definedName>
    <definedName name="BLPH60" localSheetId="3" hidden="1">#REF!</definedName>
    <definedName name="BLPH60" hidden="1">#REF!</definedName>
    <definedName name="BLPH61" localSheetId="6" hidden="1">#REF!</definedName>
    <definedName name="BLPH61" localSheetId="3" hidden="1">#REF!</definedName>
    <definedName name="BLPH61" hidden="1">#REF!</definedName>
    <definedName name="BLPH62" localSheetId="6" hidden="1">#REF!</definedName>
    <definedName name="BLPH62" localSheetId="3" hidden="1">#REF!</definedName>
    <definedName name="BLPH62" hidden="1">#REF!</definedName>
    <definedName name="BLPH63" localSheetId="6" hidden="1">#REF!</definedName>
    <definedName name="BLPH63" localSheetId="3" hidden="1">#REF!</definedName>
    <definedName name="BLPH63" hidden="1">#REF!</definedName>
    <definedName name="BLPH64" localSheetId="6" hidden="1">#REF!</definedName>
    <definedName name="BLPH64" localSheetId="3" hidden="1">#REF!</definedName>
    <definedName name="BLPH64" hidden="1">#REF!</definedName>
    <definedName name="BLPH65" localSheetId="6" hidden="1">#REF!</definedName>
    <definedName name="BLPH65" localSheetId="3" hidden="1">#REF!</definedName>
    <definedName name="BLPH65" hidden="1">#REF!</definedName>
    <definedName name="BLPH66" localSheetId="6" hidden="1">#REF!</definedName>
    <definedName name="BLPH66" localSheetId="3" hidden="1">#REF!</definedName>
    <definedName name="BLPH66" hidden="1">#REF!</definedName>
    <definedName name="BLPH67" localSheetId="6" hidden="1">#REF!</definedName>
    <definedName name="BLPH67" localSheetId="3" hidden="1">#REF!</definedName>
    <definedName name="BLPH67" hidden="1">#REF!</definedName>
    <definedName name="BLPH68" localSheetId="6" hidden="1">#REF!</definedName>
    <definedName name="BLPH68" localSheetId="3" hidden="1">#REF!</definedName>
    <definedName name="BLPH68" hidden="1">#REF!</definedName>
    <definedName name="BLPH69" localSheetId="6" hidden="1">#REF!</definedName>
    <definedName name="BLPH69" localSheetId="3" hidden="1">#REF!</definedName>
    <definedName name="BLPH69" hidden="1">#REF!</definedName>
    <definedName name="BLPH7" hidden="1">'[3]Sheet3 (2)'!$M$3</definedName>
    <definedName name="BLPH70" localSheetId="6" hidden="1">#REF!</definedName>
    <definedName name="BLPH70" localSheetId="3" hidden="1">#REF!</definedName>
    <definedName name="BLPH70" hidden="1">#REF!</definedName>
    <definedName name="BLPH71" hidden="1">'[4]Base Raw data'!$G$20</definedName>
    <definedName name="BLPH72" hidden="1">'[4]Base Raw data'!$AC$8</definedName>
    <definedName name="BLPH73" hidden="1">'[4]Base Raw data'!$T$8</definedName>
    <definedName name="BLPH74" hidden="1">'[4]Base Raw data'!$J$20</definedName>
    <definedName name="BLPH75" hidden="1">'[4]Base Raw data'!$Z$8</definedName>
    <definedName name="BLPH76" hidden="1">'[4]Base Raw data'!$AF$8</definedName>
    <definedName name="BLPH77" hidden="1">'[4]Base Raw data'!$A$20</definedName>
    <definedName name="BLPH78" hidden="1">'[4]Base Raw data'!$W$8</definedName>
    <definedName name="BLPH79" hidden="1">'[4]Base Raw data'!$D$20</definedName>
    <definedName name="BLPH8" hidden="1">'[3]Sheet3 (2)'!$P$3</definedName>
    <definedName name="BLPH80" hidden="1">'[4]lease rates, libor'!$E$5</definedName>
    <definedName name="BLPH81" hidden="1">'[4]lease rates, libor'!$N$5</definedName>
    <definedName name="BLPH82" hidden="1">'[4]lease rates, libor'!$H$5</definedName>
    <definedName name="BLPH83" hidden="1">'[4]lease rates, libor'!$T$5</definedName>
    <definedName name="BLPH84" hidden="1">'[4]lease rates, libor'!$Q$5</definedName>
    <definedName name="BLPH85" hidden="1">'[4]lease rates, libor'!$K$5</definedName>
    <definedName name="BLPH9" hidden="1">'[3]Sheet3 (2)'!$S$3</definedName>
    <definedName name="BPMMC14" localSheetId="3" hidden="1">'[1]Output old'!#REF!</definedName>
    <definedName name="BPMMC14" hidden="1">'[1]Output old'!#REF!</definedName>
    <definedName name="BPMMC16" localSheetId="3" hidden="1">'[1]Output old'!#REF!</definedName>
    <definedName name="BPMMC16" hidden="1">'[1]Output old'!#REF!</definedName>
    <definedName name="BPMMC25" localSheetId="6" hidden="1">#REF!</definedName>
    <definedName name="BPMMC25" localSheetId="3" hidden="1">#REF!</definedName>
    <definedName name="BPMMC25" hidden="1">#REF!</definedName>
    <definedName name="CAD_Base_Case_plus1" localSheetId="5">Global_Master!$B$46</definedName>
    <definedName name="CAD_Base_Case_plus2" localSheetId="5">Global_Master!$C$46</definedName>
    <definedName name="CAD_Base_Case_plus3" localSheetId="5">Global_Master!$D$46</definedName>
    <definedName name="CAD_Base_Case_plus4" localSheetId="5">Global_Master!$E$46</definedName>
    <definedName name="California_Flower_Base_Case" localSheetId="6">[5]Global_Master!$B$60</definedName>
    <definedName name="California_Flower_Base_Case">Global_Master!$B$42</definedName>
    <definedName name="California_Flower_Base_Case1" localSheetId="6">[5]Global_Master!$C$60</definedName>
    <definedName name="California_Flower_Base_Case1">Global_Master!$C$42</definedName>
    <definedName name="California_Flower_Base_Case2" localSheetId="6">[5]Global_Master!$D$60</definedName>
    <definedName name="California_Flower_Base_Case2">Global_Master!$D$42</definedName>
    <definedName name="California_Flower_Base_Case3" localSheetId="6">[5]Global_Master!$E$60</definedName>
    <definedName name="California_Flower_Base_Case3">Global_Master!$E$42</definedName>
    <definedName name="California_O_Flower_Base_Case" localSheetId="6">[5]Global_Master!$B$59</definedName>
    <definedName name="California_O_Flower_Base_Case">Global_Master!$B$41</definedName>
    <definedName name="California_O_Flower_Base_Case1" localSheetId="6">[5]Global_Master!$C$59</definedName>
    <definedName name="California_O_Flower_Base_Case1">Global_Master!$C$41</definedName>
    <definedName name="California_O_Flower_Base_Case2" localSheetId="6">[5]Global_Master!$D$59</definedName>
    <definedName name="California_O_Flower_Base_Case2">Global_Master!$D$41</definedName>
    <definedName name="California_O_Flower_Base_Case3" localSheetId="6">[5]Global_Master!$E$59</definedName>
    <definedName name="California_O_Flower_Base_Case3">Global_Master!$E$41</definedName>
    <definedName name="California_Trim_Base_Case" localSheetId="6">[5]Global_Master!$B$69</definedName>
    <definedName name="California_Trim_Base_Case">Global_Master!$B$44</definedName>
    <definedName name="California_Trim_Base_Case1" localSheetId="6">[5]Global_Master!$C$69</definedName>
    <definedName name="California_Trim_Base_Case1">Global_Master!$C$44</definedName>
    <definedName name="California_Trim_Base_Case2" localSheetId="6">[5]Global_Master!$D$69</definedName>
    <definedName name="California_Trim_Base_Case2">Global_Master!$D$44</definedName>
    <definedName name="California_Trim_Base_Case3" localSheetId="6">[5]Global_Master!$E$69</definedName>
    <definedName name="California_Trim_Base_Case3">Global_Master!$E$44</definedName>
    <definedName name="CIQWBGuid" localSheetId="5" hidden="1">"bd232061-3351-4fec-9285-29a6f4599e1b"</definedName>
    <definedName name="CIQWBGuid" localSheetId="4" hidden="1">"e6279c1b-ebc8-49af-b0b4-3c5497dd56dc"</definedName>
    <definedName name="CIQWBGuid" hidden="1">"e9acb4a3-ffc8-44f4-9a85-738c07df701b"</definedName>
    <definedName name="d" localSheetId="5">Global_Master!#REF!</definedName>
    <definedName name="DATA_01" localSheetId="6" hidden="1">#REF!</definedName>
    <definedName name="DATA_01" localSheetId="3" hidden="1">#REF!</definedName>
    <definedName name="DATA_01" hidden="1">#REF!</definedName>
    <definedName name="DATA_02" localSheetId="6" hidden="1">#REF!</definedName>
    <definedName name="DATA_02" localSheetId="3" hidden="1">#REF!</definedName>
    <definedName name="DATA_02" hidden="1">#REF!</definedName>
    <definedName name="DATA_03" localSheetId="6" hidden="1">#REF!</definedName>
    <definedName name="DATA_03" localSheetId="3" hidden="1">#REF!</definedName>
    <definedName name="DATA_03" hidden="1">#REF!</definedName>
    <definedName name="DATA_04" localSheetId="6" hidden="1">#REF!</definedName>
    <definedName name="DATA_04" localSheetId="3" hidden="1">#REF!</definedName>
    <definedName name="DATA_04" hidden="1">#REF!</definedName>
    <definedName name="DATA_05" localSheetId="6" hidden="1">#REF!</definedName>
    <definedName name="DATA_05" localSheetId="3" hidden="1">#REF!</definedName>
    <definedName name="DATA_05" hidden="1">#REF!</definedName>
    <definedName name="DATA_06" localSheetId="6" hidden="1">#REF!</definedName>
    <definedName name="DATA_06" localSheetId="3" hidden="1">#REF!</definedName>
    <definedName name="DATA_06" hidden="1">#REF!</definedName>
    <definedName name="DATA_07" localSheetId="6" hidden="1">#REF!</definedName>
    <definedName name="DATA_07" localSheetId="3" hidden="1">#REF!</definedName>
    <definedName name="DATA_07" hidden="1">#REF!</definedName>
    <definedName name="DATA_08" localSheetId="6" hidden="1">#REF!</definedName>
    <definedName name="DATA_08" localSheetId="3" hidden="1">#REF!</definedName>
    <definedName name="DATA_08" hidden="1">#REF!</definedName>
    <definedName name="Err_Chk_1_Hdg" hidden="1">[1]IS!$B$17</definedName>
    <definedName name="Err_Chk_10_Hdg" hidden="1">[1]Top_Exp!$B$1</definedName>
    <definedName name="Err_Chk_2_Hdg" hidden="1">[1]BS!$B$17</definedName>
    <definedName name="Err_Chk_3_Hdg" hidden="1">[1]CF!$B$17</definedName>
    <definedName name="Err_Chk_5_Hdg" hidden="1">[1]Operational!$B$72</definedName>
    <definedName name="Err_Chk_6_Hdg" hidden="1">[1]Operational!$B$163</definedName>
    <definedName name="Err_Chk_7_Hdg" hidden="1">[1]BookAssets!$B$17</definedName>
    <definedName name="Err_Chk_9_Hdg" localSheetId="6" hidden="1">#REF!</definedName>
    <definedName name="Err_Chk_9_Hdg" localSheetId="3" hidden="1">#REF!</definedName>
    <definedName name="Err_Chk_9_Hdg" hidden="1">#REF!</definedName>
    <definedName name="Florida_Flower_Base_Case" localSheetId="6">[5]Global_Master!$B$63</definedName>
    <definedName name="Florida_Flower_Base_Case">Global_Master!#REF!</definedName>
    <definedName name="Florida_Flower_Base_Case1" localSheetId="6">[5]Global_Master!$C$63</definedName>
    <definedName name="Florida_Flower_Base_Case1">Global_Master!#REF!</definedName>
    <definedName name="Florida_Flower_Base_Case2" localSheetId="6">[5]Global_Master!$D$63</definedName>
    <definedName name="Florida_Flower_Base_Case2">Global_Master!#REF!</definedName>
    <definedName name="Florida_Flower_Base_Case3" localSheetId="6">[5]Global_Master!$E$63</definedName>
    <definedName name="Florida_Flower_Base_Case3">Global_Master!#REF!</definedName>
    <definedName name="Florida_Trim_Base_Case" localSheetId="6">[5]Global_Master!$B$72</definedName>
    <definedName name="Florida_Trim_Base_Case">Global_Master!#REF!</definedName>
    <definedName name="Florida_Trim_Base_Case1" localSheetId="6">[5]Global_Master!$C$72</definedName>
    <definedName name="Florida_Trim_Base_Case1">Global_Master!#REF!</definedName>
    <definedName name="Florida_Trim_Base_Case2" localSheetId="6">[5]Global_Master!$D$72</definedName>
    <definedName name="Florida_Trim_Base_Case2">Global_Master!#REF!</definedName>
    <definedName name="Florida_Trim_Base_Case3" localSheetId="6">[5]Global_Master!$E$72</definedName>
    <definedName name="Florida_Trim_Base_Case3">Global_Master!#REF!</definedName>
    <definedName name="grams_lbs">0.00220462</definedName>
    <definedName name="HL_Alt_Chk_1" hidden="1">[1]BS!$I$116</definedName>
    <definedName name="HL_Alt_Chk_2" hidden="1">[1]Operational!$I$25</definedName>
    <definedName name="HL_Alt_Chk_3" hidden="1">[1]Operational!$I$160</definedName>
    <definedName name="HL_Alt_Chk_4" hidden="1">[1]Operational!$I$195</definedName>
    <definedName name="HL_Alt_Chk_5" hidden="1">[1]BookAssets!$I$62</definedName>
    <definedName name="HL_Err_Chk_1" hidden="1">[1]IS!$I$81</definedName>
    <definedName name="HL_Err_Chk_10" hidden="1">[1]Top_Exp!$I$148</definedName>
    <definedName name="HL_Err_Chk_2" hidden="1">[1]BS!$I$114</definedName>
    <definedName name="HL_Err_Chk_3" hidden="1">[1]CF!$I$110</definedName>
    <definedName name="HL_Err_Chk_5" hidden="1">[1]Operational!$I$158</definedName>
    <definedName name="HL_Err_Chk_6" hidden="1">[1]Operational!$I$194</definedName>
    <definedName name="HL_Err_Chk_7" hidden="1">[1]BookAssets!$I$57</definedName>
    <definedName name="HL_Err_Chk_9" localSheetId="6" hidden="1">#REF!</definedName>
    <definedName name="HL_Err_Chk_9" localSheetId="3" hidden="1">#REF!</definedName>
    <definedName name="HL_Err_Chk_9" hidden="1">#REF!</definedName>
    <definedName name="HL_Sheet_Main_16" localSheetId="6" hidden="1">#REF!</definedName>
    <definedName name="HL_Sheet_Main_16" localSheetId="3" hidden="1">#REF!</definedName>
    <definedName name="HL_Sheet_Main_16" hidden="1">#REF!</definedName>
    <definedName name="HL_Sheet_Main_19" localSheetId="6" hidden="1">#REF!</definedName>
    <definedName name="HL_Sheet_Main_19" localSheetId="3" hidden="1">#REF!</definedName>
    <definedName name="HL_Sheet_Main_19" hidden="1">#REF!</definedName>
    <definedName name="HL_Sheet_Main_3" localSheetId="6" hidden="1">#REF!</definedName>
    <definedName name="HL_Sheet_Main_3" localSheetId="3" hidden="1">#REF!</definedName>
    <definedName name="HL_Sheet_Main_3" hidden="1">#REF!</definedName>
    <definedName name="HL_Sheet_Main_4" localSheetId="6" hidden="1">#REF!</definedName>
    <definedName name="HL_Sheet_Main_4" localSheetId="3" hidden="1">#REF!</definedName>
    <definedName name="HL_Sheet_Main_4" hidden="1">#REF!</definedName>
    <definedName name="HL_Sheet_Main_5" localSheetId="6" hidden="1">#REF!</definedName>
    <definedName name="HL_Sheet_Main_5" localSheetId="3" hidden="1">#REF!</definedName>
    <definedName name="HL_Sheet_Main_5" hidden="1">#REF!</definedName>
    <definedName name="HL_TOC_11" localSheetId="6" hidden="1">'[1]Output old'!#REF!</definedName>
    <definedName name="HL_TOC_11" localSheetId="3" hidden="1">'[1]Output old'!#REF!</definedName>
    <definedName name="HL_TOC_11" hidden="1">'[1]Output old'!#REF!</definedName>
    <definedName name="HL_TOC_13" localSheetId="6" hidden="1">'[1]Output old'!#REF!</definedName>
    <definedName name="HL_TOC_13" localSheetId="3" hidden="1">'[1]Output old'!#REF!</definedName>
    <definedName name="HL_TOC_13" hidden="1">'[1]Output old'!#REF!</definedName>
    <definedName name="HL_TOC_9" localSheetId="3" hidden="1">'[1]Output old'!#REF!</definedName>
    <definedName name="HL_TOC_9" hidden="1">'[1]Output old'!#REF!</definedName>
    <definedName name="Illinois_Flower_Base_Case" localSheetId="6">[5]Global_Master!$B$56</definedName>
    <definedName name="Illinois_Flower_Base_Case">Global_Master!#REF!</definedName>
    <definedName name="Illinois_Flower_Base_Case1" localSheetId="6">[5]Global_Master!$C$56</definedName>
    <definedName name="Illinois_Flower_Base_Case1">Global_Master!#REF!</definedName>
    <definedName name="Illinois_Flower_Base_Case2" localSheetId="6">[5]Global_Master!$D$56</definedName>
    <definedName name="Illinois_Flower_Base_Case2">Global_Master!#REF!</definedName>
    <definedName name="Illinois_Flower_Base_Case3" localSheetId="6">[5]Global_Master!$E$56</definedName>
    <definedName name="Illinois_Flower_Base_Case3">Global_Master!#REF!</definedName>
    <definedName name="Illinois_Trim_Base_Case" localSheetId="6">[5]Global_Master!$B$66</definedName>
    <definedName name="Illinois_Trim_Base_Case">Global_Master!#REF!</definedName>
    <definedName name="Illinois_Trim_Base_Case1" localSheetId="6">[5]Global_Master!$C$66</definedName>
    <definedName name="Illinois_Trim_Base_Case1">Global_Master!#REF!</definedName>
    <definedName name="Illinois_Trim_Base_Case2" localSheetId="6">[5]Global_Master!$D$66</definedName>
    <definedName name="Illinois_Trim_Base_Case2">Global_Master!#REF!</definedName>
    <definedName name="Illinois_Trim_Base_Case3" localSheetId="6">[5]Global_Master!$E$66</definedName>
    <definedName name="Illinois_Trim_Base_Case3">Global_Master!#REF!</definedName>
    <definedName name="IntroPrintArea" localSheetId="6" hidden="1">#REF!</definedName>
    <definedName name="IntroPrintArea" localSheetId="3" hidden="1">#REF!</definedName>
    <definedName name="IntroPrintArea" hidden="1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EPTANCES_OTHER_FOREIGN_BANKS_LL_REC_FFIEC" hidden="1">"c15293"</definedName>
    <definedName name="IQ_ACCEPTANCES_OTHER_US_BANKS_LL_REC_FFIEC" hidden="1">"c15292"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USTABLE_RATE_LOANS_FDIC" hidden="1">"c6375"</definedName>
    <definedName name="IQ_AFTER_TAX_INCOME_FDIC" hidden="1">"c6583"</definedName>
    <definedName name="IQ_AG_PROD_FARM_LOANS_DOM_QUARTERLY_AVG_FFIEC" hidden="1">"c15477"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LL_OTHER_DEPOSITS_FOREIGN_DEP_FFIEC" hidden="1">"c15347"</definedName>
    <definedName name="IQ_ALL_OTHER_INVEST_UNCONSOL_SUBS_FFIEC" hidden="1">"c15275"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SSET_BACKED_FDIC" hidden="1">"c6301"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V_ACT_OR_EST_REUT" hidden="1">"c5471"</definedName>
    <definedName name="IQ_BV_EST_REUT" hidden="1">"c5403"</definedName>
    <definedName name="IQ_BV_HIGH_EST_REUT" hidden="1">"c5405"</definedName>
    <definedName name="IQ_BV_LOW_EST_REUT" hidden="1">"c5406"</definedName>
    <definedName name="IQ_BV_MEDIAN_EST_REUT" hidden="1">"c5404"</definedName>
    <definedName name="IQ_BV_NUM_EST_REUT" hidden="1">"c5407"</definedName>
    <definedName name="IQ_BV_STDDEV_EST_REUT" hidden="1">"c5408"</definedName>
    <definedName name="IQ_CAPITAL_ALLOCATION_ADJUSTMENT_FOREIGN_FFIEC" hidden="1">"c15389"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DEPOSITORY_INSTIT_US_DOM_FFIEC" hidden="1">"c15288"</definedName>
    <definedName name="IQ_CASH_DIVIDENDS_NET_INCOME_FDIC" hidden="1">"c6738"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FOREIGN_BRANCH_OTHER_US_BANKS_FFIEC" hidden="1">"c15282"</definedName>
    <definedName name="IQ_CASH_IN_PROCESS_FDIC" hidden="1">"c6386"</definedName>
    <definedName name="IQ_CASH_OPER_ACT_OR_EST" hidden="1">"c4164"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OTHER_BANKS_FOREIGN_COUNTRIES_FFIEC" hidden="1">"c15283"</definedName>
    <definedName name="IQ_CASH_OTHER_US_COMM_BANK_DEP_INSTIT_FFIEC" hidden="1">"c15281"</definedName>
    <definedName name="IQ_CASH_STRUCTURED_PRODUCTS_AVAIL_SALE_FFIEC" hidden="1">"c15263"</definedName>
    <definedName name="IQ_CASH_STRUCTURED_PRODUCTS_FFIEC" hidden="1">"c15260"</definedName>
    <definedName name="IQ_CCE_FDIC" hidden="1">"c6296"</definedName>
    <definedName name="IQ_CDS_COUPON" hidden="1">"c15234"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ID" hidden="1">"c15212"</definedName>
    <definedName name="IQ_CFO_NAME" hidden="1">"c15211"</definedName>
    <definedName name="IQ_CH">110000</definedName>
    <definedName name="IQ_CHAIRMAN_ID" hidden="1">"c15218"</definedName>
    <definedName name="IQ_CHAIRMAN_NAME" hidden="1">"c15217"</definedName>
    <definedName name="IQ_CHANGE_DEF_TAX_TOTAL" hidden="1">"c15557"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MO_FDIC" hidden="1">"c6406"</definedName>
    <definedName name="IQ_COLLECTION_DOMESTIC_FDIC" hidden="1">"c6387"</definedName>
    <definedName name="IQ_COMM_BANKS_OTHER_DEP_INST_US_TRANS_ACCTS_FFIEC" hidden="1">"c15317"</definedName>
    <definedName name="IQ_COMM_BANKS_OTHER_INST_US_NON_TRANS_ACCTS_FFIEC" hidden="1">"c15325"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INDUSTRIAL_CHARGE_OFFS_FDIC" hidden="1">"c6598"</definedName>
    <definedName name="IQ_COMMERCIAL_INDUSTRIAL_DOM_QUARTERLY_AVG_FFIEC" hidden="1">"c15478"</definedName>
    <definedName name="IQ_COMMERCIAL_INDUSTRIAL_LOANS_NET_FDIC" hidden="1">"c6317"</definedName>
    <definedName name="IQ_COMMERCIAL_INDUSTRIAL_NET_CHARGE_OFFS_FDIC" hidden="1">"c6636"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RECOVERIES_FDIC" hidden="1">"c6617"</definedName>
    <definedName name="IQ_COMMERCIAL_INDUSTRIAL_TOTAL_LOANS_FOREIGN_FDIC" hidden="1">"c6451"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FDIC" hidden="1">"c6350"</definedName>
    <definedName name="IQ_COMPANY_TICKER_NO_EXCH" hidden="1">"c15490"</definedName>
    <definedName name="IQ_CONSOLIDATED_NI_FOREIGN_FFIEC" hidden="1">"c15396"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._FDIC" hidden="1">"c6522"</definedName>
    <definedName name="IQ_CONTRACTS_OTHER_COMMODITIES_EQUITIES_FDIC" hidden="1">"c6522"</definedName>
    <definedName name="IQ_CONV_RATE" hidden="1">"c2192"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TIER_ONE_CAPITAL" hidden="1">"c15244"</definedName>
    <definedName name="IQ_CORE_TIER_ONE_CAPITAL_RATIO" hidden="1">"c15240"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OF_FUNDING_ASSETS_FDIC" hidden="1">"c6725"</definedName>
    <definedName name="IQ_COVERAGE_RATIO" hidden="1">"c15243"</definedName>
    <definedName name="IQ_CQ">5000</definedName>
    <definedName name="IQ_CREDIT_CARD_CHARGE_OFFS_FDIC" hidden="1">"c6652"</definedName>
    <definedName name="IQ_CREDIT_CARD_LINES_FDIC" hidden="1">"c6525"</definedName>
    <definedName name="IQ_CREDIT_CARD_LOANS_DOM_QUARTERLY_AVG_FFIEC" hidden="1">"c15480"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ENCY_COIN_DOM_FFIEC" hidden="1">"c15287"</definedName>
    <definedName name="IQ_CURRENCY_COIN_DOMESTIC_FDIC" hidden="1">"c6388"</definedName>
    <definedName name="IQ_CY">10000</definedName>
    <definedName name="IQ_DAILY">500000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OREIGN_BANKS_FOREIGN_AGENCIES_FFIEC" hidden="1">"c15344"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IRECT_INDIRECT_RE_VENTURES_FFIEC" hidden="1">"c15266"</definedName>
    <definedName name="IQ_DIRECT_INDIRECT_RE_VENTURES_UNCONSOL_FFIEC" hidden="1">"c15274"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ICIENCY_RATIO_FDIC" hidden="1">"c6736"</definedName>
    <definedName name="IQ_ELIMINATIONS_CONSOL_OFFICES_FOREIGN_FFIEC" hidden="1">"c15395"</definedName>
    <definedName name="IQ_EQUITY_CAPITAL_ASSETS_FDIC" hidden="1">"c6744"</definedName>
    <definedName name="IQ_EQUITY_FDIC" hidden="1">"c6353"</definedName>
    <definedName name="IQ_EQUITY_LIST" hidden="1">"c15158"</definedName>
    <definedName name="IQ_EQUITY_SECURITIES_FDIC" hidden="1">"c6304"</definedName>
    <definedName name="IQ_EQUITY_SECURITIES_QUARTERLY_AVG_FFIEC" hidden="1">"c15474"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ST_ACT_BV_REUT" hidden="1">"c5409"</definedName>
    <definedName name="IQ_EST_ACT_FFO_REUT" hidden="1">"c3843"</definedName>
    <definedName name="IQ_EST_BV_DIFF_REUT" hidden="1">"c5433"</definedName>
    <definedName name="IQ_EST_BV_SURPRISE_PERCENT_REUT" hidden="1">"c5434"</definedName>
    <definedName name="IQ_EST_FFO_DIFF_REUT" hidden="1">"c3890"</definedName>
    <definedName name="IQ_EST_FFO_SURPRISE_PERCENT_REUT" hidden="1">"c3891"</definedName>
    <definedName name="IQ_EST_NUM_BUY_REUT" hidden="1">"c3869"</definedName>
    <definedName name="IQ_EST_NUM_HOLD_REUT" hidden="1">"c3871"</definedName>
    <definedName name="IQ_EST_NUM_OUTPERFORM_REUT" hidden="1">"c3870"</definedName>
    <definedName name="IQ_EST_NUM_SELL_REUT" hidden="1">"c3873"</definedName>
    <definedName name="IQ_EST_NUM_UNDERPERFORM_REUT" hidden="1">"c3872"</definedName>
    <definedName name="IQ_ESTIMATED_ASSESSABLE_DEPOSITS_FDIC" hidden="1">"c6490"</definedName>
    <definedName name="IQ_ESTIMATED_INSURED_DEPOSITS_FDIC" hidden="1">"c6491"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ITEMS_OTHER_ADJUSTMENTS_FOREIGN_FFIEC" hidden="1">"c15392"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FDIC" hidden="1">"c6343"</definedName>
    <definedName name="IQ_FED_FUNDS_SOLD_FDIC" hidden="1">"c6307"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ES_OTHER_INCOME" hidden="1">"c15257"</definedName>
    <definedName name="IQ_FFO_EST_REUT" hidden="1">"c3837"</definedName>
    <definedName name="IQ_FFO_HIGH_EST_REUT" hidden="1">"c3839"</definedName>
    <definedName name="IQ_FFO_LOW_EST_REUT" hidden="1">"c3840"</definedName>
    <definedName name="IQ_FFO_MEDIAN_EST_REUT" hidden="1">"c3838"</definedName>
    <definedName name="IQ_FFO_NUM_EST_REUT" hidden="1">"c3841"</definedName>
    <definedName name="IQ_FFO_STDDEV_EST_REUT" hidden="1">"c3842"</definedName>
    <definedName name="IQ_FH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VE_YEAR_FIXED_AND_FLOATING_RATE_FDIC" hidden="1">"c6422"</definedName>
    <definedName name="IQ_FIVE_YEAR_MORTGAGE_PASS_THROUGHS_FDIC" hidden="1">"c6414"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Q">500</definedName>
    <definedName name="IQ_FULLY_INSURED_BROKERED_DEPOSITS_FFIEC" hidden="1">"c15305"</definedName>
    <definedName name="IQ_FULLY_INSURED_DEPOSITS_FDIC" hidden="1">"c6487"</definedName>
    <definedName name="IQ_FUND_NAV" hidden="1">"c15225"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>1000</definedName>
    <definedName name="IQ_GAAP_EST_CIQ" hidden="1">"c13924"</definedName>
    <definedName name="IQ_GAIN_LOSS_HTM_AFS_SECURITIES_FOREIGN_FFIEC" hidden="1">"c15384"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ENERAL_ALLOWANCE" hidden="1">"c15248"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PAIRED_LOANS" hidden="1">"c15250"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_FOREIGN_FFIEC" hidden="1">"c15391"</definedName>
    <definedName name="IQ_INCOME_TAXES_FDIC" hidden="1">"c6582"</definedName>
    <definedName name="IQ_INDEX_CURRENCY" hidden="1">"c15224"</definedName>
    <definedName name="IQ_INDEX_TYPE" hidden="1">"c15223"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TOTAL_FDIC" hidden="1">"c6569"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RE_LOANS_DOM_FFIEC" hidden="1">"c15353"</definedName>
    <definedName name="IQ_INT_FEE_INC_TAX_EXEMPT_OBLIGATIONS_DOM_FFIEC" hidden="1">"c15362"</definedName>
    <definedName name="IQ_INT_FEE_INC_TAXABLE_OBLIGATIONS_DOM_FFIEC" hidden="1">"c15361"</definedName>
    <definedName name="IQ_INT_FOREIGN_DEPOSITS_FDIC" hidden="1">"c6565"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AVINGS_DEPOSITS_MMDA_DOM_FFIEC" hidden="1">"c15364"</definedName>
    <definedName name="IQ_INT_SUB_NOTES_FDIC" hidden="1">"c6568"</definedName>
    <definedName name="IQ_INT_TRANSACTION_ACCOUNTS_DOM_FFIEC" hidden="1">"c15363"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REL_ID" hidden="1">"c15220"</definedName>
    <definedName name="IQ_INV_REL_NAME" hidden="1">"c15219"</definedName>
    <definedName name="IQ_INVESTMENT_BANKING_OTHER_FEES_FDIC" hidden="1">"c6666"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_PROVISION_FOREIGN_FFIEC" hidden="1">"c15382"</definedName>
    <definedName name="IQ_LOAN_LOSSES_FDIC" hidden="1">"c6580"</definedName>
    <definedName name="IQ_LOANS_AND_LEASES_HELD_FDIC" hidden="1">"c6367"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M">2000</definedName>
    <definedName name="IQ_LTMMONTH" hidden="1">120000</definedName>
    <definedName name="IQ_MAINT_CAPEX_ACT_OR_EST" hidden="1">"c4458"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TURITY_ONE_YEAR_LESS_FDIC" hidden="1">"c6425"</definedName>
    <definedName name="IQ_MBS_QUARTERLY_AVG_FFIEC" hidden="1">"c15471"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MDA_NON_TRANS_ACCTS_FFIEC" hidden="1">"c15330"</definedName>
    <definedName name="IQ_MONEY_MARKET_DEPOSIT_ACCOUNTS_FDIC" hidden="1">"c6553"</definedName>
    <definedName name="IQ_MONTH">15000</definedName>
    <definedName name="IQ_MORTGAGE_BACKED_SECURITIES_FDIC" hidden="1">"c6402"</definedName>
    <definedName name="IQ_MORTGAGE_DEBT_UNDER_CAPITAL_LEASES_FFIEC" hidden="1">"c15276"</definedName>
    <definedName name="IQ_MORTGAGE_SERVICING_FDIC" hidden="1">"c6335"</definedName>
    <definedName name="IQ_MTD" hidden="1">800000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NAMES_REVISION_DATE_" hidden="1">"10/23/2019 23:03:31"</definedName>
    <definedName name="IQ_NAV_ACT_OR_EST" hidden="1">"c2225"</definedName>
    <definedName name="IQ_NET_BOOKING_LOCATION_ADJUSTMENT_FOREIGN_FFIEC" hidden="1">"c15385"</definedName>
    <definedName name="IQ_NET_CHARGE_OFFS_FDIC" hidden="1">"c6641"</definedName>
    <definedName name="IQ_NET_CHARGE_OFFS_LOANS_FDIC" hidden="1">"c6751"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OME_FDIC" hidden="1">"c6587"</definedName>
    <definedName name="IQ_NET_INT_INC_BNK_FDIC" hidden="1">"c6570"</definedName>
    <definedName name="IQ_NET_INTEREST_INC_INTERNATIONAL_OPS_FFIEC" hidden="1">"c15375"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NONINTEREST_INC_EXP_INTERNATIONAL_OPS_FFIEC" hidden="1">"c15387"</definedName>
    <definedName name="IQ_NET_OPERATING_INCOME_ASSETS_FDIC" hidden="1">"c6729"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I_BANK_AND_NONCONTROLLING_INTEREST_FFIEC" hidden="1">"c15365"</definedName>
    <definedName name="IQ_NI_BEFORE_INTERNAL_ALLOCATIONS_FOREIGN_FFIEC" hidden="1">"c15393"</definedName>
    <definedName name="IQ_NI_NON_CONTROLLING_INTERESTS_FFIEC" hidden="1">"c15366"</definedName>
    <definedName name="IQ_NON_ACCRUAL_ASSET_SOLD_DURING_QTR_FFIEC" hidden="1">"c15350"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FARM_NONRES_DOM_FFIEC" hidden="1">"c15271"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>6000</definedName>
    <definedName name="IQ_NUMBER_DEPOSITS_LESS_THAN_100K_FDIC" hidden="1">"c6495"</definedName>
    <definedName name="IQ_NUMBER_DEPOSITS_MORE_THAN_100K_FDIC" hidden="1">"c6493"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G_TOTAL_OIL_PRODUCTON" hidden="1">"c2059"</definedName>
    <definedName name="IQ_OPENED55" hidden="1">1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THER_ASSETS_FDIC" hidden="1">"c6338"</definedName>
    <definedName name="IQ_OTHER_BORROWED_FUNDS_FDIC" hidden="1">"c6345"</definedName>
    <definedName name="IQ_OTHER_BORROWED_MONEY_FAIR_VALUE_TOT_FFIEC" hidden="1">"c15409"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COMPREHENSIVE_INCOME_FDIC" hidden="1">"c6503"</definedName>
    <definedName name="IQ_OTHER_DEBT_SECURITIES_QUARTERLY_AVG_FFIEC" hidden="1">"c15473"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TANGIBLE_FDIC" hidden="1">"c6337"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INTEREST_INC_FOREIGN_FFIEC" hidden="1">"c15380"</definedName>
    <definedName name="IQ_OTHER_OFF_BS_LIAB_FDIC" hidden="1">"c6533"</definedName>
    <definedName name="IQ_OTHER_RE_OWNED_FDIC" hidden="1">"c6330"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TRADING_ASSETS_FAIR_VALUE_TOT_FFIEC" hidden="1">"c15404"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LIABILITIES_FAIR_VALUE_TOT_FFIEC" hidden="1">"c15408"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USED_COMMITMENTS_FDIC" hidden="1">"c6530"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BV_FWD" hidden="1">"c15235"</definedName>
    <definedName name="IQ_PERCENT_CHANGE_EST_FFO_12MONTHS" hidden="1">"c1828"</definedName>
    <definedName name="IQ_PERCENT_CHANGE_EST_FFO_12MONTHS_CIQ" hidden="1">"c3769"</definedName>
    <definedName name="IQ_PERCENT_CHANGE_EST_FFO_12MONTHS_REUT" hidden="1">"c3938"</definedName>
    <definedName name="IQ_PERCENT_CHANGE_EST_FFO_18MONTHS" hidden="1">"c1829"</definedName>
    <definedName name="IQ_PERCENT_CHANGE_EST_FFO_18MONTHS_CIQ" hidden="1">"c3770"</definedName>
    <definedName name="IQ_PERCENT_CHANGE_EST_FFO_18MONTHS_REUT" hidden="1">"c3939"</definedName>
    <definedName name="IQ_PERCENT_CHANGE_EST_FFO_3MONTHS" hidden="1">"c1825"</definedName>
    <definedName name="IQ_PERCENT_CHANGE_EST_FFO_3MONTHS_CIQ" hidden="1">"c3766"</definedName>
    <definedName name="IQ_PERCENT_CHANGE_EST_FFO_3MONTHS_REUT" hidden="1">"c3935"</definedName>
    <definedName name="IQ_PERCENT_CHANGE_EST_FFO_6MONTHS" hidden="1">"c1826"</definedName>
    <definedName name="IQ_PERCENT_CHANGE_EST_FFO_6MONTHS_CIQ" hidden="1">"c3767"</definedName>
    <definedName name="IQ_PERCENT_CHANGE_EST_FFO_6MONTHS_REUT" hidden="1">"c3936"</definedName>
    <definedName name="IQ_PERCENT_CHANGE_EST_FFO_9MONTHS" hidden="1">"c1827"</definedName>
    <definedName name="IQ_PERCENT_CHANGE_EST_FFO_9MONTHS_CIQ" hidden="1">"c3768"</definedName>
    <definedName name="IQ_PERCENT_CHANGE_EST_FFO_9MONTHS_REUT" hidden="1">"c3937"</definedName>
    <definedName name="IQ_PERCENT_CHANGE_EST_FFO_DAY" hidden="1">"c1822"</definedName>
    <definedName name="IQ_PERCENT_CHANGE_EST_FFO_DAY_CIQ" hidden="1">"c3764"</definedName>
    <definedName name="IQ_PERCENT_CHANGE_EST_FFO_DAY_REUT" hidden="1">"c3933"</definedName>
    <definedName name="IQ_PERCENT_CHANGE_EST_FFO_MONTH" hidden="1">"c1824"</definedName>
    <definedName name="IQ_PERCENT_CHANGE_EST_FFO_MONTH_CIQ" hidden="1">"c3765"</definedName>
    <definedName name="IQ_PERCENT_CHANGE_EST_FFO_MONTH_REUT" hidden="1">"c3934"</definedName>
    <definedName name="IQ_PERCENT_CHANGE_EST_FFO_WEEK" hidden="1">"c1823"</definedName>
    <definedName name="IQ_PERCENT_CHANGE_EST_FFO_WEEK_CIQ" hidden="1">"c3795"</definedName>
    <definedName name="IQ_PERCENT_CHANGE_EST_FFO_WEEK_REUT" hidden="1">"c3964"</definedName>
    <definedName name="IQ_PERCENT_INSURED_FDIC" hidden="1">"c6374"</definedName>
    <definedName name="IQ_PERIODDATE_FDIC" hidden="1">"c13646"</definedName>
    <definedName name="IQ_PLEDGED_SECURITIES_FDIC" hidden="1">"c6401"</definedName>
    <definedName name="IQ_PRE_TAX_INCOME_FDIC" hidden="1">"c6581"</definedName>
    <definedName name="IQ_PREFERRED_DEPOSITS_FFIEC" hidden="1">"c15312"</definedName>
    <definedName name="IQ_PREFERRED_FDIC" hidden="1">"c6349"</definedName>
    <definedName name="IQ_PREMISES_EQUIPMENT_FDIC" hidden="1">"c6577"</definedName>
    <definedName name="IQ_PRESIDENT_ID" hidden="1">"c15216"</definedName>
    <definedName name="IQ_PRESIDENT_NAME" hidden="1">"c15215"</definedName>
    <definedName name="IQ_PRETAX_INC_AFTER_CAP_ALLOCATION_FOREIGN_FFIEC" hidden="1">"c15390"</definedName>
    <definedName name="IQ_PRETAX_INC_BEFORE_CAP_ALLOCATION_FOREIGN_FFIEC" hidden="1">"c15388"</definedName>
    <definedName name="IQ_PRETAX_RETURN_ASSETS_FDIC" hidden="1">"c6731"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RE_FORECLOSURE_FDIC" hidden="1">"c6332"</definedName>
    <definedName name="IQ_RE_INVEST_FDIC" hidden="1">"c6331"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TATEMENTS_NET_FDIC" hidden="1">"c6500"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FDIC" hidden="1">"c6730"</definedName>
    <definedName name="IQ_RETURN_EQUITY_FDIC" hidden="1">"c6732"</definedName>
    <definedName name="IQ_REV_BEFORE_LOAN_LOSS_FOREIGN_FFIEC" hidden="1">"c15381"</definedName>
    <definedName name="IQ_REVALUATION_GAINS_FDIC" hidden="1">"c6428"</definedName>
    <definedName name="IQ_REVALUATION_LOSSES_FDIC" hidden="1">"c6429"</definedName>
    <definedName name="IQ_REVOLVING_SECURED_1_4_NON_ACCRUAL_FFIEC" hidden="1">"c13314"</definedName>
    <definedName name="IQ_RISK_WEIGHTED_ASSETS_FDIC" hidden="1">"c6370"</definedName>
    <definedName name="IQ_SALARY_FDIC" hidden="1">"c6576"</definedName>
    <definedName name="IQ_SALE_CONVERSION_ACQUISITION_NET_COMMON_FFIEC" hidden="1">"c15351"</definedName>
    <definedName name="IQ_SALE_CONVERSION_RETIREMENT_STOCK_FDIC" hidden="1">"c6661"</definedName>
    <definedName name="IQ_SAVINGS_DEPOSITS_NON_TRANS_ACCTS_FFIEC" hidden="1">"c15329"</definedName>
    <definedName name="IQ_SAVINGS_DEPOSITS_QUARTERLY_AVG_FFIEC" hidden="1">"c15485"</definedName>
    <definedName name="IQ_SEC_OTHER_NONFARM_NONRES_NON_ACCRUAL_FFIEC" hidden="1">"c15462"</definedName>
    <definedName name="IQ_SEC_OWNER_NONFARM_NONRES_NON_ACCRUAL_FFIEC" hidden="1">"c15461"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STATE_POLI_SUBD_QUARTERLY_AVG_FFIEC" hidden="1">"c15470"</definedName>
    <definedName name="IQ_SECURITIES_UNDERWRITING_FDIC" hidden="1">"c6529"</definedName>
    <definedName name="IQ_SECURITY_ACTIVE_STATUS" hidden="1">"c15160"</definedName>
    <definedName name="IQ_SECURITY_NAME" hidden="1">"c15159"</definedName>
    <definedName name="IQ_SERVICE_CHARGES_FDIC" hidden="1">"c6572"</definedName>
    <definedName name="IQ_SHAREOUTSTANDING" hidden="1">"c1347"</definedName>
    <definedName name="IQ_SPECIFIC_ALLOWANCE" hidden="1">"c15247"</definedName>
    <definedName name="IQ_STANDBY_LOC_FHLB_BANK_BEHALF_OFF_BS_FFIEC" hidden="1">"c15412"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B_NOTES_DEBENTURES_FAIR_VALUE_TOT_FFIEC" hidden="1">"c15410"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RPLUS_FDIC" hidden="1">"c6351"</definedName>
    <definedName name="IQ_SYNTHETIC_STRUCTURED_PRODUCTS_AVAIL_SALE_FFIEC" hidden="1">"c15264"</definedName>
    <definedName name="IQ_SYNTHETIC_STRUCTURED_PRODUCTS_FFIEC" hidden="1">"c15261"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ER_TWO_CAPITAL_RATIO" hidden="1">"c15241"</definedName>
    <definedName name="IQ_TIME_DEPOSIT_LESS_100000_QUARTERLY_AVG_FFIEC" hidden="1">"c15487"</definedName>
    <definedName name="IQ_TIME_DEPOSIT_MORE_100000_QUARTERLY_AVG_FFIEC" hidden="1">"c15486"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SSETS_FAIR_VALUE_TOT_FFIEC" hidden="1">"c15405"</definedName>
    <definedName name="IQ_TOTAL_ASSETS_FDIC" hidden="1">"c6339"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BROKERED_DEPOSIT_FFIEC" hidden="1">"c15304"</definedName>
    <definedName name="IQ_TOTAL_CASH_DUE_DEPOSITORY_INSTIT_DOM_FFIEC" hidden="1">"c15291"</definedName>
    <definedName name="IQ_TOTAL_CASH_DUE_DEPOSITORY_INSTIT_FFIEC" hidden="1">"c15285"</definedName>
    <definedName name="IQ_TOTAL_CHARGE_OFFS_FDIC" hidden="1">"c6603"</definedName>
    <definedName name="IQ_TOTAL_DEBT_SECURITIES_FDIC" hidden="1">"c6410"</definedName>
    <definedName name="IQ_TOTAL_DEPOSITS_DOM_FFIEC" hidden="1">"c15313"</definedName>
    <definedName name="IQ_TOTAL_DEPOSITS_FDIC" hidden="1">"c6342"</definedName>
    <definedName name="IQ_TOTAL_DEPOSITS_SUPPLE" hidden="1">"c15253"</definedName>
    <definedName name="IQ_TOTAL_EMPLOYEES_FDIC" hidden="1">"c6355"</definedName>
    <definedName name="IQ_TOTAL_EQUITY_INCL_MINORITY_INTEREST_FFIEC" hidden="1">"c15278"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EREST_EXP_FOREIGN_FFIEC" hidden="1">"c15374"</definedName>
    <definedName name="IQ_TOTAL_INTEREST_INC_FOREIGN_FFIEC" hidden="1">"c15373"</definedName>
    <definedName name="IQ_TOTAL_IRA_KEOGH_PLAN_ACCOUNTS_FFIEC" hidden="1">"c15303"</definedName>
    <definedName name="IQ_TOTAL_LIAB_EQUITY_FDIC" hidden="1">"c6354"</definedName>
    <definedName name="IQ_TOTAL_LIABILITIES_FAIR_VALUE_TOT_FFIEC" hidden="1">"c15411"</definedName>
    <definedName name="IQ_TOTAL_LIABILITIES_FDIC" hidden="1">"c6348"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NON_TRANS_ACCTS_FFIEC" hidden="1">"c15328"</definedName>
    <definedName name="IQ_TOTAL_NONINTEREST_EXPENSE_FOREIGN_FFIEC" hidden="1">"c15386"</definedName>
    <definedName name="IQ_TOTAL_PENSION_OBLIGATION" hidden="1">"c1292"</definedName>
    <definedName name="IQ_TOTAL_RECOVERIES_FDIC" hidden="1">"c6622"</definedName>
    <definedName name="IQ_TOTAL_REV_BNK_FDIC" hidden="1">"c6786"</definedName>
    <definedName name="IQ_TOTAL_REVENUE_FOREIGN_FFIEC" hidden="1">"c15383"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LIAB_FOREIGN_FFIEC" hidden="1">"c15296"</definedName>
    <definedName name="IQ_TOTAL_TRANS_ACCTS_FFIEC" hidden="1">"c15321"</definedName>
    <definedName name="IQ_TOTAL_UNUSED_COMMITMENTS_FDIC" hidden="1">"c6536"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DING_REV_FOREIGN_FFIEC" hidden="1">"c15377"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_STOCK_TRANSACTIONS_FDIC" hidden="1">"c6501"</definedName>
    <definedName name="IQ_TREASURY_STOCK_TRANSACTIONS_FFIEC" hidden="1">"c15352"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TREASURY_SECURITIES_FDIC" hidden="1">"c6298"</definedName>
    <definedName name="IQ_UST_SEC_GOVT_AGENCY_CORP_QUARTERLY_AVG_FFIEC" hidden="1">"c15469"</definedName>
    <definedName name="IQ_UST_SECURITIES_GOVT_AGENCY_QUARTERLY_AVG_FFIEC" hidden="1">"c15468"</definedName>
    <definedName name="IQ_VALUATION_ALLOWANCES_FDIC" hidden="1">"c6400"</definedName>
    <definedName name="IQ_VC_REVENUE_FDIC" hidden="1">"c6667"</definedName>
    <definedName name="IQ_VEHICLE_LOANS" hidden="1">"c15249"</definedName>
    <definedName name="IQ_VOLATILE_LIABILITIES_FDIC" hidden="1">"c6364"</definedName>
    <definedName name="IQ_WEEK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>3000</definedName>
    <definedName name="IQ_YTDMONTH" hidden="1">130000</definedName>
    <definedName name="IQRAC12" hidden="1">"$AC$13:$AC$393"</definedName>
    <definedName name="IQRAK12" hidden="1">"$AK$13:$AK$431"</definedName>
    <definedName name="IQRSheet8AV4" hidden="1">[6]Sheet8!$AV$5:$AV$1101</definedName>
    <definedName name="IQRZ12" hidden="1">"$Z$13:$Z$338"</definedName>
    <definedName name="l" localSheetId="6" hidden="1">#REF!</definedName>
    <definedName name="l" localSheetId="3" hidden="1">#REF!</definedName>
    <definedName name="l" hidden="1">#REF!</definedName>
    <definedName name="lbs_grams">453.592</definedName>
    <definedName name="Mass_Flower_Base_Case" localSheetId="6">[5]Global_Master!$B$58</definedName>
    <definedName name="Mass_Flower_Base_Case">Global_Master!#REF!</definedName>
    <definedName name="Mass_Flower_Base_Case1" localSheetId="6">[5]Global_Master!$C$58</definedName>
    <definedName name="Mass_Flower_Base_Case1">Global_Master!#REF!</definedName>
    <definedName name="Mass_Flower_Base_Case2" localSheetId="6">[5]Global_Master!$D$58</definedName>
    <definedName name="Mass_Flower_Base_Case2">Global_Master!#REF!</definedName>
    <definedName name="Mass_Flower_Base_Case3" localSheetId="6">[5]Global_Master!$E$58</definedName>
    <definedName name="Mass_Flower_Base_Case3">Global_Master!#REF!</definedName>
    <definedName name="Mass_Trim_Base_Case" localSheetId="6">[5]Global_Master!$B$68</definedName>
    <definedName name="Mass_Trim_Base_Case">Global_Master!#REF!</definedName>
    <definedName name="Mass_Trim_Base_Case1" localSheetId="6">[5]Global_Master!$C$68</definedName>
    <definedName name="Mass_Trim_Base_Case1">Global_Master!#REF!</definedName>
    <definedName name="Mass_Trim_Base_Case2" localSheetId="6">[5]Global_Master!$D$68</definedName>
    <definedName name="Mass_Trim_Base_Case2">Global_Master!#REF!</definedName>
    <definedName name="Mass_Trim_Base_Case3" localSheetId="6">[5]Global_Master!$E$68</definedName>
    <definedName name="Mass_Trim_Base_Case3">Global_Master!#REF!</definedName>
    <definedName name="Michigan_Trim_Base_Case" localSheetId="6">[5]Global_Master!$B$67</definedName>
    <definedName name="Michigan_Trim_Base_Case">Global_Master!#REF!</definedName>
    <definedName name="Michigan_Trim_Base_Case1" localSheetId="6">[5]Global_Master!$C$67</definedName>
    <definedName name="Michigan_Trim_Base_Case1">Global_Master!#REF!</definedName>
    <definedName name="Michigan_Trim_Base_Case2" localSheetId="6">[5]Global_Master!$D$67</definedName>
    <definedName name="Michigan_Trim_Base_Case2">Global_Master!#REF!</definedName>
    <definedName name="Michigan_Trim_Base_Case3" localSheetId="6">[5]Global_Master!$E$67</definedName>
    <definedName name="Michigan_Trim_Base_Case3">Global_Master!#REF!</definedName>
    <definedName name="Missouri_Flower_Base_Case" localSheetId="6">[5]Global_Master!$B$61</definedName>
    <definedName name="Missouri_Flower_Base_Case">Global_Master!#REF!</definedName>
    <definedName name="Missouri_Flower_Base_Case1" localSheetId="6">[5]Global_Master!$C$61</definedName>
    <definedName name="Missouri_Flower_Base_Case1">Global_Master!#REF!</definedName>
    <definedName name="Missouri_Flower_Base_Case2" localSheetId="6">[5]Global_Master!$D$61</definedName>
    <definedName name="Missouri_Flower_Base_Case2">Global_Master!#REF!</definedName>
    <definedName name="Missouri_Flower_Base_Case3" localSheetId="6">[5]Global_Master!$E$61</definedName>
    <definedName name="Missouri_Flower_Base_Case3">Global_Master!#REF!</definedName>
    <definedName name="Missouri_Trim_Base_Case" localSheetId="6">[5]Global_Master!$B$70</definedName>
    <definedName name="Missouri_Trim_Base_Case">Global_Master!#REF!</definedName>
    <definedName name="Missouri_Trim_Base_Case1" localSheetId="6">[5]Global_Master!$C$70</definedName>
    <definedName name="Missouri_Trim_Base_Case1">Global_Master!#REF!</definedName>
    <definedName name="Missouri_Trim_Base_Case2" localSheetId="6">[5]Global_Master!$D$70</definedName>
    <definedName name="Missouri_Trim_Base_Case2">Global_Master!#REF!</definedName>
    <definedName name="Missouri_Trim_Base_Case3" localSheetId="6">[5]Global_Master!$E$70</definedName>
    <definedName name="Missouri_Trim_Base_Case3">Global_Master!#REF!</definedName>
    <definedName name="NJ_Flower_Base_Case" localSheetId="6">[5]Global_Master!$B$57</definedName>
    <definedName name="NJ_Flower_Base_Case">Global_Master!#REF!</definedName>
    <definedName name="NJ_Flower_Base_Case1" localSheetId="6">[5]Global_Master!$C$57</definedName>
    <definedName name="NJ_Flower_Base_Case1">Global_Master!#REF!</definedName>
    <definedName name="NJ_Flower_Base_Case2" localSheetId="6">[5]Global_Master!$D$57</definedName>
    <definedName name="NJ_Flower_Base_Case2">Global_Master!#REF!</definedName>
    <definedName name="NJ_Flower_Base_Case3" localSheetId="6">[5]Global_Master!$E$57</definedName>
    <definedName name="NJ_Flower_Base_Case3">Global_Master!#REF!</definedName>
    <definedName name="Pennsylvania_Flower_Base_Case" localSheetId="5">Global_Master!#REF!</definedName>
    <definedName name="Pennsylvania_Flower_Base_Case1" localSheetId="5">Global_Master!#REF!</definedName>
    <definedName name="Pennsylvania_Flower_Base_Case2" localSheetId="5">Global_Master!#REF!</definedName>
    <definedName name="Pennsylvania_Flower_Base_Case3" localSheetId="5">Global_Master!#REF!</definedName>
    <definedName name="Pennsylvania_Trim_Base_Case" localSheetId="6">[5]Global_Master!$B$65</definedName>
    <definedName name="Pennsylvania_Trim_Base_Case">Global_Master!#REF!</definedName>
    <definedName name="Pennsylvania_Trim_Base_Case1" localSheetId="6">[5]Global_Master!$C$65</definedName>
    <definedName name="Pennsylvania_Trim_Base_Case1">Global_Master!#REF!</definedName>
    <definedName name="Pennsylvania_Trim_Base_Case2" localSheetId="6">[5]Global_Master!$D$65</definedName>
    <definedName name="Pennsylvania_Trim_Base_Case2">Global_Master!#REF!</definedName>
    <definedName name="Pennsylvania_Trim_Base_Case3" localSheetId="6">[5]Global_Master!$E$65</definedName>
    <definedName name="Pennsylvania_Trim_Base_Case3">Global_Master!#REF!</definedName>
    <definedName name="sencount" hidden="1">1</definedName>
    <definedName name="TOC_Hdg_11" localSheetId="6" hidden="1">'[1]Output old'!#REF!</definedName>
    <definedName name="TOC_Hdg_11" localSheetId="3" hidden="1">'[1]Output old'!#REF!</definedName>
    <definedName name="TOC_Hdg_11" hidden="1">'[1]Output old'!#REF!</definedName>
    <definedName name="TOC_Hdg_13" localSheetId="6" hidden="1">'[1]Output old'!#REF!</definedName>
    <definedName name="TOC_Hdg_13" localSheetId="3" hidden="1">'[1]Output old'!#REF!</definedName>
    <definedName name="TOC_Hdg_13" hidden="1">'[1]Output old'!#REF!</definedName>
    <definedName name="TOC_Hdg_9" localSheetId="6" hidden="1">'[1]Output old'!#REF!</definedName>
    <definedName name="TOC_Hdg_9" localSheetId="3" hidden="1">'[1]Output old'!#REF!</definedName>
    <definedName name="TOC_Hdg_9" hidden="1">'[1]Output old'!#REF!</definedName>
    <definedName name="Utah_Flower_Base_Case" localSheetId="6">[5]Global_Master!$B$62</definedName>
    <definedName name="Utah_Flower_Base_Case">Global_Master!#REF!</definedName>
    <definedName name="Utah_Flower_Base_Case1" localSheetId="6">[5]Global_Master!$C$62</definedName>
    <definedName name="Utah_Flower_Base_Case1">Global_Master!#REF!</definedName>
    <definedName name="Utah_Flower_Base_Case2" localSheetId="6">[5]Global_Master!$D$62</definedName>
    <definedName name="Utah_Flower_Base_Case2">Global_Master!#REF!</definedName>
    <definedName name="Utah_Flower_Base_Case3" localSheetId="6">[5]Global_Master!$E$62</definedName>
    <definedName name="Utah_Flower_Base_Case3">Global_Master!#REF!</definedName>
    <definedName name="Utah_Trim_Base_Case" localSheetId="6">[5]Global_Master!$B$71</definedName>
    <definedName name="Utah_Trim_Base_Case">Global_Master!#REF!</definedName>
    <definedName name="Utah_Trim_Base_Case1" localSheetId="6">[5]Global_Master!$C$71</definedName>
    <definedName name="Utah_Trim_Base_Case1">Global_Master!#REF!</definedName>
    <definedName name="Utah_Trim_Base_Case2" localSheetId="6">[5]Global_Master!$D$71</definedName>
    <definedName name="Utah_Trim_Base_Case2">Global_Master!#REF!</definedName>
    <definedName name="Utah_Trim_Base_Case3" localSheetId="6">[5]Global_Master!$E$71</definedName>
    <definedName name="Utah_Trim_Base_Case3">Global_Master!#REF!</definedName>
    <definedName name="wrn.Placer._.Dome." localSheetId="6" hidden="1">{"Placer Dome Mines",#N/A,FALSE,"PDG";"Placer Dome Summary",#N/A,FALSE,"PDG"}</definedName>
    <definedName name="wrn.Placer._.Dome." hidden="1">{"Placer Dome Mines",#N/A,FALSE,"PDG";"Placer Dome Summary",#N/A,FALSE,"PDG"}</definedName>
    <definedName name="wrn.print._.all._.sections." localSheetId="6" hidden="1">{"IncomeStatement",#N/A,TRUE,"Model";"LacdesIsles",#N/A,TRUE,"Model";"NAV",#N/A,TRUE,"NAV"}</definedName>
    <definedName name="wrn.print._.all._.sections." hidden="1">{"IncomeStatement",#N/A,TRUE,"Model";"LacdesIsles",#N/A,TRUE,"Model";"NAV",#N/A,TRUE,"NAV"}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08" l="1"/>
  <c r="F9" i="108"/>
  <c r="F10" i="108"/>
  <c r="F11" i="108"/>
  <c r="F12" i="108"/>
  <c r="F13" i="108"/>
  <c r="F14" i="108"/>
  <c r="F15" i="108"/>
  <c r="F23" i="108"/>
  <c r="F24" i="108"/>
  <c r="F25" i="108"/>
  <c r="F26" i="108"/>
  <c r="F27" i="108"/>
  <c r="F28" i="108"/>
  <c r="F29" i="108"/>
  <c r="E30" i="108"/>
  <c r="F30" i="108" s="1"/>
  <c r="B13" i="67"/>
  <c r="C13" i="67"/>
  <c r="D13" i="67"/>
  <c r="E13" i="67"/>
  <c r="C41" i="67"/>
  <c r="F13" i="67"/>
  <c r="H3" i="19" s="1"/>
  <c r="G13" i="67"/>
  <c r="I3" i="19" s="1"/>
  <c r="H13" i="67"/>
  <c r="I13" i="67"/>
  <c r="D41" i="67"/>
  <c r="L13" i="67" s="1"/>
  <c r="N3" i="19" s="1"/>
  <c r="J13" i="67"/>
  <c r="K13" i="67"/>
  <c r="M13" i="67"/>
  <c r="O3" i="19" s="1"/>
  <c r="E41" i="67"/>
  <c r="N13" i="67" s="1"/>
  <c r="T13" i="67"/>
  <c r="U13" i="67"/>
  <c r="AB13" i="67"/>
  <c r="AC13" i="67"/>
  <c r="AJ13" i="67"/>
  <c r="AK13" i="67"/>
  <c r="AR13" i="67"/>
  <c r="AS13" i="67"/>
  <c r="AZ13" i="67"/>
  <c r="BA13" i="67"/>
  <c r="BH13" i="67"/>
  <c r="BI13" i="67"/>
  <c r="BP13" i="67"/>
  <c r="BQ13" i="67"/>
  <c r="BX13" i="67"/>
  <c r="BY13" i="67"/>
  <c r="CF13" i="67"/>
  <c r="CG13" i="67"/>
  <c r="B14" i="67"/>
  <c r="C14" i="67"/>
  <c r="D14" i="67"/>
  <c r="F4" i="19" s="1"/>
  <c r="E14" i="67"/>
  <c r="F14" i="67"/>
  <c r="G14" i="67"/>
  <c r="H14" i="67"/>
  <c r="I14" i="67"/>
  <c r="D42" i="67"/>
  <c r="M14" i="67" s="1"/>
  <c r="K14" i="67"/>
  <c r="M4" i="19" s="1"/>
  <c r="L14" i="67"/>
  <c r="N4" i="19" s="1"/>
  <c r="B16" i="67"/>
  <c r="D6" i="19" s="1"/>
  <c r="C16" i="67"/>
  <c r="E6" i="19" s="1"/>
  <c r="D16" i="67"/>
  <c r="E16" i="67"/>
  <c r="F16" i="67"/>
  <c r="G16" i="67"/>
  <c r="H16" i="67"/>
  <c r="I16" i="67"/>
  <c r="J16" i="67"/>
  <c r="L6" i="19" s="1"/>
  <c r="K16" i="67"/>
  <c r="M6" i="19" s="1"/>
  <c r="L16" i="67"/>
  <c r="M16" i="67"/>
  <c r="N16" i="67"/>
  <c r="O16" i="67"/>
  <c r="P16" i="67"/>
  <c r="Q16" i="67"/>
  <c r="R16" i="67"/>
  <c r="S16" i="67"/>
  <c r="T16" i="67"/>
  <c r="U16" i="67"/>
  <c r="V16" i="67"/>
  <c r="W16" i="67"/>
  <c r="X16" i="67"/>
  <c r="Y16" i="67"/>
  <c r="Z16" i="67"/>
  <c r="AA16" i="67"/>
  <c r="AB16" i="67"/>
  <c r="AC16" i="67"/>
  <c r="AD16" i="67"/>
  <c r="AE16" i="67"/>
  <c r="AF16" i="67"/>
  <c r="AG16" i="67"/>
  <c r="AH16" i="67"/>
  <c r="AI16" i="67"/>
  <c r="AJ16" i="67"/>
  <c r="AK16" i="67"/>
  <c r="AL16" i="67"/>
  <c r="AM16" i="67"/>
  <c r="AN16" i="67"/>
  <c r="AO16" i="67"/>
  <c r="AP16" i="67"/>
  <c r="AQ16" i="67"/>
  <c r="AR16" i="67"/>
  <c r="AS16" i="67"/>
  <c r="AT16" i="67"/>
  <c r="AU16" i="67"/>
  <c r="AV16" i="67"/>
  <c r="AW16" i="67"/>
  <c r="AX16" i="67"/>
  <c r="AY16" i="67"/>
  <c r="AZ16" i="67"/>
  <c r="BA16" i="67"/>
  <c r="BB16" i="67"/>
  <c r="BC16" i="67"/>
  <c r="BD16" i="67"/>
  <c r="BE16" i="67"/>
  <c r="BF16" i="67"/>
  <c r="BG16" i="67"/>
  <c r="BH16" i="67"/>
  <c r="BI16" i="67"/>
  <c r="BJ16" i="67"/>
  <c r="BK16" i="67"/>
  <c r="BL16" i="67"/>
  <c r="BM16" i="67"/>
  <c r="BN16" i="67"/>
  <c r="BO16" i="67"/>
  <c r="BP16" i="67"/>
  <c r="BQ16" i="67"/>
  <c r="BR16" i="67"/>
  <c r="BS16" i="67"/>
  <c r="BT16" i="67"/>
  <c r="BU16" i="67"/>
  <c r="BV16" i="67"/>
  <c r="BW16" i="67"/>
  <c r="BX16" i="67"/>
  <c r="BY16" i="67"/>
  <c r="BZ16" i="67"/>
  <c r="CA16" i="67"/>
  <c r="CB16" i="67"/>
  <c r="CC16" i="67"/>
  <c r="CD16" i="67"/>
  <c r="CE16" i="67"/>
  <c r="CF16" i="67"/>
  <c r="CG16" i="67"/>
  <c r="CH16" i="67"/>
  <c r="CI16" i="67"/>
  <c r="CJ16" i="67"/>
  <c r="CK16" i="67"/>
  <c r="B19" i="67"/>
  <c r="C19" i="67"/>
  <c r="D19" i="67"/>
  <c r="E19" i="67"/>
  <c r="F19" i="67"/>
  <c r="G19" i="67"/>
  <c r="H19" i="67"/>
  <c r="I19" i="67"/>
  <c r="J19" i="67"/>
  <c r="K19" i="67"/>
  <c r="L19" i="67"/>
  <c r="M19" i="67"/>
  <c r="N19" i="67"/>
  <c r="O19" i="67"/>
  <c r="P19" i="67"/>
  <c r="Q19" i="67"/>
  <c r="R19" i="67"/>
  <c r="S19" i="67"/>
  <c r="T19" i="67"/>
  <c r="U19" i="67"/>
  <c r="V19" i="67"/>
  <c r="W19" i="67"/>
  <c r="X19" i="67"/>
  <c r="Y19" i="67"/>
  <c r="Z19" i="67"/>
  <c r="AA19" i="67"/>
  <c r="AB19" i="67"/>
  <c r="AC19" i="67"/>
  <c r="AD19" i="67"/>
  <c r="AE19" i="67"/>
  <c r="AF19" i="67"/>
  <c r="AG19" i="67"/>
  <c r="AH19" i="67"/>
  <c r="AI19" i="67"/>
  <c r="AJ19" i="67"/>
  <c r="AK19" i="67"/>
  <c r="AL19" i="67"/>
  <c r="AM19" i="67"/>
  <c r="AN19" i="67"/>
  <c r="AO19" i="67"/>
  <c r="AP19" i="67"/>
  <c r="AQ19" i="67"/>
  <c r="AR19" i="67"/>
  <c r="AS19" i="67"/>
  <c r="AT19" i="67"/>
  <c r="AU19" i="67"/>
  <c r="AV19" i="67"/>
  <c r="AW19" i="67"/>
  <c r="AX19" i="67"/>
  <c r="AY19" i="67"/>
  <c r="AZ19" i="67"/>
  <c r="BA19" i="67"/>
  <c r="BB19" i="67"/>
  <c r="BC19" i="67"/>
  <c r="BD19" i="67"/>
  <c r="BE19" i="67"/>
  <c r="BF19" i="67"/>
  <c r="BG19" i="67"/>
  <c r="BH19" i="67"/>
  <c r="BI19" i="67"/>
  <c r="BJ19" i="67"/>
  <c r="BK19" i="67"/>
  <c r="BL19" i="67"/>
  <c r="BM19" i="67"/>
  <c r="BN19" i="67"/>
  <c r="BO19" i="67"/>
  <c r="BP19" i="67"/>
  <c r="BQ19" i="67"/>
  <c r="BR19" i="67"/>
  <c r="BS19" i="67"/>
  <c r="BT19" i="67"/>
  <c r="BU19" i="67"/>
  <c r="BV19" i="67"/>
  <c r="BW19" i="67"/>
  <c r="BX19" i="67"/>
  <c r="BY19" i="67"/>
  <c r="BZ19" i="67"/>
  <c r="CA19" i="67"/>
  <c r="CB19" i="67"/>
  <c r="CC19" i="67"/>
  <c r="CD19" i="67"/>
  <c r="CE19" i="67"/>
  <c r="CF19" i="67"/>
  <c r="CG19" i="67"/>
  <c r="CH19" i="67"/>
  <c r="CI19" i="67"/>
  <c r="CJ19" i="67"/>
  <c r="CK19" i="67"/>
  <c r="E21" i="67"/>
  <c r="F21" i="67"/>
  <c r="G21" i="67"/>
  <c r="H21" i="67"/>
  <c r="I21" i="67"/>
  <c r="J21" i="67"/>
  <c r="K21" i="67"/>
  <c r="L21" i="67"/>
  <c r="M21" i="67"/>
  <c r="N21" i="67"/>
  <c r="O21" i="67"/>
  <c r="P21" i="67"/>
  <c r="Q21" i="67"/>
  <c r="R21" i="67"/>
  <c r="S21" i="67"/>
  <c r="T21" i="67"/>
  <c r="U21" i="67"/>
  <c r="V21" i="67"/>
  <c r="W21" i="67"/>
  <c r="X21" i="67"/>
  <c r="Y21" i="67"/>
  <c r="Z21" i="67"/>
  <c r="I25" i="67"/>
  <c r="AF25" i="67"/>
  <c r="AG25" i="67"/>
  <c r="AH25" i="67"/>
  <c r="AI25" i="67"/>
  <c r="AJ25" i="67"/>
  <c r="AK25" i="67"/>
  <c r="AL25" i="67"/>
  <c r="AM25" i="67"/>
  <c r="AN25" i="67"/>
  <c r="AO25" i="67"/>
  <c r="AP25" i="67"/>
  <c r="AQ25" i="67"/>
  <c r="AR25" i="67"/>
  <c r="AS25" i="67"/>
  <c r="AT25" i="67"/>
  <c r="AU25" i="67"/>
  <c r="AV25" i="67"/>
  <c r="AW25" i="67"/>
  <c r="AX25" i="67"/>
  <c r="AY25" i="67"/>
  <c r="AZ25" i="67"/>
  <c r="BA25" i="67"/>
  <c r="BB25" i="67"/>
  <c r="BC25" i="67"/>
  <c r="BD25" i="67"/>
  <c r="BE25" i="67"/>
  <c r="BF25" i="67"/>
  <c r="BG25" i="67"/>
  <c r="BH25" i="67"/>
  <c r="BI25" i="67"/>
  <c r="BJ25" i="67"/>
  <c r="BK25" i="67"/>
  <c r="BL25" i="67"/>
  <c r="BM25" i="67"/>
  <c r="BN25" i="67"/>
  <c r="BO25" i="67"/>
  <c r="BP25" i="67"/>
  <c r="BQ25" i="67"/>
  <c r="BR25" i="67"/>
  <c r="BS25" i="67"/>
  <c r="BT25" i="67"/>
  <c r="BU25" i="67"/>
  <c r="BV25" i="67"/>
  <c r="BW25" i="67"/>
  <c r="BX25" i="67"/>
  <c r="BY25" i="67"/>
  <c r="BZ25" i="67"/>
  <c r="CA25" i="67"/>
  <c r="CB25" i="67"/>
  <c r="CC25" i="67"/>
  <c r="CD25" i="67"/>
  <c r="CE25" i="67"/>
  <c r="CF25" i="67"/>
  <c r="CG25" i="67"/>
  <c r="CH25" i="67"/>
  <c r="CI25" i="67"/>
  <c r="CJ25" i="67"/>
  <c r="CK25" i="67"/>
  <c r="CL25" i="67"/>
  <c r="CM25" i="67"/>
  <c r="CN25" i="67"/>
  <c r="CO25" i="67"/>
  <c r="I29" i="67"/>
  <c r="J29" i="67"/>
  <c r="K29" i="67"/>
  <c r="L29" i="67"/>
  <c r="AF36" i="67"/>
  <c r="AG36" i="67" s="1"/>
  <c r="AH36" i="67" s="1"/>
  <c r="AI36" i="67" s="1"/>
  <c r="AJ36" i="67" s="1"/>
  <c r="AK36" i="67" s="1"/>
  <c r="AL36" i="67" s="1"/>
  <c r="AM36" i="67"/>
  <c r="AN36" i="67" s="1"/>
  <c r="AO36" i="67" s="1"/>
  <c r="AP36" i="67" s="1"/>
  <c r="AQ36" i="67" s="1"/>
  <c r="AR36" i="67" s="1"/>
  <c r="AS36" i="67" s="1"/>
  <c r="AT36" i="67" s="1"/>
  <c r="AU36" i="67"/>
  <c r="AV36" i="67" s="1"/>
  <c r="AW36" i="67" s="1"/>
  <c r="AX36" i="67" s="1"/>
  <c r="AY36" i="67" s="1"/>
  <c r="AZ36" i="67" s="1"/>
  <c r="BA36" i="67" s="1"/>
  <c r="BB36" i="67" s="1"/>
  <c r="BC36" i="67" s="1"/>
  <c r="BD36" i="67" s="1"/>
  <c r="BE36" i="67" s="1"/>
  <c r="BF36" i="67" s="1"/>
  <c r="BG36" i="67" s="1"/>
  <c r="BH36" i="67" s="1"/>
  <c r="BI36" i="67" s="1"/>
  <c r="BJ36" i="67" s="1"/>
  <c r="BK36" i="67" s="1"/>
  <c r="BL36" i="67" s="1"/>
  <c r="BM36" i="67" s="1"/>
  <c r="BN36" i="67" s="1"/>
  <c r="BO36" i="67" s="1"/>
  <c r="BP36" i="67" s="1"/>
  <c r="BQ36" i="67" s="1"/>
  <c r="BR36" i="67" s="1"/>
  <c r="BS36" i="67" s="1"/>
  <c r="BT36" i="67" s="1"/>
  <c r="BU36" i="67" s="1"/>
  <c r="BV36" i="67" s="1"/>
  <c r="BW36" i="67" s="1"/>
  <c r="BX36" i="67" s="1"/>
  <c r="BY36" i="67" s="1"/>
  <c r="BZ36" i="67" s="1"/>
  <c r="CA36" i="67"/>
  <c r="CB36" i="67" s="1"/>
  <c r="CC36" i="67" s="1"/>
  <c r="CD36" i="67" s="1"/>
  <c r="CE36" i="67" s="1"/>
  <c r="CF36" i="67" s="1"/>
  <c r="CG36" i="67" s="1"/>
  <c r="CH36" i="67" s="1"/>
  <c r="CI36" i="67"/>
  <c r="CJ36" i="67" s="1"/>
  <c r="CK36" i="67" s="1"/>
  <c r="CL36" i="67" s="1"/>
  <c r="CM36" i="67" s="1"/>
  <c r="CN36" i="67" s="1"/>
  <c r="CO36" i="67" s="1"/>
  <c r="H1" i="19"/>
  <c r="L1" i="19"/>
  <c r="L2" i="19"/>
  <c r="M2" i="19"/>
  <c r="N2" i="19"/>
  <c r="O2" i="19"/>
  <c r="D3" i="19"/>
  <c r="E3" i="19"/>
  <c r="F3" i="19"/>
  <c r="G3" i="19"/>
  <c r="J3" i="19"/>
  <c r="K3" i="19"/>
  <c r="L3" i="19"/>
  <c r="M3" i="19"/>
  <c r="P3" i="19"/>
  <c r="Q3" i="19" s="1"/>
  <c r="R3" i="19" s="1"/>
  <c r="S3" i="19" s="1"/>
  <c r="D4" i="19"/>
  <c r="E4" i="19"/>
  <c r="G4" i="19"/>
  <c r="H4" i="19"/>
  <c r="I4" i="19"/>
  <c r="J4" i="19"/>
  <c r="K4" i="19"/>
  <c r="O4" i="19"/>
  <c r="F6" i="19"/>
  <c r="G6" i="19"/>
  <c r="H6" i="19"/>
  <c r="I6" i="19"/>
  <c r="J6" i="19"/>
  <c r="K6" i="19"/>
  <c r="N6" i="19"/>
  <c r="O6" i="19"/>
  <c r="P6" i="19"/>
  <c r="Q6" i="19" s="1"/>
  <c r="R6" i="19" s="1"/>
  <c r="S6" i="19" s="1"/>
  <c r="E1" i="107"/>
  <c r="F1" i="107"/>
  <c r="G1" i="107" s="1"/>
  <c r="H1" i="107"/>
  <c r="I1" i="107" s="1"/>
  <c r="B3" i="107"/>
  <c r="B12" i="107"/>
  <c r="Q14" i="107"/>
  <c r="R14" i="107"/>
  <c r="S14" i="107"/>
  <c r="T14" i="107"/>
  <c r="U14" i="107"/>
  <c r="V14" i="107"/>
  <c r="W14" i="107"/>
  <c r="X14" i="107"/>
  <c r="Y14" i="107"/>
  <c r="Z14" i="107"/>
  <c r="AA14" i="107"/>
  <c r="AB14" i="107"/>
  <c r="AC14" i="107"/>
  <c r="AD14" i="107"/>
  <c r="AE14" i="107"/>
  <c r="AF14" i="107"/>
  <c r="AG14" i="107"/>
  <c r="AH14" i="107"/>
  <c r="AI14" i="107"/>
  <c r="AJ14" i="107"/>
  <c r="AK14" i="107"/>
  <c r="AL14" i="107"/>
  <c r="AM14" i="107"/>
  <c r="AN14" i="107"/>
  <c r="AO14" i="107"/>
  <c r="AP14" i="107"/>
  <c r="AQ14" i="107"/>
  <c r="AR14" i="107"/>
  <c r="AS14" i="107"/>
  <c r="AT14" i="107"/>
  <c r="AU14" i="107"/>
  <c r="AV14" i="107"/>
  <c r="AW14" i="107"/>
  <c r="AX14" i="107"/>
  <c r="AY14" i="107"/>
  <c r="AZ14" i="107"/>
  <c r="BA14" i="107"/>
  <c r="Q15" i="107"/>
  <c r="R15" i="107"/>
  <c r="S15" i="107"/>
  <c r="T15" i="107"/>
  <c r="U15" i="107"/>
  <c r="V15" i="107"/>
  <c r="W15" i="107"/>
  <c r="X15" i="107"/>
  <c r="Y15" i="107"/>
  <c r="Z15" i="107"/>
  <c r="AA15" i="107"/>
  <c r="AB15" i="107"/>
  <c r="AC15" i="107"/>
  <c r="AD15" i="107"/>
  <c r="AE15" i="107"/>
  <c r="AF15" i="107"/>
  <c r="AG15" i="107"/>
  <c r="AH15" i="107"/>
  <c r="AI15" i="107"/>
  <c r="AJ15" i="107"/>
  <c r="AK15" i="107"/>
  <c r="AL15" i="107"/>
  <c r="AM15" i="107"/>
  <c r="AN15" i="107"/>
  <c r="AO15" i="107"/>
  <c r="AP15" i="107"/>
  <c r="AQ15" i="107"/>
  <c r="AR15" i="107"/>
  <c r="AS15" i="107"/>
  <c r="AT15" i="107"/>
  <c r="AU15" i="107"/>
  <c r="AV15" i="107"/>
  <c r="AW15" i="107"/>
  <c r="AX15" i="107"/>
  <c r="AY15" i="107"/>
  <c r="AZ15" i="107"/>
  <c r="BA15" i="107"/>
  <c r="B18" i="107"/>
  <c r="B20" i="107"/>
  <c r="B26" i="107" s="1"/>
  <c r="B61" i="107"/>
  <c r="B72" i="107" s="1"/>
  <c r="B66" i="107"/>
  <c r="B69" i="107"/>
  <c r="B74" i="107"/>
  <c r="B75" i="107"/>
  <c r="B76" i="107"/>
  <c r="C76" i="107"/>
  <c r="C77" i="107"/>
  <c r="B79" i="107"/>
  <c r="C79" i="107"/>
  <c r="B80" i="107"/>
  <c r="C80" i="107"/>
  <c r="B81" i="107"/>
  <c r="C81" i="107"/>
  <c r="B83" i="107"/>
  <c r="C83" i="107"/>
  <c r="B84" i="107"/>
  <c r="C84" i="107"/>
  <c r="B85" i="107"/>
  <c r="C85" i="107"/>
  <c r="B86" i="107"/>
  <c r="C86" i="107"/>
  <c r="B87" i="107"/>
  <c r="C87" i="107"/>
  <c r="B88" i="107"/>
  <c r="B89" i="107"/>
  <c r="C89" i="107"/>
  <c r="B91" i="107"/>
  <c r="C91" i="107"/>
  <c r="E91" i="107"/>
  <c r="F91" i="107"/>
  <c r="G91" i="107"/>
  <c r="H91" i="107"/>
  <c r="I91" i="107"/>
  <c r="J91" i="107"/>
  <c r="K91" i="107"/>
  <c r="L91" i="107"/>
  <c r="M91" i="107"/>
  <c r="N91" i="107"/>
  <c r="B92" i="107"/>
  <c r="C92" i="107"/>
  <c r="E93" i="107"/>
  <c r="F93" i="107"/>
  <c r="G93" i="107"/>
  <c r="H93" i="107"/>
  <c r="I93" i="107"/>
  <c r="J93" i="107"/>
  <c r="K93" i="107"/>
  <c r="L93" i="107"/>
  <c r="M93" i="107"/>
  <c r="N93" i="107"/>
  <c r="B94" i="107"/>
  <c r="C94" i="107"/>
  <c r="E94" i="107"/>
  <c r="F94" i="107"/>
  <c r="G94" i="107"/>
  <c r="H94" i="107"/>
  <c r="I94" i="107"/>
  <c r="J94" i="107"/>
  <c r="K94" i="107"/>
  <c r="L94" i="107"/>
  <c r="M94" i="107"/>
  <c r="N94" i="107"/>
  <c r="B95" i="107"/>
  <c r="C95" i="107"/>
  <c r="B97" i="107"/>
  <c r="C97" i="107"/>
  <c r="B98" i="107"/>
  <c r="C98" i="107"/>
  <c r="B99" i="107"/>
  <c r="C99" i="107"/>
  <c r="B101" i="107"/>
  <c r="C101" i="107"/>
  <c r="B103" i="107"/>
  <c r="B104" i="107"/>
  <c r="B105" i="107"/>
  <c r="C105" i="107"/>
  <c r="B106" i="107"/>
  <c r="C106" i="107"/>
  <c r="B107" i="107"/>
  <c r="C107" i="107"/>
  <c r="B108" i="107"/>
  <c r="C108" i="107"/>
  <c r="F108" i="107"/>
  <c r="G108" i="107"/>
  <c r="H108" i="107"/>
  <c r="I108" i="107"/>
  <c r="J108" i="107"/>
  <c r="K108" i="107"/>
  <c r="L108" i="107"/>
  <c r="M108" i="107"/>
  <c r="N108" i="107"/>
  <c r="B109" i="107"/>
  <c r="C109" i="107"/>
  <c r="B111" i="107"/>
  <c r="B112" i="107"/>
  <c r="C112" i="107"/>
  <c r="B113" i="107"/>
  <c r="C113" i="107"/>
  <c r="B114" i="107"/>
  <c r="C114" i="107"/>
  <c r="B115" i="107"/>
  <c r="C115" i="107"/>
  <c r="B116" i="107"/>
  <c r="C116" i="107"/>
  <c r="B117" i="107"/>
  <c r="C117" i="107"/>
  <c r="B119" i="107"/>
  <c r="B120" i="107"/>
  <c r="C120" i="107"/>
  <c r="E120" i="107"/>
  <c r="F120" i="107"/>
  <c r="G120" i="107"/>
  <c r="H120" i="107"/>
  <c r="I120" i="107"/>
  <c r="J120" i="107"/>
  <c r="K120" i="107"/>
  <c r="L120" i="107"/>
  <c r="M120" i="107"/>
  <c r="N120" i="107"/>
  <c r="B122" i="107"/>
  <c r="C122" i="107"/>
  <c r="B124" i="107"/>
  <c r="C124" i="107"/>
  <c r="E124" i="107"/>
  <c r="B125" i="107"/>
  <c r="C125" i="107"/>
  <c r="B127" i="107"/>
  <c r="C127" i="107"/>
  <c r="C128" i="107"/>
  <c r="E128" i="107"/>
  <c r="F128" i="107"/>
  <c r="G128" i="107"/>
  <c r="H128" i="107"/>
  <c r="I128" i="107"/>
  <c r="J128" i="107"/>
  <c r="K128" i="107"/>
  <c r="L128" i="107"/>
  <c r="M128" i="107"/>
  <c r="N128" i="107"/>
  <c r="B130" i="107"/>
  <c r="C130" i="107"/>
  <c r="F142" i="107"/>
  <c r="G142" i="107"/>
  <c r="H142" i="107"/>
  <c r="I142" i="107"/>
  <c r="J142" i="107"/>
  <c r="K142" i="107"/>
  <c r="L142" i="107"/>
  <c r="M142" i="107"/>
  <c r="N142" i="107"/>
  <c r="F143" i="107"/>
  <c r="G143" i="107"/>
  <c r="H143" i="107"/>
  <c r="F145" i="107"/>
  <c r="G145" i="107"/>
  <c r="H145" i="107"/>
  <c r="F146" i="107"/>
  <c r="G146" i="107"/>
  <c r="H146" i="107"/>
  <c r="F153" i="107"/>
  <c r="G153" i="107"/>
  <c r="H153" i="107"/>
  <c r="I153" i="107"/>
  <c r="F154" i="107"/>
  <c r="G154" i="107"/>
  <c r="H154" i="107"/>
  <c r="I154" i="107"/>
  <c r="F157" i="107"/>
  <c r="G157" i="107"/>
  <c r="G159" i="107" s="1"/>
  <c r="H157" i="107"/>
  <c r="H159" i="107" s="1"/>
  <c r="F158" i="107"/>
  <c r="G158" i="107"/>
  <c r="H158" i="107"/>
  <c r="F159" i="107"/>
  <c r="F163" i="107"/>
  <c r="G163" i="107"/>
  <c r="H163" i="107"/>
  <c r="H165" i="107" s="1"/>
  <c r="F164" i="107"/>
  <c r="G164" i="107"/>
  <c r="H164" i="107"/>
  <c r="F165" i="107"/>
  <c r="F167" i="107"/>
  <c r="G167" i="107"/>
  <c r="H167" i="107"/>
  <c r="I167" i="107"/>
  <c r="E1" i="2"/>
  <c r="I1" i="2"/>
  <c r="J4" i="2" s="1"/>
  <c r="M1" i="2"/>
  <c r="E4" i="2"/>
  <c r="F4" i="2"/>
  <c r="G4" i="2"/>
  <c r="H4" i="2"/>
  <c r="I4" i="2"/>
  <c r="K4" i="2"/>
  <c r="L4" i="2"/>
  <c r="E5" i="2"/>
  <c r="F5" i="2"/>
  <c r="G5" i="2"/>
  <c r="H5" i="2"/>
  <c r="I5" i="2"/>
  <c r="J5" i="2"/>
  <c r="K5" i="2"/>
  <c r="L5" i="2"/>
  <c r="I7" i="2"/>
  <c r="J7" i="2"/>
  <c r="K7" i="2"/>
  <c r="L7" i="2"/>
  <c r="M7" i="2"/>
  <c r="N7" i="2"/>
  <c r="O7" i="2"/>
  <c r="P7" i="2"/>
  <c r="Q7" i="2"/>
  <c r="R7" i="2"/>
  <c r="S7" i="2"/>
  <c r="T7" i="2"/>
  <c r="I8" i="2"/>
  <c r="J8" i="2"/>
  <c r="K8" i="2"/>
  <c r="L8" i="2"/>
  <c r="M8" i="2"/>
  <c r="N8" i="2"/>
  <c r="O8" i="2"/>
  <c r="P8" i="2"/>
  <c r="Q8" i="2"/>
  <c r="R8" i="2"/>
  <c r="S8" i="2"/>
  <c r="E12" i="2"/>
  <c r="F12" i="2"/>
  <c r="G12" i="2"/>
  <c r="H12" i="2"/>
  <c r="I12" i="2"/>
  <c r="J12" i="2"/>
  <c r="K12" i="2"/>
  <c r="L12" i="2"/>
  <c r="L24" i="2" s="1"/>
  <c r="M12" i="2"/>
  <c r="M24" i="2" s="1"/>
  <c r="N12" i="2"/>
  <c r="O12" i="2"/>
  <c r="P12" i="2"/>
  <c r="Q12" i="2"/>
  <c r="R12" i="2"/>
  <c r="S12" i="2"/>
  <c r="T12" i="2"/>
  <c r="U12" i="2"/>
  <c r="U24" i="2" s="1"/>
  <c r="V12" i="2"/>
  <c r="W12" i="2"/>
  <c r="W24" i="2" s="1"/>
  <c r="X12" i="2"/>
  <c r="Y12" i="2"/>
  <c r="Z12" i="2"/>
  <c r="AA12" i="2"/>
  <c r="AB12" i="2"/>
  <c r="AC12" i="2"/>
  <c r="AC24" i="2" s="1"/>
  <c r="AD12" i="2"/>
  <c r="AE12" i="2"/>
  <c r="AE24" i="2" s="1"/>
  <c r="AF12" i="2"/>
  <c r="AF24" i="2" s="1"/>
  <c r="AG12" i="2"/>
  <c r="AH12" i="2"/>
  <c r="AI12" i="2"/>
  <c r="AJ12" i="2"/>
  <c r="AK12" i="2"/>
  <c r="AK24" i="2" s="1"/>
  <c r="AL12" i="2"/>
  <c r="AM12" i="2"/>
  <c r="AM24" i="2" s="1"/>
  <c r="AN12" i="2"/>
  <c r="AN24" i="2" s="1"/>
  <c r="AO12" i="2"/>
  <c r="AP12" i="2"/>
  <c r="AQ12" i="2"/>
  <c r="AR12" i="2"/>
  <c r="AS12" i="2"/>
  <c r="AS24" i="2" s="1"/>
  <c r="AT12" i="2"/>
  <c r="AU12" i="2"/>
  <c r="AU24" i="2" s="1"/>
  <c r="AV12" i="2"/>
  <c r="AV24" i="2" s="1"/>
  <c r="F13" i="2"/>
  <c r="G13" i="2"/>
  <c r="H13" i="2"/>
  <c r="I13" i="2"/>
  <c r="J13" i="2"/>
  <c r="K13" i="2"/>
  <c r="L13" i="2"/>
  <c r="M13" i="2"/>
  <c r="M20" i="2" s="1"/>
  <c r="M21" i="2" s="1"/>
  <c r="N13" i="2"/>
  <c r="O13" i="2"/>
  <c r="P13" i="2"/>
  <c r="Q13" i="2"/>
  <c r="R13" i="2"/>
  <c r="R20" i="2" s="1"/>
  <c r="S13" i="2"/>
  <c r="T13" i="2"/>
  <c r="U13" i="2"/>
  <c r="U20" i="2" s="1"/>
  <c r="V13" i="2"/>
  <c r="W13" i="2"/>
  <c r="X13" i="2"/>
  <c r="Y13" i="2"/>
  <c r="Y20" i="2" s="1"/>
  <c r="Z13" i="2"/>
  <c r="Z20" i="2" s="1"/>
  <c r="AA13" i="2"/>
  <c r="AB13" i="2"/>
  <c r="AB20" i="2" s="1"/>
  <c r="AC13" i="2"/>
  <c r="AC20" i="2" s="1"/>
  <c r="AC21" i="2" s="1"/>
  <c r="AD13" i="2"/>
  <c r="AE13" i="2"/>
  <c r="AF13" i="2"/>
  <c r="AG13" i="2"/>
  <c r="AH13" i="2"/>
  <c r="AH20" i="2" s="1"/>
  <c r="AH21" i="2" s="1"/>
  <c r="AI13" i="2"/>
  <c r="AJ13" i="2"/>
  <c r="AJ20" i="2" s="1"/>
  <c r="AK13" i="2"/>
  <c r="AK20" i="2" s="1"/>
  <c r="AK21" i="2" s="1"/>
  <c r="AL13" i="2"/>
  <c r="AM13" i="2"/>
  <c r="AN13" i="2"/>
  <c r="AO13" i="2"/>
  <c r="AP13" i="2"/>
  <c r="AP20" i="2" s="1"/>
  <c r="AQ13" i="2"/>
  <c r="AR13" i="2"/>
  <c r="AR20" i="2" s="1"/>
  <c r="AS13" i="2"/>
  <c r="AS20" i="2" s="1"/>
  <c r="AT13" i="2"/>
  <c r="AU13" i="2"/>
  <c r="AV13" i="2"/>
  <c r="F15" i="2"/>
  <c r="G15" i="2"/>
  <c r="H15" i="2"/>
  <c r="I15" i="2"/>
  <c r="I29" i="2" s="1"/>
  <c r="I31" i="2" s="1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W29" i="2" s="1"/>
  <c r="X15" i="2"/>
  <c r="Y15" i="2"/>
  <c r="Y41" i="2" s="1"/>
  <c r="Z15" i="2"/>
  <c r="AA15" i="2"/>
  <c r="AB15" i="2"/>
  <c r="AC15" i="2"/>
  <c r="AD15" i="2"/>
  <c r="AE15" i="2"/>
  <c r="AE29" i="2" s="1"/>
  <c r="AF15" i="2"/>
  <c r="AG15" i="2"/>
  <c r="AH15" i="2"/>
  <c r="AH29" i="2" s="1"/>
  <c r="AI15" i="2"/>
  <c r="AJ15" i="2"/>
  <c r="AK15" i="2"/>
  <c r="AL15" i="2"/>
  <c r="AM15" i="2"/>
  <c r="AN15" i="2"/>
  <c r="AO15" i="2"/>
  <c r="AO29" i="2" s="1"/>
  <c r="AP15" i="2"/>
  <c r="AQ15" i="2"/>
  <c r="AR15" i="2"/>
  <c r="AS15" i="2"/>
  <c r="AT15" i="2"/>
  <c r="AU15" i="2"/>
  <c r="AV15" i="2"/>
  <c r="F16" i="2"/>
  <c r="G16" i="2"/>
  <c r="G30" i="2" s="1"/>
  <c r="H16" i="2"/>
  <c r="I16" i="2"/>
  <c r="J16" i="2"/>
  <c r="K16" i="2"/>
  <c r="L16" i="2"/>
  <c r="M16" i="2"/>
  <c r="N16" i="2"/>
  <c r="N30" i="2" s="1"/>
  <c r="N35" i="2" s="1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K19" i="2"/>
  <c r="L19" i="2"/>
  <c r="M19" i="2"/>
  <c r="N19" i="2"/>
  <c r="N21" i="2" s="1"/>
  <c r="N29" i="2" s="1"/>
  <c r="N34" i="2" s="1"/>
  <c r="N36" i="2" s="1"/>
  <c r="O19" i="2"/>
  <c r="P19" i="2"/>
  <c r="P21" i="2" s="1"/>
  <c r="P39" i="2" s="1"/>
  <c r="Q19" i="2"/>
  <c r="Q21" i="2" s="1"/>
  <c r="Q39" i="2" s="1"/>
  <c r="R19" i="2"/>
  <c r="S19" i="2"/>
  <c r="T19" i="2"/>
  <c r="U19" i="2"/>
  <c r="V19" i="2"/>
  <c r="V21" i="2" s="1"/>
  <c r="V26" i="2" s="1"/>
  <c r="W19" i="2"/>
  <c r="X19" i="2"/>
  <c r="Y19" i="2"/>
  <c r="Y21" i="2" s="1"/>
  <c r="Z19" i="2"/>
  <c r="AA19" i="2"/>
  <c r="AB19" i="2"/>
  <c r="AC19" i="2"/>
  <c r="AD19" i="2"/>
  <c r="AD21" i="2" s="1"/>
  <c r="AE19" i="2"/>
  <c r="AF19" i="2"/>
  <c r="AF21" i="2" s="1"/>
  <c r="AF26" i="2" s="1"/>
  <c r="AG19" i="2"/>
  <c r="AH19" i="2"/>
  <c r="AI19" i="2"/>
  <c r="AJ19" i="2"/>
  <c r="AK19" i="2"/>
  <c r="AL19" i="2"/>
  <c r="AM19" i="2"/>
  <c r="AN19" i="2"/>
  <c r="AN21" i="2" s="1"/>
  <c r="AN41" i="2" s="1"/>
  <c r="AO19" i="2"/>
  <c r="AO21" i="2" s="1"/>
  <c r="AP19" i="2"/>
  <c r="AQ19" i="2"/>
  <c r="AR19" i="2"/>
  <c r="AS19" i="2"/>
  <c r="AT19" i="2"/>
  <c r="AT21" i="2" s="1"/>
  <c r="AU19" i="2"/>
  <c r="AV19" i="2"/>
  <c r="AV21" i="2" s="1"/>
  <c r="L20" i="2"/>
  <c r="N20" i="2"/>
  <c r="O20" i="2"/>
  <c r="P20" i="2"/>
  <c r="Q20" i="2"/>
  <c r="S20" i="2"/>
  <c r="T20" i="2"/>
  <c r="V20" i="2"/>
  <c r="W20" i="2"/>
  <c r="X20" i="2"/>
  <c r="AA20" i="2"/>
  <c r="AD20" i="2"/>
  <c r="AE20" i="2"/>
  <c r="AF20" i="2"/>
  <c r="AG20" i="2"/>
  <c r="AI20" i="2"/>
  <c r="AI21" i="2" s="1"/>
  <c r="AL20" i="2"/>
  <c r="AM20" i="2"/>
  <c r="AN20" i="2"/>
  <c r="AO20" i="2"/>
  <c r="AQ20" i="2"/>
  <c r="AT20" i="2"/>
  <c r="AU20" i="2"/>
  <c r="AV20" i="2"/>
  <c r="K21" i="2"/>
  <c r="K26" i="2" s="1"/>
  <c r="O21" i="2"/>
  <c r="R21" i="2"/>
  <c r="R39" i="2" s="1"/>
  <c r="S21" i="2"/>
  <c r="W21" i="2"/>
  <c r="Z21" i="2"/>
  <c r="Z39" i="2" s="1"/>
  <c r="AA21" i="2"/>
  <c r="AE21" i="2"/>
  <c r="AL21" i="2"/>
  <c r="AM21" i="2"/>
  <c r="AP21" i="2"/>
  <c r="AP39" i="2" s="1"/>
  <c r="AQ21" i="2"/>
  <c r="AQ29" i="2" s="1"/>
  <c r="AS21" i="2"/>
  <c r="AU21" i="2"/>
  <c r="K23" i="2"/>
  <c r="K25" i="2" s="1"/>
  <c r="L23" i="2"/>
  <c r="L25" i="2" s="1"/>
  <c r="M23" i="2"/>
  <c r="M25" i="2" s="1"/>
  <c r="N23" i="2"/>
  <c r="O23" i="2"/>
  <c r="O25" i="2" s="1"/>
  <c r="P23" i="2"/>
  <c r="Q23" i="2"/>
  <c r="R23" i="2"/>
  <c r="S23" i="2"/>
  <c r="T23" i="2"/>
  <c r="U23" i="2"/>
  <c r="U25" i="2" s="1"/>
  <c r="U30" i="2" s="1"/>
  <c r="V23" i="2"/>
  <c r="W23" i="2"/>
  <c r="W25" i="2" s="1"/>
  <c r="W26" i="2" s="1"/>
  <c r="X23" i="2"/>
  <c r="X25" i="2" s="1"/>
  <c r="X30" i="2" s="1"/>
  <c r="Y23" i="2"/>
  <c r="Z23" i="2"/>
  <c r="AA23" i="2"/>
  <c r="AA25" i="2" s="1"/>
  <c r="AB23" i="2"/>
  <c r="AC23" i="2"/>
  <c r="AD23" i="2"/>
  <c r="AE23" i="2"/>
  <c r="AE25" i="2" s="1"/>
  <c r="AF23" i="2"/>
  <c r="AG23" i="2"/>
  <c r="AH23" i="2"/>
  <c r="AI23" i="2"/>
  <c r="AJ23" i="2"/>
  <c r="AK23" i="2"/>
  <c r="AL23" i="2"/>
  <c r="AM23" i="2"/>
  <c r="AN23" i="2"/>
  <c r="AN25" i="2" s="1"/>
  <c r="AO23" i="2"/>
  <c r="AP23" i="2"/>
  <c r="AQ23" i="2"/>
  <c r="AR23" i="2"/>
  <c r="AS23" i="2"/>
  <c r="AS25" i="2" s="1"/>
  <c r="AT23" i="2"/>
  <c r="AU23" i="2"/>
  <c r="AV23" i="2"/>
  <c r="N24" i="2"/>
  <c r="O24" i="2"/>
  <c r="P24" i="2"/>
  <c r="Q24" i="2"/>
  <c r="R24" i="2"/>
  <c r="S24" i="2"/>
  <c r="T24" i="2"/>
  <c r="V24" i="2"/>
  <c r="X24" i="2"/>
  <c r="Y24" i="2"/>
  <c r="Z24" i="2"/>
  <c r="AA24" i="2"/>
  <c r="AB24" i="2"/>
  <c r="AD24" i="2"/>
  <c r="AD25" i="2" s="1"/>
  <c r="AG24" i="2"/>
  <c r="AH24" i="2"/>
  <c r="AH25" i="2" s="1"/>
  <c r="AI24" i="2"/>
  <c r="AJ24" i="2"/>
  <c r="AJ25" i="2" s="1"/>
  <c r="AJ40" i="2" s="1"/>
  <c r="AL24" i="2"/>
  <c r="AO24" i="2"/>
  <c r="AP24" i="2"/>
  <c r="AP25" i="2" s="1"/>
  <c r="AQ24" i="2"/>
  <c r="AR24" i="2"/>
  <c r="AT24" i="2"/>
  <c r="AT25" i="2" s="1"/>
  <c r="AT40" i="2" s="1"/>
  <c r="N25" i="2"/>
  <c r="P25" i="2"/>
  <c r="P26" i="2" s="1"/>
  <c r="Q25" i="2"/>
  <c r="R25" i="2"/>
  <c r="R40" i="2" s="1"/>
  <c r="T25" i="2"/>
  <c r="V25" i="2"/>
  <c r="Y25" i="2"/>
  <c r="Z25" i="2"/>
  <c r="AB25" i="2"/>
  <c r="AB40" i="2" s="1"/>
  <c r="AC25" i="2"/>
  <c r="AC30" i="2" s="1"/>
  <c r="AF25" i="2"/>
  <c r="AF30" i="2" s="1"/>
  <c r="AG25" i="2"/>
  <c r="AK25" i="2"/>
  <c r="AK40" i="2" s="1"/>
  <c r="AL25" i="2"/>
  <c r="AL40" i="2" s="1"/>
  <c r="AO25" i="2"/>
  <c r="AR25" i="2"/>
  <c r="O26" i="2"/>
  <c r="Q26" i="2"/>
  <c r="Y26" i="2"/>
  <c r="Z26" i="2"/>
  <c r="AA26" i="2"/>
  <c r="AE26" i="2"/>
  <c r="AO26" i="2"/>
  <c r="E29" i="2"/>
  <c r="F29" i="2"/>
  <c r="F34" i="2" s="1"/>
  <c r="F36" i="2" s="1"/>
  <c r="G29" i="2"/>
  <c r="H29" i="2"/>
  <c r="H31" i="2" s="1"/>
  <c r="O29" i="2"/>
  <c r="P29" i="2"/>
  <c r="Q29" i="2"/>
  <c r="Q31" i="2" s="1"/>
  <c r="Y29" i="2"/>
  <c r="AC29" i="2"/>
  <c r="AC31" i="2" s="1"/>
  <c r="AK29" i="2"/>
  <c r="AL29" i="2"/>
  <c r="AM29" i="2"/>
  <c r="AT29" i="2"/>
  <c r="AU29" i="2"/>
  <c r="AV29" i="2"/>
  <c r="E30" i="2"/>
  <c r="E35" i="2" s="1"/>
  <c r="H30" i="2"/>
  <c r="I30" i="2"/>
  <c r="J30" i="2"/>
  <c r="J35" i="2" s="1"/>
  <c r="K30" i="2"/>
  <c r="L30" i="2"/>
  <c r="L35" i="2" s="1"/>
  <c r="M30" i="2"/>
  <c r="M35" i="2" s="1"/>
  <c r="P30" i="2"/>
  <c r="P31" i="2" s="1"/>
  <c r="Q30" i="2"/>
  <c r="R30" i="2"/>
  <c r="R35" i="2" s="1"/>
  <c r="Y30" i="2"/>
  <c r="Z30" i="2"/>
  <c r="AA30" i="2"/>
  <c r="AB30" i="2"/>
  <c r="AG30" i="2"/>
  <c r="AK30" i="2"/>
  <c r="AN30" i="2"/>
  <c r="E31" i="2"/>
  <c r="Y31" i="2"/>
  <c r="E34" i="2"/>
  <c r="E36" i="2" s="1"/>
  <c r="H34" i="2"/>
  <c r="H36" i="2" s="1"/>
  <c r="O34" i="2"/>
  <c r="O36" i="2" s="1"/>
  <c r="P34" i="2"/>
  <c r="P36" i="2" s="1"/>
  <c r="Q34" i="2"/>
  <c r="Q36" i="2" s="1"/>
  <c r="G35" i="2"/>
  <c r="H35" i="2"/>
  <c r="I35" i="2"/>
  <c r="K35" i="2"/>
  <c r="P35" i="2"/>
  <c r="Q35" i="2"/>
  <c r="E39" i="2"/>
  <c r="F39" i="2"/>
  <c r="G39" i="2"/>
  <c r="H39" i="2"/>
  <c r="I39" i="2"/>
  <c r="K39" i="2"/>
  <c r="O39" i="2"/>
  <c r="V39" i="2"/>
  <c r="W39" i="2"/>
  <c r="AE39" i="2"/>
  <c r="AF39" i="2"/>
  <c r="AK39" i="2"/>
  <c r="AL39" i="2"/>
  <c r="AM39" i="2"/>
  <c r="AN39" i="2"/>
  <c r="AO39" i="2"/>
  <c r="AT39" i="2"/>
  <c r="AU39" i="2"/>
  <c r="AV39" i="2"/>
  <c r="E40" i="2"/>
  <c r="G40" i="2"/>
  <c r="H40" i="2"/>
  <c r="I40" i="2"/>
  <c r="J40" i="2"/>
  <c r="K40" i="2"/>
  <c r="L40" i="2"/>
  <c r="M40" i="2"/>
  <c r="O40" i="2"/>
  <c r="P40" i="2"/>
  <c r="T40" i="2"/>
  <c r="U40" i="2"/>
  <c r="W40" i="2"/>
  <c r="X40" i="2"/>
  <c r="Y40" i="2"/>
  <c r="AA40" i="2"/>
  <c r="AC40" i="2"/>
  <c r="AE40" i="2"/>
  <c r="AF40" i="2"/>
  <c r="AG40" i="2"/>
  <c r="AH40" i="2"/>
  <c r="AN40" i="2"/>
  <c r="AO40" i="2"/>
  <c r="E41" i="2"/>
  <c r="F41" i="2"/>
  <c r="G41" i="2"/>
  <c r="H41" i="2"/>
  <c r="J41" i="2"/>
  <c r="K41" i="2"/>
  <c r="M41" i="2"/>
  <c r="N41" i="2"/>
  <c r="O41" i="2"/>
  <c r="V41" i="2"/>
  <c r="W41" i="2"/>
  <c r="AE41" i="2"/>
  <c r="AF41" i="2"/>
  <c r="AK41" i="2"/>
  <c r="AL41" i="2"/>
  <c r="AT41" i="2"/>
  <c r="K50" i="2"/>
  <c r="K45" i="2" s="1"/>
  <c r="L47" i="2"/>
  <c r="M47" i="2" s="1"/>
  <c r="N47" i="2" s="1"/>
  <c r="L45" i="2"/>
  <c r="M50" i="2"/>
  <c r="R56" i="2"/>
  <c r="R50" i="2"/>
  <c r="S50" i="2"/>
  <c r="T50" i="2" s="1"/>
  <c r="K55" i="2"/>
  <c r="K48" i="2" s="1"/>
  <c r="L55" i="2"/>
  <c r="M55" i="2"/>
  <c r="N55" i="2"/>
  <c r="O55" i="2" s="1"/>
  <c r="O54" i="2" s="1"/>
  <c r="O455" i="2" s="1"/>
  <c r="O457" i="2" s="1"/>
  <c r="L51" i="2"/>
  <c r="M56" i="2"/>
  <c r="N56" i="2" s="1"/>
  <c r="O56" i="2" s="1"/>
  <c r="P56" i="2" s="1"/>
  <c r="Q56" i="2" s="1"/>
  <c r="T56" i="2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AE56" i="2" s="1"/>
  <c r="AF56" i="2" s="1"/>
  <c r="AG56" i="2" s="1"/>
  <c r="AH56" i="2" s="1"/>
  <c r="AI56" i="2" s="1"/>
  <c r="AJ56" i="2" s="1"/>
  <c r="AK56" i="2" s="1"/>
  <c r="AL56" i="2" s="1"/>
  <c r="AM56" i="2" s="1"/>
  <c r="AN56" i="2" s="1"/>
  <c r="AO56" i="2" s="1"/>
  <c r="AP56" i="2" s="1"/>
  <c r="AQ56" i="2" s="1"/>
  <c r="AR56" i="2" s="1"/>
  <c r="AS56" i="2" s="1"/>
  <c r="AT56" i="2" s="1"/>
  <c r="AU56" i="2" s="1"/>
  <c r="AV56" i="2" s="1"/>
  <c r="K54" i="2"/>
  <c r="K455" i="2" s="1"/>
  <c r="K457" i="2" s="1"/>
  <c r="L54" i="2"/>
  <c r="L61" i="2" s="1"/>
  <c r="K63" i="2"/>
  <c r="K65" i="2" s="1"/>
  <c r="K67" i="2" s="1"/>
  <c r="K90" i="2" s="1"/>
  <c r="M71" i="2"/>
  <c r="O71" i="2"/>
  <c r="M72" i="2"/>
  <c r="O72" i="2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AE72" i="2" s="1"/>
  <c r="AF72" i="2" s="1"/>
  <c r="AG72" i="2" s="1"/>
  <c r="AH72" i="2" s="1"/>
  <c r="AI72" i="2" s="1"/>
  <c r="AJ72" i="2" s="1"/>
  <c r="AK72" i="2" s="1"/>
  <c r="AL72" i="2" s="1"/>
  <c r="AM72" i="2" s="1"/>
  <c r="AN72" i="2" s="1"/>
  <c r="AO72" i="2" s="1"/>
  <c r="AP72" i="2" s="1"/>
  <c r="AQ72" i="2" s="1"/>
  <c r="AR72" i="2" s="1"/>
  <c r="AS72" i="2" s="1"/>
  <c r="AT72" i="2" s="1"/>
  <c r="AU72" i="2" s="1"/>
  <c r="AV72" i="2" s="1"/>
  <c r="L73" i="2"/>
  <c r="M73" i="2"/>
  <c r="N73" i="2"/>
  <c r="O73" i="2"/>
  <c r="P73" i="2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AE73" i="2" s="1"/>
  <c r="AF73" i="2" s="1"/>
  <c r="AG73" i="2" s="1"/>
  <c r="AH73" i="2" s="1"/>
  <c r="AI73" i="2" s="1"/>
  <c r="AJ73" i="2" s="1"/>
  <c r="AK73" i="2" s="1"/>
  <c r="AL73" i="2" s="1"/>
  <c r="AM73" i="2" s="1"/>
  <c r="AN73" i="2" s="1"/>
  <c r="AO73" i="2" s="1"/>
  <c r="AP73" i="2" s="1"/>
  <c r="AQ73" i="2" s="1"/>
  <c r="AR73" i="2" s="1"/>
  <c r="AS73" i="2" s="1"/>
  <c r="AT73" i="2" s="1"/>
  <c r="AU73" i="2" s="1"/>
  <c r="AV73" i="2" s="1"/>
  <c r="M74" i="2"/>
  <c r="N74" i="2" s="1"/>
  <c r="O74" i="2" s="1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AE74" i="2" s="1"/>
  <c r="AF74" i="2" s="1"/>
  <c r="AG74" i="2" s="1"/>
  <c r="AH74" i="2" s="1"/>
  <c r="AI74" i="2" s="1"/>
  <c r="AJ74" i="2" s="1"/>
  <c r="AK74" i="2" s="1"/>
  <c r="AL74" i="2" s="1"/>
  <c r="AM74" i="2" s="1"/>
  <c r="AN74" i="2" s="1"/>
  <c r="AO74" i="2" s="1"/>
  <c r="AP74" i="2" s="1"/>
  <c r="AQ74" i="2" s="1"/>
  <c r="AR74" i="2" s="1"/>
  <c r="AS74" i="2" s="1"/>
  <c r="AT74" i="2" s="1"/>
  <c r="AU74" i="2" s="1"/>
  <c r="AV74" i="2" s="1"/>
  <c r="L75" i="2"/>
  <c r="L77" i="2" s="1"/>
  <c r="M84" i="2" s="1"/>
  <c r="L78" i="2"/>
  <c r="J80" i="2"/>
  <c r="J232" i="2" s="1"/>
  <c r="J81" i="2"/>
  <c r="K87" i="2" s="1"/>
  <c r="J87" i="2"/>
  <c r="J86" i="2" s="1"/>
  <c r="J238" i="2" s="1"/>
  <c r="J258" i="2" s="1"/>
  <c r="K86" i="2"/>
  <c r="L89" i="2"/>
  <c r="M89" i="2" s="1"/>
  <c r="N89" i="2" s="1"/>
  <c r="O89" i="2" s="1"/>
  <c r="P89" i="2" s="1"/>
  <c r="Q89" i="2" s="1"/>
  <c r="R89" i="2" s="1"/>
  <c r="S89" i="2" s="1"/>
  <c r="T89" i="2" s="1"/>
  <c r="U89" i="2" s="1"/>
  <c r="V89" i="2" s="1"/>
  <c r="W89" i="2" s="1"/>
  <c r="X89" i="2" s="1"/>
  <c r="Y89" i="2" s="1"/>
  <c r="Z89" i="2" s="1"/>
  <c r="AA89" i="2" s="1"/>
  <c r="AB89" i="2" s="1"/>
  <c r="AC89" i="2" s="1"/>
  <c r="AD89" i="2" s="1"/>
  <c r="AE89" i="2" s="1"/>
  <c r="AF89" i="2" s="1"/>
  <c r="AG89" i="2" s="1"/>
  <c r="AH89" i="2" s="1"/>
  <c r="AI89" i="2" s="1"/>
  <c r="AJ89" i="2" s="1"/>
  <c r="AK89" i="2" s="1"/>
  <c r="AL89" i="2" s="1"/>
  <c r="AM89" i="2" s="1"/>
  <c r="AN89" i="2" s="1"/>
  <c r="AO89" i="2" s="1"/>
  <c r="AP89" i="2" s="1"/>
  <c r="AQ89" i="2" s="1"/>
  <c r="AR89" i="2" s="1"/>
  <c r="AS89" i="2" s="1"/>
  <c r="AT89" i="2" s="1"/>
  <c r="AU89" i="2" s="1"/>
  <c r="AV89" i="2" s="1"/>
  <c r="K92" i="2"/>
  <c r="K93" i="2"/>
  <c r="F104" i="2"/>
  <c r="G104" i="2"/>
  <c r="G106" i="2" s="1"/>
  <c r="H104" i="2"/>
  <c r="I104" i="2"/>
  <c r="I106" i="2" s="1"/>
  <c r="J104" i="2"/>
  <c r="L104" i="2"/>
  <c r="M104" i="2"/>
  <c r="N104" i="2"/>
  <c r="N106" i="2" s="1"/>
  <c r="N108" i="2" s="1"/>
  <c r="O104" i="2"/>
  <c r="P104" i="2"/>
  <c r="Q104" i="2"/>
  <c r="F105" i="2"/>
  <c r="F114" i="2" s="1"/>
  <c r="G105" i="2"/>
  <c r="H105" i="2"/>
  <c r="I105" i="2"/>
  <c r="J105" i="2"/>
  <c r="L105" i="2"/>
  <c r="L106" i="2" s="1"/>
  <c r="L108" i="2" s="1"/>
  <c r="M105" i="2"/>
  <c r="M106" i="2" s="1"/>
  <c r="M108" i="2" s="1"/>
  <c r="N105" i="2"/>
  <c r="O105" i="2"/>
  <c r="E106" i="2"/>
  <c r="K106" i="2"/>
  <c r="K108" i="2" s="1"/>
  <c r="F107" i="2"/>
  <c r="G107" i="2"/>
  <c r="H107" i="2"/>
  <c r="I107" i="2"/>
  <c r="J107" i="2"/>
  <c r="L107" i="2"/>
  <c r="M107" i="2"/>
  <c r="N107" i="2"/>
  <c r="O107" i="2"/>
  <c r="P107" i="2"/>
  <c r="Q107" i="2"/>
  <c r="R107" i="2" s="1"/>
  <c r="S107" i="2" s="1"/>
  <c r="T107" i="2" s="1"/>
  <c r="U107" i="2" s="1"/>
  <c r="V107" i="2" s="1"/>
  <c r="W107" i="2" s="1"/>
  <c r="X107" i="2" s="1"/>
  <c r="Y107" i="2" s="1"/>
  <c r="Z107" i="2" s="1"/>
  <c r="AA107" i="2" s="1"/>
  <c r="AB107" i="2" s="1"/>
  <c r="AC107" i="2" s="1"/>
  <c r="AD107" i="2" s="1"/>
  <c r="AE107" i="2" s="1"/>
  <c r="AF107" i="2" s="1"/>
  <c r="AG107" i="2" s="1"/>
  <c r="AH107" i="2" s="1"/>
  <c r="AI107" i="2" s="1"/>
  <c r="AJ107" i="2" s="1"/>
  <c r="AK107" i="2" s="1"/>
  <c r="AL107" i="2" s="1"/>
  <c r="AM107" i="2" s="1"/>
  <c r="AN107" i="2" s="1"/>
  <c r="AO107" i="2" s="1"/>
  <c r="AP107" i="2" s="1"/>
  <c r="AQ107" i="2" s="1"/>
  <c r="AR107" i="2" s="1"/>
  <c r="AS107" i="2" s="1"/>
  <c r="AT107" i="2" s="1"/>
  <c r="AU107" i="2" s="1"/>
  <c r="AV107" i="2" s="1"/>
  <c r="E108" i="2"/>
  <c r="L111" i="2"/>
  <c r="M111" i="2"/>
  <c r="N111" i="2"/>
  <c r="O111" i="2"/>
  <c r="P111" i="2" s="1"/>
  <c r="L112" i="2"/>
  <c r="M112" i="2"/>
  <c r="N112" i="2" s="1"/>
  <c r="O112" i="2" s="1"/>
  <c r="P112" i="2" s="1"/>
  <c r="Q112" i="2" s="1"/>
  <c r="R112" i="2"/>
  <c r="S112" i="2" s="1"/>
  <c r="T112" i="2" s="1"/>
  <c r="U112" i="2" s="1"/>
  <c r="V112" i="2" s="1"/>
  <c r="W112" i="2" s="1"/>
  <c r="X112" i="2" s="1"/>
  <c r="Y112" i="2" s="1"/>
  <c r="Z112" i="2" s="1"/>
  <c r="AA112" i="2" s="1"/>
  <c r="AB112" i="2" s="1"/>
  <c r="AC112" i="2" s="1"/>
  <c r="AD112" i="2" s="1"/>
  <c r="AE112" i="2" s="1"/>
  <c r="AF112" i="2" s="1"/>
  <c r="AG112" i="2" s="1"/>
  <c r="AH112" i="2" s="1"/>
  <c r="AI112" i="2" s="1"/>
  <c r="AJ112" i="2" s="1"/>
  <c r="AK112" i="2" s="1"/>
  <c r="AL112" i="2" s="1"/>
  <c r="AM112" i="2" s="1"/>
  <c r="AN112" i="2" s="1"/>
  <c r="AO112" i="2" s="1"/>
  <c r="AP112" i="2" s="1"/>
  <c r="AQ112" i="2" s="1"/>
  <c r="AR112" i="2" s="1"/>
  <c r="AS112" i="2" s="1"/>
  <c r="AT112" i="2" s="1"/>
  <c r="AU112" i="2" s="1"/>
  <c r="AV112" i="2" s="1"/>
  <c r="E113" i="2"/>
  <c r="F113" i="2"/>
  <c r="G113" i="2"/>
  <c r="H113" i="2"/>
  <c r="I113" i="2"/>
  <c r="J113" i="2"/>
  <c r="K113" i="2"/>
  <c r="L113" i="2"/>
  <c r="M113" i="2"/>
  <c r="N113" i="2"/>
  <c r="E114" i="2"/>
  <c r="G114" i="2"/>
  <c r="H114" i="2"/>
  <c r="H115" i="2" s="1"/>
  <c r="I114" i="2"/>
  <c r="I115" i="2" s="1"/>
  <c r="J114" i="2"/>
  <c r="J115" i="2" s="1"/>
  <c r="E115" i="2"/>
  <c r="G115" i="2"/>
  <c r="E118" i="2"/>
  <c r="F118" i="2"/>
  <c r="G118" i="2"/>
  <c r="H118" i="2"/>
  <c r="I118" i="2"/>
  <c r="J118" i="2"/>
  <c r="E119" i="2"/>
  <c r="E120" i="2" s="1"/>
  <c r="E122" i="2" s="1"/>
  <c r="E124" i="2" s="1"/>
  <c r="E134" i="2" s="1"/>
  <c r="F119" i="2"/>
  <c r="G119" i="2"/>
  <c r="H119" i="2"/>
  <c r="I119" i="2"/>
  <c r="J119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E258" i="2"/>
  <c r="F137" i="2"/>
  <c r="F238" i="2"/>
  <c r="F258" i="2" s="1"/>
  <c r="G238" i="2"/>
  <c r="G258" i="2" s="1"/>
  <c r="H137" i="2" s="1"/>
  <c r="H238" i="2"/>
  <c r="H258" i="2" s="1"/>
  <c r="I238" i="2"/>
  <c r="I258" i="2" s="1"/>
  <c r="K239" i="2"/>
  <c r="K259" i="2" s="1"/>
  <c r="K266" i="2" s="1"/>
  <c r="K238" i="2"/>
  <c r="K258" i="2"/>
  <c r="L137" i="2" s="1"/>
  <c r="L239" i="2"/>
  <c r="L259" i="2" s="1"/>
  <c r="L238" i="2"/>
  <c r="M239" i="2"/>
  <c r="O248" i="2"/>
  <c r="R405" i="2"/>
  <c r="S405" i="2" s="1"/>
  <c r="R360" i="2"/>
  <c r="S360" i="2" s="1"/>
  <c r="T360" i="2" s="1"/>
  <c r="R414" i="2"/>
  <c r="S414" i="2" s="1"/>
  <c r="T414" i="2" s="1"/>
  <c r="U414" i="2" s="1"/>
  <c r="V414" i="2" s="1"/>
  <c r="W414" i="2" s="1"/>
  <c r="R367" i="2"/>
  <c r="AA366" i="2"/>
  <c r="AB366" i="2" s="1"/>
  <c r="AC366" i="2" s="1"/>
  <c r="AD366" i="2" s="1"/>
  <c r="AE366" i="2" s="1"/>
  <c r="AF366" i="2" s="1"/>
  <c r="AG366" i="2" s="1"/>
  <c r="AH366" i="2" s="1"/>
  <c r="AI366" i="2" s="1"/>
  <c r="AJ366" i="2" s="1"/>
  <c r="AK366" i="2" s="1"/>
  <c r="AL366" i="2" s="1"/>
  <c r="AM366" i="2" s="1"/>
  <c r="AN366" i="2" s="1"/>
  <c r="AO366" i="2" s="1"/>
  <c r="AP366" i="2" s="1"/>
  <c r="AQ366" i="2" s="1"/>
  <c r="AR366" i="2" s="1"/>
  <c r="AS366" i="2" s="1"/>
  <c r="AT366" i="2" s="1"/>
  <c r="AU366" i="2" s="1"/>
  <c r="AV366" i="2" s="1"/>
  <c r="L140" i="2"/>
  <c r="L141" i="2"/>
  <c r="M141" i="2" s="1"/>
  <c r="N141" i="2" s="1"/>
  <c r="O141" i="2"/>
  <c r="P141" i="2" s="1"/>
  <c r="Q141" i="2" s="1"/>
  <c r="R141" i="2" s="1"/>
  <c r="S141" i="2" s="1"/>
  <c r="T141" i="2"/>
  <c r="U141" i="2" s="1"/>
  <c r="V141" i="2" s="1"/>
  <c r="W141" i="2" s="1"/>
  <c r="X141" i="2" s="1"/>
  <c r="Y141" i="2" s="1"/>
  <c r="Z141" i="2" s="1"/>
  <c r="AA141" i="2" s="1"/>
  <c r="AB141" i="2" s="1"/>
  <c r="AC141" i="2" s="1"/>
  <c r="AD141" i="2" s="1"/>
  <c r="AE141" i="2" s="1"/>
  <c r="AF141" i="2" s="1"/>
  <c r="AG141" i="2" s="1"/>
  <c r="AH141" i="2" s="1"/>
  <c r="AI141" i="2" s="1"/>
  <c r="AJ141" i="2" s="1"/>
  <c r="AK141" i="2" s="1"/>
  <c r="AL141" i="2" s="1"/>
  <c r="AM141" i="2" s="1"/>
  <c r="AN141" i="2" s="1"/>
  <c r="AO141" i="2" s="1"/>
  <c r="AP141" i="2" s="1"/>
  <c r="AQ141" i="2" s="1"/>
  <c r="AR141" i="2" s="1"/>
  <c r="AS141" i="2" s="1"/>
  <c r="AT141" i="2" s="1"/>
  <c r="AU141" i="2" s="1"/>
  <c r="AV141" i="2" s="1"/>
  <c r="L142" i="2"/>
  <c r="M142" i="2" s="1"/>
  <c r="N142" i="2" s="1"/>
  <c r="O142" i="2" s="1"/>
  <c r="P142" i="2" s="1"/>
  <c r="Q142" i="2" s="1"/>
  <c r="R142" i="2" s="1"/>
  <c r="S142" i="2" s="1"/>
  <c r="T142" i="2" s="1"/>
  <c r="U142" i="2" s="1"/>
  <c r="V142" i="2" s="1"/>
  <c r="W142" i="2" s="1"/>
  <c r="X142" i="2" s="1"/>
  <c r="Y142" i="2" s="1"/>
  <c r="Z142" i="2" s="1"/>
  <c r="AA142" i="2" s="1"/>
  <c r="AB142" i="2" s="1"/>
  <c r="AC142" i="2" s="1"/>
  <c r="AD142" i="2" s="1"/>
  <c r="AE142" i="2"/>
  <c r="AF142" i="2" s="1"/>
  <c r="AG142" i="2" s="1"/>
  <c r="AH142" i="2" s="1"/>
  <c r="AI142" i="2" s="1"/>
  <c r="AJ142" i="2" s="1"/>
  <c r="AK142" i="2" s="1"/>
  <c r="AL142" i="2" s="1"/>
  <c r="AM142" i="2" s="1"/>
  <c r="AN142" i="2" s="1"/>
  <c r="AO142" i="2" s="1"/>
  <c r="AP142" i="2" s="1"/>
  <c r="AQ142" i="2" s="1"/>
  <c r="AR142" i="2" s="1"/>
  <c r="AS142" i="2" s="1"/>
  <c r="AT142" i="2" s="1"/>
  <c r="AU142" i="2" s="1"/>
  <c r="AV142" i="2" s="1"/>
  <c r="L143" i="2"/>
  <c r="M143" i="2"/>
  <c r="N143" i="2" s="1"/>
  <c r="O143" i="2" s="1"/>
  <c r="P143" i="2" s="1"/>
  <c r="Q143" i="2" s="1"/>
  <c r="R143" i="2" s="1"/>
  <c r="S143" i="2" s="1"/>
  <c r="T143" i="2" s="1"/>
  <c r="U143" i="2"/>
  <c r="V143" i="2" s="1"/>
  <c r="W143" i="2" s="1"/>
  <c r="X143" i="2" s="1"/>
  <c r="Y143" i="2" s="1"/>
  <c r="Z143" i="2" s="1"/>
  <c r="AA143" i="2" s="1"/>
  <c r="AB143" i="2" s="1"/>
  <c r="AC143" i="2" s="1"/>
  <c r="AD143" i="2" s="1"/>
  <c r="AE143" i="2" s="1"/>
  <c r="AF143" i="2" s="1"/>
  <c r="AG143" i="2" s="1"/>
  <c r="AH143" i="2" s="1"/>
  <c r="AI143" i="2" s="1"/>
  <c r="AJ143" i="2" s="1"/>
  <c r="AK143" i="2" s="1"/>
  <c r="AL143" i="2" s="1"/>
  <c r="AM143" i="2" s="1"/>
  <c r="AN143" i="2" s="1"/>
  <c r="AO143" i="2" s="1"/>
  <c r="AP143" i="2" s="1"/>
  <c r="AQ143" i="2" s="1"/>
  <c r="AR143" i="2" s="1"/>
  <c r="AS143" i="2" s="1"/>
  <c r="AT143" i="2" s="1"/>
  <c r="AU143" i="2" s="1"/>
  <c r="AV143" i="2" s="1"/>
  <c r="K144" i="2"/>
  <c r="I147" i="2"/>
  <c r="J147" i="2"/>
  <c r="I148" i="2"/>
  <c r="J148" i="2"/>
  <c r="I149" i="2"/>
  <c r="J149" i="2"/>
  <c r="I150" i="2"/>
  <c r="J150" i="2"/>
  <c r="K151" i="2"/>
  <c r="E154" i="2"/>
  <c r="E155" i="2" s="1"/>
  <c r="F154" i="2"/>
  <c r="F155" i="2" s="1"/>
  <c r="G154" i="2"/>
  <c r="G155" i="2" s="1"/>
  <c r="H154" i="2"/>
  <c r="H155" i="2" s="1"/>
  <c r="I154" i="2"/>
  <c r="I155" i="2" s="1"/>
  <c r="J154" i="2"/>
  <c r="J155" i="2" s="1"/>
  <c r="M162" i="2"/>
  <c r="N162" i="2"/>
  <c r="N164" i="2" s="1"/>
  <c r="N166" i="2" s="1"/>
  <c r="O162" i="2"/>
  <c r="V162" i="2"/>
  <c r="W162" i="2"/>
  <c r="X162" i="2"/>
  <c r="Y162" i="2" s="1"/>
  <c r="M163" i="2"/>
  <c r="N163" i="2"/>
  <c r="O163" i="2"/>
  <c r="P163" i="2" s="1"/>
  <c r="Q163" i="2" s="1"/>
  <c r="R163" i="2"/>
  <c r="S163" i="2"/>
  <c r="T163" i="2"/>
  <c r="V163" i="2"/>
  <c r="W163" i="2"/>
  <c r="X163" i="2"/>
  <c r="Y163" i="2" s="1"/>
  <c r="Z163" i="2"/>
  <c r="AA163" i="2" s="1"/>
  <c r="AB163" i="2" s="1"/>
  <c r="AC163" i="2" s="1"/>
  <c r="AD163" i="2" s="1"/>
  <c r="AE163" i="2" s="1"/>
  <c r="AF163" i="2" s="1"/>
  <c r="AG163" i="2" s="1"/>
  <c r="AH163" i="2" s="1"/>
  <c r="AI163" i="2" s="1"/>
  <c r="AJ163" i="2" s="1"/>
  <c r="AK163" i="2" s="1"/>
  <c r="AL163" i="2" s="1"/>
  <c r="AM163" i="2" s="1"/>
  <c r="AN163" i="2" s="1"/>
  <c r="AO163" i="2" s="1"/>
  <c r="AP163" i="2" s="1"/>
  <c r="AQ163" i="2" s="1"/>
  <c r="AR163" i="2" s="1"/>
  <c r="AS163" i="2" s="1"/>
  <c r="AT163" i="2" s="1"/>
  <c r="AU163" i="2" s="1"/>
  <c r="AV163" i="2" s="1"/>
  <c r="L164" i="2"/>
  <c r="M164" i="2"/>
  <c r="U164" i="2"/>
  <c r="U166" i="2" s="1"/>
  <c r="V164" i="2"/>
  <c r="W164" i="2"/>
  <c r="M165" i="2"/>
  <c r="N165" i="2"/>
  <c r="O165" i="2" s="1"/>
  <c r="V165" i="2"/>
  <c r="W165" i="2"/>
  <c r="X165" i="2" s="1"/>
  <c r="Y165" i="2" s="1"/>
  <c r="Z165" i="2" s="1"/>
  <c r="AA165" i="2" s="1"/>
  <c r="AB165" i="2" s="1"/>
  <c r="AC165" i="2" s="1"/>
  <c r="AD165" i="2" s="1"/>
  <c r="AE165" i="2" s="1"/>
  <c r="AF165" i="2" s="1"/>
  <c r="AG165" i="2" s="1"/>
  <c r="AH165" i="2" s="1"/>
  <c r="AI165" i="2" s="1"/>
  <c r="AJ165" i="2" s="1"/>
  <c r="AK165" i="2" s="1"/>
  <c r="AL165" i="2" s="1"/>
  <c r="AM165" i="2" s="1"/>
  <c r="AN165" i="2" s="1"/>
  <c r="AO165" i="2" s="1"/>
  <c r="AP165" i="2" s="1"/>
  <c r="AQ165" i="2" s="1"/>
  <c r="AR165" i="2" s="1"/>
  <c r="AS165" i="2" s="1"/>
  <c r="AT165" i="2" s="1"/>
  <c r="AU165" i="2" s="1"/>
  <c r="AV165" i="2" s="1"/>
  <c r="L166" i="2"/>
  <c r="M166" i="2"/>
  <c r="V166" i="2"/>
  <c r="W166" i="2"/>
  <c r="L169" i="2"/>
  <c r="M169" i="2"/>
  <c r="N169" i="2" s="1"/>
  <c r="O169" i="2" s="1"/>
  <c r="P169" i="2"/>
  <c r="U169" i="2"/>
  <c r="V169" i="2" s="1"/>
  <c r="W169" i="2" s="1"/>
  <c r="W171" i="2" s="1"/>
  <c r="W173" i="2" s="1"/>
  <c r="L170" i="2"/>
  <c r="L171" i="2" s="1"/>
  <c r="L173" i="2" s="1"/>
  <c r="M170" i="2"/>
  <c r="M171" i="2" s="1"/>
  <c r="M173" i="2" s="1"/>
  <c r="N170" i="2"/>
  <c r="O170" i="2" s="1"/>
  <c r="U170" i="2"/>
  <c r="U171" i="2" s="1"/>
  <c r="U173" i="2" s="1"/>
  <c r="V170" i="2"/>
  <c r="W170" i="2" s="1"/>
  <c r="X170" i="2" s="1"/>
  <c r="Y170" i="2" s="1"/>
  <c r="Z170" i="2" s="1"/>
  <c r="AA170" i="2"/>
  <c r="AB170" i="2" s="1"/>
  <c r="AC170" i="2" s="1"/>
  <c r="AD170" i="2"/>
  <c r="AE170" i="2" s="1"/>
  <c r="AF170" i="2" s="1"/>
  <c r="AG170" i="2" s="1"/>
  <c r="AH170" i="2" s="1"/>
  <c r="AI170" i="2"/>
  <c r="AJ170" i="2" s="1"/>
  <c r="AK170" i="2" s="1"/>
  <c r="AL170" i="2" s="1"/>
  <c r="AM170" i="2" s="1"/>
  <c r="AN170" i="2" s="1"/>
  <c r="AO170" i="2" s="1"/>
  <c r="AP170" i="2" s="1"/>
  <c r="AQ170" i="2" s="1"/>
  <c r="AR170" i="2" s="1"/>
  <c r="AS170" i="2" s="1"/>
  <c r="AT170" i="2"/>
  <c r="AU170" i="2" s="1"/>
  <c r="AV170" i="2" s="1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L182" i="2"/>
  <c r="E187" i="2"/>
  <c r="F187" i="2"/>
  <c r="G187" i="2"/>
  <c r="H187" i="2"/>
  <c r="I187" i="2"/>
  <c r="J187" i="2"/>
  <c r="L187" i="2"/>
  <c r="M246" i="2"/>
  <c r="M187" i="2"/>
  <c r="N244" i="2"/>
  <c r="O244" i="2"/>
  <c r="P244" i="2"/>
  <c r="Q421" i="2"/>
  <c r="Q424" i="2" s="1"/>
  <c r="Q426" i="2" s="1"/>
  <c r="Q244" i="2" s="1"/>
  <c r="R404" i="2"/>
  <c r="R413" i="2"/>
  <c r="R416" i="2" s="1"/>
  <c r="R418" i="2" s="1"/>
  <c r="E188" i="2"/>
  <c r="F188" i="2"/>
  <c r="G188" i="2"/>
  <c r="H188" i="2"/>
  <c r="I188" i="2"/>
  <c r="J188" i="2"/>
  <c r="L188" i="2"/>
  <c r="M188" i="2"/>
  <c r="N188" i="2"/>
  <c r="O188" i="2"/>
  <c r="P248" i="2"/>
  <c r="Q422" i="2"/>
  <c r="Q425" i="2" s="1"/>
  <c r="Q427" i="2" s="1"/>
  <c r="Q248" i="2" s="1"/>
  <c r="Q253" i="2"/>
  <c r="R253" i="2" s="1"/>
  <c r="S253" i="2" s="1"/>
  <c r="T253" i="2" s="1"/>
  <c r="V253" i="2"/>
  <c r="W253" i="2" s="1"/>
  <c r="X253" i="2" s="1"/>
  <c r="Z253" i="2"/>
  <c r="AA253" i="2"/>
  <c r="AB253" i="2" s="1"/>
  <c r="AC253" i="2" s="1"/>
  <c r="AD253" i="2" s="1"/>
  <c r="AE253" i="2" s="1"/>
  <c r="AF253" i="2" s="1"/>
  <c r="AG253" i="2" s="1"/>
  <c r="AH253" i="2" s="1"/>
  <c r="AI253" i="2" s="1"/>
  <c r="AJ253" i="2" s="1"/>
  <c r="AK253" i="2" s="1"/>
  <c r="AL253" i="2" s="1"/>
  <c r="AM253" i="2" s="1"/>
  <c r="AN253" i="2" s="1"/>
  <c r="AO253" i="2" s="1"/>
  <c r="AP253" i="2" s="1"/>
  <c r="AQ253" i="2" s="1"/>
  <c r="AR253" i="2" s="1"/>
  <c r="AS253" i="2" s="1"/>
  <c r="AT253" i="2" s="1"/>
  <c r="AU253" i="2" s="1"/>
  <c r="AV253" i="2" s="1"/>
  <c r="L189" i="2"/>
  <c r="M189" i="2"/>
  <c r="M202" i="2"/>
  <c r="V202" i="2"/>
  <c r="M203" i="2"/>
  <c r="N203" i="2" s="1"/>
  <c r="V203" i="2"/>
  <c r="W203" i="2" s="1"/>
  <c r="X203" i="2" s="1"/>
  <c r="Y203" i="2" s="1"/>
  <c r="Z203" i="2" s="1"/>
  <c r="AA203" i="2"/>
  <c r="AB203" i="2" s="1"/>
  <c r="AC203" i="2" s="1"/>
  <c r="AD203" i="2" s="1"/>
  <c r="AE203" i="2" s="1"/>
  <c r="AF203" i="2" s="1"/>
  <c r="AG203" i="2" s="1"/>
  <c r="AH203" i="2" s="1"/>
  <c r="AI203" i="2" s="1"/>
  <c r="AJ203" i="2" s="1"/>
  <c r="AK203" i="2" s="1"/>
  <c r="AL203" i="2" s="1"/>
  <c r="AM203" i="2" s="1"/>
  <c r="AN203" i="2" s="1"/>
  <c r="AO203" i="2" s="1"/>
  <c r="AP203" i="2" s="1"/>
  <c r="AQ203" i="2" s="1"/>
  <c r="AR203" i="2" s="1"/>
  <c r="AS203" i="2" s="1"/>
  <c r="AT203" i="2" s="1"/>
  <c r="AU203" i="2" s="1"/>
  <c r="AV203" i="2" s="1"/>
  <c r="M204" i="2"/>
  <c r="N204" i="2" s="1"/>
  <c r="R204" i="2" s="1"/>
  <c r="S204" i="2" s="1"/>
  <c r="T204" i="2" s="1"/>
  <c r="O204" i="2"/>
  <c r="P204" i="2" s="1"/>
  <c r="Q204" i="2" s="1"/>
  <c r="V204" i="2"/>
  <c r="W204" i="2" s="1"/>
  <c r="X204" i="2" s="1"/>
  <c r="Y204" i="2" s="1"/>
  <c r="Z204" i="2" s="1"/>
  <c r="AA204" i="2" s="1"/>
  <c r="AB204" i="2" s="1"/>
  <c r="AC204" i="2" s="1"/>
  <c r="AD204" i="2" s="1"/>
  <c r="AE204" i="2" s="1"/>
  <c r="AF204" i="2" s="1"/>
  <c r="AG204" i="2" s="1"/>
  <c r="AH204" i="2" s="1"/>
  <c r="AI204" i="2" s="1"/>
  <c r="AJ204" i="2" s="1"/>
  <c r="AK204" i="2" s="1"/>
  <c r="AL204" i="2" s="1"/>
  <c r="AM204" i="2" s="1"/>
  <c r="AN204" i="2" s="1"/>
  <c r="AO204" i="2" s="1"/>
  <c r="AP204" i="2" s="1"/>
  <c r="AQ204" i="2" s="1"/>
  <c r="AR204" i="2" s="1"/>
  <c r="AS204" i="2" s="1"/>
  <c r="AT204" i="2" s="1"/>
  <c r="AU204" i="2" s="1"/>
  <c r="AV204" i="2" s="1"/>
  <c r="M205" i="2"/>
  <c r="N205" i="2" s="1"/>
  <c r="V205" i="2"/>
  <c r="W205" i="2"/>
  <c r="X205" i="2"/>
  <c r="Y205" i="2" s="1"/>
  <c r="Z205" i="2" s="1"/>
  <c r="AA205" i="2" s="1"/>
  <c r="AB205" i="2" s="1"/>
  <c r="AC205" i="2" s="1"/>
  <c r="AD205" i="2" s="1"/>
  <c r="AE205" i="2" s="1"/>
  <c r="AF205" i="2" s="1"/>
  <c r="AG205" i="2" s="1"/>
  <c r="AH205" i="2" s="1"/>
  <c r="AI205" i="2" s="1"/>
  <c r="AJ205" i="2" s="1"/>
  <c r="AK205" i="2"/>
  <c r="AL205" i="2" s="1"/>
  <c r="AM205" i="2" s="1"/>
  <c r="AN205" i="2" s="1"/>
  <c r="AO205" i="2" s="1"/>
  <c r="AP205" i="2" s="1"/>
  <c r="AQ205" i="2" s="1"/>
  <c r="AR205" i="2" s="1"/>
  <c r="AS205" i="2" s="1"/>
  <c r="AT205" i="2" s="1"/>
  <c r="AU205" i="2" s="1"/>
  <c r="AV205" i="2" s="1"/>
  <c r="L206" i="2"/>
  <c r="U206" i="2"/>
  <c r="L209" i="2"/>
  <c r="L213" i="2" s="1"/>
  <c r="L210" i="2"/>
  <c r="L211" i="2"/>
  <c r="L212" i="2"/>
  <c r="L554" i="2"/>
  <c r="M554" i="2"/>
  <c r="N554" i="2"/>
  <c r="O554" i="2"/>
  <c r="P554" i="2"/>
  <c r="Q554" i="2"/>
  <c r="R554" i="2"/>
  <c r="S554" i="2"/>
  <c r="S578" i="2" s="1"/>
  <c r="T554" i="2"/>
  <c r="U554" i="2"/>
  <c r="V554" i="2"/>
  <c r="W554" i="2"/>
  <c r="X554" i="2"/>
  <c r="X559" i="2" s="1"/>
  <c r="Y554" i="2"/>
  <c r="Z554" i="2"/>
  <c r="AA554" i="2"/>
  <c r="AA578" i="2" s="1"/>
  <c r="AB554" i="2"/>
  <c r="AC554" i="2"/>
  <c r="AD554" i="2"/>
  <c r="AE554" i="2"/>
  <c r="AF554" i="2"/>
  <c r="AG554" i="2"/>
  <c r="AH554" i="2"/>
  <c r="AI554" i="2"/>
  <c r="AI559" i="2" s="1"/>
  <c r="AJ554" i="2"/>
  <c r="AK554" i="2"/>
  <c r="AL554" i="2"/>
  <c r="AM554" i="2"/>
  <c r="AN554" i="2"/>
  <c r="AN578" i="2" s="1"/>
  <c r="AO554" i="2"/>
  <c r="AP554" i="2"/>
  <c r="AQ554" i="2"/>
  <c r="AQ559" i="2" s="1"/>
  <c r="AR554" i="2"/>
  <c r="AS554" i="2"/>
  <c r="AT554" i="2"/>
  <c r="AU554" i="2"/>
  <c r="AV554" i="2"/>
  <c r="AV559" i="2" s="1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 s="1"/>
  <c r="AA224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 s="1"/>
  <c r="AA225" i="2" s="1"/>
  <c r="AB225" i="2"/>
  <c r="AC225" i="2" s="1"/>
  <c r="AD225" i="2" s="1"/>
  <c r="AE225" i="2" s="1"/>
  <c r="AF225" i="2" s="1"/>
  <c r="AG225" i="2" s="1"/>
  <c r="AH225" i="2" s="1"/>
  <c r="AI225" i="2" s="1"/>
  <c r="AJ225" i="2" s="1"/>
  <c r="AK225" i="2" s="1"/>
  <c r="AL225" i="2" s="1"/>
  <c r="AM225" i="2" s="1"/>
  <c r="AN225" i="2" s="1"/>
  <c r="AO225" i="2" s="1"/>
  <c r="AP225" i="2" s="1"/>
  <c r="AQ225" i="2" s="1"/>
  <c r="AR225" i="2" s="1"/>
  <c r="AS225" i="2" s="1"/>
  <c r="AT225" i="2" s="1"/>
  <c r="AU225" i="2" s="1"/>
  <c r="AV225" i="2" s="1"/>
  <c r="I227" i="2"/>
  <c r="J227" i="2"/>
  <c r="K227" i="2"/>
  <c r="L227" i="2"/>
  <c r="M227" i="2"/>
  <c r="N227" i="2"/>
  <c r="O227" i="2"/>
  <c r="P227" i="2"/>
  <c r="R227" i="2"/>
  <c r="S227" i="2"/>
  <c r="T227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 s="1"/>
  <c r="Z228" i="2" s="1"/>
  <c r="AA228" i="2" s="1"/>
  <c r="AB228" i="2" s="1"/>
  <c r="AC228" i="2" s="1"/>
  <c r="AD228" i="2" s="1"/>
  <c r="AE228" i="2" s="1"/>
  <c r="AF228" i="2" s="1"/>
  <c r="AG228" i="2" s="1"/>
  <c r="AH228" i="2" s="1"/>
  <c r="AI228" i="2" s="1"/>
  <c r="AJ228" i="2"/>
  <c r="AK228" i="2" s="1"/>
  <c r="AL228" i="2" s="1"/>
  <c r="AM228" i="2" s="1"/>
  <c r="AN228" i="2" s="1"/>
  <c r="AO228" i="2" s="1"/>
  <c r="AP228" i="2" s="1"/>
  <c r="AQ228" i="2" s="1"/>
  <c r="AR228" i="2" s="1"/>
  <c r="AS228" i="2" s="1"/>
  <c r="AT228" i="2" s="1"/>
  <c r="AU228" i="2" s="1"/>
  <c r="AV228" i="2" s="1"/>
  <c r="E232" i="2"/>
  <c r="F232" i="2"/>
  <c r="G232" i="2"/>
  <c r="H232" i="2"/>
  <c r="I232" i="2"/>
  <c r="F233" i="2"/>
  <c r="G233" i="2"/>
  <c r="H233" i="2"/>
  <c r="I233" i="2"/>
  <c r="J233" i="2"/>
  <c r="K233" i="2"/>
  <c r="E235" i="2"/>
  <c r="F235" i="2"/>
  <c r="G235" i="2"/>
  <c r="H235" i="2"/>
  <c r="I235" i="2"/>
  <c r="J235" i="2"/>
  <c r="K235" i="2"/>
  <c r="L235" i="2"/>
  <c r="F236" i="2"/>
  <c r="G236" i="2"/>
  <c r="H236" i="2"/>
  <c r="I236" i="2"/>
  <c r="J236" i="2"/>
  <c r="K236" i="2"/>
  <c r="F240" i="2"/>
  <c r="F260" i="2" s="1"/>
  <c r="F267" i="2" s="1"/>
  <c r="G240" i="2"/>
  <c r="G260" i="2" s="1"/>
  <c r="G267" i="2" s="1"/>
  <c r="H240" i="2"/>
  <c r="H260" i="2" s="1"/>
  <c r="I240" i="2"/>
  <c r="J240" i="2"/>
  <c r="J260" i="2" s="1"/>
  <c r="K240" i="2"/>
  <c r="K241" i="2"/>
  <c r="K261" i="2" s="1"/>
  <c r="L241" i="2"/>
  <c r="M248" i="2"/>
  <c r="M250" i="2" s="1"/>
  <c r="M287" i="2" s="1"/>
  <c r="M288" i="2" s="1"/>
  <c r="N248" i="2"/>
  <c r="E259" i="2"/>
  <c r="F259" i="2"/>
  <c r="G259" i="2"/>
  <c r="H259" i="2"/>
  <c r="I259" i="2"/>
  <c r="J259" i="2"/>
  <c r="M259" i="2"/>
  <c r="M266" i="2" s="1"/>
  <c r="E260" i="2"/>
  <c r="E262" i="2" s="1"/>
  <c r="I260" i="2"/>
  <c r="E261" i="2"/>
  <c r="E268" i="2" s="1"/>
  <c r="F261" i="2"/>
  <c r="G261" i="2"/>
  <c r="H261" i="2"/>
  <c r="I261" i="2"/>
  <c r="J261" i="2"/>
  <c r="J268" i="2" s="1"/>
  <c r="E265" i="2"/>
  <c r="E266" i="2"/>
  <c r="F266" i="2"/>
  <c r="H266" i="2"/>
  <c r="I266" i="2"/>
  <c r="E267" i="2"/>
  <c r="E269" i="2" s="1"/>
  <c r="J267" i="2"/>
  <c r="F268" i="2"/>
  <c r="G268" i="2"/>
  <c r="H268" i="2"/>
  <c r="I268" i="2"/>
  <c r="E279" i="2"/>
  <c r="F279" i="2"/>
  <c r="G279" i="2"/>
  <c r="H279" i="2"/>
  <c r="I279" i="2"/>
  <c r="J279" i="2"/>
  <c r="J281" i="2" s="1"/>
  <c r="E280" i="2"/>
  <c r="F280" i="2"/>
  <c r="G280" i="2"/>
  <c r="H280" i="2"/>
  <c r="I280" i="2"/>
  <c r="I282" i="2" s="1"/>
  <c r="J280" i="2"/>
  <c r="F284" i="2"/>
  <c r="G284" i="2"/>
  <c r="G281" i="2"/>
  <c r="H284" i="2"/>
  <c r="H281" i="2"/>
  <c r="I284" i="2"/>
  <c r="I281" i="2"/>
  <c r="J284" i="2"/>
  <c r="J285" i="2" s="1"/>
  <c r="L284" i="2"/>
  <c r="M284" i="2"/>
  <c r="M285" i="2" s="1"/>
  <c r="F287" i="2"/>
  <c r="G287" i="2"/>
  <c r="G282" i="2"/>
  <c r="H287" i="2"/>
  <c r="H282" i="2"/>
  <c r="I287" i="2"/>
  <c r="J287" i="2"/>
  <c r="L287" i="2"/>
  <c r="L288" i="2" s="1"/>
  <c r="G285" i="2"/>
  <c r="H285" i="2"/>
  <c r="I285" i="2"/>
  <c r="K285" i="2"/>
  <c r="L285" i="2"/>
  <c r="F288" i="2"/>
  <c r="G288" i="2"/>
  <c r="H288" i="2"/>
  <c r="I288" i="2"/>
  <c r="K288" i="2"/>
  <c r="N290" i="2"/>
  <c r="O291" i="2"/>
  <c r="O290" i="2" s="1"/>
  <c r="P291" i="2"/>
  <c r="P290" i="2" s="1"/>
  <c r="Q295" i="2"/>
  <c r="Q299" i="2" s="1"/>
  <c r="Q291" i="2" s="1"/>
  <c r="Q290" i="2"/>
  <c r="R295" i="2"/>
  <c r="R299" i="2" s="1"/>
  <c r="R291" i="2" s="1"/>
  <c r="R290" i="2" s="1"/>
  <c r="S295" i="2"/>
  <c r="R294" i="2"/>
  <c r="S294" i="2" s="1"/>
  <c r="T294" i="2" s="1"/>
  <c r="U294" i="2" s="1"/>
  <c r="V294" i="2" s="1"/>
  <c r="W294" i="2" s="1"/>
  <c r="X294" i="2" s="1"/>
  <c r="Y294" i="2" s="1"/>
  <c r="Z294" i="2" s="1"/>
  <c r="AA294" i="2" s="1"/>
  <c r="AB294" i="2" s="1"/>
  <c r="AC294" i="2" s="1"/>
  <c r="AD294" i="2" s="1"/>
  <c r="AE294" i="2" s="1"/>
  <c r="AF294" i="2" s="1"/>
  <c r="T295" i="2"/>
  <c r="T296" i="2"/>
  <c r="U295" i="2"/>
  <c r="U296" i="2"/>
  <c r="V295" i="2"/>
  <c r="V296" i="2"/>
  <c r="W295" i="2"/>
  <c r="W296" i="2"/>
  <c r="X295" i="2"/>
  <c r="X296" i="2"/>
  <c r="Y295" i="2"/>
  <c r="Y296" i="2"/>
  <c r="Z295" i="2"/>
  <c r="Z296" i="2"/>
  <c r="AA295" i="2"/>
  <c r="AA296" i="2"/>
  <c r="AB295" i="2"/>
  <c r="AB296" i="2"/>
  <c r="AC295" i="2"/>
  <c r="AC296" i="2"/>
  <c r="AD295" i="2"/>
  <c r="AD296" i="2"/>
  <c r="AE295" i="2"/>
  <c r="AE296" i="2"/>
  <c r="AF295" i="2"/>
  <c r="AF296" i="2"/>
  <c r="AG295" i="2"/>
  <c r="AG294" i="2"/>
  <c r="AG296" i="2"/>
  <c r="AH295" i="2"/>
  <c r="AH294" i="2"/>
  <c r="AH296" i="2"/>
  <c r="AI295" i="2"/>
  <c r="AI294" i="2"/>
  <c r="AI296" i="2"/>
  <c r="AJ295" i="2"/>
  <c r="AJ294" i="2"/>
  <c r="AJ296" i="2"/>
  <c r="AK295" i="2"/>
  <c r="AK294" i="2"/>
  <c r="AK296" i="2"/>
  <c r="AL295" i="2"/>
  <c r="AL294" i="2"/>
  <c r="AL296" i="2"/>
  <c r="AM295" i="2"/>
  <c r="AM294" i="2"/>
  <c r="AM296" i="2"/>
  <c r="AN295" i="2"/>
  <c r="AN294" i="2"/>
  <c r="AN296" i="2"/>
  <c r="AO295" i="2"/>
  <c r="AO294" i="2"/>
  <c r="AO296" i="2"/>
  <c r="AP295" i="2"/>
  <c r="AP294" i="2"/>
  <c r="AP296" i="2"/>
  <c r="AQ295" i="2"/>
  <c r="AQ294" i="2"/>
  <c r="AQ296" i="2"/>
  <c r="AR295" i="2"/>
  <c r="AR294" i="2"/>
  <c r="AR296" i="2"/>
  <c r="AS295" i="2"/>
  <c r="AS294" i="2"/>
  <c r="AS296" i="2"/>
  <c r="AT295" i="2"/>
  <c r="AT294" i="2"/>
  <c r="AT296" i="2"/>
  <c r="AU295" i="2"/>
  <c r="AU294" i="2"/>
  <c r="AU296" i="2"/>
  <c r="AV295" i="2"/>
  <c r="AV294" i="2"/>
  <c r="AV296" i="2"/>
  <c r="Q308" i="2"/>
  <c r="R308" i="2"/>
  <c r="N311" i="2"/>
  <c r="Q311" i="2"/>
  <c r="R311" i="2"/>
  <c r="Q312" i="2"/>
  <c r="R312" i="2"/>
  <c r="N313" i="2"/>
  <c r="Q313" i="2"/>
  <c r="R313" i="2"/>
  <c r="R317" i="2" s="1"/>
  <c r="N314" i="2"/>
  <c r="Q314" i="2"/>
  <c r="R314" i="2"/>
  <c r="N315" i="2"/>
  <c r="N317" i="2" s="1"/>
  <c r="Q315" i="2"/>
  <c r="R315" i="2"/>
  <c r="N316" i="2"/>
  <c r="Q316" i="2"/>
  <c r="R316" i="2"/>
  <c r="N318" i="2"/>
  <c r="Q318" i="2"/>
  <c r="R318" i="2"/>
  <c r="R319" i="2"/>
  <c r="S319" i="2"/>
  <c r="T319" i="2" s="1"/>
  <c r="U319" i="2" s="1"/>
  <c r="V319" i="2"/>
  <c r="W319" i="2" s="1"/>
  <c r="X319" i="2" s="1"/>
  <c r="Y319" i="2" s="1"/>
  <c r="Z319" i="2" s="1"/>
  <c r="AA319" i="2" s="1"/>
  <c r="AB319" i="2" s="1"/>
  <c r="AC319" i="2" s="1"/>
  <c r="AD319" i="2" s="1"/>
  <c r="AE319" i="2" s="1"/>
  <c r="AF319" i="2" s="1"/>
  <c r="AG319" i="2" s="1"/>
  <c r="AH319" i="2" s="1"/>
  <c r="AI319" i="2" s="1"/>
  <c r="AJ319" i="2" s="1"/>
  <c r="AK319" i="2" s="1"/>
  <c r="AL319" i="2" s="1"/>
  <c r="AM319" i="2" s="1"/>
  <c r="AN319" i="2" s="1"/>
  <c r="AO319" i="2" s="1"/>
  <c r="AP319" i="2" s="1"/>
  <c r="AQ319" i="2" s="1"/>
  <c r="AR319" i="2" s="1"/>
  <c r="AS319" i="2" s="1"/>
  <c r="AT319" i="2" s="1"/>
  <c r="AU319" i="2" s="1"/>
  <c r="AV319" i="2" s="1"/>
  <c r="E320" i="2"/>
  <c r="R320" i="2"/>
  <c r="R334" i="2"/>
  <c r="R328" i="2" s="1"/>
  <c r="R330" i="2" s="1"/>
  <c r="R331" i="2" s="1"/>
  <c r="S334" i="2"/>
  <c r="T334" i="2" s="1"/>
  <c r="U334" i="2" s="1"/>
  <c r="V334" i="2" s="1"/>
  <c r="W334" i="2" s="1"/>
  <c r="X334" i="2" s="1"/>
  <c r="Y334" i="2" s="1"/>
  <c r="Z334" i="2" s="1"/>
  <c r="AA334" i="2" s="1"/>
  <c r="AB334" i="2" s="1"/>
  <c r="AC334" i="2" s="1"/>
  <c r="AD334" i="2" s="1"/>
  <c r="AE334" i="2" s="1"/>
  <c r="AF334" i="2" s="1"/>
  <c r="AG334" i="2" s="1"/>
  <c r="AH334" i="2" s="1"/>
  <c r="AI334" i="2" s="1"/>
  <c r="AJ334" i="2" s="1"/>
  <c r="AK334" i="2" s="1"/>
  <c r="AL334" i="2" s="1"/>
  <c r="AM334" i="2" s="1"/>
  <c r="AN334" i="2" s="1"/>
  <c r="AO334" i="2" s="1"/>
  <c r="AP334" i="2" s="1"/>
  <c r="AQ334" i="2" s="1"/>
  <c r="AR334" i="2" s="1"/>
  <c r="AS334" i="2" s="1"/>
  <c r="AT334" i="2" s="1"/>
  <c r="AU334" i="2" s="1"/>
  <c r="AV334" i="2" s="1"/>
  <c r="R336" i="2"/>
  <c r="S336" i="2" s="1"/>
  <c r="T336" i="2" s="1"/>
  <c r="U336" i="2" s="1"/>
  <c r="V336" i="2"/>
  <c r="W336" i="2" s="1"/>
  <c r="X336" i="2"/>
  <c r="Y336" i="2" s="1"/>
  <c r="Z336" i="2" s="1"/>
  <c r="AA336" i="2"/>
  <c r="AB336" i="2" s="1"/>
  <c r="AC336" i="2" s="1"/>
  <c r="AD336" i="2"/>
  <c r="AE336" i="2" s="1"/>
  <c r="AF336" i="2" s="1"/>
  <c r="AG336" i="2" s="1"/>
  <c r="AH336" i="2" s="1"/>
  <c r="AI336" i="2" s="1"/>
  <c r="AJ336" i="2" s="1"/>
  <c r="AK336" i="2" s="1"/>
  <c r="AL336" i="2" s="1"/>
  <c r="AM336" i="2" s="1"/>
  <c r="AN336" i="2"/>
  <c r="AO336" i="2" s="1"/>
  <c r="AP336" i="2" s="1"/>
  <c r="AQ336" i="2" s="1"/>
  <c r="AR336" i="2" s="1"/>
  <c r="AS336" i="2" s="1"/>
  <c r="AT336" i="2" s="1"/>
  <c r="AU336" i="2" s="1"/>
  <c r="AV336" i="2" s="1"/>
  <c r="Q326" i="2"/>
  <c r="R326" i="2"/>
  <c r="Q328" i="2"/>
  <c r="Q330" i="2" s="1"/>
  <c r="Q331" i="2" s="1"/>
  <c r="Q335" i="2"/>
  <c r="R335" i="2"/>
  <c r="Q337" i="2"/>
  <c r="R337" i="2"/>
  <c r="R338" i="2" s="1"/>
  <c r="M338" i="2"/>
  <c r="M352" i="2" s="1"/>
  <c r="N338" i="2"/>
  <c r="Q338" i="2"/>
  <c r="O352" i="2"/>
  <c r="O344" i="2" s="1"/>
  <c r="O341" i="2"/>
  <c r="P352" i="2"/>
  <c r="Q352" i="2"/>
  <c r="Q341" i="2" s="1"/>
  <c r="R352" i="2"/>
  <c r="O342" i="2"/>
  <c r="Q342" i="2"/>
  <c r="O343" i="2"/>
  <c r="Q344" i="2"/>
  <c r="O345" i="2"/>
  <c r="Q345" i="2"/>
  <c r="O346" i="2"/>
  <c r="Q346" i="2"/>
  <c r="O347" i="2"/>
  <c r="P347" i="2"/>
  <c r="Q347" i="2"/>
  <c r="L352" i="2"/>
  <c r="N352" i="2"/>
  <c r="L353" i="2"/>
  <c r="M353" i="2"/>
  <c r="N353" i="2"/>
  <c r="O353" i="2"/>
  <c r="P353" i="2"/>
  <c r="R361" i="2"/>
  <c r="S361" i="2" s="1"/>
  <c r="T361" i="2" s="1"/>
  <c r="T362" i="2" s="1"/>
  <c r="E362" i="2"/>
  <c r="F362" i="2"/>
  <c r="G362" i="2"/>
  <c r="H362" i="2"/>
  <c r="Q362" i="2"/>
  <c r="Q378" i="2" s="1"/>
  <c r="Q363" i="2"/>
  <c r="R363" i="2"/>
  <c r="S363" i="2"/>
  <c r="T363" i="2"/>
  <c r="R368" i="2"/>
  <c r="E369" i="2"/>
  <c r="E372" i="2" s="1"/>
  <c r="F369" i="2"/>
  <c r="F372" i="2" s="1"/>
  <c r="G369" i="2"/>
  <c r="G372" i="2" s="1"/>
  <c r="H369" i="2"/>
  <c r="H372" i="2" s="1"/>
  <c r="I369" i="2"/>
  <c r="J369" i="2"/>
  <c r="K369" i="2"/>
  <c r="M369" i="2"/>
  <c r="Q369" i="2"/>
  <c r="Q372" i="2" s="1"/>
  <c r="Q393" i="2" s="1"/>
  <c r="R369" i="2"/>
  <c r="Q370" i="2"/>
  <c r="R370" i="2"/>
  <c r="U377" i="2"/>
  <c r="T378" i="2"/>
  <c r="U381" i="2"/>
  <c r="O384" i="2"/>
  <c r="O398" i="2" s="1"/>
  <c r="P384" i="2"/>
  <c r="P398" i="2" s="1"/>
  <c r="R386" i="2"/>
  <c r="S386" i="2" s="1"/>
  <c r="T386" i="2" s="1"/>
  <c r="U386" i="2" s="1"/>
  <c r="V386" i="2" s="1"/>
  <c r="W386" i="2" s="1"/>
  <c r="X386" i="2" s="1"/>
  <c r="Y386" i="2" s="1"/>
  <c r="Z386" i="2" s="1"/>
  <c r="AA386" i="2" s="1"/>
  <c r="AB386" i="2" s="1"/>
  <c r="AC386" i="2" s="1"/>
  <c r="AD386" i="2" s="1"/>
  <c r="AE386" i="2" s="1"/>
  <c r="AF386" i="2" s="1"/>
  <c r="AG386" i="2" s="1"/>
  <c r="AH386" i="2" s="1"/>
  <c r="AI386" i="2" s="1"/>
  <c r="AJ386" i="2" s="1"/>
  <c r="AK386" i="2" s="1"/>
  <c r="AL386" i="2" s="1"/>
  <c r="AM386" i="2" s="1"/>
  <c r="AN386" i="2" s="1"/>
  <c r="AO386" i="2" s="1"/>
  <c r="AP386" i="2" s="1"/>
  <c r="AQ386" i="2" s="1"/>
  <c r="AR386" i="2" s="1"/>
  <c r="AS386" i="2" s="1"/>
  <c r="AT386" i="2" s="1"/>
  <c r="AU386" i="2" s="1"/>
  <c r="AV386" i="2" s="1"/>
  <c r="V391" i="2"/>
  <c r="W391" i="2" s="1"/>
  <c r="X391" i="2" s="1"/>
  <c r="Y391" i="2" s="1"/>
  <c r="Z391" i="2" s="1"/>
  <c r="AA391" i="2" s="1"/>
  <c r="AB391" i="2" s="1"/>
  <c r="AC391" i="2" s="1"/>
  <c r="AD391" i="2" s="1"/>
  <c r="AE391" i="2" s="1"/>
  <c r="AF391" i="2" s="1"/>
  <c r="AG391" i="2" s="1"/>
  <c r="AH391" i="2" s="1"/>
  <c r="AI391" i="2" s="1"/>
  <c r="AJ391" i="2" s="1"/>
  <c r="AK391" i="2" s="1"/>
  <c r="AL391" i="2" s="1"/>
  <c r="AM391" i="2" s="1"/>
  <c r="AN391" i="2" s="1"/>
  <c r="AO391" i="2" s="1"/>
  <c r="AP391" i="2" s="1"/>
  <c r="AQ391" i="2" s="1"/>
  <c r="AR391" i="2" s="1"/>
  <c r="AS391" i="2" s="1"/>
  <c r="AT391" i="2" s="1"/>
  <c r="AU391" i="2" s="1"/>
  <c r="AV391" i="2" s="1"/>
  <c r="V392" i="2"/>
  <c r="W392" i="2" s="1"/>
  <c r="X392" i="2" s="1"/>
  <c r="Y392" i="2" s="1"/>
  <c r="Z392" i="2" s="1"/>
  <c r="AA392" i="2" s="1"/>
  <c r="AB392" i="2" s="1"/>
  <c r="AC392" i="2" s="1"/>
  <c r="AD392" i="2" s="1"/>
  <c r="AE392" i="2" s="1"/>
  <c r="AF392" i="2" s="1"/>
  <c r="AG392" i="2"/>
  <c r="AH392" i="2" s="1"/>
  <c r="AI392" i="2" s="1"/>
  <c r="AJ392" i="2" s="1"/>
  <c r="AK392" i="2" s="1"/>
  <c r="AL392" i="2" s="1"/>
  <c r="AM392" i="2" s="1"/>
  <c r="AN392" i="2" s="1"/>
  <c r="AO392" i="2" s="1"/>
  <c r="AP392" i="2" s="1"/>
  <c r="AQ392" i="2" s="1"/>
  <c r="AR392" i="2" s="1"/>
  <c r="AS392" i="2" s="1"/>
  <c r="AT392" i="2" s="1"/>
  <c r="AU392" i="2" s="1"/>
  <c r="AV392" i="2" s="1"/>
  <c r="U393" i="2"/>
  <c r="V393" i="2" s="1"/>
  <c r="W393" i="2" s="1"/>
  <c r="X393" i="2" s="1"/>
  <c r="Y393" i="2" s="1"/>
  <c r="Z393" i="2" s="1"/>
  <c r="AA393" i="2" s="1"/>
  <c r="AB393" i="2" s="1"/>
  <c r="AC393" i="2" s="1"/>
  <c r="AD393" i="2" s="1"/>
  <c r="AE393" i="2" s="1"/>
  <c r="AF393" i="2" s="1"/>
  <c r="AG393" i="2" s="1"/>
  <c r="AH393" i="2" s="1"/>
  <c r="AI393" i="2" s="1"/>
  <c r="AJ393" i="2" s="1"/>
  <c r="AK393" i="2" s="1"/>
  <c r="AL393" i="2" s="1"/>
  <c r="AM393" i="2" s="1"/>
  <c r="AN393" i="2" s="1"/>
  <c r="AO393" i="2" s="1"/>
  <c r="AP393" i="2" s="1"/>
  <c r="AQ393" i="2" s="1"/>
  <c r="AR393" i="2" s="1"/>
  <c r="AS393" i="2" s="1"/>
  <c r="AT393" i="2" s="1"/>
  <c r="AU393" i="2" s="1"/>
  <c r="AV393" i="2" s="1"/>
  <c r="U394" i="2"/>
  <c r="V394" i="2" s="1"/>
  <c r="W394" i="2" s="1"/>
  <c r="X394" i="2" s="1"/>
  <c r="Y394" i="2" s="1"/>
  <c r="Z394" i="2" s="1"/>
  <c r="AA394" i="2" s="1"/>
  <c r="AB394" i="2" s="1"/>
  <c r="AC394" i="2" s="1"/>
  <c r="AD394" i="2" s="1"/>
  <c r="AE394" i="2" s="1"/>
  <c r="AF394" i="2" s="1"/>
  <c r="AG394" i="2" s="1"/>
  <c r="AH394" i="2" s="1"/>
  <c r="AI394" i="2" s="1"/>
  <c r="AJ394" i="2" s="1"/>
  <c r="AK394" i="2" s="1"/>
  <c r="AL394" i="2" s="1"/>
  <c r="AM394" i="2" s="1"/>
  <c r="AN394" i="2" s="1"/>
  <c r="AO394" i="2" s="1"/>
  <c r="AP394" i="2" s="1"/>
  <c r="AQ394" i="2" s="1"/>
  <c r="AR394" i="2" s="1"/>
  <c r="AS394" i="2" s="1"/>
  <c r="AT394" i="2" s="1"/>
  <c r="AU394" i="2" s="1"/>
  <c r="AV394" i="2" s="1"/>
  <c r="Q407" i="2"/>
  <c r="Q409" i="2" s="1"/>
  <c r="R407" i="2"/>
  <c r="R409" i="2" s="1"/>
  <c r="Q408" i="2"/>
  <c r="R408" i="2"/>
  <c r="Q410" i="2"/>
  <c r="R410" i="2"/>
  <c r="Q416" i="2"/>
  <c r="Q418" i="2" s="1"/>
  <c r="Q417" i="2"/>
  <c r="Q419" i="2" s="1"/>
  <c r="R417" i="2"/>
  <c r="R419" i="2" s="1"/>
  <c r="H428" i="2"/>
  <c r="J433" i="2"/>
  <c r="J435" i="2"/>
  <c r="J438" i="2" s="1"/>
  <c r="E437" i="2"/>
  <c r="F437" i="2"/>
  <c r="G437" i="2"/>
  <c r="H437" i="2"/>
  <c r="I437" i="2"/>
  <c r="E438" i="2"/>
  <c r="F438" i="2"/>
  <c r="G438" i="2"/>
  <c r="H438" i="2"/>
  <c r="I438" i="2"/>
  <c r="B441" i="2"/>
  <c r="B443" i="2" s="1"/>
  <c r="E441" i="2"/>
  <c r="F441" i="2"/>
  <c r="F445" i="2" s="1"/>
  <c r="G441" i="2"/>
  <c r="G443" i="2" s="1"/>
  <c r="G446" i="2" s="1"/>
  <c r="H441" i="2"/>
  <c r="H445" i="2" s="1"/>
  <c r="I441" i="2"/>
  <c r="I445" i="2" s="1"/>
  <c r="J441" i="2"/>
  <c r="J443" i="2" s="1"/>
  <c r="J446" i="2" s="1"/>
  <c r="E443" i="2"/>
  <c r="E446" i="2" s="1"/>
  <c r="F443" i="2"/>
  <c r="F446" i="2" s="1"/>
  <c r="E445" i="2"/>
  <c r="E451" i="2"/>
  <c r="F451" i="2"/>
  <c r="G451" i="2"/>
  <c r="H451" i="2"/>
  <c r="I455" i="2"/>
  <c r="I457" i="2" s="1"/>
  <c r="J455" i="2"/>
  <c r="E457" i="2"/>
  <c r="F457" i="2"/>
  <c r="G457" i="2"/>
  <c r="H457" i="2"/>
  <c r="J457" i="2"/>
  <c r="A469" i="2"/>
  <c r="K472" i="2"/>
  <c r="L472" i="2"/>
  <c r="M472" i="2"/>
  <c r="N472" i="2"/>
  <c r="O472" i="2"/>
  <c r="P472" i="2"/>
  <c r="Q472" i="2"/>
  <c r="R472" i="2"/>
  <c r="R473" i="2" s="1"/>
  <c r="N473" i="2"/>
  <c r="P473" i="2"/>
  <c r="Q473" i="2"/>
  <c r="L476" i="2"/>
  <c r="L511" i="2" s="1"/>
  <c r="M476" i="2"/>
  <c r="M477" i="2" s="1"/>
  <c r="N476" i="2"/>
  <c r="N477" i="2" s="1"/>
  <c r="O476" i="2"/>
  <c r="O477" i="2" s="1"/>
  <c r="P476" i="2"/>
  <c r="E490" i="2"/>
  <c r="F490" i="2"/>
  <c r="G490" i="2"/>
  <c r="H490" i="2"/>
  <c r="I490" i="2"/>
  <c r="J490" i="2"/>
  <c r="L490" i="2"/>
  <c r="M490" i="2"/>
  <c r="N490" i="2"/>
  <c r="O490" i="2"/>
  <c r="O491" i="2" s="1"/>
  <c r="P490" i="2"/>
  <c r="P491" i="2" s="1"/>
  <c r="R490" i="2"/>
  <c r="R491" i="2" s="1"/>
  <c r="E491" i="2"/>
  <c r="F491" i="2"/>
  <c r="G491" i="2"/>
  <c r="H491" i="2"/>
  <c r="I491" i="2"/>
  <c r="J491" i="2"/>
  <c r="K491" i="2"/>
  <c r="L491" i="2"/>
  <c r="M491" i="2"/>
  <c r="N491" i="2"/>
  <c r="N494" i="2"/>
  <c r="N495" i="2"/>
  <c r="G498" i="2"/>
  <c r="G502" i="2" s="1"/>
  <c r="H498" i="2"/>
  <c r="K498" i="2"/>
  <c r="L499" i="2"/>
  <c r="M499" i="2"/>
  <c r="M523" i="2" s="1"/>
  <c r="N499" i="2"/>
  <c r="N523" i="2" s="1"/>
  <c r="M500" i="2"/>
  <c r="E502" i="2"/>
  <c r="F502" i="2"/>
  <c r="H502" i="2"/>
  <c r="E504" i="2"/>
  <c r="F504" i="2"/>
  <c r="G504" i="2"/>
  <c r="H504" i="2"/>
  <c r="I504" i="2"/>
  <c r="I505" i="2" s="1"/>
  <c r="I525" i="2" s="1"/>
  <c r="J504" i="2"/>
  <c r="J505" i="2" s="1"/>
  <c r="J525" i="2" s="1"/>
  <c r="K504" i="2"/>
  <c r="K505" i="2" s="1"/>
  <c r="K506" i="2" s="1"/>
  <c r="E505" i="2"/>
  <c r="F505" i="2"/>
  <c r="F506" i="2" s="1"/>
  <c r="G505" i="2"/>
  <c r="G506" i="2" s="1"/>
  <c r="H505" i="2"/>
  <c r="H506" i="2" s="1"/>
  <c r="E506" i="2"/>
  <c r="J506" i="2"/>
  <c r="I511" i="2"/>
  <c r="J511" i="2"/>
  <c r="K511" i="2"/>
  <c r="H517" i="2"/>
  <c r="H518" i="2" s="1"/>
  <c r="H520" i="2" s="1"/>
  <c r="I517" i="2"/>
  <c r="J517" i="2"/>
  <c r="K517" i="2"/>
  <c r="J518" i="2"/>
  <c r="K518" i="2"/>
  <c r="K520" i="2" s="1"/>
  <c r="H519" i="2"/>
  <c r="I519" i="2"/>
  <c r="J519" i="2"/>
  <c r="J520" i="2" s="1"/>
  <c r="J535" i="2" s="1"/>
  <c r="K519" i="2"/>
  <c r="I521" i="2"/>
  <c r="J521" i="2"/>
  <c r="K521" i="2"/>
  <c r="M521" i="2"/>
  <c r="N521" i="2" s="1"/>
  <c r="L523" i="2"/>
  <c r="I524" i="2"/>
  <c r="J524" i="2"/>
  <c r="K524" i="2"/>
  <c r="L524" i="2"/>
  <c r="M524" i="2"/>
  <c r="N524" i="2"/>
  <c r="O524" i="2"/>
  <c r="P524" i="2"/>
  <c r="K525" i="2"/>
  <c r="P526" i="2"/>
  <c r="E527" i="2"/>
  <c r="F527" i="2"/>
  <c r="G527" i="2"/>
  <c r="E528" i="2"/>
  <c r="F528" i="2"/>
  <c r="F546" i="2" s="1"/>
  <c r="G528" i="2"/>
  <c r="G546" i="2" s="1"/>
  <c r="H528" i="2"/>
  <c r="I528" i="2"/>
  <c r="J528" i="2"/>
  <c r="K528" i="2"/>
  <c r="K546" i="2" s="1"/>
  <c r="K577" i="2"/>
  <c r="K554" i="2"/>
  <c r="K578" i="2"/>
  <c r="K580" i="2" s="1"/>
  <c r="L578" i="2"/>
  <c r="L584" i="2"/>
  <c r="L585" i="2"/>
  <c r="L587" i="2"/>
  <c r="L588" i="2" s="1"/>
  <c r="M584" i="2" s="1"/>
  <c r="M578" i="2"/>
  <c r="M585" i="2"/>
  <c r="N578" i="2"/>
  <c r="N585" i="2"/>
  <c r="O578" i="2"/>
  <c r="O556" i="2"/>
  <c r="O585" i="2" s="1"/>
  <c r="O557" i="2"/>
  <c r="P578" i="2"/>
  <c r="P556" i="2"/>
  <c r="P585" i="2" s="1"/>
  <c r="P557" i="2"/>
  <c r="Q578" i="2"/>
  <c r="Q556" i="2"/>
  <c r="Q557" i="2"/>
  <c r="R578" i="2"/>
  <c r="R556" i="2"/>
  <c r="R557" i="2"/>
  <c r="S556" i="2"/>
  <c r="S585" i="2" s="1"/>
  <c r="S557" i="2"/>
  <c r="T578" i="2"/>
  <c r="T556" i="2"/>
  <c r="T585" i="2" s="1"/>
  <c r="T557" i="2"/>
  <c r="U578" i="2"/>
  <c r="U556" i="2"/>
  <c r="U585" i="2" s="1"/>
  <c r="U557" i="2"/>
  <c r="V578" i="2"/>
  <c r="V556" i="2"/>
  <c r="V557" i="2"/>
  <c r="W578" i="2"/>
  <c r="W556" i="2"/>
  <c r="W585" i="2" s="1"/>
  <c r="W557" i="2"/>
  <c r="X578" i="2"/>
  <c r="X556" i="2"/>
  <c r="X585" i="2" s="1"/>
  <c r="X557" i="2"/>
  <c r="Y578" i="2"/>
  <c r="Y556" i="2"/>
  <c r="Y557" i="2"/>
  <c r="Z578" i="2"/>
  <c r="Z556" i="2"/>
  <c r="Z557" i="2"/>
  <c r="AA556" i="2"/>
  <c r="AA585" i="2" s="1"/>
  <c r="AA557" i="2"/>
  <c r="AB578" i="2"/>
  <c r="AB556" i="2"/>
  <c r="AB585" i="2" s="1"/>
  <c r="AB557" i="2"/>
  <c r="AC578" i="2"/>
  <c r="AC556" i="2"/>
  <c r="AC559" i="2" s="1"/>
  <c r="AC557" i="2"/>
  <c r="AD578" i="2"/>
  <c r="AD556" i="2"/>
  <c r="AD557" i="2"/>
  <c r="AE578" i="2"/>
  <c r="AE556" i="2"/>
  <c r="AE585" i="2" s="1"/>
  <c r="AE557" i="2"/>
  <c r="AF578" i="2"/>
  <c r="AF556" i="2"/>
  <c r="AF585" i="2" s="1"/>
  <c r="AF557" i="2"/>
  <c r="AG578" i="2"/>
  <c r="AG556" i="2"/>
  <c r="AG557" i="2"/>
  <c r="AG585" i="2" s="1"/>
  <c r="AH578" i="2"/>
  <c r="AH556" i="2"/>
  <c r="AH585" i="2" s="1"/>
  <c r="AH557" i="2"/>
  <c r="AI556" i="2"/>
  <c r="AI557" i="2"/>
  <c r="AI585" i="2"/>
  <c r="AJ578" i="2"/>
  <c r="AJ556" i="2"/>
  <c r="AJ557" i="2"/>
  <c r="AK578" i="2"/>
  <c r="AK556" i="2"/>
  <c r="AK557" i="2"/>
  <c r="AK585" i="2"/>
  <c r="AL578" i="2"/>
  <c r="AL556" i="2"/>
  <c r="AL585" i="2" s="1"/>
  <c r="AL557" i="2"/>
  <c r="AM578" i="2"/>
  <c r="AM556" i="2"/>
  <c r="AM557" i="2"/>
  <c r="AN556" i="2"/>
  <c r="AN557" i="2"/>
  <c r="AO578" i="2"/>
  <c r="AO556" i="2"/>
  <c r="AO557" i="2"/>
  <c r="AP578" i="2"/>
  <c r="AP556" i="2"/>
  <c r="AP585" i="2" s="1"/>
  <c r="AP557" i="2"/>
  <c r="AQ556" i="2"/>
  <c r="AQ585" i="2" s="1"/>
  <c r="AQ557" i="2"/>
  <c r="AR578" i="2"/>
  <c r="AR556" i="2"/>
  <c r="AR585" i="2" s="1"/>
  <c r="AR557" i="2"/>
  <c r="AS578" i="2"/>
  <c r="AS556" i="2"/>
  <c r="AS559" i="2" s="1"/>
  <c r="AS557" i="2"/>
  <c r="AT578" i="2"/>
  <c r="AT556" i="2"/>
  <c r="AT585" i="2" s="1"/>
  <c r="AT557" i="2"/>
  <c r="AU578" i="2"/>
  <c r="AU556" i="2"/>
  <c r="AU557" i="2"/>
  <c r="AV556" i="2"/>
  <c r="AV557" i="2"/>
  <c r="E530" i="2"/>
  <c r="E533" i="2" s="1"/>
  <c r="E537" i="2" s="1"/>
  <c r="E545" i="2" s="1"/>
  <c r="E547" i="2" s="1"/>
  <c r="E549" i="2" s="1"/>
  <c r="F530" i="2"/>
  <c r="F533" i="2" s="1"/>
  <c r="F537" i="2" s="1"/>
  <c r="F545" i="2" s="1"/>
  <c r="F547" i="2" s="1"/>
  <c r="F549" i="2" s="1"/>
  <c r="E535" i="2"/>
  <c r="F535" i="2"/>
  <c r="G535" i="2"/>
  <c r="K535" i="2"/>
  <c r="E536" i="2"/>
  <c r="F536" i="2"/>
  <c r="G536" i="2"/>
  <c r="H536" i="2"/>
  <c r="J536" i="2"/>
  <c r="E98" i="107" s="1"/>
  <c r="K536" i="2"/>
  <c r="L536" i="2"/>
  <c r="M536" i="2"/>
  <c r="F98" i="107" s="1"/>
  <c r="N536" i="2"/>
  <c r="O536" i="2"/>
  <c r="P536" i="2"/>
  <c r="Q536" i="2"/>
  <c r="R536" i="2"/>
  <c r="S536" i="2"/>
  <c r="T536" i="2"/>
  <c r="U536" i="2"/>
  <c r="H98" i="107" s="1"/>
  <c r="V536" i="2"/>
  <c r="W536" i="2"/>
  <c r="X536" i="2"/>
  <c r="Y536" i="2"/>
  <c r="Z536" i="2"/>
  <c r="AA536" i="2"/>
  <c r="AB536" i="2"/>
  <c r="AC536" i="2"/>
  <c r="J98" i="107" s="1"/>
  <c r="AD536" i="2"/>
  <c r="AE536" i="2"/>
  <c r="AF536" i="2"/>
  <c r="AG536" i="2"/>
  <c r="AH536" i="2"/>
  <c r="AI536" i="2"/>
  <c r="AJ536" i="2"/>
  <c r="AK536" i="2"/>
  <c r="L98" i="107" s="1"/>
  <c r="AL536" i="2"/>
  <c r="AM536" i="2"/>
  <c r="AN536" i="2"/>
  <c r="AO536" i="2"/>
  <c r="AP536" i="2"/>
  <c r="AQ536" i="2"/>
  <c r="AR536" i="2"/>
  <c r="AS536" i="2"/>
  <c r="N98" i="107" s="1"/>
  <c r="AT536" i="2"/>
  <c r="AU536" i="2"/>
  <c r="AV536" i="2"/>
  <c r="E541" i="2"/>
  <c r="F541" i="2"/>
  <c r="G541" i="2"/>
  <c r="I545" i="2"/>
  <c r="E546" i="2"/>
  <c r="I546" i="2"/>
  <c r="J546" i="2"/>
  <c r="I548" i="2"/>
  <c r="J548" i="2" s="1"/>
  <c r="H549" i="2"/>
  <c r="J554" i="2"/>
  <c r="Q555" i="2"/>
  <c r="R555" i="2"/>
  <c r="R559" i="2" s="1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U559" i="2"/>
  <c r="W559" i="2"/>
  <c r="Y559" i="2"/>
  <c r="Z559" i="2"/>
  <c r="AD559" i="2"/>
  <c r="AF559" i="2"/>
  <c r="AG559" i="2"/>
  <c r="AK559" i="2"/>
  <c r="AL559" i="2"/>
  <c r="AM559" i="2"/>
  <c r="AO559" i="2"/>
  <c r="AP559" i="2"/>
  <c r="AT559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AB564" i="2"/>
  <c r="AC564" i="2"/>
  <c r="AD564" i="2"/>
  <c r="AE564" i="2"/>
  <c r="AF564" i="2"/>
  <c r="AG564" i="2"/>
  <c r="AH564" i="2"/>
  <c r="AI564" i="2"/>
  <c r="AJ564" i="2"/>
  <c r="AK564" i="2"/>
  <c r="AL564" i="2"/>
  <c r="AM564" i="2"/>
  <c r="AN564" i="2"/>
  <c r="AO564" i="2"/>
  <c r="AP564" i="2"/>
  <c r="AQ564" i="2"/>
  <c r="AR564" i="2"/>
  <c r="AS564" i="2"/>
  <c r="AT564" i="2"/>
  <c r="AU564" i="2"/>
  <c r="AV564" i="2"/>
  <c r="K568" i="2"/>
  <c r="E578" i="2"/>
  <c r="E581" i="2"/>
  <c r="F577" i="2" s="1"/>
  <c r="F578" i="2"/>
  <c r="G578" i="2"/>
  <c r="H578" i="2"/>
  <c r="I578" i="2"/>
  <c r="J578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AB579" i="2"/>
  <c r="AC579" i="2"/>
  <c r="AD579" i="2"/>
  <c r="AE579" i="2"/>
  <c r="AF579" i="2"/>
  <c r="AG579" i="2"/>
  <c r="AH579" i="2"/>
  <c r="AI579" i="2"/>
  <c r="AJ579" i="2"/>
  <c r="AK579" i="2"/>
  <c r="AL579" i="2"/>
  <c r="AM579" i="2"/>
  <c r="AN579" i="2"/>
  <c r="AO579" i="2"/>
  <c r="AP579" i="2"/>
  <c r="AQ579" i="2"/>
  <c r="AR579" i="2"/>
  <c r="AS579" i="2"/>
  <c r="AT579" i="2"/>
  <c r="AU579" i="2"/>
  <c r="AV579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AB586" i="2"/>
  <c r="AC586" i="2"/>
  <c r="AD586" i="2"/>
  <c r="AE586" i="2"/>
  <c r="AF586" i="2"/>
  <c r="AG586" i="2"/>
  <c r="AH586" i="2"/>
  <c r="AI586" i="2"/>
  <c r="AJ586" i="2"/>
  <c r="AK586" i="2"/>
  <c r="AL586" i="2"/>
  <c r="AM586" i="2"/>
  <c r="AN586" i="2"/>
  <c r="AO586" i="2"/>
  <c r="AP586" i="2"/>
  <c r="AQ586" i="2"/>
  <c r="AR586" i="2"/>
  <c r="AS586" i="2"/>
  <c r="AT586" i="2"/>
  <c r="AU586" i="2"/>
  <c r="AV586" i="2"/>
  <c r="E3" i="63"/>
  <c r="H3" i="63" s="1"/>
  <c r="G5" i="63"/>
  <c r="H5" i="63"/>
  <c r="G3" i="65"/>
  <c r="H3" i="65" s="1"/>
  <c r="P3" i="65"/>
  <c r="Q3" i="65"/>
  <c r="R3" i="65" s="1"/>
  <c r="S3" i="65" s="1"/>
  <c r="O6" i="65"/>
  <c r="N9" i="65"/>
  <c r="E11" i="65"/>
  <c r="F11" i="65"/>
  <c r="G11" i="65"/>
  <c r="H11" i="65"/>
  <c r="N17" i="65"/>
  <c r="N14" i="65"/>
  <c r="O39" i="65"/>
  <c r="V132" i="65"/>
  <c r="W132" i="65"/>
  <c r="U133" i="65"/>
  <c r="V133" i="65"/>
  <c r="W133" i="65"/>
  <c r="U134" i="65"/>
  <c r="V134" i="65"/>
  <c r="W134" i="65"/>
  <c r="V141" i="65"/>
  <c r="W141" i="65"/>
  <c r="U142" i="65"/>
  <c r="V142" i="65"/>
  <c r="W142" i="65"/>
  <c r="U143" i="65"/>
  <c r="V143" i="65"/>
  <c r="W143" i="65"/>
  <c r="L455" i="2" l="1"/>
  <c r="L457" i="2" s="1"/>
  <c r="K119" i="2"/>
  <c r="J106" i="2"/>
  <c r="J108" i="2" s="1"/>
  <c r="L48" i="2"/>
  <c r="G445" i="2"/>
  <c r="I120" i="2"/>
  <c r="I122" i="2" s="1"/>
  <c r="I124" i="2" s="1"/>
  <c r="I134" i="2" s="1"/>
  <c r="K118" i="2"/>
  <c r="K120" i="2" s="1"/>
  <c r="K122" i="2" s="1"/>
  <c r="K126" i="2" s="1"/>
  <c r="K486" i="2" s="1"/>
  <c r="K509" i="2" s="1"/>
  <c r="H120" i="2"/>
  <c r="H122" i="2" s="1"/>
  <c r="H124" i="2" s="1"/>
  <c r="H134" i="2" s="1"/>
  <c r="G120" i="2"/>
  <c r="G122" i="2" s="1"/>
  <c r="G124" i="2" s="1"/>
  <c r="G134" i="2" s="1"/>
  <c r="I108" i="2"/>
  <c r="F120" i="2"/>
  <c r="F122" i="2" s="1"/>
  <c r="F124" i="2" s="1"/>
  <c r="F134" i="2" s="1"/>
  <c r="H106" i="2"/>
  <c r="L62" i="2"/>
  <c r="P55" i="2"/>
  <c r="Q55" i="2" s="1"/>
  <c r="J137" i="2"/>
  <c r="I262" i="2"/>
  <c r="I265" i="2"/>
  <c r="T51" i="2"/>
  <c r="U50" i="2"/>
  <c r="V50" i="2" s="1"/>
  <c r="I137" i="2"/>
  <c r="H265" i="2"/>
  <c r="K137" i="2"/>
  <c r="J265" i="2"/>
  <c r="L92" i="2"/>
  <c r="L93" i="2" s="1"/>
  <c r="K441" i="2"/>
  <c r="K280" i="2"/>
  <c r="K282" i="2" s="1"/>
  <c r="F265" i="2"/>
  <c r="F269" i="2" s="1"/>
  <c r="F262" i="2"/>
  <c r="G137" i="2"/>
  <c r="L236" i="2"/>
  <c r="L216" i="2"/>
  <c r="N54" i="2"/>
  <c r="N455" i="2" s="1"/>
  <c r="N457" i="2" s="1"/>
  <c r="M48" i="2"/>
  <c r="K265" i="2"/>
  <c r="K433" i="2"/>
  <c r="K437" i="2" s="1"/>
  <c r="L177" i="2"/>
  <c r="M54" i="2"/>
  <c r="M455" i="2" s="1"/>
  <c r="M457" i="2" s="1"/>
  <c r="S51" i="2"/>
  <c r="L217" i="2"/>
  <c r="L240" i="2"/>
  <c r="L260" i="2" s="1"/>
  <c r="I449" i="2"/>
  <c r="I451" i="2" s="1"/>
  <c r="G265" i="2"/>
  <c r="I151" i="2"/>
  <c r="I498" i="2" s="1"/>
  <c r="K80" i="2"/>
  <c r="M61" i="2"/>
  <c r="L261" i="2"/>
  <c r="L268" i="2" s="1"/>
  <c r="I443" i="2"/>
  <c r="I446" i="2" s="1"/>
  <c r="L266" i="2"/>
  <c r="J151" i="2"/>
  <c r="J498" i="2" s="1"/>
  <c r="J502" i="2" s="1"/>
  <c r="F115" i="2"/>
  <c r="I267" i="2"/>
  <c r="K232" i="2"/>
  <c r="G108" i="2"/>
  <c r="L178" i="2"/>
  <c r="L179" i="2" s="1"/>
  <c r="L181" i="2" s="1"/>
  <c r="L183" i="2" s="1"/>
  <c r="L196" i="2" s="1"/>
  <c r="M241" i="2"/>
  <c r="M261" i="2" s="1"/>
  <c r="M268" i="2" s="1"/>
  <c r="L258" i="2"/>
  <c r="J120" i="2"/>
  <c r="J122" i="2" s="1"/>
  <c r="J124" i="2" s="1"/>
  <c r="J134" i="2" s="1"/>
  <c r="K114" i="2"/>
  <c r="H108" i="2"/>
  <c r="I547" i="2"/>
  <c r="G530" i="2"/>
  <c r="G533" i="2" s="1"/>
  <c r="G537" i="2" s="1"/>
  <c r="G545" i="2" s="1"/>
  <c r="G547" i="2" s="1"/>
  <c r="G549" i="2" s="1"/>
  <c r="T559" i="2"/>
  <c r="AV585" i="2"/>
  <c r="AQ578" i="2"/>
  <c r="AN585" i="2"/>
  <c r="Y585" i="2"/>
  <c r="Q585" i="2"/>
  <c r="AN559" i="2"/>
  <c r="L117" i="107" s="1"/>
  <c r="AB559" i="2"/>
  <c r="S559" i="2"/>
  <c r="AV578" i="2"/>
  <c r="AD585" i="2"/>
  <c r="V585" i="2"/>
  <c r="N122" i="107"/>
  <c r="J122" i="107"/>
  <c r="H122" i="107"/>
  <c r="F122" i="107"/>
  <c r="AA559" i="2"/>
  <c r="E117" i="107"/>
  <c r="AM585" i="2"/>
  <c r="AI578" i="2"/>
  <c r="L122" i="107"/>
  <c r="AU585" i="2"/>
  <c r="I117" i="107"/>
  <c r="AR559" i="2"/>
  <c r="M117" i="107" s="1"/>
  <c r="AO585" i="2"/>
  <c r="AJ585" i="2"/>
  <c r="Z585" i="2"/>
  <c r="R585" i="2"/>
  <c r="S362" i="2"/>
  <c r="T405" i="2"/>
  <c r="S408" i="2"/>
  <c r="S410" i="2" s="1"/>
  <c r="P494" i="2"/>
  <c r="P495" i="2" s="1"/>
  <c r="R362" i="2"/>
  <c r="R378" i="2" s="1"/>
  <c r="S413" i="2"/>
  <c r="T413" i="2" s="1"/>
  <c r="U413" i="2" s="1"/>
  <c r="V413" i="2" s="1"/>
  <c r="W413" i="2" s="1"/>
  <c r="X413" i="2" s="1"/>
  <c r="Y413" i="2" s="1"/>
  <c r="Z413" i="2" s="1"/>
  <c r="AA413" i="2" s="1"/>
  <c r="AB413" i="2" s="1"/>
  <c r="AC413" i="2" s="1"/>
  <c r="AD413" i="2" s="1"/>
  <c r="AE413" i="2" s="1"/>
  <c r="AF413" i="2" s="1"/>
  <c r="AG413" i="2" s="1"/>
  <c r="AH413" i="2" s="1"/>
  <c r="AI413" i="2" s="1"/>
  <c r="AJ413" i="2" s="1"/>
  <c r="AK413" i="2" s="1"/>
  <c r="AL413" i="2" s="1"/>
  <c r="AM413" i="2" s="1"/>
  <c r="AN413" i="2" s="1"/>
  <c r="AO413" i="2" s="1"/>
  <c r="AP413" i="2" s="1"/>
  <c r="AQ413" i="2" s="1"/>
  <c r="AR413" i="2" s="1"/>
  <c r="AS413" i="2" s="1"/>
  <c r="AT413" i="2" s="1"/>
  <c r="AU413" i="2" s="1"/>
  <c r="AV413" i="2" s="1"/>
  <c r="M251" i="2"/>
  <c r="O494" i="2"/>
  <c r="O495" i="2" s="1"/>
  <c r="M511" i="2"/>
  <c r="Q476" i="2"/>
  <c r="Q477" i="2" s="1"/>
  <c r="F580" i="2"/>
  <c r="F581" i="2" s="1"/>
  <c r="G577" i="2" s="1"/>
  <c r="M587" i="2"/>
  <c r="M588" i="2" s="1"/>
  <c r="N584" i="2" s="1"/>
  <c r="J117" i="107"/>
  <c r="I549" i="2"/>
  <c r="H527" i="2"/>
  <c r="H535" i="2"/>
  <c r="K502" i="2"/>
  <c r="K522" i="2"/>
  <c r="K527" i="2" s="1"/>
  <c r="Q348" i="2"/>
  <c r="O348" i="2"/>
  <c r="AS585" i="2"/>
  <c r="AC585" i="2"/>
  <c r="X414" i="2"/>
  <c r="AU559" i="2"/>
  <c r="N117" i="107" s="1"/>
  <c r="AE559" i="2"/>
  <c r="K581" i="2"/>
  <c r="L577" i="2" s="1"/>
  <c r="P477" i="2"/>
  <c r="S378" i="2"/>
  <c r="I506" i="2"/>
  <c r="M122" i="107"/>
  <c r="K122" i="107"/>
  <c r="I122" i="107"/>
  <c r="G122" i="107"/>
  <c r="E122" i="107"/>
  <c r="F117" i="107"/>
  <c r="M98" i="107"/>
  <c r="K98" i="107"/>
  <c r="I98" i="107"/>
  <c r="G98" i="107"/>
  <c r="AJ559" i="2"/>
  <c r="E108" i="107"/>
  <c r="O473" i="2"/>
  <c r="K443" i="2"/>
  <c r="K446" i="2" s="1"/>
  <c r="K449" i="2"/>
  <c r="K451" i="2" s="1"/>
  <c r="K445" i="2"/>
  <c r="G117" i="107"/>
  <c r="V559" i="2"/>
  <c r="H117" i="107" s="1"/>
  <c r="N510" i="2"/>
  <c r="AH559" i="2"/>
  <c r="K117" i="107" s="1"/>
  <c r="I518" i="2"/>
  <c r="I520" i="2" s="1"/>
  <c r="H443" i="2"/>
  <c r="H446" i="2" s="1"/>
  <c r="R353" i="2"/>
  <c r="R321" i="2"/>
  <c r="O349" i="2"/>
  <c r="O499" i="2" s="1"/>
  <c r="O523" i="2" s="1"/>
  <c r="J449" i="2"/>
  <c r="J451" i="2" s="1"/>
  <c r="J437" i="2"/>
  <c r="R372" i="2"/>
  <c r="R382" i="2"/>
  <c r="R384" i="2" s="1"/>
  <c r="J445" i="2"/>
  <c r="Q394" i="2"/>
  <c r="Q392" i="2"/>
  <c r="Q389" i="2"/>
  <c r="Q390" i="2"/>
  <c r="Q391" i="2"/>
  <c r="R344" i="2"/>
  <c r="R348" i="2"/>
  <c r="R345" i="2"/>
  <c r="R341" i="2"/>
  <c r="R349" i="2" s="1"/>
  <c r="R499" i="2" s="1"/>
  <c r="R523" i="2" s="1"/>
  <c r="R342" i="2"/>
  <c r="R347" i="2"/>
  <c r="R343" i="2"/>
  <c r="R346" i="2"/>
  <c r="G262" i="2"/>
  <c r="G266" i="2"/>
  <c r="G269" i="2" s="1"/>
  <c r="AB224" i="2"/>
  <c r="Q382" i="2"/>
  <c r="Q384" i="2" s="1"/>
  <c r="P341" i="2"/>
  <c r="P345" i="2"/>
  <c r="P342" i="2"/>
  <c r="P346" i="2"/>
  <c r="Q317" i="2"/>
  <c r="Q320" i="2" s="1"/>
  <c r="P344" i="2"/>
  <c r="Q343" i="2"/>
  <c r="Q349" i="2" s="1"/>
  <c r="Q499" i="2" s="1"/>
  <c r="Q523" i="2" s="1"/>
  <c r="P348" i="2"/>
  <c r="P343" i="2"/>
  <c r="N202" i="2"/>
  <c r="M206" i="2"/>
  <c r="K268" i="2"/>
  <c r="J288" i="2"/>
  <c r="J282" i="2"/>
  <c r="F282" i="2"/>
  <c r="K260" i="2"/>
  <c r="J262" i="2"/>
  <c r="J266" i="2"/>
  <c r="F281" i="2"/>
  <c r="F285" i="2"/>
  <c r="I269" i="2"/>
  <c r="H267" i="2"/>
  <c r="H269" i="2" s="1"/>
  <c r="H262" i="2"/>
  <c r="O203" i="2"/>
  <c r="P203" i="2" s="1"/>
  <c r="Q203" i="2" s="1"/>
  <c r="R203" i="2"/>
  <c r="S203" i="2" s="1"/>
  <c r="T203" i="2" s="1"/>
  <c r="P162" i="2"/>
  <c r="R162" i="2"/>
  <c r="O164" i="2"/>
  <c r="O166" i="2" s="1"/>
  <c r="O205" i="2"/>
  <c r="P205" i="2" s="1"/>
  <c r="Q205" i="2" s="1"/>
  <c r="R205" i="2"/>
  <c r="S205" i="2" s="1"/>
  <c r="T205" i="2" s="1"/>
  <c r="W202" i="2"/>
  <c r="V206" i="2"/>
  <c r="P170" i="2"/>
  <c r="Q170" i="2" s="1"/>
  <c r="R170" i="2"/>
  <c r="S170" i="2" s="1"/>
  <c r="T170" i="2" s="1"/>
  <c r="X169" i="2"/>
  <c r="L114" i="2"/>
  <c r="K115" i="2"/>
  <c r="K124" i="2"/>
  <c r="K134" i="2" s="1"/>
  <c r="R421" i="2"/>
  <c r="R424" i="2" s="1"/>
  <c r="R426" i="2" s="1"/>
  <c r="R244" i="2" s="1"/>
  <c r="S404" i="2"/>
  <c r="Y164" i="2"/>
  <c r="Y166" i="2" s="1"/>
  <c r="Z162" i="2"/>
  <c r="M140" i="2"/>
  <c r="L144" i="2"/>
  <c r="V171" i="2"/>
  <c r="V173" i="2" s="1"/>
  <c r="Q169" i="2"/>
  <c r="Q171" i="2" s="1"/>
  <c r="Q173" i="2" s="1"/>
  <c r="P171" i="2"/>
  <c r="P173" i="2" s="1"/>
  <c r="Q111" i="2"/>
  <c r="P113" i="2"/>
  <c r="O171" i="2"/>
  <c r="R169" i="2"/>
  <c r="U360" i="2"/>
  <c r="N171" i="2"/>
  <c r="P165" i="2"/>
  <c r="Q165" i="2" s="1"/>
  <c r="R165" i="2"/>
  <c r="S165" i="2" s="1"/>
  <c r="T165" i="2" s="1"/>
  <c r="X164" i="2"/>
  <c r="X166" i="2" s="1"/>
  <c r="S367" i="2"/>
  <c r="R422" i="2"/>
  <c r="R425" i="2" s="1"/>
  <c r="R427" i="2" s="1"/>
  <c r="R248" i="2" s="1"/>
  <c r="O113" i="2"/>
  <c r="R104" i="2"/>
  <c r="O106" i="2"/>
  <c r="O108" i="2" s="1"/>
  <c r="F106" i="2"/>
  <c r="F108" i="2" s="1"/>
  <c r="P105" i="2"/>
  <c r="G31" i="2"/>
  <c r="G34" i="2"/>
  <c r="G36" i="2" s="1"/>
  <c r="W31" i="2"/>
  <c r="P71" i="2"/>
  <c r="O75" i="2"/>
  <c r="R51" i="2"/>
  <c r="M75" i="2"/>
  <c r="M78" i="2" s="1"/>
  <c r="M217" i="2" s="1"/>
  <c r="M5" i="2"/>
  <c r="N5" i="2"/>
  <c r="O5" i="2"/>
  <c r="N4" i="2"/>
  <c r="O4" i="2"/>
  <c r="M4" i="2"/>
  <c r="P4" i="2"/>
  <c r="Q1" i="2"/>
  <c r="P5" i="2"/>
  <c r="K68" i="2"/>
  <c r="N62" i="2"/>
  <c r="O62" i="2" s="1"/>
  <c r="N61" i="2"/>
  <c r="N75" i="2"/>
  <c r="L63" i="2"/>
  <c r="M62" i="2"/>
  <c r="N48" i="2"/>
  <c r="O47" i="2"/>
  <c r="AD40" i="2"/>
  <c r="AD41" i="2"/>
  <c r="N50" i="2"/>
  <c r="N45" i="2" s="1"/>
  <c r="M51" i="2"/>
  <c r="M45" i="2"/>
  <c r="AT31" i="2"/>
  <c r="T30" i="2"/>
  <c r="AP30" i="2"/>
  <c r="AP41" i="2"/>
  <c r="AP26" i="2"/>
  <c r="AP40" i="2"/>
  <c r="AS40" i="2"/>
  <c r="AS41" i="2"/>
  <c r="AS30" i="2"/>
  <c r="AC26" i="2"/>
  <c r="AC39" i="2"/>
  <c r="AC41" i="2"/>
  <c r="M26" i="2"/>
  <c r="M29" i="2"/>
  <c r="M39" i="2"/>
  <c r="AI29" i="2"/>
  <c r="AI39" i="2"/>
  <c r="AG29" i="2"/>
  <c r="AG31" i="2" s="1"/>
  <c r="AN29" i="2"/>
  <c r="AN31" i="2" s="1"/>
  <c r="Q40" i="2"/>
  <c r="Q41" i="2"/>
  <c r="AA29" i="2"/>
  <c r="AA31" i="2" s="1"/>
  <c r="AA39" i="2"/>
  <c r="AA41" i="2"/>
  <c r="AD26" i="2"/>
  <c r="N39" i="2"/>
  <c r="I34" i="2"/>
  <c r="I36" i="2" s="1"/>
  <c r="AN26" i="2"/>
  <c r="N26" i="2"/>
  <c r="AS26" i="2"/>
  <c r="AS29" i="2"/>
  <c r="AS31" i="2" s="1"/>
  <c r="AS39" i="2"/>
  <c r="P41" i="2"/>
  <c r="AD39" i="2"/>
  <c r="AK31" i="2"/>
  <c r="AR40" i="2"/>
  <c r="AR30" i="2"/>
  <c r="Z40" i="2"/>
  <c r="Z41" i="2"/>
  <c r="AH41" i="2"/>
  <c r="AH30" i="2"/>
  <c r="S26" i="2"/>
  <c r="S29" i="2"/>
  <c r="S39" i="2"/>
  <c r="N31" i="2"/>
  <c r="AJ30" i="2"/>
  <c r="AD29" i="2"/>
  <c r="AO30" i="2"/>
  <c r="AO31" i="2" s="1"/>
  <c r="AO41" i="2"/>
  <c r="AU25" i="2"/>
  <c r="AM25" i="2"/>
  <c r="AV25" i="2"/>
  <c r="AV26" i="2" s="1"/>
  <c r="AG21" i="2"/>
  <c r="AE30" i="2"/>
  <c r="W30" i="2"/>
  <c r="O30" i="2"/>
  <c r="AP29" i="2"/>
  <c r="AP31" i="2" s="1"/>
  <c r="AH31" i="2"/>
  <c r="Z29" i="2"/>
  <c r="Z31" i="2" s="1"/>
  <c r="R29" i="2"/>
  <c r="J29" i="2"/>
  <c r="J39" i="2"/>
  <c r="AK26" i="2"/>
  <c r="X21" i="2"/>
  <c r="AT30" i="2"/>
  <c r="AL30" i="2"/>
  <c r="AL31" i="2" s="1"/>
  <c r="AD30" i="2"/>
  <c r="V30" i="2"/>
  <c r="V40" i="2"/>
  <c r="F30" i="2"/>
  <c r="F40" i="2"/>
  <c r="U7" i="2"/>
  <c r="T8" i="2"/>
  <c r="AL26" i="2"/>
  <c r="AT26" i="2"/>
  <c r="AH39" i="2"/>
  <c r="AH26" i="2"/>
  <c r="N40" i="2"/>
  <c r="U21" i="2"/>
  <c r="R41" i="2"/>
  <c r="Y39" i="2"/>
  <c r="AF29" i="2"/>
  <c r="AF31" i="2" s="1"/>
  <c r="V29" i="2"/>
  <c r="V31" i="2" s="1"/>
  <c r="AQ25" i="2"/>
  <c r="AI25" i="2"/>
  <c r="S25" i="2"/>
  <c r="I41" i="2"/>
  <c r="AQ39" i="2"/>
  <c r="AQ26" i="2"/>
  <c r="R26" i="2"/>
  <c r="K29" i="2"/>
  <c r="AR21" i="2"/>
  <c r="AJ21" i="2"/>
  <c r="AJ41" i="2" s="1"/>
  <c r="AB21" i="2"/>
  <c r="T21" i="2"/>
  <c r="L21" i="2"/>
  <c r="G165" i="107"/>
  <c r="J1" i="107"/>
  <c r="I143" i="107"/>
  <c r="I163" i="107"/>
  <c r="I145" i="107"/>
  <c r="I164" i="107"/>
  <c r="I146" i="107"/>
  <c r="I157" i="107"/>
  <c r="I158" i="107"/>
  <c r="J14" i="67"/>
  <c r="L4" i="19" s="1"/>
  <c r="Q227" i="2" s="1"/>
  <c r="CE13" i="67"/>
  <c r="BW13" i="67"/>
  <c r="BO13" i="67"/>
  <c r="BG13" i="67"/>
  <c r="AY13" i="67"/>
  <c r="AQ13" i="67"/>
  <c r="AI13" i="67"/>
  <c r="AA13" i="67"/>
  <c r="S13" i="67"/>
  <c r="CD13" i="67"/>
  <c r="BV13" i="67"/>
  <c r="BN13" i="67"/>
  <c r="BF13" i="67"/>
  <c r="AX13" i="67"/>
  <c r="AP13" i="67"/>
  <c r="AH13" i="67"/>
  <c r="Z13" i="67"/>
  <c r="R13" i="67"/>
  <c r="CK13" i="67"/>
  <c r="CC13" i="67"/>
  <c r="BU13" i="67"/>
  <c r="BM13" i="67"/>
  <c r="BE13" i="67"/>
  <c r="AW13" i="67"/>
  <c r="AO13" i="67"/>
  <c r="AG13" i="67"/>
  <c r="Y13" i="67"/>
  <c r="Q13" i="67"/>
  <c r="CJ13" i="67"/>
  <c r="CB13" i="67"/>
  <c r="BT13" i="67"/>
  <c r="BL13" i="67"/>
  <c r="BD13" i="67"/>
  <c r="AV13" i="67"/>
  <c r="AN13" i="67"/>
  <c r="AF13" i="67"/>
  <c r="X13" i="67"/>
  <c r="P13" i="67"/>
  <c r="E42" i="67"/>
  <c r="CI13" i="67"/>
  <c r="CA13" i="67"/>
  <c r="BS13" i="67"/>
  <c r="BK13" i="67"/>
  <c r="BC13" i="67"/>
  <c r="AU13" i="67"/>
  <c r="AM13" i="67"/>
  <c r="AE13" i="67"/>
  <c r="W13" i="67"/>
  <c r="O13" i="67"/>
  <c r="CH13" i="67"/>
  <c r="BZ13" i="67"/>
  <c r="BR13" i="67"/>
  <c r="BJ13" i="67"/>
  <c r="BB13" i="67"/>
  <c r="AT13" i="67"/>
  <c r="AL13" i="67"/>
  <c r="AD13" i="67"/>
  <c r="V13" i="67"/>
  <c r="P54" i="2" l="1"/>
  <c r="J269" i="2"/>
  <c r="L262" i="2"/>
  <c r="L267" i="2"/>
  <c r="L269" i="2" s="1"/>
  <c r="L468" i="2" s="1"/>
  <c r="M137" i="2"/>
  <c r="L265" i="2"/>
  <c r="L190" i="2"/>
  <c r="V51" i="2"/>
  <c r="W50" i="2"/>
  <c r="J522" i="2"/>
  <c r="J527" i="2" s="1"/>
  <c r="L218" i="2"/>
  <c r="K95" i="2"/>
  <c r="K96" i="2" s="1"/>
  <c r="L118" i="2"/>
  <c r="L119" i="2"/>
  <c r="K279" i="2"/>
  <c r="K281" i="2" s="1"/>
  <c r="U51" i="2"/>
  <c r="I522" i="2"/>
  <c r="I502" i="2"/>
  <c r="U405" i="2"/>
  <c r="V405" i="2" s="1"/>
  <c r="W405" i="2" s="1"/>
  <c r="T408" i="2"/>
  <c r="T410" i="2" s="1"/>
  <c r="R494" i="2"/>
  <c r="R495" i="2" s="1"/>
  <c r="Q494" i="2"/>
  <c r="Q105" i="2"/>
  <c r="V360" i="2"/>
  <c r="U363" i="2"/>
  <c r="U361" i="2"/>
  <c r="U362" i="2" s="1"/>
  <c r="AR26" i="2"/>
  <c r="AR29" i="2"/>
  <c r="AR31" i="2" s="1"/>
  <c r="AR39" i="2"/>
  <c r="AR41" i="2"/>
  <c r="AQ30" i="2"/>
  <c r="AQ41" i="2"/>
  <c r="AQ40" i="2"/>
  <c r="O35" i="2"/>
  <c r="O31" i="2"/>
  <c r="AM26" i="2"/>
  <c r="AM40" i="2"/>
  <c r="AM41" i="2"/>
  <c r="S34" i="2"/>
  <c r="S36" i="2" s="1"/>
  <c r="M34" i="2"/>
  <c r="M36" i="2" s="1"/>
  <c r="M31" i="2"/>
  <c r="O48" i="2"/>
  <c r="P47" i="2"/>
  <c r="Q71" i="2"/>
  <c r="P75" i="2"/>
  <c r="R171" i="2"/>
  <c r="R173" i="2" s="1"/>
  <c r="S169" i="2"/>
  <c r="X202" i="2"/>
  <c r="W206" i="2"/>
  <c r="K262" i="2"/>
  <c r="K267" i="2"/>
  <c r="K269" i="2" s="1"/>
  <c r="AC224" i="2"/>
  <c r="AI40" i="2"/>
  <c r="AI41" i="2"/>
  <c r="AI30" i="2"/>
  <c r="U8" i="2"/>
  <c r="U35" i="2" s="1"/>
  <c r="V7" i="2"/>
  <c r="X39" i="2"/>
  <c r="X26" i="2"/>
  <c r="X29" i="2"/>
  <c r="X31" i="2" s="1"/>
  <c r="X41" i="2"/>
  <c r="P106" i="2"/>
  <c r="P108" i="2" s="1"/>
  <c r="K31" i="2"/>
  <c r="K34" i="2"/>
  <c r="K36" i="2" s="1"/>
  <c r="F35" i="2"/>
  <c r="F31" i="2"/>
  <c r="AU26" i="2"/>
  <c r="AU40" i="2"/>
  <c r="AU41" i="2"/>
  <c r="O61" i="2"/>
  <c r="P61" i="2" s="1"/>
  <c r="S422" i="2"/>
  <c r="T367" i="2"/>
  <c r="S368" i="2"/>
  <c r="S369" i="2" s="1"/>
  <c r="S370" i="2"/>
  <c r="S416" i="2"/>
  <c r="S418" i="2" s="1"/>
  <c r="S417" i="2"/>
  <c r="S419" i="2" s="1"/>
  <c r="O189" i="2"/>
  <c r="O173" i="2"/>
  <c r="N140" i="2"/>
  <c r="M144" i="2"/>
  <c r="M114" i="2"/>
  <c r="L115" i="2"/>
  <c r="Q321" i="2"/>
  <c r="Q353" i="2"/>
  <c r="Q490" i="2"/>
  <c r="Y414" i="2"/>
  <c r="AE31" i="2"/>
  <c r="M77" i="2"/>
  <c r="Z164" i="2"/>
  <c r="Z166" i="2" s="1"/>
  <c r="AA162" i="2"/>
  <c r="Y169" i="2"/>
  <c r="X171" i="2"/>
  <c r="X173" i="2" s="1"/>
  <c r="R510" i="2"/>
  <c r="N587" i="2"/>
  <c r="N588" i="2" s="1"/>
  <c r="O584" i="2" s="1"/>
  <c r="T14" i="67"/>
  <c r="AB14" i="67"/>
  <c r="AJ14" i="67"/>
  <c r="AR14" i="67"/>
  <c r="AZ14" i="67"/>
  <c r="BH14" i="67"/>
  <c r="BP14" i="67"/>
  <c r="BX14" i="67"/>
  <c r="CF14" i="67"/>
  <c r="U14" i="67"/>
  <c r="AC14" i="67"/>
  <c r="AK14" i="67"/>
  <c r="AS14" i="67"/>
  <c r="BA14" i="67"/>
  <c r="BI14" i="67"/>
  <c r="BQ14" i="67"/>
  <c r="BY14" i="67"/>
  <c r="CG14" i="67"/>
  <c r="N14" i="67"/>
  <c r="P4" i="19" s="1"/>
  <c r="V14" i="67"/>
  <c r="AD14" i="67"/>
  <c r="AL14" i="67"/>
  <c r="AT14" i="67"/>
  <c r="BB14" i="67"/>
  <c r="BJ14" i="67"/>
  <c r="BR14" i="67"/>
  <c r="BZ14" i="67"/>
  <c r="CH14" i="67"/>
  <c r="O14" i="67"/>
  <c r="W14" i="67"/>
  <c r="AE14" i="67"/>
  <c r="AM14" i="67"/>
  <c r="AU14" i="67"/>
  <c r="BC14" i="67"/>
  <c r="BK14" i="67"/>
  <c r="BS14" i="67"/>
  <c r="CA14" i="67"/>
  <c r="CI14" i="67"/>
  <c r="P14" i="67"/>
  <c r="X14" i="67"/>
  <c r="AF14" i="67"/>
  <c r="AN14" i="67"/>
  <c r="AV14" i="67"/>
  <c r="BD14" i="67"/>
  <c r="BL14" i="67"/>
  <c r="BT14" i="67"/>
  <c r="CB14" i="67"/>
  <c r="CJ14" i="67"/>
  <c r="Q14" i="67"/>
  <c r="Y14" i="67"/>
  <c r="AG14" i="67"/>
  <c r="AO14" i="67"/>
  <c r="AW14" i="67"/>
  <c r="BE14" i="67"/>
  <c r="BM14" i="67"/>
  <c r="BU14" i="67"/>
  <c r="CC14" i="67"/>
  <c r="CK14" i="67"/>
  <c r="S14" i="67"/>
  <c r="AA14" i="67"/>
  <c r="AI14" i="67"/>
  <c r="AQ14" i="67"/>
  <c r="AY14" i="67"/>
  <c r="BG14" i="67"/>
  <c r="BO14" i="67"/>
  <c r="BW14" i="67"/>
  <c r="CE14" i="67"/>
  <c r="BF14" i="67"/>
  <c r="BN14" i="67"/>
  <c r="BV14" i="67"/>
  <c r="AH14" i="67"/>
  <c r="AP14" i="67"/>
  <c r="R14" i="67"/>
  <c r="Z14" i="67"/>
  <c r="AX14" i="67"/>
  <c r="CD14" i="67"/>
  <c r="I159" i="107"/>
  <c r="I165" i="107"/>
  <c r="J31" i="2"/>
  <c r="J34" i="2"/>
  <c r="J36" i="2" s="1"/>
  <c r="AM30" i="2"/>
  <c r="N51" i="2"/>
  <c r="N77" i="2"/>
  <c r="N78" i="2"/>
  <c r="N217" i="2" s="1"/>
  <c r="O50" i="2"/>
  <c r="K81" i="2"/>
  <c r="L87" i="2" s="1"/>
  <c r="L86" i="2" s="1"/>
  <c r="K435" i="2"/>
  <c r="S104" i="2"/>
  <c r="R393" i="2"/>
  <c r="R392" i="2"/>
  <c r="R389" i="2"/>
  <c r="R391" i="2"/>
  <c r="R390" i="2"/>
  <c r="R394" i="2"/>
  <c r="R476" i="2"/>
  <c r="K530" i="2"/>
  <c r="K533" i="2" s="1"/>
  <c r="K537" i="2" s="1"/>
  <c r="K541" i="2"/>
  <c r="L29" i="2"/>
  <c r="L26" i="2"/>
  <c r="L39" i="2"/>
  <c r="L41" i="2"/>
  <c r="R31" i="2"/>
  <c r="R34" i="2"/>
  <c r="R36" i="2" s="1"/>
  <c r="AU30" i="2"/>
  <c r="AD31" i="2"/>
  <c r="AI26" i="2"/>
  <c r="R111" i="2"/>
  <c r="Q113" i="2"/>
  <c r="S421" i="2"/>
  <c r="S424" i="2" s="1"/>
  <c r="S426" i="2" s="1"/>
  <c r="S244" i="2" s="1"/>
  <c r="T404" i="2"/>
  <c r="S407" i="2"/>
  <c r="S409" i="2" s="1"/>
  <c r="K154" i="2"/>
  <c r="K155" i="2" s="1"/>
  <c r="R164" i="2"/>
  <c r="R166" i="2" s="1"/>
  <c r="S162" i="2"/>
  <c r="G580" i="2"/>
  <c r="G581" i="2" s="1"/>
  <c r="H577" i="2" s="1"/>
  <c r="AJ39" i="2"/>
  <c r="AJ29" i="2"/>
  <c r="AJ31" i="2" s="1"/>
  <c r="AJ26" i="2"/>
  <c r="T26" i="2"/>
  <c r="T29" i="2"/>
  <c r="T39" i="2"/>
  <c r="AG39" i="2"/>
  <c r="AG41" i="2"/>
  <c r="AG26" i="2"/>
  <c r="T41" i="2"/>
  <c r="M63" i="2"/>
  <c r="L65" i="2"/>
  <c r="Q4" i="2"/>
  <c r="R4" i="2"/>
  <c r="S4" i="2"/>
  <c r="U1" i="2"/>
  <c r="R5" i="2"/>
  <c r="S5" i="2"/>
  <c r="Q5" i="2"/>
  <c r="T5" i="2"/>
  <c r="T4" i="2"/>
  <c r="P62" i="2"/>
  <c r="P455" i="2"/>
  <c r="P457" i="2" s="1"/>
  <c r="N173" i="2"/>
  <c r="N189" i="2"/>
  <c r="Q162" i="2"/>
  <c r="Q164" i="2" s="1"/>
  <c r="Q166" i="2" s="1"/>
  <c r="P164" i="2"/>
  <c r="P166" i="2" s="1"/>
  <c r="O202" i="2"/>
  <c r="R202" i="2"/>
  <c r="N206" i="2"/>
  <c r="P349" i="2"/>
  <c r="P499" i="2" s="1"/>
  <c r="Q395" i="2"/>
  <c r="Q524" i="2" s="1"/>
  <c r="O510" i="2"/>
  <c r="L581" i="2"/>
  <c r="M577" i="2" s="1"/>
  <c r="L580" i="2"/>
  <c r="L590" i="2" s="1"/>
  <c r="L528" i="2" s="1"/>
  <c r="L546" i="2" s="1"/>
  <c r="E106" i="107" s="1"/>
  <c r="K1" i="107"/>
  <c r="J143" i="107"/>
  <c r="J163" i="107"/>
  <c r="J165" i="107" s="1"/>
  <c r="J145" i="107"/>
  <c r="J164" i="107"/>
  <c r="J154" i="107"/>
  <c r="J157" i="107"/>
  <c r="J158" i="107"/>
  <c r="J167" i="107"/>
  <c r="J146" i="107"/>
  <c r="J153" i="107"/>
  <c r="AB26" i="2"/>
  <c r="AB39" i="2"/>
  <c r="AB29" i="2"/>
  <c r="AB31" i="2" s="1"/>
  <c r="AB41" i="2"/>
  <c r="S30" i="2"/>
  <c r="S35" i="2" s="1"/>
  <c r="S40" i="2"/>
  <c r="S41" i="2"/>
  <c r="U26" i="2"/>
  <c r="U29" i="2"/>
  <c r="U31" i="2" s="1"/>
  <c r="U41" i="2"/>
  <c r="U39" i="2"/>
  <c r="AV30" i="2"/>
  <c r="AV41" i="2"/>
  <c r="AV40" i="2"/>
  <c r="AI31" i="2"/>
  <c r="T35" i="2"/>
  <c r="R55" i="2"/>
  <c r="Q54" i="2"/>
  <c r="V408" i="2"/>
  <c r="V410" i="2" s="1"/>
  <c r="I535" i="2"/>
  <c r="I527" i="2"/>
  <c r="J530" i="2"/>
  <c r="J533" i="2" s="1"/>
  <c r="J541" i="2"/>
  <c r="H530" i="2"/>
  <c r="H533" i="2" s="1"/>
  <c r="H537" i="2" s="1"/>
  <c r="H541" i="2"/>
  <c r="L120" i="2" l="1"/>
  <c r="L122" i="2" s="1"/>
  <c r="L124" i="2"/>
  <c r="L134" i="2" s="1"/>
  <c r="L126" i="2"/>
  <c r="L469" i="2"/>
  <c r="L483" i="2" s="1"/>
  <c r="L517" i="2" s="1"/>
  <c r="L480" i="2"/>
  <c r="L481" i="2" s="1"/>
  <c r="L199" i="2"/>
  <c r="L194" i="2"/>
  <c r="L195" i="2" s="1"/>
  <c r="W51" i="2"/>
  <c r="X50" i="2"/>
  <c r="U408" i="2"/>
  <c r="U410" i="2" s="1"/>
  <c r="U378" i="2"/>
  <c r="O587" i="2"/>
  <c r="O588" i="2" s="1"/>
  <c r="P584" i="2" s="1"/>
  <c r="S382" i="2"/>
  <c r="S384" i="2" s="1"/>
  <c r="S372" i="2"/>
  <c r="H580" i="2"/>
  <c r="H581" i="2"/>
  <c r="I577" i="2" s="1"/>
  <c r="L34" i="2"/>
  <c r="L36" i="2" s="1"/>
  <c r="L31" i="2"/>
  <c r="T104" i="2"/>
  <c r="Q491" i="2"/>
  <c r="Q510" i="2"/>
  <c r="AQ31" i="2"/>
  <c r="P202" i="2"/>
  <c r="O206" i="2"/>
  <c r="U5" i="2"/>
  <c r="V5" i="2"/>
  <c r="W5" i="2"/>
  <c r="V4" i="2"/>
  <c r="Y1" i="2"/>
  <c r="W4" i="2"/>
  <c r="X5" i="2"/>
  <c r="X4" i="2"/>
  <c r="U4" i="2"/>
  <c r="S164" i="2"/>
  <c r="S166" i="2" s="1"/>
  <c r="T162" i="2"/>
  <c r="T164" i="2" s="1"/>
  <c r="T166" i="2" s="1"/>
  <c r="K438" i="2"/>
  <c r="AM31" i="2"/>
  <c r="AA164" i="2"/>
  <c r="AA166" i="2" s="1"/>
  <c r="AB162" i="2"/>
  <c r="Y202" i="2"/>
  <c r="X206" i="2"/>
  <c r="R105" i="2"/>
  <c r="Q106" i="2"/>
  <c r="Q108" i="2" s="1"/>
  <c r="R206" i="2"/>
  <c r="S202" i="2"/>
  <c r="X405" i="2"/>
  <c r="AV31" i="2"/>
  <c r="T34" i="2"/>
  <c r="T36" i="2" s="1"/>
  <c r="T31" i="2"/>
  <c r="T169" i="2"/>
  <c r="T171" i="2" s="1"/>
  <c r="T173" i="2" s="1"/>
  <c r="S171" i="2"/>
  <c r="S173" i="2" s="1"/>
  <c r="Q47" i="2"/>
  <c r="P48" i="2"/>
  <c r="S111" i="2"/>
  <c r="R113" i="2"/>
  <c r="Z169" i="2"/>
  <c r="Y171" i="2"/>
  <c r="Y173" i="2" s="1"/>
  <c r="R395" i="2"/>
  <c r="S55" i="2"/>
  <c r="R54" i="2"/>
  <c r="J159" i="107"/>
  <c r="M115" i="2"/>
  <c r="N114" i="2"/>
  <c r="Q495" i="2"/>
  <c r="Q62" i="2"/>
  <c r="Q61" i="2"/>
  <c r="Q455" i="2"/>
  <c r="Q457" i="2" s="1"/>
  <c r="J537" i="2"/>
  <c r="L1" i="107"/>
  <c r="K158" i="107"/>
  <c r="K143" i="107"/>
  <c r="K163" i="107"/>
  <c r="K153" i="107"/>
  <c r="K167" i="107"/>
  <c r="K154" i="107"/>
  <c r="K145" i="107"/>
  <c r="K164" i="107"/>
  <c r="K157" i="107"/>
  <c r="K146" i="107"/>
  <c r="L67" i="2"/>
  <c r="L68" i="2"/>
  <c r="L81" i="2" s="1"/>
  <c r="T421" i="2"/>
  <c r="T424" i="2" s="1"/>
  <c r="T426" i="2" s="1"/>
  <c r="T244" i="2" s="1"/>
  <c r="U404" i="2"/>
  <c r="T407" i="2"/>
  <c r="T409" i="2" s="1"/>
  <c r="O84" i="2"/>
  <c r="N235" i="2"/>
  <c r="N249" i="2" s="1"/>
  <c r="N250" i="2" s="1"/>
  <c r="N287" i="2" s="1"/>
  <c r="N288" i="2" s="1"/>
  <c r="N178" i="2"/>
  <c r="N177" i="2"/>
  <c r="N179" i="2" s="1"/>
  <c r="N181" i="2" s="1"/>
  <c r="N182" i="2"/>
  <c r="N212" i="2"/>
  <c r="N209" i="2"/>
  <c r="N211" i="2"/>
  <c r="N236" i="2"/>
  <c r="N210" i="2"/>
  <c r="AD224" i="2"/>
  <c r="O78" i="2"/>
  <c r="O217" i="2" s="1"/>
  <c r="P50" i="2"/>
  <c r="P45" i="2" s="1"/>
  <c r="O77" i="2"/>
  <c r="O51" i="2"/>
  <c r="P523" i="2"/>
  <c r="P510" i="2"/>
  <c r="N63" i="2"/>
  <c r="M428" i="2"/>
  <c r="M65" i="2"/>
  <c r="K539" i="2"/>
  <c r="K545" i="2"/>
  <c r="K547" i="2" s="1"/>
  <c r="Q4" i="19"/>
  <c r="U227" i="2"/>
  <c r="O140" i="2"/>
  <c r="N144" i="2"/>
  <c r="U367" i="2"/>
  <c r="T368" i="2"/>
  <c r="T369" i="2" s="1"/>
  <c r="T370" i="2"/>
  <c r="T416" i="2"/>
  <c r="T418" i="2" s="1"/>
  <c r="T417" i="2"/>
  <c r="T419" i="2" s="1"/>
  <c r="T422" i="2"/>
  <c r="U34" i="2"/>
  <c r="U36" i="2" s="1"/>
  <c r="R71" i="2"/>
  <c r="Q75" i="2"/>
  <c r="S31" i="2"/>
  <c r="M580" i="2"/>
  <c r="M590" i="2" s="1"/>
  <c r="M528" i="2" s="1"/>
  <c r="M581" i="2"/>
  <c r="N577" i="2" s="1"/>
  <c r="N84" i="2"/>
  <c r="M177" i="2"/>
  <c r="M182" i="2"/>
  <c r="M212" i="2"/>
  <c r="M209" i="2"/>
  <c r="M178" i="2"/>
  <c r="M211" i="2"/>
  <c r="M210" i="2"/>
  <c r="M235" i="2"/>
  <c r="M236" i="2"/>
  <c r="I530" i="2"/>
  <c r="I541" i="2"/>
  <c r="AU31" i="2"/>
  <c r="R477" i="2"/>
  <c r="Z414" i="2"/>
  <c r="S425" i="2"/>
  <c r="S427" i="2" s="1"/>
  <c r="S248" i="2" s="1"/>
  <c r="S297" i="2"/>
  <c r="V8" i="2"/>
  <c r="V35" i="2" s="1"/>
  <c r="W7" i="2"/>
  <c r="V34" i="2"/>
  <c r="V36" i="2" s="1"/>
  <c r="O45" i="2"/>
  <c r="W360" i="2"/>
  <c r="V363" i="2"/>
  <c r="V377" i="2"/>
  <c r="V361" i="2"/>
  <c r="V362" i="2" s="1"/>
  <c r="N213" i="2" l="1"/>
  <c r="N500" i="2" s="1"/>
  <c r="X51" i="2"/>
  <c r="Y50" i="2"/>
  <c r="L518" i="2"/>
  <c r="E76" i="107"/>
  <c r="L129" i="2"/>
  <c r="L130" i="2" s="1"/>
  <c r="L131" i="2"/>
  <c r="L486" i="2"/>
  <c r="L487" i="2" s="1"/>
  <c r="N511" i="2"/>
  <c r="M546" i="2"/>
  <c r="T382" i="2"/>
  <c r="T384" i="2" s="1"/>
  <c r="T372" i="2"/>
  <c r="Q50" i="2"/>
  <c r="P78" i="2"/>
  <c r="P217" i="2" s="1"/>
  <c r="P77" i="2"/>
  <c r="P51" i="2"/>
  <c r="U421" i="2"/>
  <c r="U424" i="2" s="1"/>
  <c r="U426" i="2" s="1"/>
  <c r="U244" i="2" s="1"/>
  <c r="V404" i="2"/>
  <c r="U407" i="2"/>
  <c r="U409" i="2" s="1"/>
  <c r="Z171" i="2"/>
  <c r="Z173" i="2" s="1"/>
  <c r="AA169" i="2"/>
  <c r="Q45" i="2"/>
  <c r="Q48" i="2"/>
  <c r="R47" i="2"/>
  <c r="AB164" i="2"/>
  <c r="AB166" i="2" s="1"/>
  <c r="AC162" i="2"/>
  <c r="S494" i="2"/>
  <c r="N580" i="2"/>
  <c r="N590" i="2" s="1"/>
  <c r="N528" i="2" s="1"/>
  <c r="N546" i="2" s="1"/>
  <c r="S71" i="2"/>
  <c r="R75" i="2"/>
  <c r="M68" i="2"/>
  <c r="M81" i="2" s="1"/>
  <c r="M67" i="2"/>
  <c r="O235" i="2"/>
  <c r="O249" i="2" s="1"/>
  <c r="O250" i="2" s="1"/>
  <c r="P84" i="2"/>
  <c r="O182" i="2"/>
  <c r="O178" i="2"/>
  <c r="O210" i="2"/>
  <c r="O177" i="2"/>
  <c r="O212" i="2"/>
  <c r="O209" i="2"/>
  <c r="O211" i="2"/>
  <c r="O236" i="2"/>
  <c r="S105" i="2"/>
  <c r="R106" i="2"/>
  <c r="R108" i="2" s="1"/>
  <c r="S389" i="2"/>
  <c r="S390" i="2"/>
  <c r="S391" i="2"/>
  <c r="S394" i="2"/>
  <c r="S393" i="2"/>
  <c r="S392" i="2"/>
  <c r="S476" i="2"/>
  <c r="M213" i="2"/>
  <c r="M216" i="2" s="1"/>
  <c r="K549" i="2"/>
  <c r="K571" i="2"/>
  <c r="N428" i="2"/>
  <c r="O63" i="2"/>
  <c r="N65" i="2"/>
  <c r="K159" i="107"/>
  <c r="R61" i="2"/>
  <c r="R62" i="2"/>
  <c r="R455" i="2"/>
  <c r="R457" i="2" s="1"/>
  <c r="U104" i="2"/>
  <c r="X360" i="2"/>
  <c r="W363" i="2"/>
  <c r="W361" i="2"/>
  <c r="W362" i="2" s="1"/>
  <c r="W377" i="2"/>
  <c r="N183" i="2"/>
  <c r="N196" i="2" s="1"/>
  <c r="J545" i="2"/>
  <c r="J539" i="2"/>
  <c r="P587" i="2"/>
  <c r="P588" i="2" s="1"/>
  <c r="Q584" i="2" s="1"/>
  <c r="M87" i="2"/>
  <c r="M86" i="2" s="1"/>
  <c r="L435" i="2"/>
  <c r="M1" i="107"/>
  <c r="L157" i="107"/>
  <c r="L158" i="107"/>
  <c r="L146" i="107"/>
  <c r="L153" i="107"/>
  <c r="L167" i="107"/>
  <c r="L145" i="107"/>
  <c r="L164" i="107"/>
  <c r="L154" i="107"/>
  <c r="L163" i="107"/>
  <c r="L143" i="107"/>
  <c r="O114" i="2"/>
  <c r="N115" i="2"/>
  <c r="R524" i="2"/>
  <c r="S206" i="2"/>
  <c r="T202" i="2"/>
  <c r="T206" i="2" s="1"/>
  <c r="S328" i="2"/>
  <c r="AA414" i="2"/>
  <c r="V367" i="2"/>
  <c r="U416" i="2"/>
  <c r="U418" i="2" s="1"/>
  <c r="U417" i="2"/>
  <c r="U419" i="2" s="1"/>
  <c r="U368" i="2"/>
  <c r="U369" i="2" s="1"/>
  <c r="U370" i="2"/>
  <c r="U422" i="2"/>
  <c r="S54" i="2"/>
  <c r="T55" i="2"/>
  <c r="T111" i="2"/>
  <c r="S113" i="2"/>
  <c r="V378" i="2"/>
  <c r="W8" i="2"/>
  <c r="W35" i="2" s="1"/>
  <c r="X7" i="2"/>
  <c r="W34" i="2"/>
  <c r="W36" i="2" s="1"/>
  <c r="M179" i="2"/>
  <c r="M181" i="2" s="1"/>
  <c r="T425" i="2"/>
  <c r="T427" i="2" s="1"/>
  <c r="T248" i="2" s="1"/>
  <c r="T297" i="2"/>
  <c r="P140" i="2"/>
  <c r="O144" i="2"/>
  <c r="M83" i="2"/>
  <c r="L80" i="2"/>
  <c r="L147" i="2"/>
  <c r="L150" i="2"/>
  <c r="L149" i="2"/>
  <c r="L148" i="2"/>
  <c r="L154" i="2"/>
  <c r="L232" i="2"/>
  <c r="L233" i="2"/>
  <c r="W408" i="2"/>
  <c r="W410" i="2" s="1"/>
  <c r="Y206" i="2"/>
  <c r="Z202" i="2"/>
  <c r="I580" i="2"/>
  <c r="I581" i="2"/>
  <c r="J577" i="2" s="1"/>
  <c r="J580" i="2" s="1"/>
  <c r="N239" i="2"/>
  <c r="N241" i="2"/>
  <c r="N216" i="2"/>
  <c r="O239" i="2"/>
  <c r="O241" i="2"/>
  <c r="K165" i="107"/>
  <c r="Q202" i="2"/>
  <c r="Q206" i="2" s="1"/>
  <c r="P206" i="2"/>
  <c r="R4" i="19"/>
  <c r="V227" i="2"/>
  <c r="AE224" i="2"/>
  <c r="Y405" i="2"/>
  <c r="X408" i="2"/>
  <c r="X410" i="2" s="1"/>
  <c r="Y4" i="2"/>
  <c r="Z4" i="2"/>
  <c r="AA4" i="2"/>
  <c r="Z5" i="2"/>
  <c r="AA5" i="2"/>
  <c r="AC1" i="2"/>
  <c r="Y5" i="2"/>
  <c r="AB5" i="2"/>
  <c r="AB4" i="2"/>
  <c r="L155" i="2" l="1"/>
  <c r="L519" i="2"/>
  <c r="E79" i="107" s="1"/>
  <c r="E81" i="107" s="1"/>
  <c r="L504" i="2"/>
  <c r="L505" i="2" s="1"/>
  <c r="O20" i="65"/>
  <c r="L520" i="2"/>
  <c r="L535" i="2" s="1"/>
  <c r="E97" i="107" s="1"/>
  <c r="Z50" i="2"/>
  <c r="Y51" i="2"/>
  <c r="N581" i="2"/>
  <c r="O577" i="2" s="1"/>
  <c r="U111" i="2"/>
  <c r="T113" i="2"/>
  <c r="AB169" i="2"/>
  <c r="AA171" i="2"/>
  <c r="AA173" i="2" s="1"/>
  <c r="AF224" i="2"/>
  <c r="N261" i="2"/>
  <c r="N268" i="2" s="1"/>
  <c r="U55" i="2"/>
  <c r="T54" i="2"/>
  <c r="W367" i="2"/>
  <c r="V368" i="2"/>
  <c r="V369" i="2" s="1"/>
  <c r="V372" i="2" s="1"/>
  <c r="V370" i="2"/>
  <c r="V381" i="2"/>
  <c r="V416" i="2"/>
  <c r="V418" i="2" s="1"/>
  <c r="V417" i="2"/>
  <c r="V419" i="2" s="1"/>
  <c r="V422" i="2"/>
  <c r="L165" i="107"/>
  <c r="P63" i="2"/>
  <c r="O65" i="2"/>
  <c r="T105" i="2"/>
  <c r="S106" i="2"/>
  <c r="S108" i="2" s="1"/>
  <c r="V104" i="2"/>
  <c r="N67" i="2"/>
  <c r="N68" i="2"/>
  <c r="N81" i="2" s="1"/>
  <c r="L151" i="2"/>
  <c r="L498" i="2" s="1"/>
  <c r="S61" i="2"/>
  <c r="S62" i="2"/>
  <c r="S455" i="2"/>
  <c r="S457" i="2" s="1"/>
  <c r="Q587" i="2"/>
  <c r="Q588" i="2" s="1"/>
  <c r="R584" i="2" s="1"/>
  <c r="N218" i="2"/>
  <c r="N463" i="2" s="1"/>
  <c r="N460" i="2"/>
  <c r="O580" i="2"/>
  <c r="O590" i="2" s="1"/>
  <c r="O528" i="2" s="1"/>
  <c r="O546" i="2" s="1"/>
  <c r="S477" i="2"/>
  <c r="T71" i="2"/>
  <c r="S75" i="2"/>
  <c r="V421" i="2"/>
  <c r="V424" i="2" s="1"/>
  <c r="V426" i="2" s="1"/>
  <c r="V244" i="2" s="1"/>
  <c r="W404" i="2"/>
  <c r="V407" i="2"/>
  <c r="V409" i="2" s="1"/>
  <c r="N259" i="2"/>
  <c r="N266" i="2" s="1"/>
  <c r="AG1" i="2"/>
  <c r="AC5" i="2"/>
  <c r="AD5" i="2"/>
  <c r="AE5" i="2"/>
  <c r="AD4" i="2"/>
  <c r="AE4" i="2"/>
  <c r="AF4" i="2"/>
  <c r="AF5" i="2"/>
  <c r="AC4" i="2"/>
  <c r="L90" i="2"/>
  <c r="L95" i="2" s="1"/>
  <c r="L96" i="2" s="1"/>
  <c r="L279" i="2"/>
  <c r="L281" i="2" s="1"/>
  <c r="L433" i="2"/>
  <c r="P144" i="2"/>
  <c r="Q140" i="2"/>
  <c r="U425" i="2"/>
  <c r="U427" i="2" s="1"/>
  <c r="U248" i="2" s="1"/>
  <c r="U297" i="2"/>
  <c r="AB414" i="2"/>
  <c r="W378" i="2"/>
  <c r="P241" i="2"/>
  <c r="P239" i="2"/>
  <c r="P259" i="2" s="1"/>
  <c r="P266" i="2" s="1"/>
  <c r="S495" i="2"/>
  <c r="R48" i="2"/>
  <c r="S47" i="2"/>
  <c r="R45" i="2"/>
  <c r="M238" i="2"/>
  <c r="M258" i="2" s="1"/>
  <c r="M240" i="2"/>
  <c r="M260" i="2" s="1"/>
  <c r="M267" i="2" s="1"/>
  <c r="T328" i="2"/>
  <c r="Y7" i="2"/>
  <c r="X8" i="2"/>
  <c r="X35" i="2" s="1"/>
  <c r="X34" i="2"/>
  <c r="X36" i="2" s="1"/>
  <c r="L438" i="2"/>
  <c r="K566" i="2"/>
  <c r="K569" i="2" s="1"/>
  <c r="L568" i="2" s="1"/>
  <c r="K573" i="2"/>
  <c r="O287" i="2"/>
  <c r="O288" i="2" s="1"/>
  <c r="Q84" i="2"/>
  <c r="P235" i="2"/>
  <c r="P249" i="2" s="1"/>
  <c r="P250" i="2" s="1"/>
  <c r="P182" i="2"/>
  <c r="P178" i="2"/>
  <c r="P177" i="2"/>
  <c r="P210" i="2"/>
  <c r="P212" i="2"/>
  <c r="P209" i="2"/>
  <c r="P211" i="2"/>
  <c r="P236" i="2"/>
  <c r="T392" i="2"/>
  <c r="T476" i="2"/>
  <c r="T389" i="2"/>
  <c r="T391" i="2"/>
  <c r="T390" i="2"/>
  <c r="Z405" i="2"/>
  <c r="U382" i="2"/>
  <c r="U384" i="2" s="1"/>
  <c r="U372" i="2"/>
  <c r="O213" i="2"/>
  <c r="N83" i="2"/>
  <c r="M80" i="2"/>
  <c r="M118" i="2"/>
  <c r="M119" i="2"/>
  <c r="M148" i="2"/>
  <c r="M150" i="2"/>
  <c r="M149" i="2"/>
  <c r="M154" i="2"/>
  <c r="M147" i="2"/>
  <c r="M232" i="2"/>
  <c r="M233" i="2"/>
  <c r="T494" i="2"/>
  <c r="T495" i="2" s="1"/>
  <c r="O259" i="2"/>
  <c r="O266" i="2" s="1"/>
  <c r="N1" i="107"/>
  <c r="M154" i="107"/>
  <c r="M157" i="107"/>
  <c r="M158" i="107"/>
  <c r="M145" i="107"/>
  <c r="M164" i="107"/>
  <c r="M146" i="107"/>
  <c r="M153" i="107"/>
  <c r="M167" i="107"/>
  <c r="M143" i="107"/>
  <c r="M163" i="107"/>
  <c r="M165" i="107" s="1"/>
  <c r="S395" i="2"/>
  <c r="N87" i="2"/>
  <c r="N86" i="2" s="1"/>
  <c r="M435" i="2"/>
  <c r="AD162" i="2"/>
  <c r="AC164" i="2"/>
  <c r="AC166" i="2" s="1"/>
  <c r="Q78" i="2"/>
  <c r="Q217" i="2" s="1"/>
  <c r="Q51" i="2"/>
  <c r="Q77" i="2"/>
  <c r="S4" i="19"/>
  <c r="X227" i="2" s="1"/>
  <c r="W227" i="2"/>
  <c r="O261" i="2"/>
  <c r="O268" i="2" s="1"/>
  <c r="Z206" i="2"/>
  <c r="AA202" i="2"/>
  <c r="M183" i="2"/>
  <c r="M196" i="2" s="1"/>
  <c r="M190" i="2"/>
  <c r="P114" i="2"/>
  <c r="O115" i="2"/>
  <c r="L159" i="107"/>
  <c r="J547" i="2"/>
  <c r="Y360" i="2"/>
  <c r="X377" i="2"/>
  <c r="X361" i="2"/>
  <c r="X362" i="2" s="1"/>
  <c r="X363" i="2"/>
  <c r="O179" i="2"/>
  <c r="O181" i="2" s="1"/>
  <c r="R78" i="2"/>
  <c r="R217" i="2" s="1"/>
  <c r="R77" i="2"/>
  <c r="M151" i="2" l="1"/>
  <c r="M498" i="2" s="1"/>
  <c r="AA50" i="2"/>
  <c r="Z51" i="2"/>
  <c r="L506" i="2"/>
  <c r="L525" i="2"/>
  <c r="R587" i="2"/>
  <c r="R588" i="2" s="1"/>
  <c r="S584" i="2" s="1"/>
  <c r="M159" i="107"/>
  <c r="M120" i="2"/>
  <c r="M122" i="2" s="1"/>
  <c r="T395" i="2"/>
  <c r="Q144" i="2"/>
  <c r="R140" i="2"/>
  <c r="L502" i="2"/>
  <c r="L522" i="2"/>
  <c r="O87" i="2"/>
  <c r="O86" i="2" s="1"/>
  <c r="N435" i="2"/>
  <c r="N438" i="2" s="1"/>
  <c r="U105" i="2"/>
  <c r="T106" i="2"/>
  <c r="T108" i="2" s="1"/>
  <c r="V389" i="2"/>
  <c r="V390" i="2"/>
  <c r="V476" i="2"/>
  <c r="S84" i="2"/>
  <c r="R235" i="2"/>
  <c r="R182" i="2"/>
  <c r="R211" i="2"/>
  <c r="R177" i="2"/>
  <c r="R210" i="2"/>
  <c r="R178" i="2"/>
  <c r="R212" i="2"/>
  <c r="R209" i="2"/>
  <c r="R236" i="2"/>
  <c r="X378" i="2"/>
  <c r="M199" i="2"/>
  <c r="M194" i="2"/>
  <c r="M195" i="2" s="1"/>
  <c r="M90" i="2"/>
  <c r="M279" i="2"/>
  <c r="M281" i="2" s="1"/>
  <c r="M433" i="2"/>
  <c r="T477" i="2"/>
  <c r="P179" i="2"/>
  <c r="P181" i="2" s="1"/>
  <c r="P261" i="2"/>
  <c r="P268" i="2" s="1"/>
  <c r="O83" i="2"/>
  <c r="N80" i="2"/>
  <c r="N118" i="2"/>
  <c r="N119" i="2"/>
  <c r="N149" i="2"/>
  <c r="N233" i="2"/>
  <c r="N245" i="2" s="1"/>
  <c r="N246" i="2" s="1"/>
  <c r="N150" i="2"/>
  <c r="N148" i="2"/>
  <c r="N147" i="2"/>
  <c r="N232" i="2"/>
  <c r="O68" i="2"/>
  <c r="O81" i="2" s="1"/>
  <c r="O67" i="2"/>
  <c r="AG224" i="2"/>
  <c r="V111" i="2"/>
  <c r="U113" i="2"/>
  <c r="N137" i="2"/>
  <c r="M262" i="2"/>
  <c r="M265" i="2"/>
  <c r="M269" i="2" s="1"/>
  <c r="M468" i="2" s="1"/>
  <c r="M522" i="2"/>
  <c r="M502" i="2"/>
  <c r="N238" i="2"/>
  <c r="N258" i="2" s="1"/>
  <c r="N240" i="2"/>
  <c r="N260" i="2" s="1"/>
  <c r="N267" i="2" s="1"/>
  <c r="W421" i="2"/>
  <c r="W424" i="2" s="1"/>
  <c r="W426" i="2" s="1"/>
  <c r="W244" i="2" s="1"/>
  <c r="X404" i="2"/>
  <c r="W407" i="2"/>
  <c r="W409" i="2" s="1"/>
  <c r="W104" i="2"/>
  <c r="P65" i="2"/>
  <c r="Q63" i="2"/>
  <c r="O183" i="2"/>
  <c r="O196" i="2" s="1"/>
  <c r="Y227" i="2"/>
  <c r="O500" i="2"/>
  <c r="O216" i="2"/>
  <c r="Y408" i="2"/>
  <c r="Y410" i="2" s="1"/>
  <c r="O581" i="2"/>
  <c r="P577" i="2" s="1"/>
  <c r="V425" i="2"/>
  <c r="V427" i="2" s="1"/>
  <c r="V248" i="2" s="1"/>
  <c r="V297" i="2"/>
  <c r="T61" i="2"/>
  <c r="T62" i="2"/>
  <c r="T455" i="2"/>
  <c r="T457" i="2" s="1"/>
  <c r="R84" i="2"/>
  <c r="Q235" i="2"/>
  <c r="Q249" i="2" s="1"/>
  <c r="Q250" i="2" s="1"/>
  <c r="Q182" i="2"/>
  <c r="Q178" i="2"/>
  <c r="Q177" i="2"/>
  <c r="Q210" i="2"/>
  <c r="Q209" i="2"/>
  <c r="Q236" i="2"/>
  <c r="Q211" i="2"/>
  <c r="Q212" i="2"/>
  <c r="M218" i="2"/>
  <c r="M463" i="2" s="1"/>
  <c r="M460" i="2"/>
  <c r="J549" i="2"/>
  <c r="P287" i="2"/>
  <c r="P288" i="2" s="1"/>
  <c r="S45" i="2"/>
  <c r="T47" i="2"/>
  <c r="S48" i="2"/>
  <c r="AG4" i="2"/>
  <c r="AK1" i="2"/>
  <c r="AH4" i="2"/>
  <c r="AI4" i="2"/>
  <c r="AH5" i="2"/>
  <c r="AI5" i="2"/>
  <c r="AJ4" i="2"/>
  <c r="AJ5" i="2"/>
  <c r="AG5" i="2"/>
  <c r="S78" i="2"/>
  <c r="S217" i="2" s="1"/>
  <c r="S77" i="2"/>
  <c r="V55" i="2"/>
  <c r="U54" i="2"/>
  <c r="S524" i="2"/>
  <c r="Z7" i="2"/>
  <c r="Y8" i="2"/>
  <c r="Y35" i="2" s="1"/>
  <c r="Y34" i="2"/>
  <c r="Y36" i="2" s="1"/>
  <c r="X367" i="2"/>
  <c r="W368" i="2"/>
  <c r="W369" i="2" s="1"/>
  <c r="W372" i="2" s="1"/>
  <c r="W370" i="2"/>
  <c r="W416" i="2"/>
  <c r="W418" i="2" s="1"/>
  <c r="W381" i="2"/>
  <c r="W417" i="2"/>
  <c r="W419" i="2" s="1"/>
  <c r="W422" i="2"/>
  <c r="AD164" i="2"/>
  <c r="AD166" i="2" s="1"/>
  <c r="AE162" i="2"/>
  <c r="AA206" i="2"/>
  <c r="AB202" i="2"/>
  <c r="M438" i="2"/>
  <c r="U389" i="2"/>
  <c r="U390" i="2"/>
  <c r="U476" i="2"/>
  <c r="AA405" i="2"/>
  <c r="Q241" i="2"/>
  <c r="Q239" i="2"/>
  <c r="Q259" i="2" s="1"/>
  <c r="Q266" i="2" s="1"/>
  <c r="AC414" i="2"/>
  <c r="M92" i="2"/>
  <c r="M93" i="2" s="1"/>
  <c r="L280" i="2"/>
  <c r="L282" i="2" s="1"/>
  <c r="L441" i="2"/>
  <c r="L449" i="2" s="1"/>
  <c r="L451" i="2" s="1"/>
  <c r="U71" i="2"/>
  <c r="T75" i="2"/>
  <c r="Z360" i="2"/>
  <c r="Y361" i="2"/>
  <c r="Y362" i="2"/>
  <c r="Y363" i="2"/>
  <c r="Y377" i="2"/>
  <c r="Z361" i="2"/>
  <c r="L437" i="2"/>
  <c r="P115" i="2"/>
  <c r="Q114" i="2"/>
  <c r="N153" i="107"/>
  <c r="N167" i="107"/>
  <c r="N154" i="107"/>
  <c r="N157" i="107"/>
  <c r="N143" i="107"/>
  <c r="N163" i="107"/>
  <c r="N165" i="107" s="1"/>
  <c r="N145" i="107"/>
  <c r="N164" i="107"/>
  <c r="N146" i="107"/>
  <c r="N158" i="107"/>
  <c r="U494" i="2"/>
  <c r="P213" i="2"/>
  <c r="U328" i="2"/>
  <c r="V382" i="2"/>
  <c r="V384" i="2" s="1"/>
  <c r="AC169" i="2"/>
  <c r="AB171" i="2"/>
  <c r="AB173" i="2" s="1"/>
  <c r="Q213" i="2" l="1"/>
  <c r="Q500" i="2" s="1"/>
  <c r="N120" i="2"/>
  <c r="N122" i="2" s="1"/>
  <c r="AB50" i="2"/>
  <c r="AA51" i="2"/>
  <c r="V395" i="2"/>
  <c r="V524" i="2" s="1"/>
  <c r="Y378" i="2"/>
  <c r="W382" i="2"/>
  <c r="W384" i="2" s="1"/>
  <c r="L527" i="2"/>
  <c r="T524" i="2"/>
  <c r="R241" i="2"/>
  <c r="R239" i="2"/>
  <c r="R259" i="2" s="1"/>
  <c r="R266" i="2" s="1"/>
  <c r="P67" i="2"/>
  <c r="P68" i="2"/>
  <c r="P81" i="2" s="1"/>
  <c r="N151" i="2"/>
  <c r="N90" i="2"/>
  <c r="N95" i="2" s="1"/>
  <c r="N96" i="2" s="1"/>
  <c r="N279" i="2"/>
  <c r="N433" i="2"/>
  <c r="N92" i="2"/>
  <c r="N93" i="2" s="1"/>
  <c r="M280" i="2"/>
  <c r="M282" i="2" s="1"/>
  <c r="M441" i="2"/>
  <c r="R179" i="2"/>
  <c r="R181" i="2" s="1"/>
  <c r="V477" i="2"/>
  <c r="AA359" i="2"/>
  <c r="AA360" i="2" s="1"/>
  <c r="AA361" i="2"/>
  <c r="Z377" i="2"/>
  <c r="Z362" i="2"/>
  <c r="Z363" i="2"/>
  <c r="Z408" i="2"/>
  <c r="Z410" i="2" s="1"/>
  <c r="Q287" i="2"/>
  <c r="Q288" i="2" s="1"/>
  <c r="Q428" i="2"/>
  <c r="Q65" i="2"/>
  <c r="R63" i="2"/>
  <c r="N126" i="2"/>
  <c r="N124" i="2"/>
  <c r="T77" i="2"/>
  <c r="T78" i="2"/>
  <c r="T217" i="2" s="1"/>
  <c r="Z8" i="2"/>
  <c r="Z35" i="2" s="1"/>
  <c r="AA7" i="2"/>
  <c r="Z34" i="2"/>
  <c r="Z36" i="2" s="1"/>
  <c r="V71" i="2"/>
  <c r="U75" i="2"/>
  <c r="AB405" i="2"/>
  <c r="X104" i="2"/>
  <c r="O137" i="2"/>
  <c r="N262" i="2"/>
  <c r="N265" i="2"/>
  <c r="N269" i="2" s="1"/>
  <c r="N468" i="2" s="1"/>
  <c r="O238" i="2"/>
  <c r="O258" i="2" s="1"/>
  <c r="O240" i="2"/>
  <c r="M95" i="2"/>
  <c r="M96" i="2" s="1"/>
  <c r="M124" i="2"/>
  <c r="M126" i="2"/>
  <c r="AD169" i="2"/>
  <c r="AC171" i="2"/>
  <c r="AC173" i="2" s="1"/>
  <c r="W389" i="2"/>
  <c r="W476" i="2"/>
  <c r="W390" i="2"/>
  <c r="V494" i="2"/>
  <c r="V495" i="2" s="1"/>
  <c r="T45" i="2"/>
  <c r="T48" i="2"/>
  <c r="U47" i="2"/>
  <c r="U395" i="2"/>
  <c r="Y367" i="2"/>
  <c r="X368" i="2"/>
  <c r="X369" i="2" s="1"/>
  <c r="X372" i="2" s="1"/>
  <c r="X370" i="2"/>
  <c r="X381" i="2"/>
  <c r="X416" i="2"/>
  <c r="X418" i="2" s="1"/>
  <c r="X417" i="2"/>
  <c r="X419" i="2" s="1"/>
  <c r="X422" i="2"/>
  <c r="U62" i="2"/>
  <c r="U61" i="2"/>
  <c r="U455" i="2"/>
  <c r="U457" i="2" s="1"/>
  <c r="Q179" i="2"/>
  <c r="Q181" i="2" s="1"/>
  <c r="O511" i="2"/>
  <c r="AH224" i="2"/>
  <c r="N187" i="2"/>
  <c r="N190" i="2" s="1"/>
  <c r="N251" i="2"/>
  <c r="N284" i="2"/>
  <c r="N285" i="2" s="1"/>
  <c r="R213" i="2"/>
  <c r="S241" i="2"/>
  <c r="S239" i="2"/>
  <c r="S259" i="2" s="1"/>
  <c r="S266" i="2" s="1"/>
  <c r="AE164" i="2"/>
  <c r="AE166" i="2" s="1"/>
  <c r="AF162" i="2"/>
  <c r="Q511" i="2"/>
  <c r="Z227" i="2"/>
  <c r="W111" i="2"/>
  <c r="V113" i="2"/>
  <c r="P183" i="2"/>
  <c r="P196" i="2" s="1"/>
  <c r="R249" i="2"/>
  <c r="R250" i="2" s="1"/>
  <c r="P500" i="2"/>
  <c r="P511" i="2" s="1"/>
  <c r="P216" i="2"/>
  <c r="Q115" i="2"/>
  <c r="R114" i="2"/>
  <c r="W425" i="2"/>
  <c r="W427" i="2" s="1"/>
  <c r="W248" i="2" s="1"/>
  <c r="W297" i="2"/>
  <c r="W55" i="2"/>
  <c r="V54" i="2"/>
  <c r="T84" i="2"/>
  <c r="S235" i="2"/>
  <c r="S177" i="2"/>
  <c r="S179" i="2" s="1"/>
  <c r="S181" i="2" s="1"/>
  <c r="S178" i="2"/>
  <c r="S182" i="2"/>
  <c r="S211" i="2"/>
  <c r="S212" i="2"/>
  <c r="S210" i="2"/>
  <c r="S209" i="2"/>
  <c r="S236" i="2"/>
  <c r="V328" i="2"/>
  <c r="M480" i="2"/>
  <c r="M481" i="2" s="1"/>
  <c r="M469" i="2"/>
  <c r="M483" i="2" s="1"/>
  <c r="M517" i="2" s="1"/>
  <c r="O80" i="2"/>
  <c r="O118" i="2"/>
  <c r="O120" i="2" s="1"/>
  <c r="O122" i="2" s="1"/>
  <c r="P83" i="2"/>
  <c r="O119" i="2"/>
  <c r="O147" i="2"/>
  <c r="O150" i="2"/>
  <c r="O148" i="2"/>
  <c r="O233" i="2"/>
  <c r="O245" i="2" s="1"/>
  <c r="O246" i="2" s="1"/>
  <c r="O149" i="2"/>
  <c r="O154" i="2"/>
  <c r="O232" i="2"/>
  <c r="V105" i="2"/>
  <c r="U106" i="2"/>
  <c r="U108" i="2" s="1"/>
  <c r="S587" i="2"/>
  <c r="S588" i="2" s="1"/>
  <c r="T584" i="2" s="1"/>
  <c r="L443" i="2"/>
  <c r="L445" i="2"/>
  <c r="U477" i="2"/>
  <c r="N159" i="107"/>
  <c r="P580" i="2"/>
  <c r="P590" i="2" s="1"/>
  <c r="P528" i="2" s="1"/>
  <c r="R144" i="2"/>
  <c r="S140" i="2"/>
  <c r="U495" i="2"/>
  <c r="AD414" i="2"/>
  <c r="Q261" i="2"/>
  <c r="Q268" i="2" s="1"/>
  <c r="AB206" i="2"/>
  <c r="AC202" i="2"/>
  <c r="AK5" i="2"/>
  <c r="AL5" i="2"/>
  <c r="AO1" i="2"/>
  <c r="AM5" i="2"/>
  <c r="AL4" i="2"/>
  <c r="AM4" i="2"/>
  <c r="AN5" i="2"/>
  <c r="AK4" i="2"/>
  <c r="AN4" i="2"/>
  <c r="Q216" i="2"/>
  <c r="O218" i="2"/>
  <c r="O463" i="2" s="1"/>
  <c r="O460" i="2"/>
  <c r="X421" i="2"/>
  <c r="X424" i="2" s="1"/>
  <c r="X426" i="2" s="1"/>
  <c r="X244" i="2" s="1"/>
  <c r="Y404" i="2"/>
  <c r="X407" i="2"/>
  <c r="X409" i="2" s="1"/>
  <c r="P87" i="2"/>
  <c r="P86" i="2" s="1"/>
  <c r="O435" i="2"/>
  <c r="O438" i="2" s="1"/>
  <c r="M437" i="2"/>
  <c r="M449" i="2"/>
  <c r="M451" i="2" s="1"/>
  <c r="AB51" i="2" l="1"/>
  <c r="AC50" i="2"/>
  <c r="O151" i="2"/>
  <c r="O498" i="2" s="1"/>
  <c r="S249" i="2"/>
  <c r="S250" i="2" s="1"/>
  <c r="S287" i="2" s="1"/>
  <c r="S288" i="2" s="1"/>
  <c r="AB359" i="2"/>
  <c r="AB360" i="2"/>
  <c r="AB361" i="2"/>
  <c r="AA377" i="2"/>
  <c r="AA362" i="2"/>
  <c r="AA363" i="2"/>
  <c r="AA408" i="2"/>
  <c r="AA410" i="2" s="1"/>
  <c r="X389" i="2"/>
  <c r="X390" i="2"/>
  <c r="X476" i="2"/>
  <c r="S213" i="2"/>
  <c r="X425" i="2"/>
  <c r="X427" i="2" s="1"/>
  <c r="X248" i="2" s="1"/>
  <c r="X297" i="2"/>
  <c r="W395" i="2"/>
  <c r="W524" i="2" s="1"/>
  <c r="Y104" i="2"/>
  <c r="N281" i="2"/>
  <c r="N437" i="2"/>
  <c r="P581" i="2"/>
  <c r="Q577" i="2" s="1"/>
  <c r="P238" i="2"/>
  <c r="P258" i="2" s="1"/>
  <c r="P240" i="2"/>
  <c r="T241" i="2"/>
  <c r="T239" i="2"/>
  <c r="T259" i="2" s="1"/>
  <c r="T266" i="2" s="1"/>
  <c r="R115" i="2"/>
  <c r="S114" i="2"/>
  <c r="AG162" i="2"/>
  <c r="AF164" i="2"/>
  <c r="AF166" i="2" s="1"/>
  <c r="AC405" i="2"/>
  <c r="AB408" i="2"/>
  <c r="AB410" i="2" s="1"/>
  <c r="N129" i="2"/>
  <c r="N130" i="2" s="1"/>
  <c r="N134" i="2"/>
  <c r="N131" i="2"/>
  <c r="N486" i="2"/>
  <c r="N487" i="2" s="1"/>
  <c r="O92" i="2"/>
  <c r="O93" i="2" s="1"/>
  <c r="N280" i="2"/>
  <c r="N282" i="2" s="1"/>
  <c r="N441" i="2"/>
  <c r="N449" i="2" s="1"/>
  <c r="N451" i="2" s="1"/>
  <c r="P218" i="2"/>
  <c r="P463" i="2" s="1"/>
  <c r="P460" i="2"/>
  <c r="O90" i="2"/>
  <c r="O95" i="2" s="1"/>
  <c r="O96" i="2" s="1"/>
  <c r="O279" i="2"/>
  <c r="O433" i="2"/>
  <c r="X55" i="2"/>
  <c r="W54" i="2"/>
  <c r="R287" i="2"/>
  <c r="R288" i="2" s="1"/>
  <c r="X382" i="2"/>
  <c r="X384" i="2" s="1"/>
  <c r="V47" i="2"/>
  <c r="U48" i="2"/>
  <c r="U45" i="2"/>
  <c r="O265" i="2"/>
  <c r="W71" i="2"/>
  <c r="V75" i="2"/>
  <c r="Q68" i="2"/>
  <c r="Q81" i="2" s="1"/>
  <c r="Q67" i="2"/>
  <c r="N498" i="2"/>
  <c r="N154" i="2"/>
  <c r="P546" i="2"/>
  <c r="F106" i="107" s="1"/>
  <c r="F80" i="107"/>
  <c r="O126" i="2"/>
  <c r="O124" i="2"/>
  <c r="V62" i="2"/>
  <c r="V61" i="2"/>
  <c r="V455" i="2"/>
  <c r="V457" i="2" s="1"/>
  <c r="AE169" i="2"/>
  <c r="AD171" i="2"/>
  <c r="AD173" i="2" s="1"/>
  <c r="O260" i="2"/>
  <c r="O267" i="2" s="1"/>
  <c r="O273" i="2"/>
  <c r="U77" i="2"/>
  <c r="U78" i="2"/>
  <c r="U217" i="2" s="1"/>
  <c r="U84" i="2"/>
  <c r="T177" i="2"/>
  <c r="T235" i="2"/>
  <c r="T182" i="2"/>
  <c r="T178" i="2"/>
  <c r="T209" i="2"/>
  <c r="T211" i="2"/>
  <c r="T210" i="2"/>
  <c r="T212" i="2"/>
  <c r="T236" i="2"/>
  <c r="R428" i="2"/>
  <c r="S63" i="2"/>
  <c r="R65" i="2"/>
  <c r="R183" i="2"/>
  <c r="R196" i="2" s="1"/>
  <c r="R261" i="2"/>
  <c r="R268" i="2" s="1"/>
  <c r="Z404" i="2"/>
  <c r="Y421" i="2"/>
  <c r="Y424" i="2" s="1"/>
  <c r="Y426" i="2" s="1"/>
  <c r="Y244" i="2" s="1"/>
  <c r="Y407" i="2"/>
  <c r="Y409" i="2" s="1"/>
  <c r="AO4" i="2"/>
  <c r="AP4" i="2"/>
  <c r="AQ4" i="2"/>
  <c r="AP5" i="2"/>
  <c r="AQ5" i="2"/>
  <c r="AS1" i="2"/>
  <c r="AO5" i="2"/>
  <c r="AR5" i="2"/>
  <c r="AR4" i="2"/>
  <c r="W105" i="2"/>
  <c r="V106" i="2"/>
  <c r="V108" i="2" s="1"/>
  <c r="O187" i="2"/>
  <c r="O190" i="2" s="1"/>
  <c r="O284" i="2"/>
  <c r="O285" i="2" s="1"/>
  <c r="O272" i="2"/>
  <c r="O251" i="2"/>
  <c r="W328" i="2"/>
  <c r="W113" i="2"/>
  <c r="X111" i="2"/>
  <c r="AI224" i="2"/>
  <c r="M129" i="2"/>
  <c r="M130" i="2" s="1"/>
  <c r="M134" i="2"/>
  <c r="M131" i="2"/>
  <c r="M155" i="2" s="1"/>
  <c r="M486" i="2"/>
  <c r="Z378" i="2"/>
  <c r="M443" i="2"/>
  <c r="M445" i="2"/>
  <c r="Q87" i="2"/>
  <c r="Q86" i="2" s="1"/>
  <c r="P435" i="2"/>
  <c r="P438" i="2" s="1"/>
  <c r="W494" i="2"/>
  <c r="W495" i="2" s="1"/>
  <c r="T588" i="2"/>
  <c r="U584" i="2" s="1"/>
  <c r="T587" i="2"/>
  <c r="S183" i="2"/>
  <c r="S196" i="2" s="1"/>
  <c r="W477" i="2"/>
  <c r="N199" i="2"/>
  <c r="N194" i="2"/>
  <c r="N195" i="2" s="1"/>
  <c r="AE414" i="2"/>
  <c r="L446" i="2"/>
  <c r="R500" i="2"/>
  <c r="R216" i="2"/>
  <c r="N469" i="2"/>
  <c r="N483" i="2" s="1"/>
  <c r="N517" i="2" s="1"/>
  <c r="N518" i="2" s="1"/>
  <c r="N480" i="2"/>
  <c r="N481" i="2" s="1"/>
  <c r="P80" i="2"/>
  <c r="Q83" i="2"/>
  <c r="P119" i="2"/>
  <c r="P118" i="2"/>
  <c r="P154" i="2"/>
  <c r="P147" i="2"/>
  <c r="P233" i="2"/>
  <c r="P245" i="2" s="1"/>
  <c r="P246" i="2" s="1"/>
  <c r="P149" i="2"/>
  <c r="P148" i="2"/>
  <c r="P150" i="2"/>
  <c r="P232" i="2"/>
  <c r="O522" i="2"/>
  <c r="O502" i="2"/>
  <c r="Z367" i="2"/>
  <c r="Y368" i="2"/>
  <c r="Y369" i="2"/>
  <c r="Y372" i="2" s="1"/>
  <c r="Y370" i="2"/>
  <c r="Y381" i="2"/>
  <c r="Z368" i="2"/>
  <c r="Y416" i="2"/>
  <c r="Y418" i="2" s="1"/>
  <c r="Y417" i="2"/>
  <c r="Y419" i="2" s="1"/>
  <c r="Y422" i="2"/>
  <c r="Q183" i="2"/>
  <c r="Q196" i="2" s="1"/>
  <c r="U524" i="2"/>
  <c r="AC206" i="2"/>
  <c r="AD202" i="2"/>
  <c r="S144" i="2"/>
  <c r="T140" i="2"/>
  <c r="M518" i="2"/>
  <c r="AA227" i="2"/>
  <c r="AA8" i="2"/>
  <c r="AA35" i="2" s="1"/>
  <c r="AB7" i="2"/>
  <c r="AA34" i="2"/>
  <c r="AA36" i="2" s="1"/>
  <c r="L530" i="2"/>
  <c r="L541" i="2"/>
  <c r="E101" i="107" s="1"/>
  <c r="O21" i="65" s="1"/>
  <c r="E89" i="107"/>
  <c r="S261" i="2" l="1"/>
  <c r="S268" i="2" s="1"/>
  <c r="N509" i="2"/>
  <c r="T249" i="2"/>
  <c r="T250" i="2" s="1"/>
  <c r="AC51" i="2"/>
  <c r="AD50" i="2"/>
  <c r="Y382" i="2"/>
  <c r="Y384" i="2" s="1"/>
  <c r="Y494" i="2" s="1"/>
  <c r="O269" i="2"/>
  <c r="O468" i="2" s="1"/>
  <c r="O480" i="2" s="1"/>
  <c r="O481" i="2" s="1"/>
  <c r="O262" i="2"/>
  <c r="Q238" i="2"/>
  <c r="Q258" i="2" s="1"/>
  <c r="Q240" i="2"/>
  <c r="M487" i="2"/>
  <c r="M509" i="2"/>
  <c r="V48" i="2"/>
  <c r="V45" i="2"/>
  <c r="W47" i="2"/>
  <c r="W62" i="2"/>
  <c r="W61" i="2"/>
  <c r="W455" i="2"/>
  <c r="W457" i="2" s="1"/>
  <c r="T287" i="2"/>
  <c r="T288" i="2" s="1"/>
  <c r="AE171" i="2"/>
  <c r="AE173" i="2" s="1"/>
  <c r="AF169" i="2"/>
  <c r="T261" i="2"/>
  <c r="T268" i="2" s="1"/>
  <c r="X477" i="2"/>
  <c r="Y389" i="2"/>
  <c r="Y395" i="2" s="1"/>
  <c r="Y524" i="2" s="1"/>
  <c r="Y390" i="2"/>
  <c r="Y476" i="2"/>
  <c r="S460" i="2"/>
  <c r="T179" i="2"/>
  <c r="T181" i="2" s="1"/>
  <c r="X494" i="2"/>
  <c r="X495" i="2" s="1"/>
  <c r="O437" i="2"/>
  <c r="AD405" i="2"/>
  <c r="AA378" i="2"/>
  <c r="X54" i="2"/>
  <c r="Y55" i="2"/>
  <c r="Z104" i="2"/>
  <c r="U140" i="2"/>
  <c r="T144" i="2"/>
  <c r="Q218" i="2"/>
  <c r="Q463" i="2" s="1"/>
  <c r="Q460" i="2"/>
  <c r="P187" i="2"/>
  <c r="P284" i="2"/>
  <c r="P285" i="2" s="1"/>
  <c r="P272" i="2"/>
  <c r="P251" i="2"/>
  <c r="R511" i="2"/>
  <c r="AF414" i="2"/>
  <c r="M446" i="2"/>
  <c r="Y111" i="2"/>
  <c r="X113" i="2"/>
  <c r="U241" i="2"/>
  <c r="U239" i="2"/>
  <c r="U259" i="2" s="1"/>
  <c r="U266" i="2" s="1"/>
  <c r="Q80" i="2"/>
  <c r="R83" i="2"/>
  <c r="Q119" i="2"/>
  <c r="Q118" i="2"/>
  <c r="Q147" i="2"/>
  <c r="Q148" i="2"/>
  <c r="Q233" i="2"/>
  <c r="Q245" i="2" s="1"/>
  <c r="Q246" i="2" s="1"/>
  <c r="Q150" i="2"/>
  <c r="Q149" i="2"/>
  <c r="Q232" i="2"/>
  <c r="O281" i="2"/>
  <c r="N504" i="2"/>
  <c r="N519" i="2"/>
  <c r="N520" i="2" s="1"/>
  <c r="P254" i="2"/>
  <c r="P260" i="2"/>
  <c r="P267" i="2" s="1"/>
  <c r="P273" i="2"/>
  <c r="S500" i="2"/>
  <c r="S511" i="2" s="1"/>
  <c r="S216" i="2"/>
  <c r="S218" i="2" s="1"/>
  <c r="S463" i="2" s="1"/>
  <c r="X395" i="2"/>
  <c r="X524" i="2" s="1"/>
  <c r="Y425" i="2"/>
  <c r="Y427" i="2" s="1"/>
  <c r="Y248" i="2" s="1"/>
  <c r="Y297" i="2"/>
  <c r="AA367" i="2"/>
  <c r="AA368" i="2"/>
  <c r="Z416" i="2"/>
  <c r="Z418" i="2" s="1"/>
  <c r="Z381" i="2"/>
  <c r="Z370" i="2"/>
  <c r="Z369" i="2"/>
  <c r="Z372" i="2" s="1"/>
  <c r="Z417" i="2"/>
  <c r="Z419" i="2" s="1"/>
  <c r="Z422" i="2"/>
  <c r="P151" i="2"/>
  <c r="P498" i="2" s="1"/>
  <c r="U587" i="2"/>
  <c r="U588" i="2" s="1"/>
  <c r="V584" i="2" s="1"/>
  <c r="R87" i="2"/>
  <c r="R86" i="2" s="1"/>
  <c r="Q435" i="2"/>
  <c r="P92" i="2"/>
  <c r="P93" i="2" s="1"/>
  <c r="O280" i="2"/>
  <c r="O282" i="2" s="1"/>
  <c r="O441" i="2"/>
  <c r="O449" i="2" s="1"/>
  <c r="O451" i="2" s="1"/>
  <c r="N155" i="2"/>
  <c r="Q137" i="2"/>
  <c r="P265" i="2"/>
  <c r="AC359" i="2"/>
  <c r="AC360" i="2"/>
  <c r="AB362" i="2"/>
  <c r="AB363" i="2"/>
  <c r="AC361" i="2"/>
  <c r="AB377" i="2"/>
  <c r="AB378" i="2" s="1"/>
  <c r="AE202" i="2"/>
  <c r="AD206" i="2"/>
  <c r="O199" i="2"/>
  <c r="O194" i="2"/>
  <c r="O195" i="2" s="1"/>
  <c r="R218" i="2"/>
  <c r="R463" i="2" s="1"/>
  <c r="R460" i="2"/>
  <c r="V84" i="2"/>
  <c r="U235" i="2"/>
  <c r="U249" i="2" s="1"/>
  <c r="U250" i="2" s="1"/>
  <c r="U177" i="2"/>
  <c r="U182" i="2"/>
  <c r="U212" i="2"/>
  <c r="U209" i="2"/>
  <c r="U211" i="2"/>
  <c r="U178" i="2"/>
  <c r="U210" i="2"/>
  <c r="U236" i="2"/>
  <c r="AG164" i="2"/>
  <c r="AG166" i="2" s="1"/>
  <c r="AH162" i="2"/>
  <c r="L112" i="107"/>
  <c r="AC7" i="2"/>
  <c r="AB8" i="2"/>
  <c r="AB35" i="2" s="1"/>
  <c r="AB34" i="2"/>
  <c r="AB36" i="2" s="1"/>
  <c r="AB227" i="2"/>
  <c r="P120" i="2"/>
  <c r="P122" i="2" s="1"/>
  <c r="R67" i="2"/>
  <c r="R68" i="2"/>
  <c r="R81" i="2" s="1"/>
  <c r="T213" i="2"/>
  <c r="N522" i="2"/>
  <c r="N502" i="2"/>
  <c r="F55" i="107"/>
  <c r="V77" i="2"/>
  <c r="V78" i="2"/>
  <c r="V217" i="2" s="1"/>
  <c r="N445" i="2"/>
  <c r="N443" i="2"/>
  <c r="N446" i="2" s="1"/>
  <c r="S115" i="2"/>
  <c r="T114" i="2"/>
  <c r="Q580" i="2"/>
  <c r="Q590" i="2" s="1"/>
  <c r="Q528" i="2" s="1"/>
  <c r="X328" i="2"/>
  <c r="P90" i="2"/>
  <c r="P95" i="2" s="1"/>
  <c r="P96" i="2" s="1"/>
  <c r="P279" i="2"/>
  <c r="P281" i="2" s="1"/>
  <c r="P433" i="2"/>
  <c r="L533" i="2"/>
  <c r="E92" i="107"/>
  <c r="AJ224" i="2"/>
  <c r="X105" i="2"/>
  <c r="W106" i="2"/>
  <c r="W108" i="2" s="1"/>
  <c r="AS5" i="2"/>
  <c r="AT5" i="2"/>
  <c r="H86" i="107" s="1"/>
  <c r="AU5" i="2"/>
  <c r="AT4" i="2"/>
  <c r="AU4" i="2"/>
  <c r="AS4" i="2"/>
  <c r="AV5" i="2"/>
  <c r="M112" i="107" s="1"/>
  <c r="AV4" i="2"/>
  <c r="Z421" i="2"/>
  <c r="Z424" i="2" s="1"/>
  <c r="Z426" i="2" s="1"/>
  <c r="Z244" i="2" s="1"/>
  <c r="AA404" i="2"/>
  <c r="Z407" i="2"/>
  <c r="Z409" i="2" s="1"/>
  <c r="S428" i="2"/>
  <c r="T63" i="2"/>
  <c r="S65" i="2"/>
  <c r="O131" i="2"/>
  <c r="O155" i="2" s="1"/>
  <c r="O134" i="2"/>
  <c r="O129" i="2"/>
  <c r="O130" i="2" s="1"/>
  <c r="O486" i="2"/>
  <c r="O487" i="2" s="1"/>
  <c r="X71" i="2"/>
  <c r="W75" i="2"/>
  <c r="H51" i="107"/>
  <c r="O469" i="2" l="1"/>
  <c r="O483" i="2" s="1"/>
  <c r="O517" i="2" s="1"/>
  <c r="AD51" i="2"/>
  <c r="AE50" i="2"/>
  <c r="P262" i="2"/>
  <c r="P269" i="2"/>
  <c r="P468" i="2" s="1"/>
  <c r="Y105" i="2"/>
  <c r="X106" i="2"/>
  <c r="X108" i="2" s="1"/>
  <c r="Q438" i="2"/>
  <c r="Z390" i="2"/>
  <c r="Z476" i="2"/>
  <c r="Z389" i="2"/>
  <c r="N112" i="107"/>
  <c r="AE405" i="2"/>
  <c r="T183" i="2"/>
  <c r="T196" i="2" s="1"/>
  <c r="K113" i="107"/>
  <c r="O509" i="2"/>
  <c r="E23" i="107"/>
  <c r="S67" i="2"/>
  <c r="S68" i="2"/>
  <c r="S81" i="2" s="1"/>
  <c r="L537" i="2"/>
  <c r="E95" i="107"/>
  <c r="S87" i="2"/>
  <c r="S86" i="2" s="1"/>
  <c r="R435" i="2"/>
  <c r="R438" i="2" s="1"/>
  <c r="V241" i="2"/>
  <c r="V239" i="2"/>
  <c r="V259" i="2" s="1"/>
  <c r="V266" i="2" s="1"/>
  <c r="F12" i="107"/>
  <c r="P9" i="65" s="1"/>
  <c r="P11" i="65" s="1"/>
  <c r="E4" i="65" s="1"/>
  <c r="Q90" i="2"/>
  <c r="Q279" i="2"/>
  <c r="Q433" i="2"/>
  <c r="M88" i="107"/>
  <c r="T428" i="2"/>
  <c r="U63" i="2"/>
  <c r="T65" i="2"/>
  <c r="P437" i="2"/>
  <c r="F14" i="107" s="1"/>
  <c r="F9" i="107"/>
  <c r="AK224" i="2"/>
  <c r="AC227" i="2"/>
  <c r="AH164" i="2"/>
  <c r="AH166" i="2" s="1"/>
  <c r="AI162" i="2"/>
  <c r="P480" i="2"/>
  <c r="P481" i="2" s="1"/>
  <c r="P469" i="2"/>
  <c r="P483" i="2" s="1"/>
  <c r="N115" i="107"/>
  <c r="Z382" i="2"/>
  <c r="Z384" i="2" s="1"/>
  <c r="N505" i="2"/>
  <c r="N525" i="2" s="1"/>
  <c r="AA104" i="2"/>
  <c r="O518" i="2"/>
  <c r="Q260" i="2"/>
  <c r="Q267" i="2" s="1"/>
  <c r="Q273" i="2"/>
  <c r="Q254" i="2"/>
  <c r="V587" i="2"/>
  <c r="V588" i="2" s="1"/>
  <c r="W584" i="2" s="1"/>
  <c r="E9" i="107"/>
  <c r="E18" i="107"/>
  <c r="R80" i="2"/>
  <c r="S83" i="2"/>
  <c r="R119" i="2"/>
  <c r="R148" i="2"/>
  <c r="R118" i="2"/>
  <c r="R147" i="2"/>
  <c r="R154" i="2"/>
  <c r="R233" i="2"/>
  <c r="R245" i="2" s="1"/>
  <c r="R246" i="2" s="1"/>
  <c r="R150" i="2"/>
  <c r="R149" i="2"/>
  <c r="R232" i="2"/>
  <c r="P126" i="2"/>
  <c r="P124" i="2"/>
  <c r="P137" i="2" s="1"/>
  <c r="Q187" i="2"/>
  <c r="Q251" i="2"/>
  <c r="Q272" i="2"/>
  <c r="Q284" i="2"/>
  <c r="Q285" i="2" s="1"/>
  <c r="W77" i="2"/>
  <c r="W78" i="2"/>
  <c r="W217" i="2" s="1"/>
  <c r="X75" i="2"/>
  <c r="Y71" i="2"/>
  <c r="Q581" i="2"/>
  <c r="R577" i="2" s="1"/>
  <c r="W84" i="2"/>
  <c r="V235" i="2"/>
  <c r="V249" i="2" s="1"/>
  <c r="V250" i="2" s="1"/>
  <c r="V178" i="2"/>
  <c r="V177" i="2"/>
  <c r="V179" i="2" s="1"/>
  <c r="V181" i="2" s="1"/>
  <c r="V212" i="2"/>
  <c r="V182" i="2"/>
  <c r="V209" i="2"/>
  <c r="V210" i="2"/>
  <c r="V211" i="2"/>
  <c r="V236" i="2"/>
  <c r="M116" i="107"/>
  <c r="U213" i="2"/>
  <c r="U261" i="2"/>
  <c r="U268" i="2" s="1"/>
  <c r="AG414" i="2"/>
  <c r="Y54" i="2"/>
  <c r="Z55" i="2"/>
  <c r="AG169" i="2"/>
  <c r="AF171" i="2"/>
  <c r="AF173" i="2" s="1"/>
  <c r="E55" i="107"/>
  <c r="R137" i="2"/>
  <c r="Q265" i="2"/>
  <c r="Q151" i="2"/>
  <c r="X61" i="2"/>
  <c r="X62" i="2"/>
  <c r="X455" i="2"/>
  <c r="X457" i="2" s="1"/>
  <c r="O504" i="2"/>
  <c r="O519" i="2"/>
  <c r="AA421" i="2"/>
  <c r="AA424" i="2" s="1"/>
  <c r="AA426" i="2" s="1"/>
  <c r="AA244" i="2" s="1"/>
  <c r="AB404" i="2"/>
  <c r="AA407" i="2"/>
  <c r="AA409" i="2" s="1"/>
  <c r="Q92" i="2"/>
  <c r="Q93" i="2" s="1"/>
  <c r="P280" i="2"/>
  <c r="P282" i="2" s="1"/>
  <c r="P441" i="2"/>
  <c r="P449" i="2" s="1"/>
  <c r="P451" i="2" s="1"/>
  <c r="E20" i="107"/>
  <c r="E14" i="107"/>
  <c r="L10" i="107"/>
  <c r="O445" i="2"/>
  <c r="O443" i="2"/>
  <c r="O446" i="2" s="1"/>
  <c r="F18" i="107"/>
  <c r="M10" i="107"/>
  <c r="P502" i="2"/>
  <c r="P522" i="2"/>
  <c r="F84" i="107" s="1"/>
  <c r="AB367" i="2"/>
  <c r="AA369" i="2"/>
  <c r="AA372" i="2" s="1"/>
  <c r="AA370" i="2"/>
  <c r="AB368" i="2"/>
  <c r="AA416" i="2"/>
  <c r="AA418" i="2" s="1"/>
  <c r="AA381" i="2"/>
  <c r="AA417" i="2"/>
  <c r="AA419" i="2" s="1"/>
  <c r="AA422" i="2"/>
  <c r="Q120" i="2"/>
  <c r="Q122" i="2" s="1"/>
  <c r="Z111" i="2"/>
  <c r="Y113" i="2"/>
  <c r="Y495" i="2"/>
  <c r="N527" i="2"/>
  <c r="N535" i="2"/>
  <c r="Q546" i="2"/>
  <c r="AD359" i="2"/>
  <c r="AD360" i="2" s="1"/>
  <c r="AD408" i="2" s="1"/>
  <c r="AD410" i="2" s="1"/>
  <c r="AC362" i="2"/>
  <c r="AC363" i="2"/>
  <c r="AD361" i="2"/>
  <c r="AC377" i="2"/>
  <c r="M114" i="107"/>
  <c r="M115" i="107"/>
  <c r="E22" i="107"/>
  <c r="M113" i="107"/>
  <c r="U179" i="2"/>
  <c r="U181" i="2" s="1"/>
  <c r="N114" i="107"/>
  <c r="Z425" i="2"/>
  <c r="Z427" i="2" s="1"/>
  <c r="Z248" i="2" s="1"/>
  <c r="Z297" i="2"/>
  <c r="Y328" i="2"/>
  <c r="V140" i="2"/>
  <c r="U144" i="2"/>
  <c r="E84" i="107"/>
  <c r="Y477" i="2"/>
  <c r="M519" i="2"/>
  <c r="M504" i="2"/>
  <c r="N10" i="107"/>
  <c r="T115" i="2"/>
  <c r="U114" i="2"/>
  <c r="F5" i="63"/>
  <c r="F3" i="63"/>
  <c r="N116" i="107"/>
  <c r="G112" i="107"/>
  <c r="I114" i="107"/>
  <c r="S34" i="65" s="1"/>
  <c r="I115" i="107"/>
  <c r="E77" i="107"/>
  <c r="E61" i="107"/>
  <c r="E45" i="107"/>
  <c r="E87" i="107"/>
  <c r="F112" i="107"/>
  <c r="E10" i="107"/>
  <c r="I112" i="107"/>
  <c r="H112" i="107"/>
  <c r="F37" i="107"/>
  <c r="I88" i="107"/>
  <c r="H116" i="107"/>
  <c r="G88" i="107"/>
  <c r="E116" i="107"/>
  <c r="F88" i="107"/>
  <c r="G10" i="107"/>
  <c r="I113" i="107"/>
  <c r="S31" i="65" s="1"/>
  <c r="E113" i="107"/>
  <c r="O31" i="65" s="1"/>
  <c r="G116" i="107"/>
  <c r="J114" i="107"/>
  <c r="F116" i="107"/>
  <c r="F51" i="107"/>
  <c r="H114" i="107"/>
  <c r="R34" i="65" s="1"/>
  <c r="E51" i="107"/>
  <c r="H10" i="107"/>
  <c r="F86" i="107"/>
  <c r="F113" i="107"/>
  <c r="P31" i="65" s="1"/>
  <c r="F85" i="107"/>
  <c r="H113" i="107"/>
  <c r="R31" i="65" s="1"/>
  <c r="E88" i="107"/>
  <c r="E83" i="107"/>
  <c r="F40" i="107"/>
  <c r="G40" i="107"/>
  <c r="G115" i="107"/>
  <c r="F10" i="107"/>
  <c r="H88" i="107"/>
  <c r="J115" i="107"/>
  <c r="J112" i="107"/>
  <c r="I10" i="107"/>
  <c r="G113" i="107"/>
  <c r="Q31" i="65" s="1"/>
  <c r="I116" i="107"/>
  <c r="E112" i="107"/>
  <c r="O28" i="65" s="1"/>
  <c r="F58" i="107"/>
  <c r="E15" i="107"/>
  <c r="E115" i="107"/>
  <c r="E86" i="107"/>
  <c r="J113" i="107"/>
  <c r="K115" i="107"/>
  <c r="E12" i="107"/>
  <c r="O9" i="65" s="1"/>
  <c r="O11" i="65" s="1"/>
  <c r="H115" i="107"/>
  <c r="J10" i="107"/>
  <c r="F48" i="107"/>
  <c r="F115" i="107"/>
  <c r="K10" i="107"/>
  <c r="K116" i="107"/>
  <c r="G51" i="107"/>
  <c r="J116" i="107"/>
  <c r="L116" i="107"/>
  <c r="F114" i="107"/>
  <c r="P34" i="65" s="1"/>
  <c r="G114" i="107"/>
  <c r="Q34" i="65" s="1"/>
  <c r="E85" i="107"/>
  <c r="E114" i="107"/>
  <c r="O34" i="65" s="1"/>
  <c r="K114" i="107"/>
  <c r="F61" i="107"/>
  <c r="L88" i="107"/>
  <c r="L114" i="107"/>
  <c r="J88" i="107"/>
  <c r="L113" i="107"/>
  <c r="K112" i="107"/>
  <c r="L115" i="107"/>
  <c r="K88" i="107"/>
  <c r="T500" i="2"/>
  <c r="T511" i="2" s="1"/>
  <c r="T216" i="2"/>
  <c r="N88" i="107"/>
  <c r="AC8" i="2"/>
  <c r="AC35" i="2" s="1"/>
  <c r="AD7" i="2"/>
  <c r="AC34" i="2"/>
  <c r="AC36" i="2" s="1"/>
  <c r="U287" i="2"/>
  <c r="U288" i="2" s="1"/>
  <c r="AF202" i="2"/>
  <c r="AE206" i="2"/>
  <c r="P188" i="2"/>
  <c r="P189" i="2"/>
  <c r="P255" i="2"/>
  <c r="R240" i="2"/>
  <c r="R238" i="2"/>
  <c r="R258" i="2" s="1"/>
  <c r="AC408" i="2"/>
  <c r="AC410" i="2" s="1"/>
  <c r="F34" i="107"/>
  <c r="W48" i="2"/>
  <c r="W45" i="2"/>
  <c r="X47" i="2"/>
  <c r="N113" i="107"/>
  <c r="R120" i="2" l="1"/>
  <c r="R122" i="2" s="1"/>
  <c r="R151" i="2"/>
  <c r="R498" i="2" s="1"/>
  <c r="AF50" i="2"/>
  <c r="AE51" i="2"/>
  <c r="Q262" i="2"/>
  <c r="Q269" i="2"/>
  <c r="Q468" i="2" s="1"/>
  <c r="Q480" i="2" s="1"/>
  <c r="Q481" i="2" s="1"/>
  <c r="P190" i="2"/>
  <c r="P199" i="2" s="1"/>
  <c r="AG202" i="2"/>
  <c r="AF206" i="2"/>
  <c r="N530" i="2"/>
  <c r="N533" i="2" s="1"/>
  <c r="N537" i="2" s="1"/>
  <c r="N541" i="2"/>
  <c r="AA111" i="2"/>
  <c r="Z113" i="2"/>
  <c r="R502" i="2"/>
  <c r="R522" i="2"/>
  <c r="M505" i="2"/>
  <c r="M525" i="2" s="1"/>
  <c r="AB421" i="2"/>
  <c r="AB424" i="2" s="1"/>
  <c r="AB426" i="2" s="1"/>
  <c r="AB244" i="2" s="1"/>
  <c r="AC404" i="2"/>
  <c r="AB407" i="2"/>
  <c r="AB409" i="2" s="1"/>
  <c r="W241" i="2"/>
  <c r="W239" i="2"/>
  <c r="W259" i="2" s="1"/>
  <c r="W266" i="2" s="1"/>
  <c r="E26" i="107"/>
  <c r="O17" i="65"/>
  <c r="O520" i="2"/>
  <c r="AD227" i="2"/>
  <c r="U428" i="2"/>
  <c r="V63" i="2"/>
  <c r="U65" i="2"/>
  <c r="E9" i="65"/>
  <c r="P28" i="65"/>
  <c r="M520" i="2"/>
  <c r="AA389" i="2"/>
  <c r="AA390" i="2"/>
  <c r="AA476" i="2"/>
  <c r="Q126" i="2"/>
  <c r="Q124" i="2"/>
  <c r="AC367" i="2"/>
  <c r="AB381" i="2"/>
  <c r="AB369" i="2"/>
  <c r="AB372" i="2" s="1"/>
  <c r="AB370" i="2"/>
  <c r="AC368" i="2"/>
  <c r="AB416" i="2"/>
  <c r="AB418" i="2" s="1"/>
  <c r="AB417" i="2"/>
  <c r="AB419" i="2" s="1"/>
  <c r="AB422" i="2"/>
  <c r="AH169" i="2"/>
  <c r="AG171" i="2"/>
  <c r="AG173" i="2" s="1"/>
  <c r="V213" i="2"/>
  <c r="Z71" i="2"/>
  <c r="Y75" i="2"/>
  <c r="R126" i="2"/>
  <c r="R124" i="2"/>
  <c r="AL224" i="2"/>
  <c r="O505" i="2"/>
  <c r="O525" i="2" s="1"/>
  <c r="Q498" i="2"/>
  <c r="Q154" i="2"/>
  <c r="AA55" i="2"/>
  <c r="Z54" i="2"/>
  <c r="X78" i="2"/>
  <c r="X217" i="2" s="1"/>
  <c r="X77" i="2"/>
  <c r="P131" i="2"/>
  <c r="P155" i="2" s="1"/>
  <c r="P134" i="2"/>
  <c r="P129" i="2"/>
  <c r="P130" i="2" s="1"/>
  <c r="W587" i="2"/>
  <c r="W588" i="2" s="1"/>
  <c r="X584" i="2" s="1"/>
  <c r="AB104" i="2"/>
  <c r="P521" i="2"/>
  <c r="F83" i="107" s="1"/>
  <c r="P517" i="2"/>
  <c r="Q437" i="2"/>
  <c r="R580" i="2"/>
  <c r="R590" i="2" s="1"/>
  <c r="R528" i="2" s="1"/>
  <c r="R265" i="2"/>
  <c r="X45" i="2"/>
  <c r="Y47" i="2"/>
  <c r="X48" i="2"/>
  <c r="R273" i="2"/>
  <c r="R260" i="2"/>
  <c r="R267" i="2" s="1"/>
  <c r="R254" i="2"/>
  <c r="AA425" i="2"/>
  <c r="AA427" i="2" s="1"/>
  <c r="AA248" i="2" s="1"/>
  <c r="AA297" i="2"/>
  <c r="P40" i="65"/>
  <c r="Z328" i="2"/>
  <c r="AC378" i="2"/>
  <c r="P445" i="2"/>
  <c r="P443" i="2"/>
  <c r="Y62" i="2"/>
  <c r="Y61" i="2"/>
  <c r="Y455" i="2"/>
  <c r="Y457" i="2" s="1"/>
  <c r="U500" i="2"/>
  <c r="U216" i="2"/>
  <c r="Q188" i="2"/>
  <c r="Q189" i="2"/>
  <c r="Q255" i="2"/>
  <c r="F26" i="107"/>
  <c r="P17" i="65"/>
  <c r="E5" i="65" s="1"/>
  <c r="Q281" i="2"/>
  <c r="T218" i="2"/>
  <c r="T463" i="2" s="1"/>
  <c r="T460" i="2"/>
  <c r="Z395" i="2"/>
  <c r="Z524" i="2" s="1"/>
  <c r="Z105" i="2"/>
  <c r="Y106" i="2"/>
  <c r="Y108" i="2" s="1"/>
  <c r="AD8" i="2"/>
  <c r="AD35" i="2" s="1"/>
  <c r="AE7" i="2"/>
  <c r="AD34" i="2"/>
  <c r="AD36" i="2" s="1"/>
  <c r="F72" i="107"/>
  <c r="O40" i="65"/>
  <c r="F69" i="107"/>
  <c r="P39" i="65"/>
  <c r="U115" i="2"/>
  <c r="V114" i="2"/>
  <c r="AA382" i="2"/>
  <c r="AA384" i="2" s="1"/>
  <c r="V183" i="2"/>
  <c r="V196" i="2" s="1"/>
  <c r="X84" i="2"/>
  <c r="W235" i="2"/>
  <c r="W249" i="2" s="1"/>
  <c r="W250" i="2" s="1"/>
  <c r="W182" i="2"/>
  <c r="W178" i="2"/>
  <c r="W210" i="2"/>
  <c r="W212" i="2"/>
  <c r="W177" i="2"/>
  <c r="W209" i="2"/>
  <c r="W211" i="2"/>
  <c r="W236" i="2"/>
  <c r="S238" i="2"/>
  <c r="S258" i="2" s="1"/>
  <c r="S240" i="2"/>
  <c r="AI164" i="2"/>
  <c r="AI166" i="2" s="1"/>
  <c r="AJ162" i="2"/>
  <c r="R92" i="2"/>
  <c r="R93" i="2" s="1"/>
  <c r="Q280" i="2"/>
  <c r="Q282" i="2" s="1"/>
  <c r="Q441" i="2"/>
  <c r="Q449" i="2" s="1"/>
  <c r="Q451" i="2" s="1"/>
  <c r="L539" i="2"/>
  <c r="L545" i="2"/>
  <c r="E99" i="107"/>
  <c r="Z477" i="2"/>
  <c r="F9" i="65"/>
  <c r="Q28" i="65"/>
  <c r="AE359" i="2"/>
  <c r="AE360" i="2" s="1"/>
  <c r="AD362" i="2"/>
  <c r="AD363" i="2"/>
  <c r="AE361" i="2"/>
  <c r="AD377" i="2"/>
  <c r="V261" i="2"/>
  <c r="V268" i="2" s="1"/>
  <c r="O38" i="65"/>
  <c r="G9" i="65"/>
  <c r="R28" i="65"/>
  <c r="AH414" i="2"/>
  <c r="R90" i="2"/>
  <c r="R95" i="2" s="1"/>
  <c r="R96" i="2" s="1"/>
  <c r="R279" i="2"/>
  <c r="R433" i="2"/>
  <c r="N506" i="2"/>
  <c r="Q95" i="2"/>
  <c r="Q96" i="2" s="1"/>
  <c r="T87" i="2"/>
  <c r="T86" i="2" s="1"/>
  <c r="S435" i="2"/>
  <c r="S438" i="2" s="1"/>
  <c r="AF405" i="2"/>
  <c r="Q397" i="2"/>
  <c r="Q398" i="2" s="1"/>
  <c r="S28" i="65"/>
  <c r="H9" i="65"/>
  <c r="W140" i="2"/>
  <c r="V144" i="2"/>
  <c r="U183" i="2"/>
  <c r="U196" i="2" s="1"/>
  <c r="V287" i="2"/>
  <c r="V288" i="2" s="1"/>
  <c r="R187" i="2"/>
  <c r="R251" i="2"/>
  <c r="R272" i="2"/>
  <c r="R284" i="2"/>
  <c r="R285" i="2" s="1"/>
  <c r="Z494" i="2"/>
  <c r="Z495" i="2" s="1"/>
  <c r="T67" i="2"/>
  <c r="T68" i="2"/>
  <c r="T81" i="2" s="1"/>
  <c r="S80" i="2"/>
  <c r="S119" i="2"/>
  <c r="T83" i="2"/>
  <c r="S149" i="2"/>
  <c r="S118" i="2"/>
  <c r="S148" i="2"/>
  <c r="S147" i="2"/>
  <c r="S154" i="2"/>
  <c r="S233" i="2"/>
  <c r="S245" i="2" s="1"/>
  <c r="S246" i="2" s="1"/>
  <c r="S150" i="2"/>
  <c r="S232" i="2"/>
  <c r="Q469" i="2" l="1"/>
  <c r="Q483" i="2" s="1"/>
  <c r="Q517" i="2" s="1"/>
  <c r="Q518" i="2" s="1"/>
  <c r="S151" i="2"/>
  <c r="S498" i="2" s="1"/>
  <c r="S120" i="2"/>
  <c r="S122" i="2" s="1"/>
  <c r="W213" i="2"/>
  <c r="W500" i="2" s="1"/>
  <c r="W511" i="2" s="1"/>
  <c r="AG50" i="2"/>
  <c r="AF51" i="2"/>
  <c r="R581" i="2"/>
  <c r="S577" i="2" s="1"/>
  <c r="S580" i="2" s="1"/>
  <c r="S590" i="2" s="1"/>
  <c r="S528" i="2" s="1"/>
  <c r="S546" i="2" s="1"/>
  <c r="R269" i="2"/>
  <c r="R468" i="2" s="1"/>
  <c r="R469" i="2" s="1"/>
  <c r="R483" i="2" s="1"/>
  <c r="S137" i="2"/>
  <c r="P486" i="2"/>
  <c r="P487" i="2" s="1"/>
  <c r="P194" i="2"/>
  <c r="P195" i="2" s="1"/>
  <c r="Q190" i="2"/>
  <c r="Q194" i="2" s="1"/>
  <c r="Q195" i="2" s="1"/>
  <c r="AA395" i="2"/>
  <c r="AA524" i="2" s="1"/>
  <c r="AF359" i="2"/>
  <c r="AF360" i="2"/>
  <c r="AF408" i="2" s="1"/>
  <c r="AF410" i="2" s="1"/>
  <c r="AE362" i="2"/>
  <c r="AE363" i="2"/>
  <c r="AF361" i="2"/>
  <c r="AE377" i="2"/>
  <c r="AE378" i="2" s="1"/>
  <c r="AE408" i="2"/>
  <c r="AE410" i="2" s="1"/>
  <c r="X587" i="2"/>
  <c r="X588" i="2" s="1"/>
  <c r="Y584" i="2" s="1"/>
  <c r="AD378" i="2"/>
  <c r="AJ164" i="2"/>
  <c r="AJ166" i="2" s="1"/>
  <c r="AK162" i="2"/>
  <c r="W179" i="2"/>
  <c r="W181" i="2" s="1"/>
  <c r="F28" i="107"/>
  <c r="P14" i="65"/>
  <c r="AC104" i="2"/>
  <c r="AM224" i="2"/>
  <c r="AB425" i="2"/>
  <c r="AB427" i="2" s="1"/>
  <c r="AB248" i="2" s="1"/>
  <c r="AB297" i="2"/>
  <c r="AB111" i="2"/>
  <c r="AA113" i="2"/>
  <c r="V115" i="2"/>
  <c r="W114" i="2"/>
  <c r="AD367" i="2"/>
  <c r="AD368" i="2"/>
  <c r="AC416" i="2"/>
  <c r="AC418" i="2" s="1"/>
  <c r="AC381" i="2"/>
  <c r="AC369" i="2"/>
  <c r="AC372" i="2" s="1"/>
  <c r="AC370" i="2"/>
  <c r="AC417" i="2"/>
  <c r="AC419" i="2" s="1"/>
  <c r="AC422" i="2"/>
  <c r="AI414" i="2"/>
  <c r="T238" i="2"/>
  <c r="T258" i="2" s="1"/>
  <c r="T240" i="2"/>
  <c r="R546" i="2"/>
  <c r="Z61" i="2"/>
  <c r="Z62" i="2"/>
  <c r="Z455" i="2"/>
  <c r="Z457" i="2" s="1"/>
  <c r="Q129" i="2"/>
  <c r="Q130" i="2" s="1"/>
  <c r="Q131" i="2"/>
  <c r="Q155" i="2" s="1"/>
  <c r="Q134" i="2"/>
  <c r="O535" i="2"/>
  <c r="O527" i="2"/>
  <c r="Y84" i="2"/>
  <c r="X235" i="2"/>
  <c r="X249" i="2" s="1"/>
  <c r="X250" i="2" s="1"/>
  <c r="X182" i="2"/>
  <c r="X178" i="2"/>
  <c r="X177" i="2"/>
  <c r="X210" i="2"/>
  <c r="X212" i="2"/>
  <c r="X209" i="2"/>
  <c r="X211" i="2"/>
  <c r="X236" i="2"/>
  <c r="AH171" i="2"/>
  <c r="AH173" i="2" s="1"/>
  <c r="AI169" i="2"/>
  <c r="AC421" i="2"/>
  <c r="AC424" i="2" s="1"/>
  <c r="AC426" i="2" s="1"/>
  <c r="AC244" i="2" s="1"/>
  <c r="AD404" i="2"/>
  <c r="AC407" i="2"/>
  <c r="AC409" i="2" s="1"/>
  <c r="S260" i="2"/>
  <c r="S262" i="2" s="1"/>
  <c r="S273" i="2"/>
  <c r="S254" i="2"/>
  <c r="AA105" i="2"/>
  <c r="Z106" i="2"/>
  <c r="Z108" i="2" s="1"/>
  <c r="P446" i="2"/>
  <c r="F23" i="107" s="1"/>
  <c r="F20" i="107"/>
  <c r="AA328" i="2"/>
  <c r="AA54" i="2"/>
  <c r="AB55" i="2"/>
  <c r="R129" i="2"/>
  <c r="R130" i="2" s="1"/>
  <c r="R131" i="2"/>
  <c r="R155" i="2" s="1"/>
  <c r="R134" i="2"/>
  <c r="M506" i="2"/>
  <c r="N545" i="2"/>
  <c r="N547" i="2" s="1"/>
  <c r="N539" i="2"/>
  <c r="X140" i="2"/>
  <c r="W144" i="2"/>
  <c r="V460" i="2"/>
  <c r="S90" i="2"/>
  <c r="S95" i="2" s="1"/>
  <c r="S96" i="2" s="1"/>
  <c r="S279" i="2"/>
  <c r="S433" i="2"/>
  <c r="Z47" i="2"/>
  <c r="Y45" i="2"/>
  <c r="Y48" i="2"/>
  <c r="Y78" i="2"/>
  <c r="Y217" i="2" s="1"/>
  <c r="Y77" i="2"/>
  <c r="AA477" i="2"/>
  <c r="U68" i="2"/>
  <c r="U81" i="2" s="1"/>
  <c r="U67" i="2"/>
  <c r="E28" i="107"/>
  <c r="O14" i="65"/>
  <c r="S187" i="2"/>
  <c r="S284" i="2"/>
  <c r="S285" i="2" s="1"/>
  <c r="S251" i="2"/>
  <c r="S272" i="2"/>
  <c r="R397" i="2"/>
  <c r="R398" i="2" s="1"/>
  <c r="R437" i="2"/>
  <c r="L547" i="2"/>
  <c r="E105" i="107"/>
  <c r="T137" i="2"/>
  <c r="S265" i="2"/>
  <c r="U87" i="2"/>
  <c r="U86" i="2" s="1"/>
  <c r="T435" i="2"/>
  <c r="R281" i="2"/>
  <c r="Q522" i="2"/>
  <c r="Q502" i="2"/>
  <c r="AA71" i="2"/>
  <c r="Z75" i="2"/>
  <c r="V428" i="2"/>
  <c r="W63" i="2"/>
  <c r="V65" i="2"/>
  <c r="AG206" i="2"/>
  <c r="AH202" i="2"/>
  <c r="T80" i="2"/>
  <c r="T118" i="2"/>
  <c r="T119" i="2"/>
  <c r="U83" i="2"/>
  <c r="T147" i="2"/>
  <c r="T149" i="2"/>
  <c r="T150" i="2"/>
  <c r="T233" i="2"/>
  <c r="T245" i="2" s="1"/>
  <c r="T246" i="2" s="1"/>
  <c r="T148" i="2"/>
  <c r="T232" i="2"/>
  <c r="U218" i="2"/>
  <c r="U463" i="2" s="1"/>
  <c r="U460" i="2"/>
  <c r="Q443" i="2"/>
  <c r="Q445" i="2"/>
  <c r="V500" i="2"/>
  <c r="V511" i="2" s="1"/>
  <c r="V216" i="2"/>
  <c r="V218" i="2" s="1"/>
  <c r="V463" i="2" s="1"/>
  <c r="AB476" i="2"/>
  <c r="AB390" i="2"/>
  <c r="AB389" i="2"/>
  <c r="W261" i="2"/>
  <c r="W268" i="2" s="1"/>
  <c r="S126" i="2"/>
  <c r="S124" i="2"/>
  <c r="S522" i="2"/>
  <c r="W216" i="2"/>
  <c r="W287" i="2"/>
  <c r="W288" i="2" s="1"/>
  <c r="AA494" i="2"/>
  <c r="AA495" i="2" s="1"/>
  <c r="U511" i="2"/>
  <c r="R188" i="2"/>
  <c r="R189" i="2"/>
  <c r="R255" i="2"/>
  <c r="P518" i="2"/>
  <c r="F76" i="107"/>
  <c r="AG405" i="2"/>
  <c r="S92" i="2"/>
  <c r="S93" i="2" s="1"/>
  <c r="R280" i="2"/>
  <c r="R282" i="2" s="1"/>
  <c r="R441" i="2"/>
  <c r="R449" i="2" s="1"/>
  <c r="R451" i="2" s="1"/>
  <c r="X241" i="2"/>
  <c r="X239" i="2"/>
  <c r="X259" i="2" s="1"/>
  <c r="X266" i="2" s="1"/>
  <c r="AE8" i="2"/>
  <c r="AE35" i="2" s="1"/>
  <c r="AE34" i="2"/>
  <c r="AE36" i="2" s="1"/>
  <c r="AF7" i="2"/>
  <c r="R262" i="2"/>
  <c r="O506" i="2"/>
  <c r="AB382" i="2"/>
  <c r="AB384" i="2" s="1"/>
  <c r="M527" i="2"/>
  <c r="M535" i="2"/>
  <c r="AE227" i="2"/>
  <c r="X179" i="2" l="1"/>
  <c r="X181" i="2" s="1"/>
  <c r="X213" i="2"/>
  <c r="X500" i="2" s="1"/>
  <c r="X511" i="2" s="1"/>
  <c r="Q486" i="2"/>
  <c r="Q487" i="2" s="1"/>
  <c r="P509" i="2"/>
  <c r="F45" i="107"/>
  <c r="F66" i="107" s="1"/>
  <c r="R480" i="2"/>
  <c r="R481" i="2" s="1"/>
  <c r="Q199" i="2"/>
  <c r="AH50" i="2"/>
  <c r="AG51" i="2"/>
  <c r="S581" i="2"/>
  <c r="T577" i="2" s="1"/>
  <c r="R190" i="2"/>
  <c r="R194" i="2" s="1"/>
  <c r="R195" i="2" s="1"/>
  <c r="Y587" i="2"/>
  <c r="Y588" i="2" s="1"/>
  <c r="Z584" i="2" s="1"/>
  <c r="X144" i="2"/>
  <c r="Y140" i="2"/>
  <c r="AB54" i="2"/>
  <c r="AC55" i="2"/>
  <c r="AD421" i="2"/>
  <c r="AD424" i="2" s="1"/>
  <c r="AD426" i="2" s="1"/>
  <c r="AD244" i="2" s="1"/>
  <c r="AE404" i="2"/>
  <c r="AD407" i="2"/>
  <c r="AD409" i="2" s="1"/>
  <c r="U137" i="2"/>
  <c r="T265" i="2"/>
  <c r="AC382" i="2"/>
  <c r="AC384" i="2" s="1"/>
  <c r="O541" i="2"/>
  <c r="O530" i="2"/>
  <c r="O533" i="2" s="1"/>
  <c r="O537" i="2" s="1"/>
  <c r="X261" i="2"/>
  <c r="X268" i="2" s="1"/>
  <c r="R517" i="2"/>
  <c r="R521" i="2"/>
  <c r="T90" i="2"/>
  <c r="T279" i="2"/>
  <c r="T433" i="2"/>
  <c r="V83" i="2"/>
  <c r="U118" i="2"/>
  <c r="U80" i="2"/>
  <c r="U119" i="2"/>
  <c r="U148" i="2"/>
  <c r="U149" i="2"/>
  <c r="U150" i="2"/>
  <c r="U233" i="2"/>
  <c r="U245" i="2" s="1"/>
  <c r="U246" i="2" s="1"/>
  <c r="U154" i="2"/>
  <c r="U147" i="2"/>
  <c r="U232" i="2"/>
  <c r="P504" i="2"/>
  <c r="P519" i="2"/>
  <c r="F79" i="107" s="1"/>
  <c r="F81" i="107" s="1"/>
  <c r="F82" i="107" s="1"/>
  <c r="S437" i="2"/>
  <c r="AA61" i="2"/>
  <c r="AA62" i="2"/>
  <c r="AA455" i="2"/>
  <c r="AA457" i="2" s="1"/>
  <c r="AB105" i="2"/>
  <c r="AA106" i="2"/>
  <c r="AA108" i="2" s="1"/>
  <c r="Q509" i="2"/>
  <c r="AB328" i="2"/>
  <c r="P20" i="65"/>
  <c r="E6" i="65" s="1"/>
  <c r="T438" i="2"/>
  <c r="G12" i="107"/>
  <c r="Q9" i="65" s="1"/>
  <c r="Q11" i="65" s="1"/>
  <c r="F4" i="65" s="1"/>
  <c r="AC389" i="2"/>
  <c r="AC390" i="2"/>
  <c r="AC476" i="2"/>
  <c r="E29" i="107"/>
  <c r="O4" i="65"/>
  <c r="R443" i="2"/>
  <c r="R446" i="2" s="1"/>
  <c r="R445" i="2"/>
  <c r="AB395" i="2"/>
  <c r="AB524" i="2" s="1"/>
  <c r="T187" i="2"/>
  <c r="T272" i="2"/>
  <c r="T284" i="2"/>
  <c r="T285" i="2" s="1"/>
  <c r="T251" i="2"/>
  <c r="AH206" i="2"/>
  <c r="AI202" i="2"/>
  <c r="V87" i="2"/>
  <c r="V86" i="2" s="1"/>
  <c r="U435" i="2"/>
  <c r="S281" i="2"/>
  <c r="N571" i="2"/>
  <c r="N549" i="2"/>
  <c r="AJ169" i="2"/>
  <c r="AI171" i="2"/>
  <c r="AI173" i="2" s="1"/>
  <c r="X183" i="2"/>
  <c r="X196" i="2" s="1"/>
  <c r="AJ414" i="2"/>
  <c r="F29" i="107"/>
  <c r="P5" i="65" s="1"/>
  <c r="P6" i="65" s="1"/>
  <c r="P4" i="65"/>
  <c r="AC111" i="2"/>
  <c r="AB113" i="2"/>
  <c r="AB494" i="2"/>
  <c r="AB495" i="2" s="1"/>
  <c r="AB71" i="2"/>
  <c r="AA75" i="2"/>
  <c r="T92" i="2"/>
  <c r="T93" i="2" s="1"/>
  <c r="S280" i="2"/>
  <c r="S282" i="2" s="1"/>
  <c r="S441" i="2"/>
  <c r="S449" i="2" s="1"/>
  <c r="S451" i="2" s="1"/>
  <c r="AE367" i="2"/>
  <c r="AD369" i="2"/>
  <c r="AD372" i="2" s="1"/>
  <c r="AD370" i="2"/>
  <c r="AE368" i="2"/>
  <c r="AD381" i="2"/>
  <c r="AD382" i="2" s="1"/>
  <c r="AD384" i="2" s="1"/>
  <c r="AD416" i="2"/>
  <c r="AD418" i="2" s="1"/>
  <c r="AD417" i="2"/>
  <c r="AD419" i="2" s="1"/>
  <c r="AD422" i="2"/>
  <c r="AN224" i="2"/>
  <c r="W183" i="2"/>
  <c r="W196" i="2" s="1"/>
  <c r="T273" i="2"/>
  <c r="T254" i="2"/>
  <c r="T260" i="2"/>
  <c r="T262" i="2" s="1"/>
  <c r="T120" i="2"/>
  <c r="T122" i="2" s="1"/>
  <c r="AF8" i="2"/>
  <c r="AF35" i="2" s="1"/>
  <c r="AF34" i="2"/>
  <c r="AF36" i="2" s="1"/>
  <c r="AG7" i="2"/>
  <c r="AB477" i="2"/>
  <c r="Q446" i="2"/>
  <c r="V67" i="2"/>
  <c r="V68" i="2"/>
  <c r="V81" i="2" s="1"/>
  <c r="R486" i="2"/>
  <c r="S188" i="2"/>
  <c r="S189" i="2"/>
  <c r="S255" i="2"/>
  <c r="S298" i="2" s="1"/>
  <c r="X216" i="2"/>
  <c r="AC425" i="2"/>
  <c r="AC427" i="2" s="1"/>
  <c r="AC248" i="2" s="1"/>
  <c r="AC297" i="2"/>
  <c r="W115" i="2"/>
  <c r="X114" i="2"/>
  <c r="AL162" i="2"/>
  <c r="AK164" i="2"/>
  <c r="AK166" i="2" s="1"/>
  <c r="M530" i="2"/>
  <c r="M541" i="2"/>
  <c r="T580" i="2"/>
  <c r="T590" i="2" s="1"/>
  <c r="T528" i="2" s="1"/>
  <c r="T546" i="2" s="1"/>
  <c r="G106" i="107" s="1"/>
  <c r="T151" i="2"/>
  <c r="W428" i="2"/>
  <c r="W65" i="2"/>
  <c r="X63" i="2"/>
  <c r="L549" i="2"/>
  <c r="L571" i="2"/>
  <c r="E127" i="107" s="1"/>
  <c r="E107" i="107"/>
  <c r="S397" i="2"/>
  <c r="S398" i="2" s="1"/>
  <c r="Z84" i="2"/>
  <c r="Y182" i="2"/>
  <c r="Y178" i="2"/>
  <c r="Y177" i="2"/>
  <c r="Y210" i="2"/>
  <c r="Y235" i="2"/>
  <c r="Y249" i="2" s="1"/>
  <c r="Y250" i="2" s="1"/>
  <c r="Y209" i="2"/>
  <c r="Y236" i="2"/>
  <c r="Y212" i="2"/>
  <c r="Y211" i="2"/>
  <c r="X287" i="2"/>
  <c r="X288" i="2" s="1"/>
  <c r="AD104" i="2"/>
  <c r="AG359" i="2"/>
  <c r="AG360" i="2" s="1"/>
  <c r="AG361" i="2"/>
  <c r="AF377" i="2"/>
  <c r="AF362" i="2"/>
  <c r="AF363" i="2"/>
  <c r="Z77" i="2"/>
  <c r="Z78" i="2"/>
  <c r="Z217" i="2" s="1"/>
  <c r="P520" i="2"/>
  <c r="F77" i="107"/>
  <c r="AF227" i="2"/>
  <c r="AH405" i="2"/>
  <c r="S129" i="2"/>
  <c r="S130" i="2" s="1"/>
  <c r="S131" i="2"/>
  <c r="S155" i="2" s="1"/>
  <c r="S134" i="2"/>
  <c r="U238" i="2"/>
  <c r="U258" i="2" s="1"/>
  <c r="U240" i="2"/>
  <c r="Z48" i="2"/>
  <c r="Z45" i="2"/>
  <c r="AA47" i="2"/>
  <c r="S267" i="2"/>
  <c r="S269" i="2" s="1"/>
  <c r="S468" i="2" s="1"/>
  <c r="S302" i="2"/>
  <c r="Y241" i="2"/>
  <c r="Y239" i="2"/>
  <c r="Y259" i="2" s="1"/>
  <c r="Y266" i="2" s="1"/>
  <c r="U151" i="2" l="1"/>
  <c r="U498" i="2" s="1"/>
  <c r="AI50" i="2"/>
  <c r="AH51" i="2"/>
  <c r="R199" i="2"/>
  <c r="T581" i="2"/>
  <c r="U577" i="2" s="1"/>
  <c r="AF378" i="2"/>
  <c r="S190" i="2"/>
  <c r="S486" i="2" s="1"/>
  <c r="AC395" i="2"/>
  <c r="AC524" i="2" s="1"/>
  <c r="S469" i="2"/>
  <c r="S483" i="2" s="1"/>
  <c r="AD494" i="2"/>
  <c r="AD495" i="2" s="1"/>
  <c r="Z241" i="2"/>
  <c r="Z239" i="2"/>
  <c r="Z259" i="2" s="1"/>
  <c r="Z266" i="2" s="1"/>
  <c r="U438" i="2"/>
  <c r="G80" i="107"/>
  <c r="U95" i="2"/>
  <c r="U96" i="2" s="1"/>
  <c r="U90" i="2"/>
  <c r="U279" i="2"/>
  <c r="U433" i="2"/>
  <c r="P505" i="2"/>
  <c r="P525" i="2" s="1"/>
  <c r="F87" i="107" s="1"/>
  <c r="X115" i="2"/>
  <c r="Y114" i="2"/>
  <c r="W218" i="2"/>
  <c r="W463" i="2" s="1"/>
  <c r="W460" i="2"/>
  <c r="AK169" i="2"/>
  <c r="AJ171" i="2"/>
  <c r="AJ173" i="2" s="1"/>
  <c r="AI206" i="2"/>
  <c r="AJ202" i="2"/>
  <c r="U522" i="2"/>
  <c r="U120" i="2"/>
  <c r="U122" i="2" s="1"/>
  <c r="R518" i="2"/>
  <c r="AC494" i="2"/>
  <c r="AD55" i="2"/>
  <c r="AC54" i="2"/>
  <c r="AH359" i="2"/>
  <c r="AH360" i="2" s="1"/>
  <c r="AH361" i="2"/>
  <c r="AG362" i="2"/>
  <c r="AG363" i="2"/>
  <c r="AG377" i="2"/>
  <c r="O545" i="2"/>
  <c r="O547" i="2" s="1"/>
  <c r="O539" i="2"/>
  <c r="AG408" i="2"/>
  <c r="AG410" i="2" s="1"/>
  <c r="AA84" i="2"/>
  <c r="Z235" i="2"/>
  <c r="Z249" i="2" s="1"/>
  <c r="Z250" i="2" s="1"/>
  <c r="Z182" i="2"/>
  <c r="Z211" i="2"/>
  <c r="Z210" i="2"/>
  <c r="Z177" i="2"/>
  <c r="Z179" i="2" s="1"/>
  <c r="Z181" i="2" s="1"/>
  <c r="Z212" i="2"/>
  <c r="Z178" i="2"/>
  <c r="Z209" i="2"/>
  <c r="Z236" i="2"/>
  <c r="V238" i="2"/>
  <c r="V258" i="2" s="1"/>
  <c r="V240" i="2"/>
  <c r="AB61" i="2"/>
  <c r="AB62" i="2"/>
  <c r="AB455" i="2"/>
  <c r="AB457" i="2" s="1"/>
  <c r="X218" i="2"/>
  <c r="X463" i="2" s="1"/>
  <c r="X460" i="2"/>
  <c r="AE421" i="2"/>
  <c r="AE424" i="2" s="1"/>
  <c r="AE426" i="2" s="1"/>
  <c r="AE244" i="2" s="1"/>
  <c r="AF404" i="2"/>
  <c r="AE407" i="2"/>
  <c r="AE409" i="2" s="1"/>
  <c r="P535" i="2"/>
  <c r="F97" i="107" s="1"/>
  <c r="T498" i="2"/>
  <c r="T154" i="2"/>
  <c r="U580" i="2"/>
  <c r="U590" i="2" s="1"/>
  <c r="U528" i="2" s="1"/>
  <c r="R487" i="2"/>
  <c r="R509" i="2"/>
  <c r="AD389" i="2"/>
  <c r="AD390" i="2"/>
  <c r="AD476" i="2"/>
  <c r="U260" i="2"/>
  <c r="U273" i="2"/>
  <c r="U254" i="2"/>
  <c r="AC328" i="2"/>
  <c r="W87" i="2"/>
  <c r="W86" i="2" s="1"/>
  <c r="V435" i="2"/>
  <c r="V438" i="2" s="1"/>
  <c r="AF367" i="2"/>
  <c r="AE369" i="2"/>
  <c r="AE372" i="2" s="1"/>
  <c r="AF368" i="2"/>
  <c r="AE416" i="2"/>
  <c r="AE418" i="2" s="1"/>
  <c r="AE381" i="2"/>
  <c r="AE417" i="2"/>
  <c r="AE419" i="2" s="1"/>
  <c r="AE422" i="2"/>
  <c r="AB75" i="2"/>
  <c r="AC71" i="2"/>
  <c r="Q519" i="2"/>
  <c r="Q504" i="2"/>
  <c r="U187" i="2"/>
  <c r="U272" i="2"/>
  <c r="U251" i="2"/>
  <c r="U284" i="2"/>
  <c r="U285" i="2" s="1"/>
  <c r="Y144" i="2"/>
  <c r="Z140" i="2"/>
  <c r="U92" i="2"/>
  <c r="U93" i="2" s="1"/>
  <c r="T280" i="2"/>
  <c r="T282" i="2" s="1"/>
  <c r="T441" i="2"/>
  <c r="T449" i="2" s="1"/>
  <c r="T451" i="2" s="1"/>
  <c r="AL164" i="2"/>
  <c r="AL166" i="2" s="1"/>
  <c r="AM162" i="2"/>
  <c r="AH7" i="2"/>
  <c r="AG8" i="2"/>
  <c r="AG35" i="2" s="1"/>
  <c r="AG34" i="2"/>
  <c r="AG36" i="2" s="1"/>
  <c r="AI405" i="2"/>
  <c r="Y287" i="2"/>
  <c r="Y288" i="2" s="1"/>
  <c r="AO224" i="2"/>
  <c r="AA77" i="2"/>
  <c r="AA78" i="2"/>
  <c r="AA217" i="2" s="1"/>
  <c r="Y261" i="2"/>
  <c r="Y268" i="2" s="1"/>
  <c r="U265" i="2"/>
  <c r="Y179" i="2"/>
  <c r="Y181" i="2" s="1"/>
  <c r="L566" i="2"/>
  <c r="L569" i="2" s="1"/>
  <c r="L573" i="2"/>
  <c r="E130" i="107" s="1"/>
  <c r="E109" i="107"/>
  <c r="M533" i="2"/>
  <c r="W83" i="2"/>
  <c r="V118" i="2"/>
  <c r="V80" i="2"/>
  <c r="V149" i="2"/>
  <c r="V119" i="2"/>
  <c r="V150" i="2"/>
  <c r="V148" i="2"/>
  <c r="V147" i="2"/>
  <c r="V233" i="2"/>
  <c r="V245" i="2" s="1"/>
  <c r="V246" i="2" s="1"/>
  <c r="V154" i="2"/>
  <c r="V232" i="2"/>
  <c r="T124" i="2"/>
  <c r="T126" i="2"/>
  <c r="AD425" i="2"/>
  <c r="AD427" i="2" s="1"/>
  <c r="AD248" i="2" s="1"/>
  <c r="AD297" i="2"/>
  <c r="AK414" i="2"/>
  <c r="N566" i="2"/>
  <c r="N573" i="2"/>
  <c r="T437" i="2"/>
  <c r="AD111" i="2"/>
  <c r="AC113" i="2"/>
  <c r="AC105" i="2"/>
  <c r="AB106" i="2"/>
  <c r="AB108" i="2" s="1"/>
  <c r="AE104" i="2"/>
  <c r="AG227" i="2"/>
  <c r="T267" i="2"/>
  <c r="T269" i="2" s="1"/>
  <c r="T468" i="2" s="1"/>
  <c r="T302" i="2"/>
  <c r="S445" i="2"/>
  <c r="S443" i="2"/>
  <c r="AC477" i="2"/>
  <c r="T281" i="2"/>
  <c r="Z587" i="2"/>
  <c r="Z588" i="2" s="1"/>
  <c r="AA584" i="2" s="1"/>
  <c r="S303" i="2"/>
  <c r="Y213" i="2"/>
  <c r="X428" i="2"/>
  <c r="X65" i="2"/>
  <c r="Y63" i="2"/>
  <c r="AA45" i="2"/>
  <c r="AB47" i="2"/>
  <c r="AA48" i="2"/>
  <c r="W68" i="2"/>
  <c r="W81" i="2" s="1"/>
  <c r="W67" i="2"/>
  <c r="S335" i="2"/>
  <c r="S326" i="2"/>
  <c r="S299" i="2"/>
  <c r="T188" i="2"/>
  <c r="T255" i="2"/>
  <c r="T298" i="2" s="1"/>
  <c r="T189" i="2"/>
  <c r="T397" i="2"/>
  <c r="T398" i="2" s="1"/>
  <c r="T95" i="2"/>
  <c r="T96" i="2" s="1"/>
  <c r="T190" i="2" l="1"/>
  <c r="T199" i="2" s="1"/>
  <c r="S194" i="2"/>
  <c r="S195" i="2" s="1"/>
  <c r="V151" i="2"/>
  <c r="V498" i="2" s="1"/>
  <c r="S199" i="2"/>
  <c r="AJ50" i="2"/>
  <c r="AI51" i="2"/>
  <c r="U581" i="2"/>
  <c r="V577" i="2" s="1"/>
  <c r="P527" i="2"/>
  <c r="S487" i="2"/>
  <c r="S509" i="2"/>
  <c r="AD395" i="2"/>
  <c r="AD524" i="2" s="1"/>
  <c r="P506" i="2"/>
  <c r="AI359" i="2"/>
  <c r="AI360" i="2" s="1"/>
  <c r="AI361" i="2"/>
  <c r="AH377" i="2"/>
  <c r="AH362" i="2"/>
  <c r="AH363" i="2"/>
  <c r="AH408" i="2"/>
  <c r="AH410" i="2" s="1"/>
  <c r="AA587" i="2"/>
  <c r="AA588" i="2" s="1"/>
  <c r="AB584" i="2" s="1"/>
  <c r="X68" i="2"/>
  <c r="X81" i="2" s="1"/>
  <c r="X67" i="2"/>
  <c r="U267" i="2"/>
  <c r="U269" i="2" s="1"/>
  <c r="U468" i="2" s="1"/>
  <c r="U302" i="2"/>
  <c r="T303" i="2"/>
  <c r="Y500" i="2"/>
  <c r="Y216" i="2"/>
  <c r="AD105" i="2"/>
  <c r="AC106" i="2"/>
  <c r="AC108" i="2" s="1"/>
  <c r="AF104" i="2"/>
  <c r="V187" i="2"/>
  <c r="V272" i="2"/>
  <c r="V251" i="2"/>
  <c r="V284" i="2"/>
  <c r="V285" i="2" s="1"/>
  <c r="W238" i="2"/>
  <c r="W258" i="2" s="1"/>
  <c r="W240" i="2"/>
  <c r="AJ405" i="2"/>
  <c r="Q505" i="2"/>
  <c r="Q525" i="2" s="1"/>
  <c r="AC62" i="2"/>
  <c r="AC61" i="2"/>
  <c r="AC455" i="2"/>
  <c r="AC457" i="2" s="1"/>
  <c r="Y115" i="2"/>
  <c r="Z114" i="2"/>
  <c r="V92" i="2"/>
  <c r="V93" i="2" s="1"/>
  <c r="U280" i="2"/>
  <c r="U282" i="2" s="1"/>
  <c r="U441" i="2"/>
  <c r="U449" i="2" s="1"/>
  <c r="U451" i="2" s="1"/>
  <c r="Q520" i="2"/>
  <c r="Z183" i="2"/>
  <c r="Z196" i="2" s="1"/>
  <c r="O571" i="2"/>
  <c r="O549" i="2"/>
  <c r="AE55" i="2"/>
  <c r="AD54" i="2"/>
  <c r="AD71" i="2"/>
  <c r="AC75" i="2"/>
  <c r="AG367" i="2"/>
  <c r="AF369" i="2"/>
  <c r="AF372" i="2" s="1"/>
  <c r="AG368" i="2"/>
  <c r="AF416" i="2"/>
  <c r="AF418" i="2" s="1"/>
  <c r="AF381" i="2"/>
  <c r="AF382" i="2" s="1"/>
  <c r="AF384" i="2" s="1"/>
  <c r="AF417" i="2"/>
  <c r="AF419" i="2" s="1"/>
  <c r="AF422" i="2"/>
  <c r="U188" i="2"/>
  <c r="U190" i="2" s="1"/>
  <c r="U189" i="2"/>
  <c r="U255" i="2"/>
  <c r="U298" i="2" s="1"/>
  <c r="V580" i="2"/>
  <c r="V590" i="2" s="1"/>
  <c r="V528" i="2" s="1"/>
  <c r="V546" i="2" s="1"/>
  <c r="V581" i="2"/>
  <c r="W577" i="2" s="1"/>
  <c r="V260" i="2"/>
  <c r="V262" i="2" s="1"/>
  <c r="V273" i="2"/>
  <c r="V254" i="2"/>
  <c r="AG378" i="2"/>
  <c r="AC495" i="2"/>
  <c r="AJ206" i="2"/>
  <c r="AK202" i="2"/>
  <c r="AB84" i="2"/>
  <c r="AA235" i="2"/>
  <c r="AA249" i="2" s="1"/>
  <c r="AA250" i="2" s="1"/>
  <c r="AA177" i="2"/>
  <c r="AA178" i="2"/>
  <c r="AA211" i="2"/>
  <c r="AA182" i="2"/>
  <c r="AA212" i="2"/>
  <c r="AA209" i="2"/>
  <c r="AA210" i="2"/>
  <c r="AA236" i="2"/>
  <c r="AA140" i="2"/>
  <c r="Z144" i="2"/>
  <c r="AE390" i="2"/>
  <c r="AE389" i="2"/>
  <c r="AE476" i="2"/>
  <c r="R519" i="2"/>
  <c r="R504" i="2"/>
  <c r="AF421" i="2"/>
  <c r="AF424" i="2" s="1"/>
  <c r="AF426" i="2" s="1"/>
  <c r="AF244" i="2" s="1"/>
  <c r="AG404" i="2"/>
  <c r="AF407" i="2"/>
  <c r="AF409" i="2" s="1"/>
  <c r="T469" i="2"/>
  <c r="T483" i="2" s="1"/>
  <c r="S446" i="2"/>
  <c r="AD328" i="2"/>
  <c r="M537" i="2"/>
  <c r="U262" i="2"/>
  <c r="AP224" i="2"/>
  <c r="S337" i="2"/>
  <c r="S330" i="2"/>
  <c r="S331" i="2" s="1"/>
  <c r="Y428" i="2"/>
  <c r="Z63" i="2"/>
  <c r="Y65" i="2"/>
  <c r="AD113" i="2"/>
  <c r="AE111" i="2"/>
  <c r="AH8" i="2"/>
  <c r="AH35" i="2" s="1"/>
  <c r="AI7" i="2"/>
  <c r="AH34" i="2"/>
  <c r="AH36" i="2" s="1"/>
  <c r="AB77" i="2"/>
  <c r="AB78" i="2"/>
  <c r="AB217" i="2" s="1"/>
  <c r="U546" i="2"/>
  <c r="W137" i="2"/>
  <c r="V265" i="2"/>
  <c r="S291" i="2"/>
  <c r="S290" i="2" s="1"/>
  <c r="S318" i="2"/>
  <c r="S312" i="2"/>
  <c r="S311" i="2"/>
  <c r="AB45" i="2"/>
  <c r="AC47" i="2"/>
  <c r="AB48" i="2"/>
  <c r="AL414" i="2"/>
  <c r="T129" i="2"/>
  <c r="T130" i="2" s="1"/>
  <c r="T134" i="2"/>
  <c r="T131" i="2"/>
  <c r="T155" i="2" s="1"/>
  <c r="T486" i="2"/>
  <c r="T487" i="2" s="1"/>
  <c r="AE425" i="2"/>
  <c r="AE427" i="2" s="1"/>
  <c r="AE248" i="2" s="1"/>
  <c r="AE297" i="2"/>
  <c r="AD477" i="2"/>
  <c r="T522" i="2"/>
  <c r="G55" i="107"/>
  <c r="Z287" i="2"/>
  <c r="Z288" i="2" s="1"/>
  <c r="AL169" i="2"/>
  <c r="AK171" i="2"/>
  <c r="AK173" i="2" s="1"/>
  <c r="S517" i="2"/>
  <c r="S521" i="2"/>
  <c r="X83" i="2"/>
  <c r="W118" i="2"/>
  <c r="W80" i="2"/>
  <c r="W119" i="2"/>
  <c r="W149" i="2"/>
  <c r="W150" i="2"/>
  <c r="W147" i="2"/>
  <c r="W233" i="2"/>
  <c r="W245" i="2" s="1"/>
  <c r="W246" i="2" s="1"/>
  <c r="W148" i="2"/>
  <c r="W232" i="2"/>
  <c r="X87" i="2"/>
  <c r="X86" i="2" s="1"/>
  <c r="W435" i="2"/>
  <c r="W438" i="2" s="1"/>
  <c r="T335" i="2"/>
  <c r="T326" i="2"/>
  <c r="T299" i="2"/>
  <c r="AH227" i="2"/>
  <c r="V90" i="2"/>
  <c r="V95" i="2" s="1"/>
  <c r="V96" i="2" s="1"/>
  <c r="V279" i="2"/>
  <c r="V281" i="2" s="1"/>
  <c r="V433" i="2"/>
  <c r="E125" i="107"/>
  <c r="M568" i="2"/>
  <c r="T443" i="2"/>
  <c r="T446" i="2" s="1"/>
  <c r="T445" i="2"/>
  <c r="G18" i="107"/>
  <c r="U397" i="2"/>
  <c r="U398" i="2" s="1"/>
  <c r="AE382" i="2"/>
  <c r="AE384" i="2" s="1"/>
  <c r="Z213" i="2"/>
  <c r="AA241" i="2"/>
  <c r="AA239" i="2"/>
  <c r="AA259" i="2" s="1"/>
  <c r="AA266" i="2" s="1"/>
  <c r="U124" i="2"/>
  <c r="V137" i="2" s="1"/>
  <c r="U126" i="2"/>
  <c r="U437" i="2"/>
  <c r="Z261" i="2"/>
  <c r="Z268" i="2" s="1"/>
  <c r="V522" i="2"/>
  <c r="AM164" i="2"/>
  <c r="AM166" i="2" s="1"/>
  <c r="AN162" i="2"/>
  <c r="V120" i="2"/>
  <c r="V122" i="2" s="1"/>
  <c r="Y183" i="2"/>
  <c r="Y196" i="2" s="1"/>
  <c r="P530" i="2"/>
  <c r="P541" i="2"/>
  <c r="F101" i="107" s="1"/>
  <c r="F89" i="107"/>
  <c r="U281" i="2"/>
  <c r="S519" i="2"/>
  <c r="T194" i="2" l="1"/>
  <c r="T195" i="2" s="1"/>
  <c r="W120" i="2"/>
  <c r="W122" i="2" s="1"/>
  <c r="W126" i="2" s="1"/>
  <c r="U303" i="2"/>
  <c r="AK50" i="2"/>
  <c r="AJ51" i="2"/>
  <c r="AA213" i="2"/>
  <c r="AA500" i="2" s="1"/>
  <c r="AA511" i="2" s="1"/>
  <c r="T509" i="2"/>
  <c r="Q506" i="2"/>
  <c r="AH378" i="2"/>
  <c r="AE395" i="2"/>
  <c r="AE524" i="2" s="1"/>
  <c r="U469" i="2"/>
  <c r="U483" i="2" s="1"/>
  <c r="AB587" i="2"/>
  <c r="AB588" i="2" s="1"/>
  <c r="AC584" i="2" s="1"/>
  <c r="AJ359" i="2"/>
  <c r="AJ360" i="2" s="1"/>
  <c r="AI377" i="2"/>
  <c r="AJ361" i="2"/>
  <c r="AI362" i="2"/>
  <c r="AI363" i="2"/>
  <c r="AI408" i="2"/>
  <c r="AI410" i="2" s="1"/>
  <c r="AK405" i="2"/>
  <c r="P21" i="65"/>
  <c r="E7" i="65"/>
  <c r="P533" i="2"/>
  <c r="F92" i="107"/>
  <c r="W90" i="2"/>
  <c r="W95" i="2" s="1"/>
  <c r="W96" i="2" s="1"/>
  <c r="W279" i="2"/>
  <c r="W433" i="2"/>
  <c r="R520" i="2"/>
  <c r="G23" i="107"/>
  <c r="R505" i="2"/>
  <c r="R525" i="2" s="1"/>
  <c r="AA287" i="2"/>
  <c r="AA288" i="2" s="1"/>
  <c r="V188" i="2"/>
  <c r="V189" i="2"/>
  <c r="V255" i="2"/>
  <c r="V298" i="2" s="1"/>
  <c r="AC78" i="2"/>
  <c r="AC217" i="2" s="1"/>
  <c r="AC77" i="2"/>
  <c r="Z460" i="2"/>
  <c r="AG104" i="2"/>
  <c r="AE328" i="2"/>
  <c r="AB241" i="2"/>
  <c r="AB239" i="2"/>
  <c r="AB259" i="2" s="1"/>
  <c r="AB266" i="2" s="1"/>
  <c r="AD75" i="2"/>
  <c r="AE71" i="2"/>
  <c r="F124" i="107"/>
  <c r="T519" i="2"/>
  <c r="G79" i="107" s="1"/>
  <c r="Z428" i="2"/>
  <c r="Z65" i="2"/>
  <c r="AA63" i="2"/>
  <c r="T521" i="2"/>
  <c r="T517" i="2"/>
  <c r="T518" i="2" s="1"/>
  <c r="AK206" i="2"/>
  <c r="AL202" i="2"/>
  <c r="AF494" i="2"/>
  <c r="AF495" i="2" s="1"/>
  <c r="AD62" i="2"/>
  <c r="AD61" i="2"/>
  <c r="AD455" i="2"/>
  <c r="AD457" i="2" s="1"/>
  <c r="U443" i="2"/>
  <c r="U445" i="2"/>
  <c r="X137" i="2"/>
  <c r="W265" i="2"/>
  <c r="AE105" i="2"/>
  <c r="AD106" i="2"/>
  <c r="AD108" i="2" s="1"/>
  <c r="Y87" i="2"/>
  <c r="Y86" i="2" s="1"/>
  <c r="X435" i="2"/>
  <c r="X438" i="2" s="1"/>
  <c r="Q535" i="2"/>
  <c r="Q527" i="2"/>
  <c r="Y218" i="2"/>
  <c r="Y463" i="2" s="1"/>
  <c r="Y460" i="2"/>
  <c r="V267" i="2"/>
  <c r="V269" i="2" s="1"/>
  <c r="V468" i="2" s="1"/>
  <c r="V302" i="2"/>
  <c r="W260" i="2"/>
  <c r="W273" i="2"/>
  <c r="W254" i="2"/>
  <c r="AE494" i="2"/>
  <c r="AE495" i="2" s="1"/>
  <c r="V437" i="2"/>
  <c r="T337" i="2"/>
  <c r="T330" i="2"/>
  <c r="T331" i="2" s="1"/>
  <c r="W151" i="2"/>
  <c r="S518" i="2"/>
  <c r="AD47" i="2"/>
  <c r="AC48" i="2"/>
  <c r="AC45" i="2"/>
  <c r="AE113" i="2"/>
  <c r="AF111" i="2"/>
  <c r="W580" i="2"/>
  <c r="W590" i="2" s="1"/>
  <c r="W528" i="2" s="1"/>
  <c r="AE54" i="2"/>
  <c r="AF55" i="2"/>
  <c r="AA261" i="2"/>
  <c r="AA268" i="2" s="1"/>
  <c r="AI227" i="2"/>
  <c r="AM414" i="2"/>
  <c r="W187" i="2"/>
  <c r="W284" i="2"/>
  <c r="W285" i="2" s="1"/>
  <c r="W272" i="2"/>
  <c r="W251" i="2"/>
  <c r="Y68" i="2"/>
  <c r="Y81" i="2" s="1"/>
  <c r="Y67" i="2"/>
  <c r="AE477" i="2"/>
  <c r="X80" i="2"/>
  <c r="Y83" i="2"/>
  <c r="X119" i="2"/>
  <c r="X118" i="2"/>
  <c r="X154" i="2"/>
  <c r="X233" i="2"/>
  <c r="X245" i="2" s="1"/>
  <c r="X246" i="2" s="1"/>
  <c r="X149" i="2"/>
  <c r="X148" i="2"/>
  <c r="X147" i="2"/>
  <c r="X150" i="2"/>
  <c r="X232" i="2"/>
  <c r="V126" i="2"/>
  <c r="V124" i="2"/>
  <c r="AO162" i="2"/>
  <c r="AN164" i="2"/>
  <c r="AN166" i="2" s="1"/>
  <c r="AA216" i="2"/>
  <c r="O566" i="2"/>
  <c r="O573" i="2"/>
  <c r="AF425" i="2"/>
  <c r="AF427" i="2" s="1"/>
  <c r="AF248" i="2" s="1"/>
  <c r="AF297" i="2"/>
  <c r="Z500" i="2"/>
  <c r="Z511" i="2" s="1"/>
  <c r="Z216" i="2"/>
  <c r="Z218" i="2" s="1"/>
  <c r="Z463" i="2" s="1"/>
  <c r="T291" i="2"/>
  <c r="T290" i="2" s="1"/>
  <c r="T311" i="2"/>
  <c r="T312" i="2"/>
  <c r="T318" i="2"/>
  <c r="X238" i="2"/>
  <c r="X258" i="2" s="1"/>
  <c r="X240" i="2"/>
  <c r="M545" i="2"/>
  <c r="M539" i="2"/>
  <c r="U199" i="2"/>
  <c r="U194" i="2"/>
  <c r="U195" i="2" s="1"/>
  <c r="U129" i="2"/>
  <c r="U130" i="2" s="1"/>
  <c r="U131" i="2"/>
  <c r="U155" i="2" s="1"/>
  <c r="U134" i="2"/>
  <c r="U486" i="2"/>
  <c r="AM169" i="2"/>
  <c r="AL171" i="2"/>
  <c r="AL173" i="2" s="1"/>
  <c r="S306" i="2"/>
  <c r="S315" i="2" s="1"/>
  <c r="S305" i="2"/>
  <c r="S314" i="2" s="1"/>
  <c r="S307" i="2"/>
  <c r="S316" i="2" s="1"/>
  <c r="S304" i="2"/>
  <c r="S352" i="2"/>
  <c r="S338" i="2"/>
  <c r="S472" i="2"/>
  <c r="AG421" i="2"/>
  <c r="AG424" i="2" s="1"/>
  <c r="AG426" i="2" s="1"/>
  <c r="AG244" i="2" s="1"/>
  <c r="AH404" i="2"/>
  <c r="AG407" i="2"/>
  <c r="AG409" i="2" s="1"/>
  <c r="AA144" i="2"/>
  <c r="AB140" i="2"/>
  <c r="U335" i="2"/>
  <c r="U299" i="2"/>
  <c r="U326" i="2"/>
  <c r="AF389" i="2"/>
  <c r="AF390" i="2"/>
  <c r="AF476" i="2"/>
  <c r="Z115" i="2"/>
  <c r="AA114" i="2"/>
  <c r="Y511" i="2"/>
  <c r="AJ7" i="2"/>
  <c r="AI8" i="2"/>
  <c r="AI35" i="2" s="1"/>
  <c r="AI34" i="2"/>
  <c r="AI36" i="2" s="1"/>
  <c r="W92" i="2"/>
  <c r="W93" i="2" s="1"/>
  <c r="V280" i="2"/>
  <c r="V282" i="2" s="1"/>
  <c r="V441" i="2"/>
  <c r="V449" i="2" s="1"/>
  <c r="V451" i="2" s="1"/>
  <c r="AB235" i="2"/>
  <c r="AB249" i="2" s="1"/>
  <c r="AB250" i="2" s="1"/>
  <c r="AB177" i="2"/>
  <c r="AC84" i="2"/>
  <c r="AB182" i="2"/>
  <c r="AB178" i="2"/>
  <c r="AB209" i="2"/>
  <c r="AB211" i="2"/>
  <c r="AB210" i="2"/>
  <c r="AB212" i="2"/>
  <c r="AB236" i="2"/>
  <c r="AQ224" i="2"/>
  <c r="G20" i="107"/>
  <c r="AA179" i="2"/>
  <c r="AA181" i="2" s="1"/>
  <c r="AH367" i="2"/>
  <c r="AG369" i="2"/>
  <c r="AG372" i="2" s="1"/>
  <c r="AG381" i="2"/>
  <c r="AG382" i="2" s="1"/>
  <c r="AG384" i="2" s="1"/>
  <c r="AH368" i="2"/>
  <c r="AG416" i="2"/>
  <c r="AG418" i="2" s="1"/>
  <c r="AG417" i="2"/>
  <c r="AG419" i="2" s="1"/>
  <c r="AG422" i="2"/>
  <c r="V397" i="2"/>
  <c r="V398" i="2" s="1"/>
  <c r="G76" i="107" l="1"/>
  <c r="W124" i="2"/>
  <c r="X120" i="2"/>
  <c r="X122" i="2" s="1"/>
  <c r="AB213" i="2"/>
  <c r="AB500" i="2" s="1"/>
  <c r="AL50" i="2"/>
  <c r="AK51" i="2"/>
  <c r="W581" i="2"/>
  <c r="X577" i="2" s="1"/>
  <c r="V190" i="2"/>
  <c r="V199" i="2" s="1"/>
  <c r="R506" i="2"/>
  <c r="AF395" i="2"/>
  <c r="AF524" i="2" s="1"/>
  <c r="V303" i="2"/>
  <c r="AC587" i="2"/>
  <c r="AC588" i="2" s="1"/>
  <c r="AD584" i="2" s="1"/>
  <c r="AG494" i="2"/>
  <c r="AK359" i="2"/>
  <c r="AK360" i="2" s="1"/>
  <c r="AJ362" i="2"/>
  <c r="AJ363" i="2"/>
  <c r="AK361" i="2"/>
  <c r="AJ377" i="2"/>
  <c r="AJ408" i="2"/>
  <c r="AJ410" i="2" s="1"/>
  <c r="U291" i="2"/>
  <c r="U290" i="2" s="1"/>
  <c r="U311" i="2"/>
  <c r="U312" i="2"/>
  <c r="U318" i="2"/>
  <c r="AA115" i="2"/>
  <c r="AB114" i="2"/>
  <c r="AC241" i="2"/>
  <c r="AC239" i="2"/>
  <c r="AC259" i="2" s="1"/>
  <c r="AC266" i="2" s="1"/>
  <c r="T306" i="2"/>
  <c r="T315" i="2" s="1"/>
  <c r="T305" i="2"/>
  <c r="T314" i="2" s="1"/>
  <c r="T304" i="2"/>
  <c r="T307" i="2"/>
  <c r="T316" i="2" s="1"/>
  <c r="AG425" i="2"/>
  <c r="AG427" i="2" s="1"/>
  <c r="AG248" i="2" s="1"/>
  <c r="AG297" i="2"/>
  <c r="W131" i="2"/>
  <c r="W134" i="2"/>
  <c r="W129" i="2"/>
  <c r="W130" i="2" s="1"/>
  <c r="AB216" i="2"/>
  <c r="V445" i="2"/>
  <c r="V443" i="2"/>
  <c r="V446" i="2" s="1"/>
  <c r="Z87" i="2"/>
  <c r="Z86" i="2" s="1"/>
  <c r="Y435" i="2"/>
  <c r="W498" i="2"/>
  <c r="W154" i="2"/>
  <c r="W189" i="2"/>
  <c r="W188" i="2"/>
  <c r="W255" i="2"/>
  <c r="W298" i="2" s="1"/>
  <c r="W269" i="2"/>
  <c r="W468" i="2" s="1"/>
  <c r="Z68" i="2"/>
  <c r="Z81" i="2" s="1"/>
  <c r="Z67" i="2"/>
  <c r="AL405" i="2"/>
  <c r="M547" i="2"/>
  <c r="U337" i="2"/>
  <c r="U330" i="2"/>
  <c r="U331" i="2" s="1"/>
  <c r="U487" i="2"/>
  <c r="AF54" i="2"/>
  <c r="AG55" i="2"/>
  <c r="T338" i="2"/>
  <c r="T352" i="2"/>
  <c r="T472" i="2"/>
  <c r="W267" i="2"/>
  <c r="W302" i="2"/>
  <c r="AD84" i="2"/>
  <c r="AC177" i="2"/>
  <c r="AC235" i="2"/>
  <c r="AC249" i="2" s="1"/>
  <c r="AC250" i="2" s="1"/>
  <c r="AC182" i="2"/>
  <c r="AC212" i="2"/>
  <c r="AC209" i="2"/>
  <c r="AC211" i="2"/>
  <c r="AC210" i="2"/>
  <c r="AC178" i="2"/>
  <c r="AC236" i="2"/>
  <c r="P537" i="2"/>
  <c r="F95" i="107"/>
  <c r="X126" i="2"/>
  <c r="X124" i="2"/>
  <c r="X260" i="2"/>
  <c r="X254" i="2"/>
  <c r="X273" i="2"/>
  <c r="V469" i="2"/>
  <c r="V483" i="2" s="1"/>
  <c r="AE62" i="2"/>
  <c r="AE61" i="2"/>
  <c r="AE455" i="2"/>
  <c r="AE457" i="2" s="1"/>
  <c r="AM202" i="2"/>
  <c r="AL206" i="2"/>
  <c r="X265" i="2"/>
  <c r="W397" i="2"/>
  <c r="W398" i="2" s="1"/>
  <c r="W190" i="2"/>
  <c r="X580" i="2"/>
  <c r="X590" i="2" s="1"/>
  <c r="X528" i="2" s="1"/>
  <c r="X546" i="2" s="1"/>
  <c r="U446" i="2"/>
  <c r="V335" i="2"/>
  <c r="V326" i="2"/>
  <c r="V299" i="2"/>
  <c r="R535" i="2"/>
  <c r="R527" i="2"/>
  <c r="S473" i="2"/>
  <c r="G37" i="107"/>
  <c r="S480" i="2"/>
  <c r="S481" i="2" s="1"/>
  <c r="AR224" i="2"/>
  <c r="S342" i="2"/>
  <c r="S347" i="2"/>
  <c r="S341" i="2"/>
  <c r="S348" i="2"/>
  <c r="S343" i="2"/>
  <c r="S345" i="2"/>
  <c r="S346" i="2"/>
  <c r="S344" i="2"/>
  <c r="Y238" i="2"/>
  <c r="Y258" i="2" s="1"/>
  <c r="Y240" i="2"/>
  <c r="AG389" i="2"/>
  <c r="AG390" i="2"/>
  <c r="AG476" i="2"/>
  <c r="X95" i="2"/>
  <c r="X96" i="2" s="1"/>
  <c r="X90" i="2"/>
  <c r="X279" i="2"/>
  <c r="X433" i="2"/>
  <c r="AI367" i="2"/>
  <c r="AI368" i="2"/>
  <c r="AH416" i="2"/>
  <c r="AH418" i="2" s="1"/>
  <c r="AH381" i="2"/>
  <c r="AH369" i="2"/>
  <c r="AH372" i="2" s="1"/>
  <c r="AH417" i="2"/>
  <c r="AH419" i="2" s="1"/>
  <c r="AH422" i="2"/>
  <c r="AB179" i="2"/>
  <c r="AB181" i="2" s="1"/>
  <c r="AK7" i="2"/>
  <c r="AJ8" i="2"/>
  <c r="AJ35" i="2" s="1"/>
  <c r="AJ34" i="2"/>
  <c r="AJ36" i="2" s="1"/>
  <c r="AF477" i="2"/>
  <c r="W546" i="2"/>
  <c r="H80" i="107"/>
  <c r="AD48" i="2"/>
  <c r="AD45" i="2"/>
  <c r="AE47" i="2"/>
  <c r="AF105" i="2"/>
  <c r="AE106" i="2"/>
  <c r="AE108" i="2" s="1"/>
  <c r="T520" i="2"/>
  <c r="W437" i="2"/>
  <c r="U509" i="2"/>
  <c r="S308" i="2"/>
  <c r="S313" i="2"/>
  <c r="S317" i="2" s="1"/>
  <c r="S320" i="2" s="1"/>
  <c r="AJ227" i="2"/>
  <c r="AB287" i="2"/>
  <c r="AB288" i="2" s="1"/>
  <c r="AH421" i="2"/>
  <c r="AH424" i="2" s="1"/>
  <c r="AH426" i="2" s="1"/>
  <c r="AH244" i="2" s="1"/>
  <c r="AI404" i="2"/>
  <c r="AH407" i="2"/>
  <c r="AH409" i="2" s="1"/>
  <c r="AG111" i="2"/>
  <c r="AF113" i="2"/>
  <c r="G81" i="107"/>
  <c r="G82" i="107" s="1"/>
  <c r="Q20" i="65"/>
  <c r="F6" i="65" s="1"/>
  <c r="AF71" i="2"/>
  <c r="AE75" i="2"/>
  <c r="AH104" i="2"/>
  <c r="W281" i="2"/>
  <c r="AI378" i="2"/>
  <c r="U517" i="2"/>
  <c r="U521" i="2"/>
  <c r="AM171" i="2"/>
  <c r="AM173" i="2" s="1"/>
  <c r="AN169" i="2"/>
  <c r="V129" i="2"/>
  <c r="V130" i="2" s="1"/>
  <c r="V131" i="2"/>
  <c r="V155" i="2" s="1"/>
  <c r="V134" i="2"/>
  <c r="AB261" i="2"/>
  <c r="AB268" i="2" s="1"/>
  <c r="AC140" i="2"/>
  <c r="AB144" i="2"/>
  <c r="AN414" i="2"/>
  <c r="X151" i="2"/>
  <c r="X498" i="2" s="1"/>
  <c r="AA183" i="2"/>
  <c r="AA196" i="2" s="1"/>
  <c r="AF328" i="2"/>
  <c r="AO164" i="2"/>
  <c r="AO166" i="2" s="1"/>
  <c r="AP162" i="2"/>
  <c r="X187" i="2"/>
  <c r="X284" i="2"/>
  <c r="X285" i="2" s="1"/>
  <c r="X272" i="2"/>
  <c r="X251" i="2"/>
  <c r="Y80" i="2"/>
  <c r="Z83" i="2"/>
  <c r="Y119" i="2"/>
  <c r="Y118" i="2"/>
  <c r="Y147" i="2"/>
  <c r="Y154" i="2"/>
  <c r="Y233" i="2"/>
  <c r="Y245" i="2" s="1"/>
  <c r="Y246" i="2" s="1"/>
  <c r="Y150" i="2"/>
  <c r="Y148" i="2"/>
  <c r="Y149" i="2"/>
  <c r="Y232" i="2"/>
  <c r="S520" i="2"/>
  <c r="G77" i="107"/>
  <c r="Q530" i="2"/>
  <c r="Q541" i="2"/>
  <c r="W262" i="2"/>
  <c r="AA428" i="2"/>
  <c r="AB63" i="2"/>
  <c r="AA65" i="2"/>
  <c r="AD77" i="2"/>
  <c r="AD78" i="2"/>
  <c r="AD217" i="2" s="1"/>
  <c r="X92" i="2"/>
  <c r="X93" i="2" s="1"/>
  <c r="W280" i="2"/>
  <c r="W282" i="2" s="1"/>
  <c r="W441" i="2"/>
  <c r="W155" i="2" l="1"/>
  <c r="V486" i="2"/>
  <c r="V487" i="2" s="1"/>
  <c r="Y151" i="2"/>
  <c r="Y498" i="2" s="1"/>
  <c r="V194" i="2"/>
  <c r="V195" i="2" s="1"/>
  <c r="AL51" i="2"/>
  <c r="AM50" i="2"/>
  <c r="Y120" i="2"/>
  <c r="Y122" i="2" s="1"/>
  <c r="Y124" i="2" s="1"/>
  <c r="AB511" i="2"/>
  <c r="I61" i="107"/>
  <c r="W303" i="2"/>
  <c r="AG395" i="2"/>
  <c r="AG524" i="2" s="1"/>
  <c r="Y137" i="2"/>
  <c r="AL359" i="2"/>
  <c r="AL360" i="2"/>
  <c r="AL361" i="2"/>
  <c r="AK362" i="2"/>
  <c r="AK363" i="2"/>
  <c r="AK377" i="2"/>
  <c r="AK408" i="2"/>
  <c r="AK410" i="2" s="1"/>
  <c r="AD587" i="2"/>
  <c r="AD588" i="2" s="1"/>
  <c r="AE584" i="2" s="1"/>
  <c r="AH425" i="2"/>
  <c r="AH427" i="2" s="1"/>
  <c r="AH248" i="2" s="1"/>
  <c r="AH297" i="2"/>
  <c r="AC287" i="2"/>
  <c r="AC288" i="2" s="1"/>
  <c r="Z238" i="2"/>
  <c r="Z258" i="2" s="1"/>
  <c r="Z240" i="2"/>
  <c r="AH111" i="2"/>
  <c r="AG113" i="2"/>
  <c r="S321" i="2"/>
  <c r="S353" i="2"/>
  <c r="S490" i="2"/>
  <c r="H106" i="107"/>
  <c r="X437" i="2"/>
  <c r="Z137" i="2"/>
  <c r="Y265" i="2"/>
  <c r="R541" i="2"/>
  <c r="R530" i="2"/>
  <c r="R533" i="2" s="1"/>
  <c r="R537" i="2" s="1"/>
  <c r="X581" i="2"/>
  <c r="Y577" i="2" s="1"/>
  <c r="AN202" i="2"/>
  <c r="AM206" i="2"/>
  <c r="AC179" i="2"/>
  <c r="AC181" i="2" s="1"/>
  <c r="M549" i="2"/>
  <c r="M571" i="2"/>
  <c r="AG328" i="2"/>
  <c r="V509" i="2"/>
  <c r="T341" i="2"/>
  <c r="T343" i="2"/>
  <c r="T347" i="2"/>
  <c r="T344" i="2"/>
  <c r="T348" i="2"/>
  <c r="T346" i="2"/>
  <c r="T342" i="2"/>
  <c r="T345" i="2"/>
  <c r="W469" i="2"/>
  <c r="W483" i="2" s="1"/>
  <c r="AC261" i="2"/>
  <c r="AC268" i="2" s="1"/>
  <c r="AA68" i="2"/>
  <c r="AA81" i="2" s="1"/>
  <c r="AA67" i="2"/>
  <c r="AB428" i="2"/>
  <c r="AC63" i="2"/>
  <c r="AB65" i="2"/>
  <c r="S535" i="2"/>
  <c r="Y90" i="2"/>
  <c r="Y95" i="2" s="1"/>
  <c r="Y96" i="2" s="1"/>
  <c r="Y279" i="2"/>
  <c r="Y433" i="2"/>
  <c r="AO414" i="2"/>
  <c r="AG105" i="2"/>
  <c r="AF106" i="2"/>
  <c r="AF108" i="2" s="1"/>
  <c r="AH390" i="2"/>
  <c r="AH476" i="2"/>
  <c r="AH389" i="2"/>
  <c r="X281" i="2"/>
  <c r="X188" i="2"/>
  <c r="X189" i="2"/>
  <c r="X255" i="2"/>
  <c r="X298" i="2" s="1"/>
  <c r="AD241" i="2"/>
  <c r="AD239" i="2"/>
  <c r="AD259" i="2" s="1"/>
  <c r="AD266" i="2" s="1"/>
  <c r="AG54" i="2"/>
  <c r="AH55" i="2"/>
  <c r="W335" i="2"/>
  <c r="W299" i="2"/>
  <c r="W326" i="2"/>
  <c r="AB115" i="2"/>
  <c r="AC114" i="2"/>
  <c r="AI104" i="2"/>
  <c r="AI421" i="2"/>
  <c r="AI424" i="2" s="1"/>
  <c r="AI426" i="2" s="1"/>
  <c r="AI244" i="2" s="1"/>
  <c r="AJ404" i="2"/>
  <c r="AI407" i="2"/>
  <c r="AI409" i="2" s="1"/>
  <c r="AE48" i="2"/>
  <c r="AF47" i="2"/>
  <c r="AE45" i="2"/>
  <c r="AH382" i="2"/>
  <c r="AH384" i="2" s="1"/>
  <c r="Y92" i="2"/>
  <c r="Y93" i="2" s="1"/>
  <c r="X280" i="2"/>
  <c r="X282" i="2" s="1"/>
  <c r="X441" i="2"/>
  <c r="AS224" i="2"/>
  <c r="V291" i="2"/>
  <c r="V290" i="2" s="1"/>
  <c r="V318" i="2"/>
  <c r="V311" i="2"/>
  <c r="V312" i="2"/>
  <c r="W199" i="2"/>
  <c r="W194" i="2"/>
  <c r="W195" i="2" s="1"/>
  <c r="X267" i="2"/>
  <c r="X269" i="2" s="1"/>
  <c r="X468" i="2" s="1"/>
  <c r="X302" i="2"/>
  <c r="AF62" i="2"/>
  <c r="AF61" i="2"/>
  <c r="AF455" i="2"/>
  <c r="AF457" i="2" s="1"/>
  <c r="U307" i="2"/>
  <c r="U316" i="2" s="1"/>
  <c r="U306" i="2"/>
  <c r="U315" i="2" s="1"/>
  <c r="U304" i="2"/>
  <c r="U305" i="2"/>
  <c r="U314" i="2" s="1"/>
  <c r="Y187" i="2"/>
  <c r="Y251" i="2"/>
  <c r="Y272" i="2"/>
  <c r="Y284" i="2"/>
  <c r="Y285" i="2" s="1"/>
  <c r="AD140" i="2"/>
  <c r="AC144" i="2"/>
  <c r="AO169" i="2"/>
  <c r="AN171" i="2"/>
  <c r="AN173" i="2" s="1"/>
  <c r="AE78" i="2"/>
  <c r="AE217" i="2" s="1"/>
  <c r="AE77" i="2"/>
  <c r="T308" i="2"/>
  <c r="T313" i="2"/>
  <c r="T317" i="2" s="1"/>
  <c r="T320" i="2" s="1"/>
  <c r="AG495" i="2"/>
  <c r="Q533" i="2"/>
  <c r="AP164" i="2"/>
  <c r="AP166" i="2" s="1"/>
  <c r="AQ162" i="2"/>
  <c r="V519" i="2"/>
  <c r="Y254" i="2"/>
  <c r="Y260" i="2"/>
  <c r="Y273" i="2"/>
  <c r="W443" i="2"/>
  <c r="W446" i="2" s="1"/>
  <c r="W445" i="2"/>
  <c r="AG71" i="2"/>
  <c r="AF75" i="2"/>
  <c r="AG477" i="2"/>
  <c r="Q39" i="65"/>
  <c r="V337" i="2"/>
  <c r="V330" i="2"/>
  <c r="V331" i="2" s="1"/>
  <c r="X262" i="2"/>
  <c r="X131" i="2"/>
  <c r="X155" i="2" s="1"/>
  <c r="X134" i="2"/>
  <c r="X129" i="2"/>
  <c r="X130" i="2" s="1"/>
  <c r="AC213" i="2"/>
  <c r="U519" i="2"/>
  <c r="AM405" i="2"/>
  <c r="AL408" i="2"/>
  <c r="AL410" i="2" s="1"/>
  <c r="W486" i="2"/>
  <c r="W487" i="2" s="1"/>
  <c r="U518" i="2"/>
  <c r="AE84" i="2"/>
  <c r="AD235" i="2"/>
  <c r="AD249" i="2" s="1"/>
  <c r="AD250" i="2" s="1"/>
  <c r="AD178" i="2"/>
  <c r="AD177" i="2"/>
  <c r="AD179" i="2" s="1"/>
  <c r="AD181" i="2" s="1"/>
  <c r="AD212" i="2"/>
  <c r="AD209" i="2"/>
  <c r="AD182" i="2"/>
  <c r="AD210" i="2"/>
  <c r="AD211" i="2"/>
  <c r="AD236" i="2"/>
  <c r="Y522" i="2"/>
  <c r="X397" i="2"/>
  <c r="X398" i="2" s="1"/>
  <c r="AA218" i="2"/>
  <c r="AA463" i="2" s="1"/>
  <c r="AA460" i="2"/>
  <c r="W449" i="2"/>
  <c r="W451" i="2" s="1"/>
  <c r="AK8" i="2"/>
  <c r="AK35" i="2" s="1"/>
  <c r="AL7" i="2"/>
  <c r="AK34" i="2"/>
  <c r="AK36" i="2" s="1"/>
  <c r="AJ367" i="2"/>
  <c r="AI369" i="2"/>
  <c r="AI372" i="2" s="1"/>
  <c r="AJ368" i="2"/>
  <c r="AI416" i="2"/>
  <c r="AI418" i="2" s="1"/>
  <c r="AI381" i="2"/>
  <c r="AI417" i="2"/>
  <c r="AI419" i="2" s="1"/>
  <c r="AI422" i="2"/>
  <c r="Z80" i="2"/>
  <c r="AA83" i="2"/>
  <c r="Z119" i="2"/>
  <c r="Z148" i="2"/>
  <c r="Z147" i="2"/>
  <c r="Z149" i="2"/>
  <c r="Z233" i="2"/>
  <c r="Z245" i="2" s="1"/>
  <c r="Z246" i="2" s="1"/>
  <c r="Z118" i="2"/>
  <c r="Z150" i="2"/>
  <c r="Z232" i="2"/>
  <c r="W522" i="2"/>
  <c r="AJ378" i="2"/>
  <c r="X522" i="2"/>
  <c r="AK227" i="2"/>
  <c r="T535" i="2"/>
  <c r="AB183" i="2"/>
  <c r="AB196" i="2" s="1"/>
  <c r="S349" i="2"/>
  <c r="S499" i="2" s="1"/>
  <c r="V517" i="2"/>
  <c r="V518" i="2" s="1"/>
  <c r="V520" i="2" s="1"/>
  <c r="V521" i="2"/>
  <c r="P539" i="2"/>
  <c r="P545" i="2"/>
  <c r="F99" i="107"/>
  <c r="T473" i="2"/>
  <c r="T480" i="2"/>
  <c r="T481" i="2" s="1"/>
  <c r="U338" i="2"/>
  <c r="U352" i="2"/>
  <c r="U472" i="2"/>
  <c r="AA87" i="2"/>
  <c r="AA86" i="2" s="1"/>
  <c r="Z435" i="2"/>
  <c r="Z438" i="2" s="1"/>
  <c r="Y438" i="2"/>
  <c r="Y281" i="2" l="1"/>
  <c r="AN50" i="2"/>
  <c r="AM51" i="2"/>
  <c r="Y126" i="2"/>
  <c r="X190" i="2"/>
  <c r="X486" i="2" s="1"/>
  <c r="X487" i="2" s="1"/>
  <c r="X519" i="2" s="1"/>
  <c r="AH395" i="2"/>
  <c r="AH524" i="2" s="1"/>
  <c r="T349" i="2"/>
  <c r="T499" i="2" s="1"/>
  <c r="G58" i="107" s="1"/>
  <c r="G97" i="107"/>
  <c r="AE587" i="2"/>
  <c r="AE588" i="2" s="1"/>
  <c r="AF584" i="2" s="1"/>
  <c r="U473" i="2"/>
  <c r="U480" i="2"/>
  <c r="U481" i="2" s="1"/>
  <c r="AI55" i="2"/>
  <c r="AH54" i="2"/>
  <c r="M566" i="2"/>
  <c r="M569" i="2" s="1"/>
  <c r="N568" i="2" s="1"/>
  <c r="N569" i="2" s="1"/>
  <c r="O568" i="2" s="1"/>
  <c r="O569" i="2" s="1"/>
  <c r="P568" i="2" s="1"/>
  <c r="M573" i="2"/>
  <c r="AD183" i="2"/>
  <c r="AD196" i="2" s="1"/>
  <c r="Y189" i="2"/>
  <c r="Y188" i="2"/>
  <c r="Y255" i="2"/>
  <c r="Y298" i="2" s="1"/>
  <c r="AG62" i="2"/>
  <c r="AG61" i="2"/>
  <c r="AG455" i="2"/>
  <c r="AG457" i="2" s="1"/>
  <c r="AH477" i="2"/>
  <c r="AA80" i="2"/>
  <c r="AB83" i="2"/>
  <c r="AA119" i="2"/>
  <c r="AA149" i="2"/>
  <c r="AA118" i="2"/>
  <c r="AA147" i="2"/>
  <c r="AA154" i="2"/>
  <c r="AA150" i="2"/>
  <c r="AA148" i="2"/>
  <c r="AA233" i="2"/>
  <c r="AA245" i="2" s="1"/>
  <c r="AA246" i="2" s="1"/>
  <c r="AA232" i="2"/>
  <c r="AL227" i="2"/>
  <c r="AI389" i="2"/>
  <c r="AI390" i="2"/>
  <c r="AI476" i="2"/>
  <c r="AT224" i="2"/>
  <c r="AF45" i="2"/>
  <c r="AG47" i="2"/>
  <c r="AF48" i="2"/>
  <c r="AC115" i="2"/>
  <c r="AD114" i="2"/>
  <c r="AB87" i="2"/>
  <c r="AB86" i="2" s="1"/>
  <c r="AA435" i="2"/>
  <c r="AA438" i="2" s="1"/>
  <c r="AC183" i="2"/>
  <c r="AC196" i="2" s="1"/>
  <c r="AI111" i="2"/>
  <c r="AH113" i="2"/>
  <c r="AK378" i="2"/>
  <c r="W519" i="2"/>
  <c r="V307" i="2"/>
  <c r="V316" i="2" s="1"/>
  <c r="V306" i="2"/>
  <c r="V315" i="2" s="1"/>
  <c r="V305" i="2"/>
  <c r="V314" i="2" s="1"/>
  <c r="V304" i="2"/>
  <c r="AJ104" i="2"/>
  <c r="W517" i="2"/>
  <c r="W518" i="2" s="1"/>
  <c r="W521" i="2"/>
  <c r="AH328" i="2"/>
  <c r="AP169" i="2"/>
  <c r="AO171" i="2"/>
  <c r="AO173" i="2" s="1"/>
  <c r="Z120" i="2"/>
  <c r="Z122" i="2" s="1"/>
  <c r="Z90" i="2"/>
  <c r="Z95" i="2" s="1"/>
  <c r="Z96" i="2" s="1"/>
  <c r="Z279" i="2"/>
  <c r="Z433" i="2"/>
  <c r="T324" i="2"/>
  <c r="T321" i="2"/>
  <c r="T353" i="2"/>
  <c r="T490" i="2"/>
  <c r="G48" i="107" s="1"/>
  <c r="T322" i="2"/>
  <c r="S523" i="2"/>
  <c r="S502" i="2"/>
  <c r="Z187" i="2"/>
  <c r="Z251" i="2"/>
  <c r="Z272" i="2"/>
  <c r="Z284" i="2"/>
  <c r="Z285" i="2" s="1"/>
  <c r="AK367" i="2"/>
  <c r="AJ381" i="2"/>
  <c r="AJ369" i="2"/>
  <c r="AJ372" i="2" s="1"/>
  <c r="AJ416" i="2"/>
  <c r="AJ418" i="2" s="1"/>
  <c r="AK368" i="2"/>
  <c r="AJ417" i="2"/>
  <c r="AJ419" i="2" s="1"/>
  <c r="AJ422" i="2"/>
  <c r="X199" i="2"/>
  <c r="X194" i="2"/>
  <c r="X195" i="2" s="1"/>
  <c r="AD287" i="2"/>
  <c r="AD288" i="2" s="1"/>
  <c r="AN405" i="2"/>
  <c r="AF78" i="2"/>
  <c r="AF217" i="2" s="1"/>
  <c r="AF77" i="2"/>
  <c r="AE140" i="2"/>
  <c r="AD144" i="2"/>
  <c r="X445" i="2"/>
  <c r="X443" i="2"/>
  <c r="X446" i="2" s="1"/>
  <c r="AD261" i="2"/>
  <c r="AD268" i="2" s="1"/>
  <c r="Z92" i="2"/>
  <c r="Z93" i="2" s="1"/>
  <c r="Y280" i="2"/>
  <c r="Y282" i="2" s="1"/>
  <c r="Y441" i="2"/>
  <c r="Y449" i="2" s="1"/>
  <c r="Y451" i="2" s="1"/>
  <c r="X449" i="2"/>
  <c r="X451" i="2" s="1"/>
  <c r="Y267" i="2"/>
  <c r="Y269" i="2" s="1"/>
  <c r="Y468" i="2" s="1"/>
  <c r="Y302" i="2"/>
  <c r="Y437" i="2"/>
  <c r="X335" i="2"/>
  <c r="X299" i="2"/>
  <c r="X326" i="2"/>
  <c r="AO202" i="2"/>
  <c r="AN206" i="2"/>
  <c r="Z260" i="2"/>
  <c r="Z273" i="2"/>
  <c r="Z254" i="2"/>
  <c r="Y129" i="2"/>
  <c r="Y130" i="2" s="1"/>
  <c r="Y131" i="2"/>
  <c r="Y155" i="2" s="1"/>
  <c r="Y134" i="2"/>
  <c r="T502" i="2"/>
  <c r="U341" i="2"/>
  <c r="U346" i="2"/>
  <c r="U347" i="2"/>
  <c r="U342" i="2"/>
  <c r="U348" i="2"/>
  <c r="U344" i="2"/>
  <c r="U345" i="2"/>
  <c r="U343" i="2"/>
  <c r="AA240" i="2"/>
  <c r="AA238" i="2"/>
  <c r="AA258" i="2" s="1"/>
  <c r="AH71" i="2"/>
  <c r="AG75" i="2"/>
  <c r="U520" i="2"/>
  <c r="U308" i="2"/>
  <c r="U313" i="2"/>
  <c r="U317" i="2" s="1"/>
  <c r="U320" i="2" s="1"/>
  <c r="AJ421" i="2"/>
  <c r="AJ424" i="2" s="1"/>
  <c r="AJ426" i="2" s="1"/>
  <c r="AJ244" i="2" s="1"/>
  <c r="AK404" i="2"/>
  <c r="AJ407" i="2"/>
  <c r="AJ409" i="2" s="1"/>
  <c r="AH105" i="2"/>
  <c r="AG106" i="2"/>
  <c r="AG108" i="2" s="1"/>
  <c r="Y580" i="2"/>
  <c r="Y590" i="2" s="1"/>
  <c r="Y528" i="2" s="1"/>
  <c r="AA137" i="2"/>
  <c r="Z262" i="2"/>
  <c r="Z265" i="2"/>
  <c r="AE241" i="2"/>
  <c r="AE239" i="2"/>
  <c r="AE259" i="2" s="1"/>
  <c r="AE266" i="2" s="1"/>
  <c r="AI425" i="2"/>
  <c r="AI427" i="2" s="1"/>
  <c r="AI248" i="2" s="1"/>
  <c r="AI297" i="2"/>
  <c r="AB218" i="2"/>
  <c r="AB463" i="2" s="1"/>
  <c r="AB460" i="2"/>
  <c r="Z151" i="2"/>
  <c r="V338" i="2"/>
  <c r="V352" i="2"/>
  <c r="V472" i="2"/>
  <c r="Q537" i="2"/>
  <c r="AF84" i="2"/>
  <c r="AE235" i="2"/>
  <c r="AE249" i="2" s="1"/>
  <c r="AE250" i="2" s="1"/>
  <c r="AE182" i="2"/>
  <c r="AE178" i="2"/>
  <c r="AE210" i="2"/>
  <c r="AE212" i="2"/>
  <c r="AE209" i="2"/>
  <c r="AE177" i="2"/>
  <c r="AE211" i="2"/>
  <c r="AE236" i="2"/>
  <c r="AH494" i="2"/>
  <c r="AH495" i="2" s="1"/>
  <c r="W291" i="2"/>
  <c r="W290" i="2" s="1"/>
  <c r="W318" i="2"/>
  <c r="W311" i="2"/>
  <c r="W312" i="2"/>
  <c r="X303" i="2"/>
  <c r="AB68" i="2"/>
  <c r="AB81" i="2" s="1"/>
  <c r="AB67" i="2"/>
  <c r="R545" i="2"/>
  <c r="R547" i="2" s="1"/>
  <c r="R539" i="2"/>
  <c r="S491" i="2"/>
  <c r="S504" i="2" s="1"/>
  <c r="S510" i="2"/>
  <c r="AM359" i="2"/>
  <c r="AM360" i="2" s="1"/>
  <c r="AM361" i="2"/>
  <c r="AL362" i="2"/>
  <c r="AL363" i="2"/>
  <c r="AL377" i="2"/>
  <c r="Y262" i="2"/>
  <c r="X469" i="2"/>
  <c r="X483" i="2" s="1"/>
  <c r="X509" i="2"/>
  <c r="AQ164" i="2"/>
  <c r="AQ166" i="2" s="1"/>
  <c r="AR162" i="2"/>
  <c r="AL8" i="2"/>
  <c r="AL35" i="2" s="1"/>
  <c r="AM7" i="2"/>
  <c r="AL34" i="2"/>
  <c r="AL36" i="2" s="1"/>
  <c r="P547" i="2"/>
  <c r="F105" i="107"/>
  <c r="AI382" i="2"/>
  <c r="AI384" i="2" s="1"/>
  <c r="AD213" i="2"/>
  <c r="AC500" i="2"/>
  <c r="AC511" i="2" s="1"/>
  <c r="AC216" i="2"/>
  <c r="Y397" i="2"/>
  <c r="Y398" i="2" s="1"/>
  <c r="W337" i="2"/>
  <c r="W330" i="2"/>
  <c r="W331" i="2" s="1"/>
  <c r="AP414" i="2"/>
  <c r="AC428" i="2"/>
  <c r="AD63" i="2"/>
  <c r="AC65" i="2"/>
  <c r="W509" i="2"/>
  <c r="AA120" i="2" l="1"/>
  <c r="AA122" i="2" s="1"/>
  <c r="T523" i="2"/>
  <c r="G69" i="107"/>
  <c r="AE179" i="2"/>
  <c r="AE181" i="2" s="1"/>
  <c r="AE183" i="2" s="1"/>
  <c r="AE196" i="2" s="1"/>
  <c r="AO50" i="2"/>
  <c r="AN51" i="2"/>
  <c r="Y581" i="2"/>
  <c r="Z577" i="2" s="1"/>
  <c r="H79" i="107"/>
  <c r="W520" i="2"/>
  <c r="Y190" i="2"/>
  <c r="Y194" i="2" s="1"/>
  <c r="Y195" i="2" s="1"/>
  <c r="AJ382" i="2"/>
  <c r="AJ384" i="2" s="1"/>
  <c r="AJ494" i="2" s="1"/>
  <c r="AJ495" i="2" s="1"/>
  <c r="Y469" i="2"/>
  <c r="Y483" i="2" s="1"/>
  <c r="AN359" i="2"/>
  <c r="AN360" i="2" s="1"/>
  <c r="AN361" i="2"/>
  <c r="AM362" i="2"/>
  <c r="AM363" i="2"/>
  <c r="AM377" i="2"/>
  <c r="AM408" i="2"/>
  <c r="AM410" i="2" s="1"/>
  <c r="AF587" i="2"/>
  <c r="AF588" i="2" s="1"/>
  <c r="AG584" i="2" s="1"/>
  <c r="AC218" i="2"/>
  <c r="AC463" i="2" s="1"/>
  <c r="AC460" i="2"/>
  <c r="AB80" i="2"/>
  <c r="AC83" i="2"/>
  <c r="AB118" i="2"/>
  <c r="AB119" i="2"/>
  <c r="AB147" i="2"/>
  <c r="AB148" i="2"/>
  <c r="AB150" i="2"/>
  <c r="AB233" i="2"/>
  <c r="AB245" i="2" s="1"/>
  <c r="AB246" i="2" s="1"/>
  <c r="AB149" i="2"/>
  <c r="AB154" i="2"/>
  <c r="AB232" i="2"/>
  <c r="AE287" i="2"/>
  <c r="AE288" i="2" s="1"/>
  <c r="Z498" i="2"/>
  <c r="Z154" i="2"/>
  <c r="AO206" i="2"/>
  <c r="AP202" i="2"/>
  <c r="AF140" i="2"/>
  <c r="AE144" i="2"/>
  <c r="AL367" i="2"/>
  <c r="AL368" i="2"/>
  <c r="AK416" i="2"/>
  <c r="AK418" i="2" s="1"/>
  <c r="AK381" i="2"/>
  <c r="AK369" i="2"/>
  <c r="AK372" i="2" s="1"/>
  <c r="AK417" i="2"/>
  <c r="AK419" i="2" s="1"/>
  <c r="AK422" i="2"/>
  <c r="AA92" i="2"/>
  <c r="AA93" i="2" s="1"/>
  <c r="Z280" i="2"/>
  <c r="Z282" i="2" s="1"/>
  <c r="Z441" i="2"/>
  <c r="Z449" i="2" s="1"/>
  <c r="Z451" i="2" s="1"/>
  <c r="AA151" i="2"/>
  <c r="AA498" i="2" s="1"/>
  <c r="AD460" i="2"/>
  <c r="W338" i="2"/>
  <c r="W352" i="2"/>
  <c r="W472" i="2"/>
  <c r="P549" i="2"/>
  <c r="P571" i="2"/>
  <c r="F127" i="107" s="1"/>
  <c r="F107" i="107"/>
  <c r="X521" i="2"/>
  <c r="X517" i="2"/>
  <c r="AC87" i="2"/>
  <c r="AC86" i="2" s="1"/>
  <c r="AB435" i="2"/>
  <c r="AB438" i="2" s="1"/>
  <c r="AF241" i="2"/>
  <c r="AF239" i="2"/>
  <c r="AF259" i="2" s="1"/>
  <c r="AF266" i="2" s="1"/>
  <c r="AL404" i="2"/>
  <c r="AK421" i="2"/>
  <c r="AK424" i="2" s="1"/>
  <c r="AK426" i="2" s="1"/>
  <c r="AK244" i="2" s="1"/>
  <c r="AK407" i="2"/>
  <c r="AK409" i="2" s="1"/>
  <c r="AG78" i="2"/>
  <c r="AG217" i="2" s="1"/>
  <c r="AG77" i="2"/>
  <c r="AG84" i="2"/>
  <c r="AF235" i="2"/>
  <c r="AF249" i="2" s="1"/>
  <c r="AF250" i="2" s="1"/>
  <c r="AF182" i="2"/>
  <c r="AF178" i="2"/>
  <c r="AF177" i="2"/>
  <c r="AF210" i="2"/>
  <c r="AF212" i="2"/>
  <c r="AF209" i="2"/>
  <c r="AF211" i="2"/>
  <c r="AF236" i="2"/>
  <c r="T491" i="2"/>
  <c r="T504" i="2" s="1"/>
  <c r="T510" i="2"/>
  <c r="Z126" i="2"/>
  <c r="Z124" i="2"/>
  <c r="AA126" i="2"/>
  <c r="AA124" i="2"/>
  <c r="AQ414" i="2"/>
  <c r="AI105" i="2"/>
  <c r="AH106" i="2"/>
  <c r="AH108" i="2" s="1"/>
  <c r="AI71" i="2"/>
  <c r="AH75" i="2"/>
  <c r="X291" i="2"/>
  <c r="X290" i="2" s="1"/>
  <c r="X318" i="2"/>
  <c r="X311" i="2"/>
  <c r="X312" i="2"/>
  <c r="AJ425" i="2"/>
  <c r="AJ427" i="2" s="1"/>
  <c r="AJ248" i="2" s="1"/>
  <c r="AJ297" i="2"/>
  <c r="AD115" i="2"/>
  <c r="AE114" i="2"/>
  <c r="AU224" i="2"/>
  <c r="AE261" i="2"/>
  <c r="AE268" i="2" s="1"/>
  <c r="AG45" i="2"/>
  <c r="AH47" i="2"/>
  <c r="AG48" i="2"/>
  <c r="AE213" i="2"/>
  <c r="AI328" i="2"/>
  <c r="Z580" i="2"/>
  <c r="Z590" i="2" s="1"/>
  <c r="Z528" i="2" s="1"/>
  <c r="Z546" i="2" s="1"/>
  <c r="Z581" i="2"/>
  <c r="AA577" i="2" s="1"/>
  <c r="U324" i="2"/>
  <c r="U321" i="2"/>
  <c r="U490" i="2"/>
  <c r="U353" i="2"/>
  <c r="U322" i="2"/>
  <c r="AA265" i="2"/>
  <c r="X337" i="2"/>
  <c r="X330" i="2"/>
  <c r="X331" i="2" s="1"/>
  <c r="Y445" i="2"/>
  <c r="Y443" i="2"/>
  <c r="AI477" i="2"/>
  <c r="Q545" i="2"/>
  <c r="Q539" i="2"/>
  <c r="AC67" i="2"/>
  <c r="AC68" i="2"/>
  <c r="AC81" i="2" s="1"/>
  <c r="AD428" i="2"/>
  <c r="AE63" i="2"/>
  <c r="AD65" i="2"/>
  <c r="AM8" i="2"/>
  <c r="AM35" i="2" s="1"/>
  <c r="AN7" i="2"/>
  <c r="AM34" i="2"/>
  <c r="AM36" i="2" s="1"/>
  <c r="AL378" i="2"/>
  <c r="S505" i="2"/>
  <c r="S525" i="2" s="1"/>
  <c r="S527" i="2" s="1"/>
  <c r="V473" i="2"/>
  <c r="V480" i="2"/>
  <c r="V481" i="2" s="1"/>
  <c r="Y546" i="2"/>
  <c r="AA254" i="2"/>
  <c r="AA273" i="2"/>
  <c r="AA260" i="2"/>
  <c r="U349" i="2"/>
  <c r="U499" i="2" s="1"/>
  <c r="Z188" i="2"/>
  <c r="Z189" i="2"/>
  <c r="Z255" i="2"/>
  <c r="Z298" i="2" s="1"/>
  <c r="Z397" i="2"/>
  <c r="Z398" i="2" s="1"/>
  <c r="AK104" i="2"/>
  <c r="AA187" i="2"/>
  <c r="AA284" i="2"/>
  <c r="AA285" i="2" s="1"/>
  <c r="AA251" i="2"/>
  <c r="AA272" i="2"/>
  <c r="AB238" i="2"/>
  <c r="AB258" i="2" s="1"/>
  <c r="AB240" i="2"/>
  <c r="AI494" i="2"/>
  <c r="AI495" i="2" s="1"/>
  <c r="W304" i="2"/>
  <c r="W307" i="2"/>
  <c r="W316" i="2" s="1"/>
  <c r="W305" i="2"/>
  <c r="W314" i="2" s="1"/>
  <c r="W306" i="2"/>
  <c r="W315" i="2" s="1"/>
  <c r="V342" i="2"/>
  <c r="V346" i="2"/>
  <c r="V343" i="2"/>
  <c r="V347" i="2"/>
  <c r="V345" i="2"/>
  <c r="V341" i="2"/>
  <c r="V344" i="2"/>
  <c r="V348" i="2"/>
  <c r="AO405" i="2"/>
  <c r="Z437" i="2"/>
  <c r="AP171" i="2"/>
  <c r="AP173" i="2" s="1"/>
  <c r="AQ169" i="2"/>
  <c r="V308" i="2"/>
  <c r="V313" i="2"/>
  <c r="V317" i="2" s="1"/>
  <c r="V320" i="2" s="1"/>
  <c r="AJ111" i="2"/>
  <c r="AI113" i="2"/>
  <c r="AI395" i="2"/>
  <c r="AI524" i="2" s="1"/>
  <c r="AA90" i="2"/>
  <c r="AA95" i="2" s="1"/>
  <c r="AA96" i="2" s="1"/>
  <c r="AA279" i="2"/>
  <c r="AA433" i="2"/>
  <c r="Y335" i="2"/>
  <c r="Y299" i="2"/>
  <c r="Y326" i="2"/>
  <c r="AH61" i="2"/>
  <c r="AH62" i="2"/>
  <c r="AH455" i="2"/>
  <c r="AH457" i="2" s="1"/>
  <c r="G85" i="107"/>
  <c r="AM227" i="2"/>
  <c r="AD500" i="2"/>
  <c r="AD511" i="2" s="1"/>
  <c r="AD216" i="2"/>
  <c r="AD218" i="2" s="1"/>
  <c r="AD463" i="2" s="1"/>
  <c r="AR164" i="2"/>
  <c r="AR166" i="2" s="1"/>
  <c r="AS162" i="2"/>
  <c r="R571" i="2"/>
  <c r="R549" i="2"/>
  <c r="Z267" i="2"/>
  <c r="Z269" i="2" s="1"/>
  <c r="Z468" i="2" s="1"/>
  <c r="Z302" i="2"/>
  <c r="AJ389" i="2"/>
  <c r="AJ476" i="2"/>
  <c r="AJ390" i="2"/>
  <c r="Z281" i="2"/>
  <c r="Y303" i="2"/>
  <c r="AI54" i="2"/>
  <c r="AJ55" i="2"/>
  <c r="AF179" i="2" l="1"/>
  <c r="AF181" i="2" s="1"/>
  <c r="AF213" i="2"/>
  <c r="AF500" i="2" s="1"/>
  <c r="AF511" i="2" s="1"/>
  <c r="Y486" i="2"/>
  <c r="Y487" i="2" s="1"/>
  <c r="Y199" i="2"/>
  <c r="AB151" i="2"/>
  <c r="AB498" i="2" s="1"/>
  <c r="AO51" i="2"/>
  <c r="AP50" i="2"/>
  <c r="AB137" i="2"/>
  <c r="AB120" i="2"/>
  <c r="AB122" i="2" s="1"/>
  <c r="AB124" i="2" s="1"/>
  <c r="Z303" i="2"/>
  <c r="AA281" i="2"/>
  <c r="AO359" i="2"/>
  <c r="AO360" i="2" s="1"/>
  <c r="AO361" i="2"/>
  <c r="AN377" i="2"/>
  <c r="AN363" i="2"/>
  <c r="AN362" i="2"/>
  <c r="AN408" i="2"/>
  <c r="AN410" i="2" s="1"/>
  <c r="AG587" i="2"/>
  <c r="AG588" i="2" s="1"/>
  <c r="AH584" i="2" s="1"/>
  <c r="Z469" i="2"/>
  <c r="Z483" i="2" s="1"/>
  <c r="AK55" i="2"/>
  <c r="AJ54" i="2"/>
  <c r="W308" i="2"/>
  <c r="W313" i="2"/>
  <c r="W317" i="2" s="1"/>
  <c r="W320" i="2" s="1"/>
  <c r="AA397" i="2"/>
  <c r="AA398" i="2" s="1"/>
  <c r="AA188" i="2"/>
  <c r="AA189" i="2"/>
  <c r="AA255" i="2"/>
  <c r="AA298" i="2" s="1"/>
  <c r="AD87" i="2"/>
  <c r="AD86" i="2" s="1"/>
  <c r="AC435" i="2"/>
  <c r="AG241" i="2"/>
  <c r="AG239" i="2"/>
  <c r="AG259" i="2" s="1"/>
  <c r="AG266" i="2" s="1"/>
  <c r="W341" i="2"/>
  <c r="W345" i="2"/>
  <c r="W346" i="2"/>
  <c r="W347" i="2"/>
  <c r="W343" i="2"/>
  <c r="W348" i="2"/>
  <c r="W342" i="2"/>
  <c r="W344" i="2"/>
  <c r="AM367" i="2"/>
  <c r="AL369" i="2"/>
  <c r="AL372" i="2" s="1"/>
  <c r="AM368" i="2"/>
  <c r="AL381" i="2"/>
  <c r="AL416" i="2"/>
  <c r="AL418" i="2" s="1"/>
  <c r="AL417" i="2"/>
  <c r="AL419" i="2" s="1"/>
  <c r="AL422" i="2"/>
  <c r="AB90" i="2"/>
  <c r="AB95" i="2" s="1"/>
  <c r="AB96" i="2" s="1"/>
  <c r="AB279" i="2"/>
  <c r="AB433" i="2"/>
  <c r="Y519" i="2"/>
  <c r="AI61" i="2"/>
  <c r="AI62" i="2"/>
  <c r="AI455" i="2"/>
  <c r="AI457" i="2" s="1"/>
  <c r="AB187" i="2"/>
  <c r="AB272" i="2"/>
  <c r="AB284" i="2"/>
  <c r="AB285" i="2" s="1"/>
  <c r="AB251" i="2"/>
  <c r="AN227" i="2"/>
  <c r="AL104" i="2"/>
  <c r="Z335" i="2"/>
  <c r="Z299" i="2"/>
  <c r="Z326" i="2"/>
  <c r="Y446" i="2"/>
  <c r="X518" i="2"/>
  <c r="H76" i="107"/>
  <c r="AK425" i="2"/>
  <c r="AK427" i="2" s="1"/>
  <c r="AK248" i="2" s="1"/>
  <c r="AK297" i="2"/>
  <c r="AF144" i="2"/>
  <c r="AG140" i="2"/>
  <c r="Z522" i="2"/>
  <c r="AM378" i="2"/>
  <c r="AD83" i="2"/>
  <c r="AC80" i="2"/>
  <c r="AC118" i="2"/>
  <c r="AC119" i="2"/>
  <c r="AC148" i="2"/>
  <c r="AC150" i="2"/>
  <c r="AC147" i="2"/>
  <c r="AC233" i="2"/>
  <c r="AC245" i="2" s="1"/>
  <c r="AC246" i="2" s="1"/>
  <c r="AC232" i="2"/>
  <c r="AC149" i="2"/>
  <c r="R566" i="2"/>
  <c r="R573" i="2"/>
  <c r="AK111" i="2"/>
  <c r="AJ113" i="2"/>
  <c r="AB273" i="2"/>
  <c r="AB260" i="2"/>
  <c r="AB254" i="2"/>
  <c r="AO7" i="2"/>
  <c r="AN8" i="2"/>
  <c r="AN35" i="2" s="1"/>
  <c r="AN34" i="2"/>
  <c r="AN36" i="2" s="1"/>
  <c r="Q547" i="2"/>
  <c r="U491" i="2"/>
  <c r="U504" i="2" s="1"/>
  <c r="U510" i="2"/>
  <c r="AE500" i="2"/>
  <c r="AE511" i="2" s="1"/>
  <c r="AE216" i="2"/>
  <c r="AJ328" i="2"/>
  <c r="Z129" i="2"/>
  <c r="Z130" i="2" s="1"/>
  <c r="Z131" i="2"/>
  <c r="Z155" i="2" s="1"/>
  <c r="Z134" i="2"/>
  <c r="V321" i="2"/>
  <c r="V353" i="2"/>
  <c r="V324" i="2"/>
  <c r="V490" i="2"/>
  <c r="V322" i="2"/>
  <c r="X304" i="2"/>
  <c r="X307" i="2"/>
  <c r="X316" i="2" s="1"/>
  <c r="X306" i="2"/>
  <c r="X315" i="2" s="1"/>
  <c r="X305" i="2"/>
  <c r="X314" i="2" s="1"/>
  <c r="AJ105" i="2"/>
  <c r="AI106" i="2"/>
  <c r="AI108" i="2" s="1"/>
  <c r="AF183" i="2"/>
  <c r="AF196" i="2" s="1"/>
  <c r="AK389" i="2"/>
  <c r="AK390" i="2"/>
  <c r="AK476" i="2"/>
  <c r="AP206" i="2"/>
  <c r="AQ202" i="2"/>
  <c r="AB522" i="2"/>
  <c r="AA129" i="2"/>
  <c r="AA130" i="2" s="1"/>
  <c r="AA131" i="2"/>
  <c r="AA155" i="2" s="1"/>
  <c r="AA134" i="2"/>
  <c r="S530" i="2"/>
  <c r="S541" i="2"/>
  <c r="Y337" i="2"/>
  <c r="Y330" i="2"/>
  <c r="Y331" i="2" s="1"/>
  <c r="AP405" i="2"/>
  <c r="AC137" i="2"/>
  <c r="AB265" i="2"/>
  <c r="Z190" i="2"/>
  <c r="Z486" i="2" s="1"/>
  <c r="Z487" i="2" s="1"/>
  <c r="U523" i="2"/>
  <c r="U502" i="2"/>
  <c r="AD68" i="2"/>
  <c r="AD81" i="2" s="1"/>
  <c r="AD67" i="2"/>
  <c r="X352" i="2"/>
  <c r="X338" i="2"/>
  <c r="X472" i="2"/>
  <c r="AV224" i="2"/>
  <c r="AH78" i="2"/>
  <c r="AH217" i="2" s="1"/>
  <c r="AH77" i="2"/>
  <c r="T505" i="2"/>
  <c r="T525" i="2" s="1"/>
  <c r="T527" i="2" s="1"/>
  <c r="AL421" i="2"/>
  <c r="AL424" i="2" s="1"/>
  <c r="AL426" i="2" s="1"/>
  <c r="AL244" i="2" s="1"/>
  <c r="AM404" i="2"/>
  <c r="AL407" i="2"/>
  <c r="AL409" i="2" s="1"/>
  <c r="AK382" i="2"/>
  <c r="AK384" i="2" s="1"/>
  <c r="Y517" i="2"/>
  <c r="Y521" i="2"/>
  <c r="AE218" i="2"/>
  <c r="AE463" i="2" s="1"/>
  <c r="AE460" i="2"/>
  <c r="Y291" i="2"/>
  <c r="Y290" i="2" s="1"/>
  <c r="Y318" i="2"/>
  <c r="Y311" i="2"/>
  <c r="Y312" i="2"/>
  <c r="AA267" i="2"/>
  <c r="AA269" i="2" s="1"/>
  <c r="AA468" i="2" s="1"/>
  <c r="AA302" i="2"/>
  <c r="AE428" i="2"/>
  <c r="AE65" i="2"/>
  <c r="AF63" i="2"/>
  <c r="AA580" i="2"/>
  <c r="AA590" i="2" s="1"/>
  <c r="AA528" i="2" s="1"/>
  <c r="AH48" i="2"/>
  <c r="AH45" i="2"/>
  <c r="AI47" i="2"/>
  <c r="AJ71" i="2"/>
  <c r="AI75" i="2"/>
  <c r="AR414" i="2"/>
  <c r="AF216" i="2"/>
  <c r="P566" i="2"/>
  <c r="P569" i="2" s="1"/>
  <c r="P573" i="2"/>
  <c r="F130" i="107" s="1"/>
  <c r="E8" i="65" s="1"/>
  <c r="F109" i="107"/>
  <c r="AA522" i="2"/>
  <c r="AH84" i="2"/>
  <c r="AG182" i="2"/>
  <c r="AG178" i="2"/>
  <c r="AG177" i="2"/>
  <c r="AG235" i="2"/>
  <c r="AG249" i="2" s="1"/>
  <c r="AG250" i="2" s="1"/>
  <c r="AG210" i="2"/>
  <c r="AG209" i="2"/>
  <c r="AG236" i="2"/>
  <c r="AG211" i="2"/>
  <c r="AG212" i="2"/>
  <c r="AA437" i="2"/>
  <c r="AJ477" i="2"/>
  <c r="AT162" i="2"/>
  <c r="AS164" i="2"/>
  <c r="AS166" i="2" s="1"/>
  <c r="AR169" i="2"/>
  <c r="AQ171" i="2"/>
  <c r="AQ173" i="2" s="1"/>
  <c r="AJ395" i="2"/>
  <c r="AB92" i="2"/>
  <c r="AB93" i="2" s="1"/>
  <c r="AA280" i="2"/>
  <c r="AA282" i="2" s="1"/>
  <c r="AA441" i="2"/>
  <c r="AA449" i="2" s="1"/>
  <c r="AA451" i="2" s="1"/>
  <c r="V349" i="2"/>
  <c r="V499" i="2" s="1"/>
  <c r="S506" i="2"/>
  <c r="AA262" i="2"/>
  <c r="AE115" i="2"/>
  <c r="AF114" i="2"/>
  <c r="AF287" i="2"/>
  <c r="AF288" i="2" s="1"/>
  <c r="AF261" i="2"/>
  <c r="AF268" i="2" s="1"/>
  <c r="W473" i="2"/>
  <c r="W480" i="2"/>
  <c r="W481" i="2" s="1"/>
  <c r="Z443" i="2"/>
  <c r="Z446" i="2" s="1"/>
  <c r="Z445" i="2"/>
  <c r="AC238" i="2"/>
  <c r="AC258" i="2" s="1"/>
  <c r="AC240" i="2"/>
  <c r="Y509" i="2"/>
  <c r="AA190" i="2" l="1"/>
  <c r="AQ50" i="2"/>
  <c r="AP51" i="2"/>
  <c r="AB126" i="2"/>
  <c r="W349" i="2"/>
  <c r="W499" i="2" s="1"/>
  <c r="W502" i="2" s="1"/>
  <c r="AK395" i="2"/>
  <c r="AK524" i="2" s="1"/>
  <c r="AL382" i="2"/>
  <c r="AL384" i="2" s="1"/>
  <c r="AA199" i="2"/>
  <c r="AA194" i="2"/>
  <c r="AA195" i="2" s="1"/>
  <c r="AA486" i="2"/>
  <c r="AA487" i="2" s="1"/>
  <c r="AP359" i="2"/>
  <c r="AP360" i="2" s="1"/>
  <c r="AP408" i="2" s="1"/>
  <c r="AP410" i="2" s="1"/>
  <c r="AP361" i="2"/>
  <c r="AO362" i="2"/>
  <c r="AO363" i="2"/>
  <c r="AO377" i="2"/>
  <c r="AO408" i="2"/>
  <c r="AO410" i="2" s="1"/>
  <c r="AA546" i="2"/>
  <c r="AE83" i="2"/>
  <c r="AD80" i="2"/>
  <c r="AD118" i="2"/>
  <c r="AD149" i="2"/>
  <c r="AD119" i="2"/>
  <c r="AD148" i="2"/>
  <c r="AD150" i="2"/>
  <c r="AD147" i="2"/>
  <c r="AD233" i="2"/>
  <c r="AD245" i="2" s="1"/>
  <c r="AD246" i="2" s="1"/>
  <c r="AD154" i="2"/>
  <c r="AD232" i="2"/>
  <c r="X308" i="2"/>
  <c r="X313" i="2"/>
  <c r="X317" i="2" s="1"/>
  <c r="X320" i="2" s="1"/>
  <c r="AE87" i="2"/>
  <c r="AE86" i="2" s="1"/>
  <c r="AD435" i="2"/>
  <c r="AD438" i="2" s="1"/>
  <c r="AJ524" i="2"/>
  <c r="AG179" i="2"/>
  <c r="AG181" i="2" s="1"/>
  <c r="AF428" i="2"/>
  <c r="AF65" i="2"/>
  <c r="AG63" i="2"/>
  <c r="Y518" i="2"/>
  <c r="Y520" i="2" s="1"/>
  <c r="AQ206" i="2"/>
  <c r="AR202" i="2"/>
  <c r="AB188" i="2"/>
  <c r="AB189" i="2"/>
  <c r="AB255" i="2"/>
  <c r="AB298" i="2" s="1"/>
  <c r="AC90" i="2"/>
  <c r="AC279" i="2"/>
  <c r="AC433" i="2"/>
  <c r="AM104" i="2"/>
  <c r="AL425" i="2"/>
  <c r="AL427" i="2" s="1"/>
  <c r="AL248" i="2" s="1"/>
  <c r="AL297" i="2"/>
  <c r="AG261" i="2"/>
  <c r="AG268" i="2" s="1"/>
  <c r="AG287" i="2"/>
  <c r="AG288" i="2" s="1"/>
  <c r="Z519" i="2"/>
  <c r="AP7" i="2"/>
  <c r="AO8" i="2"/>
  <c r="AO35" i="2" s="1"/>
  <c r="AO34" i="2"/>
  <c r="AO36" i="2" s="1"/>
  <c r="AA303" i="2"/>
  <c r="AK494" i="2"/>
  <c r="AQ405" i="2"/>
  <c r="H81" i="107"/>
  <c r="H82" i="107" s="1"/>
  <c r="R20" i="65"/>
  <c r="G6" i="65" s="1"/>
  <c r="AB397" i="2"/>
  <c r="AB398" i="2" s="1"/>
  <c r="Z509" i="2"/>
  <c r="AN378" i="2"/>
  <c r="AA469" i="2"/>
  <c r="AA483" i="2" s="1"/>
  <c r="AI84" i="2"/>
  <c r="AH235" i="2"/>
  <c r="AH249" i="2" s="1"/>
  <c r="AH250" i="2" s="1"/>
  <c r="AH182" i="2"/>
  <c r="AH178" i="2"/>
  <c r="AH211" i="2"/>
  <c r="AH210" i="2"/>
  <c r="AH212" i="2"/>
  <c r="AH177" i="2"/>
  <c r="AH209" i="2"/>
  <c r="AH236" i="2"/>
  <c r="Z337" i="2"/>
  <c r="Z330" i="2"/>
  <c r="Z331" i="2" s="1"/>
  <c r="AB267" i="2"/>
  <c r="AB269" i="2" s="1"/>
  <c r="AB468" i="2" s="1"/>
  <c r="AB302" i="2"/>
  <c r="AD238" i="2"/>
  <c r="AD258" i="2" s="1"/>
  <c r="AD240" i="2"/>
  <c r="AC273" i="2"/>
  <c r="AC254" i="2"/>
  <c r="AC260" i="2"/>
  <c r="AC262" i="2" s="1"/>
  <c r="AS169" i="2"/>
  <c r="AR171" i="2"/>
  <c r="AR173" i="2" s="1"/>
  <c r="F125" i="107"/>
  <c r="Q568" i="2"/>
  <c r="E10" i="65"/>
  <c r="AI45" i="2"/>
  <c r="AJ47" i="2"/>
  <c r="AI48" i="2"/>
  <c r="AK477" i="2"/>
  <c r="AK105" i="2"/>
  <c r="AJ106" i="2"/>
  <c r="AJ108" i="2" s="1"/>
  <c r="V491" i="2"/>
  <c r="V504" i="2" s="1"/>
  <c r="V510" i="2"/>
  <c r="U505" i="2"/>
  <c r="U525" i="2" s="1"/>
  <c r="U527" i="2" s="1"/>
  <c r="AC187" i="2"/>
  <c r="AC272" i="2"/>
  <c r="AC284" i="2"/>
  <c r="AC285" i="2" s="1"/>
  <c r="AC251" i="2"/>
  <c r="X520" i="2"/>
  <c r="H77" i="107"/>
  <c r="AC438" i="2"/>
  <c r="W321" i="2"/>
  <c r="W324" i="2"/>
  <c r="W353" i="2"/>
  <c r="W490" i="2"/>
  <c r="W322" i="2"/>
  <c r="Z517" i="2"/>
  <c r="Z518" i="2" s="1"/>
  <c r="Z521" i="2"/>
  <c r="AF218" i="2"/>
  <c r="AF463" i="2" s="1"/>
  <c r="AF460" i="2"/>
  <c r="AK328" i="2"/>
  <c r="AC92" i="2"/>
  <c r="AC93" i="2" s="1"/>
  <c r="AB280" i="2"/>
  <c r="AB282" i="2" s="1"/>
  <c r="AB441" i="2"/>
  <c r="AB449" i="2" s="1"/>
  <c r="AB451" i="2" s="1"/>
  <c r="AE67" i="2"/>
  <c r="AE68" i="2"/>
  <c r="AE81" i="2" s="1"/>
  <c r="AD137" i="2"/>
  <c r="AC265" i="2"/>
  <c r="AH241" i="2"/>
  <c r="AH239" i="2"/>
  <c r="AH259" i="2" s="1"/>
  <c r="AH266" i="2" s="1"/>
  <c r="AM421" i="2"/>
  <c r="AM424" i="2" s="1"/>
  <c r="AM426" i="2" s="1"/>
  <c r="AM244" i="2" s="1"/>
  <c r="AN404" i="2"/>
  <c r="AM407" i="2"/>
  <c r="AM409" i="2" s="1"/>
  <c r="X473" i="2"/>
  <c r="X480" i="2"/>
  <c r="X481" i="2" s="1"/>
  <c r="Z199" i="2"/>
  <c r="Z194" i="2"/>
  <c r="Z195" i="2" s="1"/>
  <c r="Y338" i="2"/>
  <c r="Y352" i="2"/>
  <c r="Y472" i="2"/>
  <c r="AL494" i="2"/>
  <c r="AL495" i="2" s="1"/>
  <c r="Q549" i="2"/>
  <c r="Q571" i="2"/>
  <c r="AC151" i="2"/>
  <c r="T541" i="2"/>
  <c r="G101" i="107" s="1"/>
  <c r="T530" i="2"/>
  <c r="T533" i="2" s="1"/>
  <c r="T537" i="2" s="1"/>
  <c r="Z291" i="2"/>
  <c r="Z290" i="2" s="1"/>
  <c r="Z311" i="2"/>
  <c r="Z312" i="2"/>
  <c r="Z318" i="2"/>
  <c r="AL55" i="2"/>
  <c r="AK54" i="2"/>
  <c r="AF115" i="2"/>
  <c r="AG114" i="2"/>
  <c r="AK71" i="2"/>
  <c r="AJ75" i="2"/>
  <c r="AC120" i="2"/>
  <c r="AC122" i="2" s="1"/>
  <c r="V523" i="2"/>
  <c r="V502" i="2"/>
  <c r="AT164" i="2"/>
  <c r="AT166" i="2" s="1"/>
  <c r="AU162" i="2"/>
  <c r="AB129" i="2"/>
  <c r="AB130" i="2" s="1"/>
  <c r="AB131" i="2"/>
  <c r="AB155" i="2" s="1"/>
  <c r="AB134" i="2"/>
  <c r="Y305" i="2"/>
  <c r="Y314" i="2" s="1"/>
  <c r="Y304" i="2"/>
  <c r="Y306" i="2"/>
  <c r="Y315" i="2" s="1"/>
  <c r="Y307" i="2"/>
  <c r="Y316" i="2" s="1"/>
  <c r="G89" i="107"/>
  <c r="AL111" i="2"/>
  <c r="AK113" i="2"/>
  <c r="AB437" i="2"/>
  <c r="AH587" i="2"/>
  <c r="AH588" i="2" s="1"/>
  <c r="AI584" i="2" s="1"/>
  <c r="AI78" i="2"/>
  <c r="AI217" i="2" s="1"/>
  <c r="AI77" i="2"/>
  <c r="S533" i="2"/>
  <c r="AN367" i="2"/>
  <c r="AM369" i="2"/>
  <c r="AM372" i="2" s="1"/>
  <c r="AN368" i="2"/>
  <c r="AM416" i="2"/>
  <c r="AM418" i="2" s="1"/>
  <c r="AM381" i="2"/>
  <c r="AM417" i="2"/>
  <c r="AM419" i="2" s="1"/>
  <c r="AM422" i="2"/>
  <c r="AA443" i="2"/>
  <c r="AA446" i="2" s="1"/>
  <c r="AA445" i="2"/>
  <c r="AG213" i="2"/>
  <c r="AS414" i="2"/>
  <c r="AA581" i="2"/>
  <c r="AB577" i="2" s="1"/>
  <c r="T506" i="2"/>
  <c r="X341" i="2"/>
  <c r="X345" i="2"/>
  <c r="X342" i="2"/>
  <c r="X346" i="2"/>
  <c r="X344" i="2"/>
  <c r="X343" i="2"/>
  <c r="X348" i="2"/>
  <c r="X347" i="2"/>
  <c r="AB262" i="2"/>
  <c r="AH140" i="2"/>
  <c r="AG144" i="2"/>
  <c r="AO227" i="2"/>
  <c r="AB281" i="2"/>
  <c r="AL389" i="2"/>
  <c r="AL390" i="2"/>
  <c r="AL476" i="2"/>
  <c r="AA335" i="2"/>
  <c r="AA326" i="2"/>
  <c r="AA299" i="2"/>
  <c r="AJ61" i="2"/>
  <c r="AJ62" i="2"/>
  <c r="AJ455" i="2"/>
  <c r="AJ457" i="2" s="1"/>
  <c r="AH179" i="2" l="1"/>
  <c r="AH181" i="2" s="1"/>
  <c r="AA509" i="2"/>
  <c r="AD120" i="2"/>
  <c r="AD122" i="2" s="1"/>
  <c r="AD124" i="2" s="1"/>
  <c r="AR50" i="2"/>
  <c r="AQ51" i="2"/>
  <c r="G92" i="107"/>
  <c r="Z520" i="2"/>
  <c r="AB303" i="2"/>
  <c r="AC281" i="2"/>
  <c r="W523" i="2"/>
  <c r="AL395" i="2"/>
  <c r="AL524" i="2" s="1"/>
  <c r="F7" i="65"/>
  <c r="Q21" i="65"/>
  <c r="AJ84" i="2"/>
  <c r="AI235" i="2"/>
  <c r="AI249" i="2" s="1"/>
  <c r="AI250" i="2" s="1"/>
  <c r="AI177" i="2"/>
  <c r="AI178" i="2"/>
  <c r="AI211" i="2"/>
  <c r="AI182" i="2"/>
  <c r="AI212" i="2"/>
  <c r="AI209" i="2"/>
  <c r="AI236" i="2"/>
  <c r="AI210" i="2"/>
  <c r="AL113" i="2"/>
  <c r="AM111" i="2"/>
  <c r="AH183" i="2"/>
  <c r="AH196" i="2" s="1"/>
  <c r="AD92" i="2"/>
  <c r="AD93" i="2" s="1"/>
  <c r="AC280" i="2"/>
  <c r="AC282" i="2" s="1"/>
  <c r="AC441" i="2"/>
  <c r="AD90" i="2"/>
  <c r="AD95" i="2" s="1"/>
  <c r="AD96" i="2" s="1"/>
  <c r="AD279" i="2"/>
  <c r="AD433" i="2"/>
  <c r="AO367" i="2"/>
  <c r="AN369" i="2"/>
  <c r="AN372" i="2" s="1"/>
  <c r="AO368" i="2"/>
  <c r="AN416" i="2"/>
  <c r="AN418" i="2" s="1"/>
  <c r="AN381" i="2"/>
  <c r="AN382" i="2" s="1"/>
  <c r="AN384" i="2" s="1"/>
  <c r="AN417" i="2"/>
  <c r="AN419" i="2" s="1"/>
  <c r="AN422" i="2"/>
  <c r="AB469" i="2"/>
  <c r="AB483" i="2" s="1"/>
  <c r="AL71" i="2"/>
  <c r="AK75" i="2"/>
  <c r="Y473" i="2"/>
  <c r="Y480" i="2"/>
  <c r="Y481" i="2" s="1"/>
  <c r="AP8" i="2"/>
  <c r="AP35" i="2" s="1"/>
  <c r="AQ7" i="2"/>
  <c r="AP34" i="2"/>
  <c r="AP36" i="2" s="1"/>
  <c r="AL328" i="2"/>
  <c r="AC95" i="2"/>
  <c r="AC96" i="2" s="1"/>
  <c r="AD187" i="2"/>
  <c r="AD272" i="2"/>
  <c r="AD251" i="2"/>
  <c r="AD284" i="2"/>
  <c r="AD285" i="2" s="1"/>
  <c r="AE238" i="2"/>
  <c r="AE258" i="2" s="1"/>
  <c r="AE240" i="2"/>
  <c r="AK62" i="2"/>
  <c r="AK61" i="2"/>
  <c r="AK455" i="2"/>
  <c r="AK457" i="2" s="1"/>
  <c r="AI140" i="2"/>
  <c r="AH144" i="2"/>
  <c r="AC124" i="2"/>
  <c r="AC126" i="2"/>
  <c r="U530" i="2"/>
  <c r="U541" i="2"/>
  <c r="AL477" i="2"/>
  <c r="AM389" i="2"/>
  <c r="AM390" i="2"/>
  <c r="AM476" i="2"/>
  <c r="AJ78" i="2"/>
  <c r="AJ217" i="2" s="1"/>
  <c r="AJ77" i="2"/>
  <c r="V505" i="2"/>
  <c r="V525" i="2" s="1"/>
  <c r="V535" i="2" s="1"/>
  <c r="AA517" i="2"/>
  <c r="AA521" i="2"/>
  <c r="X349" i="2"/>
  <c r="X499" i="2" s="1"/>
  <c r="AG115" i="2"/>
  <c r="AH114" i="2"/>
  <c r="AC498" i="2"/>
  <c r="AC154" i="2"/>
  <c r="AN421" i="2"/>
  <c r="AN424" i="2" s="1"/>
  <c r="AN426" i="2" s="1"/>
  <c r="AN244" i="2" s="1"/>
  <c r="AO404" i="2"/>
  <c r="AN407" i="2"/>
  <c r="AN409" i="2" s="1"/>
  <c r="AL105" i="2"/>
  <c r="AK106" i="2"/>
  <c r="AK108" i="2" s="1"/>
  <c r="AT169" i="2"/>
  <c r="AS171" i="2"/>
  <c r="AS173" i="2" s="1"/>
  <c r="AG428" i="2"/>
  <c r="AG65" i="2"/>
  <c r="AH63" i="2"/>
  <c r="AA337" i="2"/>
  <c r="AA330" i="2"/>
  <c r="AA331" i="2" s="1"/>
  <c r="AG500" i="2"/>
  <c r="AG216" i="2"/>
  <c r="AI587" i="2"/>
  <c r="AI588" i="2" s="1"/>
  <c r="AJ584" i="2" s="1"/>
  <c r="G124" i="107"/>
  <c r="AD265" i="2"/>
  <c r="W491" i="2"/>
  <c r="W504" i="2" s="1"/>
  <c r="W510" i="2"/>
  <c r="Y341" i="2"/>
  <c r="Y344" i="2"/>
  <c r="Y345" i="2"/>
  <c r="Y346" i="2"/>
  <c r="Y342" i="2"/>
  <c r="Y347" i="2"/>
  <c r="Y348" i="2"/>
  <c r="Y343" i="2"/>
  <c r="AB335" i="2"/>
  <c r="AB326" i="2"/>
  <c r="AB299" i="2"/>
  <c r="AD151" i="2"/>
  <c r="AD498" i="2" s="1"/>
  <c r="AQ359" i="2"/>
  <c r="AQ360" i="2" s="1"/>
  <c r="AQ361" i="2"/>
  <c r="AP377" i="2"/>
  <c r="AP362" i="2"/>
  <c r="AP363" i="2"/>
  <c r="AM425" i="2"/>
  <c r="AM427" i="2" s="1"/>
  <c r="AM248" i="2" s="1"/>
  <c r="AM297" i="2"/>
  <c r="S537" i="2"/>
  <c r="G95" i="107"/>
  <c r="AU164" i="2"/>
  <c r="AU166" i="2" s="1"/>
  <c r="AV162" i="2"/>
  <c r="AV164" i="2" s="1"/>
  <c r="AV166" i="2" s="1"/>
  <c r="AF87" i="2"/>
  <c r="AF86" i="2" s="1"/>
  <c r="AE435" i="2"/>
  <c r="AC267" i="2"/>
  <c r="AC269" i="2" s="1"/>
  <c r="AC468" i="2" s="1"/>
  <c r="AC302" i="2"/>
  <c r="Z338" i="2"/>
  <c r="Z352" i="2"/>
  <c r="Z472" i="2"/>
  <c r="AR405" i="2"/>
  <c r="AN104" i="2"/>
  <c r="AF67" i="2"/>
  <c r="AF68" i="2"/>
  <c r="AF81" i="2" s="1"/>
  <c r="AJ45" i="2"/>
  <c r="AJ48" i="2"/>
  <c r="AK47" i="2"/>
  <c r="AM382" i="2"/>
  <c r="AM384" i="2" s="1"/>
  <c r="Y308" i="2"/>
  <c r="Y313" i="2"/>
  <c r="Y317" i="2" s="1"/>
  <c r="Y320" i="2" s="1"/>
  <c r="AM55" i="2"/>
  <c r="AL54" i="2"/>
  <c r="Z305" i="2"/>
  <c r="Z314" i="2" s="1"/>
  <c r="Z304" i="2"/>
  <c r="Z307" i="2"/>
  <c r="Z316" i="2" s="1"/>
  <c r="Z306" i="2"/>
  <c r="Z315" i="2" s="1"/>
  <c r="Q566" i="2"/>
  <c r="Q569" i="2" s="1"/>
  <c r="R568" i="2" s="1"/>
  <c r="R569" i="2" s="1"/>
  <c r="S568" i="2" s="1"/>
  <c r="Q573" i="2"/>
  <c r="AB443" i="2"/>
  <c r="AB446" i="2" s="1"/>
  <c r="AB445" i="2"/>
  <c r="U506" i="2"/>
  <c r="AH287" i="2"/>
  <c r="AH288" i="2" s="1"/>
  <c r="AB190" i="2"/>
  <c r="AR206" i="2"/>
  <c r="AS202" i="2"/>
  <c r="AG183" i="2"/>
  <c r="AG196" i="2" s="1"/>
  <c r="X353" i="2"/>
  <c r="X321" i="2"/>
  <c r="X324" i="2"/>
  <c r="X490" i="2"/>
  <c r="X322" i="2"/>
  <c r="AB580" i="2"/>
  <c r="AB590" i="2" s="1"/>
  <c r="AB528" i="2" s="1"/>
  <c r="AE80" i="2"/>
  <c r="AF83" i="2"/>
  <c r="AE118" i="2"/>
  <c r="AE120" i="2" s="1"/>
  <c r="AE122" i="2" s="1"/>
  <c r="AE149" i="2"/>
  <c r="AE119" i="2"/>
  <c r="AE148" i="2"/>
  <c r="AE150" i="2"/>
  <c r="AE154" i="2"/>
  <c r="AE147" i="2"/>
  <c r="AE232" i="2"/>
  <c r="AE233" i="2"/>
  <c r="AE245" i="2" s="1"/>
  <c r="AE246" i="2" s="1"/>
  <c r="AC397" i="2"/>
  <c r="AC398" i="2" s="1"/>
  <c r="AC188" i="2"/>
  <c r="AC189" i="2"/>
  <c r="AC255" i="2"/>
  <c r="AC298" i="2" s="1"/>
  <c r="AK495" i="2"/>
  <c r="AA519" i="2"/>
  <c r="AA291" i="2"/>
  <c r="AA290" i="2" s="1"/>
  <c r="AA318" i="2"/>
  <c r="AA311" i="2"/>
  <c r="AA312" i="2"/>
  <c r="AP227" i="2"/>
  <c r="AT414" i="2"/>
  <c r="T539" i="2"/>
  <c r="T545" i="2"/>
  <c r="T547" i="2" s="1"/>
  <c r="AH261" i="2"/>
  <c r="AH268" i="2" s="1"/>
  <c r="U535" i="2"/>
  <c r="AD273" i="2"/>
  <c r="AD260" i="2"/>
  <c r="AD262" i="2" s="1"/>
  <c r="AD254" i="2"/>
  <c r="AH213" i="2"/>
  <c r="AI241" i="2"/>
  <c r="AI239" i="2"/>
  <c r="AI259" i="2" s="1"/>
  <c r="AI266" i="2" s="1"/>
  <c r="AC437" i="2"/>
  <c r="AO378" i="2"/>
  <c r="AD126" i="2" l="1"/>
  <c r="AE151" i="2"/>
  <c r="AE498" i="2" s="1"/>
  <c r="AS50" i="2"/>
  <c r="AR51" i="2"/>
  <c r="AE137" i="2"/>
  <c r="AC469" i="2"/>
  <c r="AC483" i="2" s="1"/>
  <c r="AR359" i="2"/>
  <c r="AR360" i="2" s="1"/>
  <c r="AQ377" i="2"/>
  <c r="AQ363" i="2"/>
  <c r="AQ362" i="2"/>
  <c r="AR361" i="2"/>
  <c r="AQ408" i="2"/>
  <c r="AQ410" i="2" s="1"/>
  <c r="AJ587" i="2"/>
  <c r="AJ588" i="2" s="1"/>
  <c r="AK584" i="2" s="1"/>
  <c r="AN494" i="2"/>
  <c r="AN495" i="2" s="1"/>
  <c r="Y349" i="2"/>
  <c r="Y499" i="2" s="1"/>
  <c r="AC303" i="2"/>
  <c r="AM494" i="2"/>
  <c r="V506" i="2"/>
  <c r="AI144" i="2"/>
  <c r="AJ140" i="2"/>
  <c r="AR7" i="2"/>
  <c r="AQ8" i="2"/>
  <c r="AQ35" i="2" s="1"/>
  <c r="AQ34" i="2"/>
  <c r="AQ36" i="2" s="1"/>
  <c r="AN389" i="2"/>
  <c r="AN390" i="2"/>
  <c r="AN476" i="2"/>
  <c r="AI179" i="2"/>
  <c r="AI181" i="2" s="1"/>
  <c r="AE90" i="2"/>
  <c r="AE95" i="2"/>
  <c r="AE96" i="2" s="1"/>
  <c r="AE279" i="2"/>
  <c r="AE433" i="2"/>
  <c r="AE273" i="2"/>
  <c r="AE254" i="2"/>
  <c r="AE260" i="2"/>
  <c r="AE262" i="2" s="1"/>
  <c r="Y321" i="2"/>
  <c r="Y324" i="2"/>
  <c r="Y353" i="2"/>
  <c r="Y490" i="2"/>
  <c r="Y322" i="2"/>
  <c r="AB337" i="2"/>
  <c r="AB330" i="2"/>
  <c r="AB331" i="2" s="1"/>
  <c r="AM395" i="2"/>
  <c r="AM524" i="2" s="1"/>
  <c r="AH500" i="2"/>
  <c r="AH511" i="2" s="1"/>
  <c r="AH216" i="2"/>
  <c r="AC445" i="2"/>
  <c r="AC443" i="2"/>
  <c r="AD189" i="2"/>
  <c r="AD188" i="2"/>
  <c r="AD255" i="2"/>
  <c r="AD298" i="2" s="1"/>
  <c r="AG87" i="2"/>
  <c r="AG86" i="2" s="1"/>
  <c r="AF435" i="2"/>
  <c r="AF438" i="2" s="1"/>
  <c r="Z344" i="2"/>
  <c r="Z348" i="2"/>
  <c r="Z345" i="2"/>
  <c r="Z343" i="2"/>
  <c r="Z342" i="2"/>
  <c r="Z347" i="2"/>
  <c r="Z341" i="2"/>
  <c r="Z346" i="2"/>
  <c r="AD267" i="2"/>
  <c r="AD269" i="2" s="1"/>
  <c r="AD468" i="2" s="1"/>
  <c r="AD302" i="2"/>
  <c r="AQ227" i="2"/>
  <c r="AA306" i="2"/>
  <c r="AA315" i="2" s="1"/>
  <c r="AA305" i="2"/>
  <c r="AA314" i="2" s="1"/>
  <c r="AA307" i="2"/>
  <c r="AA316" i="2" s="1"/>
  <c r="AA304" i="2"/>
  <c r="AC190" i="2"/>
  <c r="AF119" i="2"/>
  <c r="AG83" i="2"/>
  <c r="AF118" i="2"/>
  <c r="AF80" i="2"/>
  <c r="AF149" i="2"/>
  <c r="AF233" i="2"/>
  <c r="AF245" i="2" s="1"/>
  <c r="AF246" i="2" s="1"/>
  <c r="AF148" i="2"/>
  <c r="AF147" i="2"/>
  <c r="AF150" i="2"/>
  <c r="AF232" i="2"/>
  <c r="AA352" i="2"/>
  <c r="AA338" i="2"/>
  <c r="AA472" i="2"/>
  <c r="AU169" i="2"/>
  <c r="AT171" i="2"/>
  <c r="AT173" i="2" s="1"/>
  <c r="AC522" i="2"/>
  <c r="AB517" i="2"/>
  <c r="AB518" i="2" s="1"/>
  <c r="AB521" i="2"/>
  <c r="AP367" i="2"/>
  <c r="AO369" i="2"/>
  <c r="AO372" i="2" s="1"/>
  <c r="AO381" i="2"/>
  <c r="AO382" i="2" s="1"/>
  <c r="AO384" i="2" s="1"/>
  <c r="AO416" i="2"/>
  <c r="AO418" i="2" s="1"/>
  <c r="AP368" i="2"/>
  <c r="AO417" i="2"/>
  <c r="AO419" i="2" s="1"/>
  <c r="AO422" i="2"/>
  <c r="AI287" i="2"/>
  <c r="AI288" i="2" s="1"/>
  <c r="AE522" i="2"/>
  <c r="AM54" i="2"/>
  <c r="AN55" i="2"/>
  <c r="AC335" i="2"/>
  <c r="AC326" i="2"/>
  <c r="AC299" i="2"/>
  <c r="AB199" i="2"/>
  <c r="AB194" i="2"/>
  <c r="AB195" i="2" s="1"/>
  <c r="AB486" i="2"/>
  <c r="AK78" i="2"/>
  <c r="AK217" i="2" s="1"/>
  <c r="AK77" i="2"/>
  <c r="Z473" i="2"/>
  <c r="Z480" i="2"/>
  <c r="Z481" i="2" s="1"/>
  <c r="AG511" i="2"/>
  <c r="Z308" i="2"/>
  <c r="Z313" i="2"/>
  <c r="Z317" i="2" s="1"/>
  <c r="Z320" i="2" s="1"/>
  <c r="AO104" i="2"/>
  <c r="S539" i="2"/>
  <c r="S545" i="2"/>
  <c r="G99" i="107"/>
  <c r="W505" i="2"/>
  <c r="W525" i="2" s="1"/>
  <c r="AH115" i="2"/>
  <c r="AI114" i="2"/>
  <c r="AK84" i="2"/>
  <c r="AJ235" i="2"/>
  <c r="AJ249" i="2" s="1"/>
  <c r="AJ250" i="2" s="1"/>
  <c r="AJ177" i="2"/>
  <c r="AJ182" i="2"/>
  <c r="AJ178" i="2"/>
  <c r="AJ209" i="2"/>
  <c r="AJ211" i="2"/>
  <c r="AJ210" i="2"/>
  <c r="AJ212" i="2"/>
  <c r="AJ236" i="2"/>
  <c r="U533" i="2"/>
  <c r="AD397" i="2"/>
  <c r="AD398" i="2" s="1"/>
  <c r="AI213" i="2"/>
  <c r="AJ241" i="2"/>
  <c r="AJ239" i="2"/>
  <c r="AJ259" i="2" s="1"/>
  <c r="AJ266" i="2" s="1"/>
  <c r="AC129" i="2"/>
  <c r="AC130" i="2" s="1"/>
  <c r="AC134" i="2"/>
  <c r="AC131" i="2"/>
  <c r="AC155" i="2" s="1"/>
  <c r="AH218" i="2"/>
  <c r="AH463" i="2" s="1"/>
  <c r="AH460" i="2"/>
  <c r="AI261" i="2"/>
  <c r="AI268" i="2" s="1"/>
  <c r="AS405" i="2"/>
  <c r="AA518" i="2"/>
  <c r="AA520" i="2" s="1"/>
  <c r="AF137" i="2"/>
  <c r="AE265" i="2"/>
  <c r="AN111" i="2"/>
  <c r="AM113" i="2"/>
  <c r="AU414" i="2"/>
  <c r="T549" i="2"/>
  <c r="T571" i="2"/>
  <c r="AG218" i="2"/>
  <c r="AG463" i="2" s="1"/>
  <c r="AG460" i="2"/>
  <c r="AE187" i="2"/>
  <c r="AE284" i="2"/>
  <c r="AE285" i="2" s="1"/>
  <c r="AE272" i="2"/>
  <c r="AE251" i="2"/>
  <c r="AE126" i="2"/>
  <c r="AE124" i="2"/>
  <c r="AB581" i="2"/>
  <c r="AC577" i="2" s="1"/>
  <c r="AM328" i="2"/>
  <c r="AD522" i="2"/>
  <c r="AH428" i="2"/>
  <c r="AH65" i="2"/>
  <c r="AI63" i="2"/>
  <c r="AM105" i="2"/>
  <c r="AL106" i="2"/>
  <c r="AL108" i="2" s="1"/>
  <c r="AN425" i="2"/>
  <c r="AN427" i="2" s="1"/>
  <c r="AN248" i="2" s="1"/>
  <c r="AN297" i="2"/>
  <c r="AD437" i="2"/>
  <c r="X491" i="2"/>
  <c r="X504" i="2" s="1"/>
  <c r="X510" i="2"/>
  <c r="AP404" i="2"/>
  <c r="AO421" i="2"/>
  <c r="AO424" i="2" s="1"/>
  <c r="AO426" i="2" s="1"/>
  <c r="AO244" i="2" s="1"/>
  <c r="AO407" i="2"/>
  <c r="AO409" i="2" s="1"/>
  <c r="AE92" i="2"/>
  <c r="AE93" i="2" s="1"/>
  <c r="AD280" i="2"/>
  <c r="AD282" i="2" s="1"/>
  <c r="AD441" i="2"/>
  <c r="AD449" i="2" s="1"/>
  <c r="AD451" i="2" s="1"/>
  <c r="AP378" i="2"/>
  <c r="AL75" i="2"/>
  <c r="AM71" i="2"/>
  <c r="AC449" i="2"/>
  <c r="AC451" i="2" s="1"/>
  <c r="V527" i="2"/>
  <c r="AF238" i="2"/>
  <c r="AF258" i="2" s="1"/>
  <c r="AF240" i="2"/>
  <c r="AB546" i="2"/>
  <c r="I106" i="107" s="1"/>
  <c r="I80" i="107"/>
  <c r="AS206" i="2"/>
  <c r="AT202" i="2"/>
  <c r="AL62" i="2"/>
  <c r="AL61" i="2"/>
  <c r="AL455" i="2"/>
  <c r="AL457" i="2" s="1"/>
  <c r="AL47" i="2"/>
  <c r="AK48" i="2"/>
  <c r="AK45" i="2"/>
  <c r="AE438" i="2"/>
  <c r="J12" i="107"/>
  <c r="AB291" i="2"/>
  <c r="AB290" i="2" s="1"/>
  <c r="AB311" i="2"/>
  <c r="AB312" i="2"/>
  <c r="AB318" i="2"/>
  <c r="AD129" i="2"/>
  <c r="AD130" i="2" s="1"/>
  <c r="AD134" i="2"/>
  <c r="AD131" i="2"/>
  <c r="AD155" i="2" s="1"/>
  <c r="AG68" i="2"/>
  <c r="AG81" i="2" s="1"/>
  <c r="AG67" i="2"/>
  <c r="X523" i="2"/>
  <c r="X502" i="2"/>
  <c r="AM477" i="2"/>
  <c r="AD281" i="2"/>
  <c r="AD303" i="2" l="1"/>
  <c r="AS51" i="2"/>
  <c r="AT50" i="2"/>
  <c r="W506" i="2"/>
  <c r="I76" i="107"/>
  <c r="S20" i="65" s="1"/>
  <c r="H6" i="65" s="1"/>
  <c r="AQ378" i="2"/>
  <c r="AK587" i="2"/>
  <c r="AK588" i="2" s="1"/>
  <c r="AL584" i="2" s="1"/>
  <c r="AD469" i="2"/>
  <c r="AD483" i="2" s="1"/>
  <c r="AS359" i="2"/>
  <c r="AS360" i="2"/>
  <c r="AR362" i="2"/>
  <c r="AR363" i="2"/>
  <c r="AS361" i="2"/>
  <c r="AR377" i="2"/>
  <c r="AR408" i="2"/>
  <c r="AR410" i="2" s="1"/>
  <c r="AO494" i="2"/>
  <c r="AF273" i="2"/>
  <c r="AF254" i="2"/>
  <c r="AF260" i="2"/>
  <c r="AF262" i="2" s="1"/>
  <c r="AE189" i="2"/>
  <c r="AE188" i="2"/>
  <c r="AE303" i="2" s="1"/>
  <c r="AE255" i="2"/>
  <c r="AE298" i="2" s="1"/>
  <c r="AG137" i="2"/>
  <c r="AF265" i="2"/>
  <c r="AB306" i="2"/>
  <c r="AB315" i="2" s="1"/>
  <c r="AB305" i="2"/>
  <c r="AB314" i="2" s="1"/>
  <c r="AB304" i="2"/>
  <c r="AB307" i="2"/>
  <c r="AB316" i="2" s="1"/>
  <c r="AL48" i="2"/>
  <c r="AL45" i="2"/>
  <c r="AM47" i="2"/>
  <c r="AN105" i="2"/>
  <c r="AM106" i="2"/>
  <c r="AM108" i="2" s="1"/>
  <c r="AE397" i="2"/>
  <c r="AE398" i="2" s="1"/>
  <c r="AO111" i="2"/>
  <c r="AN113" i="2"/>
  <c r="AJ213" i="2"/>
  <c r="W535" i="2"/>
  <c r="W527" i="2"/>
  <c r="Z324" i="2"/>
  <c r="Z353" i="2"/>
  <c r="Z321" i="2"/>
  <c r="Z490" i="2"/>
  <c r="Z322" i="2"/>
  <c r="AN54" i="2"/>
  <c r="AO55" i="2"/>
  <c r="AF120" i="2"/>
  <c r="AF122" i="2" s="1"/>
  <c r="AD335" i="2"/>
  <c r="AD326" i="2"/>
  <c r="AD299" i="2"/>
  <c r="AE267" i="2"/>
  <c r="AE302" i="2"/>
  <c r="AI183" i="2"/>
  <c r="AI196" i="2" s="1"/>
  <c r="AD445" i="2"/>
  <c r="AD443" i="2"/>
  <c r="AD446" i="2" s="1"/>
  <c r="V530" i="2"/>
  <c r="V541" i="2"/>
  <c r="AH67" i="2"/>
  <c r="AH68" i="2"/>
  <c r="AH81" i="2" s="1"/>
  <c r="AJ179" i="2"/>
  <c r="AJ181" i="2" s="1"/>
  <c r="S547" i="2"/>
  <c r="G105" i="107"/>
  <c r="AO389" i="2"/>
  <c r="AO390" i="2"/>
  <c r="AO476" i="2"/>
  <c r="AC199" i="2"/>
  <c r="AC194" i="2"/>
  <c r="AC195" i="2" s="1"/>
  <c r="AN395" i="2"/>
  <c r="AG80" i="2"/>
  <c r="AG119" i="2"/>
  <c r="AH83" i="2"/>
  <c r="AG118" i="2"/>
  <c r="AG147" i="2"/>
  <c r="AG154" i="2"/>
  <c r="AG149" i="2"/>
  <c r="AG233" i="2"/>
  <c r="AG245" i="2" s="1"/>
  <c r="AG246" i="2" s="1"/>
  <c r="AG150" i="2"/>
  <c r="AG148" i="2"/>
  <c r="AG232" i="2"/>
  <c r="AN328" i="2"/>
  <c r="T566" i="2"/>
  <c r="T573" i="2"/>
  <c r="AJ287" i="2"/>
  <c r="AJ288" i="2" s="1"/>
  <c r="AQ367" i="2"/>
  <c r="AQ368" i="2"/>
  <c r="AP416" i="2"/>
  <c r="AP418" i="2" s="1"/>
  <c r="AP381" i="2"/>
  <c r="AP382" i="2" s="1"/>
  <c r="AP384" i="2" s="1"/>
  <c r="AP369" i="2"/>
  <c r="AP372" i="2" s="1"/>
  <c r="AP417" i="2"/>
  <c r="AP419" i="2" s="1"/>
  <c r="AP422" i="2"/>
  <c r="AU171" i="2"/>
  <c r="AU173" i="2" s="1"/>
  <c r="AV169" i="2"/>
  <c r="AV171" i="2" s="1"/>
  <c r="AV173" i="2" s="1"/>
  <c r="AF187" i="2"/>
  <c r="AF284" i="2"/>
  <c r="AF285" i="2" s="1"/>
  <c r="AF251" i="2"/>
  <c r="AF272" i="2"/>
  <c r="AA308" i="2"/>
  <c r="AA313" i="2"/>
  <c r="AA317" i="2" s="1"/>
  <c r="AA320" i="2" s="1"/>
  <c r="AC446" i="2"/>
  <c r="Y491" i="2"/>
  <c r="Y504" i="2" s="1"/>
  <c r="Y510" i="2"/>
  <c r="AE437" i="2"/>
  <c r="AN477" i="2"/>
  <c r="AC580" i="2"/>
  <c r="AC590" i="2" s="1"/>
  <c r="AC528" i="2" s="1"/>
  <c r="AM495" i="2"/>
  <c r="L51" i="107"/>
  <c r="AE131" i="2"/>
  <c r="AE155" i="2" s="1"/>
  <c r="AE134" i="2"/>
  <c r="AE129" i="2"/>
  <c r="AE130" i="2" s="1"/>
  <c r="AU202" i="2"/>
  <c r="AT206" i="2"/>
  <c r="AJ261" i="2"/>
  <c r="AJ268" i="2" s="1"/>
  <c r="AK241" i="2"/>
  <c r="AK239" i="2"/>
  <c r="AK259" i="2" s="1"/>
  <c r="AK266" i="2" s="1"/>
  <c r="AC291" i="2"/>
  <c r="AC290" i="2" s="1"/>
  <c r="AC311" i="2"/>
  <c r="AC312" i="2"/>
  <c r="AC318" i="2"/>
  <c r="AA473" i="2"/>
  <c r="AA480" i="2"/>
  <c r="AA481" i="2" s="1"/>
  <c r="AE281" i="2"/>
  <c r="AC517" i="2"/>
  <c r="AC521" i="2"/>
  <c r="X505" i="2"/>
  <c r="X525" i="2" s="1"/>
  <c r="X535" i="2" s="1"/>
  <c r="AE269" i="2"/>
  <c r="AE468" i="2" s="1"/>
  <c r="U537" i="2"/>
  <c r="AM62" i="2"/>
  <c r="AM61" i="2"/>
  <c r="AM455" i="2"/>
  <c r="AM457" i="2" s="1"/>
  <c r="AG238" i="2"/>
  <c r="AG258" i="2" s="1"/>
  <c r="AG240" i="2"/>
  <c r="AR227" i="2"/>
  <c r="AI428" i="2"/>
  <c r="AI65" i="2"/>
  <c r="AJ63" i="2"/>
  <c r="AB487" i="2"/>
  <c r="AB509" i="2"/>
  <c r="AF151" i="2"/>
  <c r="AB338" i="2"/>
  <c r="AB472" i="2"/>
  <c r="AB352" i="2"/>
  <c r="AH87" i="2"/>
  <c r="AH86" i="2" s="1"/>
  <c r="AG435" i="2"/>
  <c r="AG438" i="2" s="1"/>
  <c r="AM75" i="2"/>
  <c r="AN71" i="2"/>
  <c r="AV414" i="2"/>
  <c r="AI500" i="2"/>
  <c r="AI216" i="2"/>
  <c r="AI115" i="2"/>
  <c r="AJ114" i="2"/>
  <c r="AP104" i="2"/>
  <c r="AO425" i="2"/>
  <c r="AO427" i="2" s="1"/>
  <c r="AO248" i="2" s="1"/>
  <c r="AO297" i="2"/>
  <c r="AS7" i="2"/>
  <c r="AR8" i="2"/>
  <c r="AR35" i="2" s="1"/>
  <c r="AR34" i="2"/>
  <c r="AR36" i="2" s="1"/>
  <c r="Y523" i="2"/>
  <c r="Y502" i="2"/>
  <c r="AL78" i="2"/>
  <c r="AL217" i="2" s="1"/>
  <c r="AL77" i="2"/>
  <c r="AP421" i="2"/>
  <c r="AP424" i="2" s="1"/>
  <c r="AP426" i="2" s="1"/>
  <c r="AP244" i="2" s="1"/>
  <c r="AQ404" i="2"/>
  <c r="AP407" i="2"/>
  <c r="AP409" i="2" s="1"/>
  <c r="AT405" i="2"/>
  <c r="AC486" i="2"/>
  <c r="AD190" i="2"/>
  <c r="AL84" i="2"/>
  <c r="AK235" i="2"/>
  <c r="AK249" i="2" s="1"/>
  <c r="AK250" i="2" s="1"/>
  <c r="AK177" i="2"/>
  <c r="AK182" i="2"/>
  <c r="AK212" i="2"/>
  <c r="AK178" i="2"/>
  <c r="AK209" i="2"/>
  <c r="AK211" i="2"/>
  <c r="AK210" i="2"/>
  <c r="AK236" i="2"/>
  <c r="AC337" i="2"/>
  <c r="AC330" i="2"/>
  <c r="AC331" i="2" s="1"/>
  <c r="AA348" i="2"/>
  <c r="AA343" i="2"/>
  <c r="AA344" i="2"/>
  <c r="AA345" i="2"/>
  <c r="AA346" i="2"/>
  <c r="AA341" i="2"/>
  <c r="AA342" i="2"/>
  <c r="AA347" i="2"/>
  <c r="AF90" i="2"/>
  <c r="AF95" i="2" s="1"/>
  <c r="AF96" i="2" s="1"/>
  <c r="AF279" i="2"/>
  <c r="AF281" i="2" s="1"/>
  <c r="AF433" i="2"/>
  <c r="Z349" i="2"/>
  <c r="Z499" i="2" s="1"/>
  <c r="AF92" i="2"/>
  <c r="AF93" i="2" s="1"/>
  <c r="AE280" i="2"/>
  <c r="AE282" i="2" s="1"/>
  <c r="AE441" i="2"/>
  <c r="AE449" i="2" s="1"/>
  <c r="AE451" i="2" s="1"/>
  <c r="AK140" i="2"/>
  <c r="AJ144" i="2"/>
  <c r="AK179" i="2" l="1"/>
  <c r="AK181" i="2" s="1"/>
  <c r="AT51" i="2"/>
  <c r="AU50" i="2"/>
  <c r="AC581" i="2"/>
  <c r="AD577" i="2" s="1"/>
  <c r="X506" i="2"/>
  <c r="AR378" i="2"/>
  <c r="AP494" i="2"/>
  <c r="AP495" i="2" s="1"/>
  <c r="AP425" i="2"/>
  <c r="AP427" i="2" s="1"/>
  <c r="AP248" i="2" s="1"/>
  <c r="AP297" i="2"/>
  <c r="AO495" i="2"/>
  <c r="AK183" i="2"/>
  <c r="AK196" i="2" s="1"/>
  <c r="Z523" i="2"/>
  <c r="Z502" i="2"/>
  <c r="AK287" i="2"/>
  <c r="AK288" i="2" s="1"/>
  <c r="AQ104" i="2"/>
  <c r="AM78" i="2"/>
  <c r="AM217" i="2" s="1"/>
  <c r="AM77" i="2"/>
  <c r="AB519" i="2"/>
  <c r="AG265" i="2"/>
  <c r="AC307" i="2"/>
  <c r="AC316" i="2" s="1"/>
  <c r="AC306" i="2"/>
  <c r="AC315" i="2" s="1"/>
  <c r="AC304" i="2"/>
  <c r="AC305" i="2"/>
  <c r="AC314" i="2" s="1"/>
  <c r="AP389" i="2"/>
  <c r="AP390" i="2"/>
  <c r="AP476" i="2"/>
  <c r="AG90" i="2"/>
  <c r="AG279" i="2"/>
  <c r="AG433" i="2"/>
  <c r="AO395" i="2"/>
  <c r="V533" i="2"/>
  <c r="Z491" i="2"/>
  <c r="Z504" i="2" s="1"/>
  <c r="Z510" i="2"/>
  <c r="AP111" i="2"/>
  <c r="AO113" i="2"/>
  <c r="AE335" i="2"/>
  <c r="AE326" i="2"/>
  <c r="AE299" i="2"/>
  <c r="AD517" i="2"/>
  <c r="AD518" i="2" s="1"/>
  <c r="AD521" i="2"/>
  <c r="AO477" i="2"/>
  <c r="AQ421" i="2"/>
  <c r="AQ424" i="2" s="1"/>
  <c r="AQ426" i="2" s="1"/>
  <c r="AQ244" i="2" s="1"/>
  <c r="AR404" i="2"/>
  <c r="AQ407" i="2"/>
  <c r="AQ409" i="2" s="1"/>
  <c r="AD291" i="2"/>
  <c r="AD290" i="2" s="1"/>
  <c r="AD318" i="2"/>
  <c r="AD311" i="2"/>
  <c r="AD312" i="2"/>
  <c r="AI67" i="2"/>
  <c r="AI68" i="2"/>
  <c r="AI81" i="2" s="1"/>
  <c r="AK261" i="2"/>
  <c r="AK268" i="2" s="1"/>
  <c r="AV202" i="2"/>
  <c r="AV206" i="2" s="1"/>
  <c r="AU206" i="2"/>
  <c r="AD580" i="2"/>
  <c r="AD590" i="2" s="1"/>
  <c r="AD528" i="2" s="1"/>
  <c r="AD546" i="2" s="1"/>
  <c r="S549" i="2"/>
  <c r="S571" i="2"/>
  <c r="G127" i="107" s="1"/>
  <c r="G107" i="107"/>
  <c r="AO105" i="2"/>
  <c r="AN106" i="2"/>
  <c r="AN108" i="2" s="1"/>
  <c r="AC338" i="2"/>
  <c r="AC352" i="2"/>
  <c r="AC472" i="2"/>
  <c r="AF498" i="2"/>
  <c r="AF154" i="2"/>
  <c r="AJ500" i="2"/>
  <c r="AJ511" i="2" s="1"/>
  <c r="AJ216" i="2"/>
  <c r="AG187" i="2"/>
  <c r="AG251" i="2"/>
  <c r="AG272" i="2"/>
  <c r="AG284" i="2"/>
  <c r="AG285" i="2" s="1"/>
  <c r="AB308" i="2"/>
  <c r="AB313" i="2"/>
  <c r="AB317" i="2" s="1"/>
  <c r="AB320" i="2" s="1"/>
  <c r="AD199" i="2"/>
  <c r="AD194" i="2"/>
  <c r="AD195" i="2" s="1"/>
  <c r="AD486" i="2"/>
  <c r="AK213" i="2"/>
  <c r="AC487" i="2"/>
  <c r="AC509" i="2"/>
  <c r="AM84" i="2"/>
  <c r="AL178" i="2"/>
  <c r="AL177" i="2"/>
  <c r="AL212" i="2"/>
  <c r="AL209" i="2"/>
  <c r="AL235" i="2"/>
  <c r="AL249" i="2" s="1"/>
  <c r="AL250" i="2" s="1"/>
  <c r="AL182" i="2"/>
  <c r="AL210" i="2"/>
  <c r="AL236" i="2"/>
  <c r="AL211" i="2"/>
  <c r="AS8" i="2"/>
  <c r="AS35" i="2" s="1"/>
  <c r="AT7" i="2"/>
  <c r="AS34" i="2"/>
  <c r="AS36" i="2" s="1"/>
  <c r="AB341" i="2"/>
  <c r="AB343" i="2"/>
  <c r="AB347" i="2"/>
  <c r="AB344" i="2"/>
  <c r="AB348" i="2"/>
  <c r="AB342" i="2"/>
  <c r="AB346" i="2"/>
  <c r="AB345" i="2"/>
  <c r="AC518" i="2"/>
  <c r="AC546" i="2"/>
  <c r="Y505" i="2"/>
  <c r="Y525" i="2" s="1"/>
  <c r="AF397" i="2"/>
  <c r="AF398" i="2" s="1"/>
  <c r="AN524" i="2"/>
  <c r="AJ183" i="2"/>
  <c r="AJ196" i="2" s="1"/>
  <c r="AD337" i="2"/>
  <c r="AD330" i="2"/>
  <c r="AD331" i="2" s="1"/>
  <c r="AF267" i="2"/>
  <c r="AF269" i="2" s="1"/>
  <c r="AF468" i="2" s="1"/>
  <c r="AF302" i="2"/>
  <c r="AA321" i="2"/>
  <c r="AA324" i="2"/>
  <c r="AA353" i="2"/>
  <c r="AA490" i="2"/>
  <c r="AA322" i="2"/>
  <c r="AI218" i="2"/>
  <c r="AI463" i="2" s="1"/>
  <c r="AI460" i="2"/>
  <c r="AN61" i="2"/>
  <c r="AN62" i="2"/>
  <c r="AN455" i="2"/>
  <c r="AN457" i="2" s="1"/>
  <c r="AT359" i="2"/>
  <c r="AT360" i="2" s="1"/>
  <c r="AS362" i="2"/>
  <c r="AS363" i="2"/>
  <c r="AS377" i="2"/>
  <c r="AT361" i="2"/>
  <c r="AA349" i="2"/>
  <c r="AA499" i="2" s="1"/>
  <c r="AE469" i="2"/>
  <c r="AE483" i="2" s="1"/>
  <c r="AF437" i="2"/>
  <c r="AL241" i="2"/>
  <c r="AL239" i="2"/>
  <c r="AL259" i="2" s="1"/>
  <c r="AL266" i="2" s="1"/>
  <c r="AJ115" i="2"/>
  <c r="AK114" i="2"/>
  <c r="AS408" i="2"/>
  <c r="AS410" i="2" s="1"/>
  <c r="AI511" i="2"/>
  <c r="K61" i="107"/>
  <c r="AB473" i="2"/>
  <c r="AB480" i="2"/>
  <c r="AB481" i="2" s="1"/>
  <c r="AR367" i="2"/>
  <c r="AQ369" i="2"/>
  <c r="AQ372" i="2" s="1"/>
  <c r="AR368" i="2"/>
  <c r="AQ416" i="2"/>
  <c r="AQ418" i="2" s="1"/>
  <c r="AQ381" i="2"/>
  <c r="AQ417" i="2"/>
  <c r="AQ419" i="2" s="1"/>
  <c r="AQ422" i="2"/>
  <c r="AG151" i="2"/>
  <c r="AG498" i="2" s="1"/>
  <c r="AI87" i="2"/>
  <c r="AI86" i="2" s="1"/>
  <c r="AH435" i="2"/>
  <c r="AH438" i="2" s="1"/>
  <c r="X527" i="2"/>
  <c r="AF126" i="2"/>
  <c r="AF124" i="2"/>
  <c r="W530" i="2"/>
  <c r="W533" i="2" s="1"/>
  <c r="W537" i="2" s="1"/>
  <c r="W541" i="2"/>
  <c r="AM48" i="2"/>
  <c r="AM45" i="2"/>
  <c r="AN47" i="2"/>
  <c r="AF189" i="2"/>
  <c r="AF255" i="2"/>
  <c r="AF298" i="2" s="1"/>
  <c r="AF188" i="2"/>
  <c r="AS227" i="2"/>
  <c r="AH238" i="2"/>
  <c r="AH258" i="2" s="1"/>
  <c r="AH240" i="2"/>
  <c r="AN75" i="2"/>
  <c r="AO71" i="2"/>
  <c r="AG273" i="2"/>
  <c r="AG254" i="2"/>
  <c r="AG260" i="2"/>
  <c r="AJ428" i="2"/>
  <c r="AK63" i="2"/>
  <c r="AJ65" i="2"/>
  <c r="AL140" i="2"/>
  <c r="AK144" i="2"/>
  <c r="AG92" i="2"/>
  <c r="AG93" i="2" s="1"/>
  <c r="AF280" i="2"/>
  <c r="AF282" i="2" s="1"/>
  <c r="AF441" i="2"/>
  <c r="AE443" i="2"/>
  <c r="AE446" i="2" s="1"/>
  <c r="AE445" i="2"/>
  <c r="AU405" i="2"/>
  <c r="AO328" i="2"/>
  <c r="U545" i="2"/>
  <c r="U539" i="2"/>
  <c r="AG120" i="2"/>
  <c r="AG122" i="2" s="1"/>
  <c r="AH80" i="2"/>
  <c r="AI83" i="2"/>
  <c r="AH119" i="2"/>
  <c r="AH148" i="2"/>
  <c r="AH118" i="2"/>
  <c r="AH154" i="2"/>
  <c r="AH149" i="2"/>
  <c r="AH233" i="2"/>
  <c r="AH245" i="2" s="1"/>
  <c r="AH246" i="2" s="1"/>
  <c r="AH147" i="2"/>
  <c r="AH150" i="2"/>
  <c r="AH232" i="2"/>
  <c r="AP55" i="2"/>
  <c r="AO54" i="2"/>
  <c r="H97" i="107"/>
  <c r="AE190" i="2"/>
  <c r="AL587" i="2"/>
  <c r="AL588" i="2" s="1"/>
  <c r="AM584" i="2" s="1"/>
  <c r="AL213" i="2" l="1"/>
  <c r="AL500" i="2" s="1"/>
  <c r="AL511" i="2" s="1"/>
  <c r="AU51" i="2"/>
  <c r="AV50" i="2"/>
  <c r="AV51" i="2" s="1"/>
  <c r="AH120" i="2"/>
  <c r="AH122" i="2" s="1"/>
  <c r="AL179" i="2"/>
  <c r="AL181" i="2" s="1"/>
  <c r="AL183" i="2" s="1"/>
  <c r="AL196" i="2" s="1"/>
  <c r="AD581" i="2"/>
  <c r="AE577" i="2" s="1"/>
  <c r="AE580" i="2" s="1"/>
  <c r="AE590" i="2" s="1"/>
  <c r="AE528" i="2" s="1"/>
  <c r="Y506" i="2"/>
  <c r="AQ382" i="2"/>
  <c r="AQ384" i="2" s="1"/>
  <c r="AQ494" i="2" s="1"/>
  <c r="AF190" i="2"/>
  <c r="AF486" i="2" s="1"/>
  <c r="AM587" i="2"/>
  <c r="AM588" i="2" s="1"/>
  <c r="AN584" i="2" s="1"/>
  <c r="AF199" i="2"/>
  <c r="AF194" i="2"/>
  <c r="AF195" i="2" s="1"/>
  <c r="AF469" i="2"/>
  <c r="AF483" i="2" s="1"/>
  <c r="AC473" i="2"/>
  <c r="AC480" i="2"/>
  <c r="AC481" i="2" s="1"/>
  <c r="AR421" i="2"/>
  <c r="AR424" i="2" s="1"/>
  <c r="AR426" i="2" s="1"/>
  <c r="AR244" i="2" s="1"/>
  <c r="AS404" i="2"/>
  <c r="AR407" i="2"/>
  <c r="AR409" i="2" s="1"/>
  <c r="AO524" i="2"/>
  <c r="I79" i="107"/>
  <c r="I81" i="107" s="1"/>
  <c r="AB520" i="2"/>
  <c r="AF131" i="2"/>
  <c r="AF155" i="2" s="1"/>
  <c r="AF134" i="2"/>
  <c r="AF129" i="2"/>
  <c r="AF130" i="2" s="1"/>
  <c r="AT8" i="2"/>
  <c r="AT35" i="2" s="1"/>
  <c r="AU7" i="2"/>
  <c r="AT34" i="2"/>
  <c r="AT36" i="2" s="1"/>
  <c r="AE291" i="2"/>
  <c r="AE290" i="2" s="1"/>
  <c r="AE318" i="2"/>
  <c r="AE311" i="2"/>
  <c r="AE312" i="2"/>
  <c r="AK460" i="2"/>
  <c r="X530" i="2"/>
  <c r="X541" i="2"/>
  <c r="H101" i="107" s="1"/>
  <c r="H89" i="107"/>
  <c r="AK115" i="2"/>
  <c r="AL114" i="2"/>
  <c r="AE337" i="2"/>
  <c r="AE330" i="2"/>
  <c r="AE331" i="2" s="1"/>
  <c r="AG437" i="2"/>
  <c r="AN84" i="2"/>
  <c r="AM235" i="2"/>
  <c r="AM249" i="2" s="1"/>
  <c r="AM250" i="2" s="1"/>
  <c r="AM182" i="2"/>
  <c r="AM178" i="2"/>
  <c r="AM210" i="2"/>
  <c r="AM212" i="2"/>
  <c r="AM209" i="2"/>
  <c r="AM211" i="2"/>
  <c r="AM177" i="2"/>
  <c r="AM236" i="2"/>
  <c r="AH151" i="2"/>
  <c r="AH498" i="2" s="1"/>
  <c r="AH90" i="2"/>
  <c r="AH95" i="2" s="1"/>
  <c r="AH96" i="2" s="1"/>
  <c r="AH279" i="2"/>
  <c r="AH433" i="2"/>
  <c r="AG267" i="2"/>
  <c r="AG269" i="2" s="1"/>
  <c r="AG468" i="2" s="1"/>
  <c r="AG302" i="2"/>
  <c r="AT227" i="2"/>
  <c r="AS367" i="2"/>
  <c r="AR381" i="2"/>
  <c r="AR369" i="2"/>
  <c r="AR372" i="2" s="1"/>
  <c r="AS368" i="2"/>
  <c r="AR416" i="2"/>
  <c r="AR418" i="2" s="1"/>
  <c r="AR417" i="2"/>
  <c r="AR419" i="2" s="1"/>
  <c r="AR422" i="2"/>
  <c r="AA523" i="2"/>
  <c r="AA502" i="2"/>
  <c r="AJ218" i="2"/>
  <c r="AJ463" i="2" s="1"/>
  <c r="AJ460" i="2"/>
  <c r="AD487" i="2"/>
  <c r="AD509" i="2"/>
  <c r="AG397" i="2"/>
  <c r="AG398" i="2" s="1"/>
  <c r="AJ87" i="2"/>
  <c r="AJ86" i="2" s="1"/>
  <c r="AI435" i="2"/>
  <c r="AI438" i="2" s="1"/>
  <c r="AG281" i="2"/>
  <c r="AP328" i="2"/>
  <c r="U547" i="2"/>
  <c r="AN45" i="2"/>
  <c r="AO47" i="2"/>
  <c r="AN48" i="2"/>
  <c r="V537" i="2"/>
  <c r="AG188" i="2"/>
  <c r="AG189" i="2"/>
  <c r="AG255" i="2"/>
  <c r="AG298" i="2" s="1"/>
  <c r="AG522" i="2"/>
  <c r="AL216" i="2"/>
  <c r="AM241" i="2"/>
  <c r="AM239" i="2"/>
  <c r="AM259" i="2" s="1"/>
  <c r="AM266" i="2" s="1"/>
  <c r="AI119" i="2"/>
  <c r="AJ83" i="2"/>
  <c r="AI80" i="2"/>
  <c r="AI149" i="2"/>
  <c r="AI148" i="2"/>
  <c r="AI118" i="2"/>
  <c r="AI233" i="2"/>
  <c r="AI245" i="2" s="1"/>
  <c r="AI246" i="2" s="1"/>
  <c r="AI150" i="2"/>
  <c r="AI147" i="2"/>
  <c r="AI232" i="2"/>
  <c r="AQ111" i="2"/>
  <c r="AP113" i="2"/>
  <c r="AH92" i="2"/>
  <c r="AH93" i="2" s="1"/>
  <c r="AG280" i="2"/>
  <c r="AG282" i="2" s="1"/>
  <c r="AG441" i="2"/>
  <c r="AG449" i="2" s="1"/>
  <c r="AG451" i="2" s="1"/>
  <c r="AO62" i="2"/>
  <c r="AO61" i="2"/>
  <c r="AO455" i="2"/>
  <c r="AO457" i="2" s="1"/>
  <c r="AQ55" i="2"/>
  <c r="AP54" i="2"/>
  <c r="AH260" i="2"/>
  <c r="AH254" i="2"/>
  <c r="AH273" i="2"/>
  <c r="AU359" i="2"/>
  <c r="AU360" i="2" s="1"/>
  <c r="AT362" i="2"/>
  <c r="AT363" i="2"/>
  <c r="AT377" i="2"/>
  <c r="AU361" i="2"/>
  <c r="AK500" i="2"/>
  <c r="AK511" i="2" s="1"/>
  <c r="AK216" i="2"/>
  <c r="AK218" i="2" s="1"/>
  <c r="AK463" i="2" s="1"/>
  <c r="AF522" i="2"/>
  <c r="AI137" i="2"/>
  <c r="AH265" i="2"/>
  <c r="AD338" i="2"/>
  <c r="AD352" i="2"/>
  <c r="AD472" i="2"/>
  <c r="AE517" i="2"/>
  <c r="AE518" i="2" s="1"/>
  <c r="AE521" i="2"/>
  <c r="Y535" i="2"/>
  <c r="AC308" i="2"/>
  <c r="AC313" i="2"/>
  <c r="AC317" i="2" s="1"/>
  <c r="AC320" i="2" s="1"/>
  <c r="AH187" i="2"/>
  <c r="AH251" i="2"/>
  <c r="AH272" i="2"/>
  <c r="AH284" i="2"/>
  <c r="AH285" i="2" s="1"/>
  <c r="AF303" i="2"/>
  <c r="AQ425" i="2"/>
  <c r="AQ427" i="2" s="1"/>
  <c r="AQ248" i="2" s="1"/>
  <c r="AQ297" i="2"/>
  <c r="AL261" i="2"/>
  <c r="AL268" i="2" s="1"/>
  <c r="AS378" i="2"/>
  <c r="AG95" i="2"/>
  <c r="AG96" i="2" s="1"/>
  <c r="AR104" i="2"/>
  <c r="AH126" i="2"/>
  <c r="AH124" i="2"/>
  <c r="AJ67" i="2"/>
  <c r="AJ68" i="2"/>
  <c r="AJ81" i="2" s="1"/>
  <c r="AN78" i="2"/>
  <c r="AN217" i="2" s="1"/>
  <c r="AN77" i="2"/>
  <c r="AL287" i="2"/>
  <c r="AL288" i="2" s="1"/>
  <c r="AC519" i="2"/>
  <c r="AP105" i="2"/>
  <c r="AO106" i="2"/>
  <c r="AO108" i="2" s="1"/>
  <c r="AD307" i="2"/>
  <c r="AD316" i="2" s="1"/>
  <c r="AD306" i="2"/>
  <c r="AD315" i="2" s="1"/>
  <c r="AD305" i="2"/>
  <c r="AD314" i="2" s="1"/>
  <c r="AD304" i="2"/>
  <c r="AK428" i="2"/>
  <c r="AK65" i="2"/>
  <c r="AL63" i="2"/>
  <c r="AP395" i="2"/>
  <c r="AA491" i="2"/>
  <c r="AA504" i="2" s="1"/>
  <c r="AA510" i="2"/>
  <c r="AI238" i="2"/>
  <c r="AI258" i="2" s="1"/>
  <c r="AI240" i="2"/>
  <c r="AF445" i="2"/>
  <c r="AF443" i="2"/>
  <c r="AF446" i="2" s="1"/>
  <c r="AQ389" i="2"/>
  <c r="AQ390" i="2"/>
  <c r="AQ476" i="2"/>
  <c r="AC341" i="2"/>
  <c r="AC347" i="2"/>
  <c r="AC342" i="2"/>
  <c r="AC348" i="2"/>
  <c r="AC343" i="2"/>
  <c r="AC344" i="2"/>
  <c r="AC345" i="2"/>
  <c r="AC346" i="2"/>
  <c r="S566" i="2"/>
  <c r="S569" i="2" s="1"/>
  <c r="T568" i="2" s="1"/>
  <c r="T569" i="2" s="1"/>
  <c r="S573" i="2"/>
  <c r="G130" i="107" s="1"/>
  <c r="F8" i="65" s="1"/>
  <c r="G109" i="107"/>
  <c r="AG126" i="2"/>
  <c r="AG124" i="2"/>
  <c r="AH137" i="2" s="1"/>
  <c r="AT408" i="2"/>
  <c r="AT410" i="2" s="1"/>
  <c r="AE199" i="2"/>
  <c r="AE194" i="2"/>
  <c r="AE195" i="2" s="1"/>
  <c r="AE486" i="2"/>
  <c r="AV405" i="2"/>
  <c r="AM140" i="2"/>
  <c r="AL144" i="2"/>
  <c r="AP71" i="2"/>
  <c r="AO75" i="2"/>
  <c r="AF335" i="2"/>
  <c r="AF299" i="2"/>
  <c r="AF326" i="2"/>
  <c r="W545" i="2"/>
  <c r="W547" i="2" s="1"/>
  <c r="W539" i="2"/>
  <c r="AF449" i="2"/>
  <c r="AF451" i="2" s="1"/>
  <c r="AB349" i="2"/>
  <c r="AB499" i="2" s="1"/>
  <c r="AB324" i="2"/>
  <c r="AB321" i="2"/>
  <c r="AB353" i="2"/>
  <c r="AB490" i="2"/>
  <c r="I48" i="107" s="1"/>
  <c r="AB322" i="2"/>
  <c r="Z505" i="2"/>
  <c r="Z525" i="2" s="1"/>
  <c r="Z535" i="2" s="1"/>
  <c r="AP477" i="2"/>
  <c r="AG262" i="2"/>
  <c r="Y527" i="2"/>
  <c r="AI120" i="2" l="1"/>
  <c r="AI122" i="2" s="1"/>
  <c r="AM179" i="2"/>
  <c r="AM181" i="2" s="1"/>
  <c r="AF487" i="2"/>
  <c r="AF509" i="2"/>
  <c r="AE581" i="2"/>
  <c r="AF577" i="2" s="1"/>
  <c r="AG303" i="2"/>
  <c r="G7" i="65"/>
  <c r="R21" i="65"/>
  <c r="AG469" i="2"/>
  <c r="AG483" i="2" s="1"/>
  <c r="AN587" i="2"/>
  <c r="AN588" i="2" s="1"/>
  <c r="AO584" i="2" s="1"/>
  <c r="AM261" i="2"/>
  <c r="AM268" i="2" s="1"/>
  <c r="AH129" i="2"/>
  <c r="AH130" i="2" s="1"/>
  <c r="AH131" i="2"/>
  <c r="AH155" i="2" s="1"/>
  <c r="AH134" i="2"/>
  <c r="AV359" i="2"/>
  <c r="AV360" i="2" s="1"/>
  <c r="AV361" i="2"/>
  <c r="AU362" i="2"/>
  <c r="AU363" i="2"/>
  <c r="AU377" i="2"/>
  <c r="AB491" i="2"/>
  <c r="AB504" i="2" s="1"/>
  <c r="AB510" i="2"/>
  <c r="AN140" i="2"/>
  <c r="AM144" i="2"/>
  <c r="V545" i="2"/>
  <c r="V539" i="2"/>
  <c r="AR476" i="2"/>
  <c r="AR389" i="2"/>
  <c r="AR390" i="2"/>
  <c r="AH437" i="2"/>
  <c r="X533" i="2"/>
  <c r="H92" i="107"/>
  <c r="AS421" i="2"/>
  <c r="AS424" i="2" s="1"/>
  <c r="AS426" i="2" s="1"/>
  <c r="AS244" i="2" s="1"/>
  <c r="AT404" i="2"/>
  <c r="AS407" i="2"/>
  <c r="AS409" i="2" s="1"/>
  <c r="AQ71" i="2"/>
  <c r="AP75" i="2"/>
  <c r="AM183" i="2"/>
  <c r="AM196" i="2" s="1"/>
  <c r="AF519" i="2"/>
  <c r="AU408" i="2"/>
  <c r="AU410" i="2" s="1"/>
  <c r="AA505" i="2"/>
  <c r="AA525" i="2" s="1"/>
  <c r="AA535" i="2" s="1"/>
  <c r="AR111" i="2"/>
  <c r="AQ113" i="2"/>
  <c r="AF580" i="2"/>
  <c r="AF590" i="2" s="1"/>
  <c r="AF528" i="2" s="1"/>
  <c r="AF546" i="2" s="1"/>
  <c r="AR382" i="2"/>
  <c r="AR384" i="2" s="1"/>
  <c r="AH281" i="2"/>
  <c r="AM213" i="2"/>
  <c r="U571" i="2"/>
  <c r="U549" i="2"/>
  <c r="AN241" i="2"/>
  <c r="AN239" i="2"/>
  <c r="AN259" i="2" s="1"/>
  <c r="AN266" i="2" s="1"/>
  <c r="AQ477" i="2"/>
  <c r="Y530" i="2"/>
  <c r="Y541" i="2"/>
  <c r="W571" i="2"/>
  <c r="W549" i="2"/>
  <c r="AG129" i="2"/>
  <c r="AG130" i="2" s="1"/>
  <c r="AG131" i="2"/>
  <c r="AG155" i="2" s="1"/>
  <c r="AG134" i="2"/>
  <c r="AS104" i="2"/>
  <c r="AD473" i="2"/>
  <c r="AD480" i="2"/>
  <c r="AD481" i="2" s="1"/>
  <c r="AQ395" i="2"/>
  <c r="AP524" i="2"/>
  <c r="AO84" i="2"/>
  <c r="AN235" i="2"/>
  <c r="AN249" i="2" s="1"/>
  <c r="AN250" i="2" s="1"/>
  <c r="AN182" i="2"/>
  <c r="AN178" i="2"/>
  <c r="AN177" i="2"/>
  <c r="AN210" i="2"/>
  <c r="AN212" i="2"/>
  <c r="AN209" i="2"/>
  <c r="AN211" i="2"/>
  <c r="AN236" i="2"/>
  <c r="AH397" i="2"/>
  <c r="AH398" i="2" s="1"/>
  <c r="AD342" i="2"/>
  <c r="AD346" i="2"/>
  <c r="AD343" i="2"/>
  <c r="AD347" i="2"/>
  <c r="AD341" i="2"/>
  <c r="AD348" i="2"/>
  <c r="AD345" i="2"/>
  <c r="AD344" i="2"/>
  <c r="AH188" i="2"/>
  <c r="AH189" i="2"/>
  <c r="AH255" i="2"/>
  <c r="AH298" i="2" s="1"/>
  <c r="AI90" i="2"/>
  <c r="AI95" i="2" s="1"/>
  <c r="AI96" i="2" s="1"/>
  <c r="AI279" i="2"/>
  <c r="AI433" i="2"/>
  <c r="AE546" i="2"/>
  <c r="AT367" i="2"/>
  <c r="AT368" i="2"/>
  <c r="AS416" i="2"/>
  <c r="AS418" i="2" s="1"/>
  <c r="AS369" i="2"/>
  <c r="AS372" i="2" s="1"/>
  <c r="AS381" i="2"/>
  <c r="AS417" i="2"/>
  <c r="AS419" i="2" s="1"/>
  <c r="AS422" i="2"/>
  <c r="AE304" i="2"/>
  <c r="AE307" i="2"/>
  <c r="AE316" i="2" s="1"/>
  <c r="AE305" i="2"/>
  <c r="AE314" i="2" s="1"/>
  <c r="AE306" i="2"/>
  <c r="AE315" i="2" s="1"/>
  <c r="AD308" i="2"/>
  <c r="AD313" i="2"/>
  <c r="AD317" i="2" s="1"/>
  <c r="AD320" i="2" s="1"/>
  <c r="AI126" i="2"/>
  <c r="AI124" i="2"/>
  <c r="AM287" i="2"/>
  <c r="AM288" i="2" s="1"/>
  <c r="AF517" i="2"/>
  <c r="AF518" i="2" s="1"/>
  <c r="AF521" i="2"/>
  <c r="AF318" i="2"/>
  <c r="AF291" i="2"/>
  <c r="AF290" i="2" s="1"/>
  <c r="AF311" i="2"/>
  <c r="AF312" i="2"/>
  <c r="AL428" i="2"/>
  <c r="AM63" i="2"/>
  <c r="AL65" i="2"/>
  <c r="AQ328" i="2"/>
  <c r="AC324" i="2"/>
  <c r="AC321" i="2"/>
  <c r="AC353" i="2"/>
  <c r="AC490" i="2"/>
  <c r="AC322" i="2"/>
  <c r="AH267" i="2"/>
  <c r="AH269" i="2" s="1"/>
  <c r="AH468" i="2" s="1"/>
  <c r="AH302" i="2"/>
  <c r="AI151" i="2"/>
  <c r="AJ238" i="2"/>
  <c r="AJ258" i="2" s="1"/>
  <c r="AJ240" i="2"/>
  <c r="AG190" i="2"/>
  <c r="AG486" i="2" s="1"/>
  <c r="AG487" i="2" s="1"/>
  <c r="AI92" i="2"/>
  <c r="AI93" i="2" s="1"/>
  <c r="AH280" i="2"/>
  <c r="AH282" i="2" s="1"/>
  <c r="AH441" i="2"/>
  <c r="AH449" i="2" s="1"/>
  <c r="AH451" i="2" s="1"/>
  <c r="AE338" i="2"/>
  <c r="AE352" i="2"/>
  <c r="AE472" i="2"/>
  <c r="AJ137" i="2"/>
  <c r="AI265" i="2"/>
  <c r="AC520" i="2"/>
  <c r="AQ495" i="2"/>
  <c r="AO45" i="2"/>
  <c r="AP47" i="2"/>
  <c r="AO48" i="2"/>
  <c r="Z527" i="2"/>
  <c r="AR425" i="2"/>
  <c r="AR427" i="2" s="1"/>
  <c r="AR248" i="2" s="1"/>
  <c r="AR297" i="2"/>
  <c r="AU227" i="2"/>
  <c r="AH522" i="2"/>
  <c r="AL115" i="2"/>
  <c r="AM114" i="2"/>
  <c r="AU8" i="2"/>
  <c r="AU35" i="2" s="1"/>
  <c r="AV7" i="2"/>
  <c r="AU34" i="2"/>
  <c r="AU36" i="2" s="1"/>
  <c r="AL218" i="2"/>
  <c r="AL463" i="2" s="1"/>
  <c r="AL460" i="2"/>
  <c r="AD519" i="2"/>
  <c r="AD520" i="2" s="1"/>
  <c r="AB523" i="2"/>
  <c r="AB502" i="2"/>
  <c r="AF337" i="2"/>
  <c r="AF330" i="2"/>
  <c r="AF331" i="2" s="1"/>
  <c r="AE487" i="2"/>
  <c r="AE509" i="2"/>
  <c r="AK68" i="2"/>
  <c r="AK81" i="2" s="1"/>
  <c r="AK67" i="2"/>
  <c r="AQ105" i="2"/>
  <c r="AP106" i="2"/>
  <c r="AP108" i="2" s="1"/>
  <c r="AK87" i="2"/>
  <c r="AK86" i="2" s="1"/>
  <c r="AJ435" i="2"/>
  <c r="AJ438" i="2" s="1"/>
  <c r="AT378" i="2"/>
  <c r="AP61" i="2"/>
  <c r="AP62" i="2"/>
  <c r="AP455" i="2"/>
  <c r="AP457" i="2" s="1"/>
  <c r="AG335" i="2"/>
  <c r="AG299" i="2"/>
  <c r="AG326" i="2"/>
  <c r="Z506" i="2"/>
  <c r="AO78" i="2"/>
  <c r="AO217" i="2" s="1"/>
  <c r="AO77" i="2"/>
  <c r="G125" i="107"/>
  <c r="U568" i="2"/>
  <c r="F10" i="65"/>
  <c r="AC349" i="2"/>
  <c r="AC499" i="2" s="1"/>
  <c r="AI273" i="2"/>
  <c r="AI260" i="2"/>
  <c r="AI254" i="2"/>
  <c r="AK83" i="2"/>
  <c r="AJ118" i="2"/>
  <c r="AJ119" i="2"/>
  <c r="AJ147" i="2"/>
  <c r="AJ80" i="2"/>
  <c r="AJ150" i="2"/>
  <c r="AJ233" i="2"/>
  <c r="AJ245" i="2" s="1"/>
  <c r="AJ246" i="2" s="1"/>
  <c r="AJ148" i="2"/>
  <c r="AJ149" i="2"/>
  <c r="AJ154" i="2"/>
  <c r="AJ232" i="2"/>
  <c r="AH262" i="2"/>
  <c r="AR55" i="2"/>
  <c r="AQ54" i="2"/>
  <c r="AG443" i="2"/>
  <c r="AG445" i="2"/>
  <c r="AI187" i="2"/>
  <c r="AI284" i="2"/>
  <c r="AI285" i="2" s="1"/>
  <c r="AI251" i="2"/>
  <c r="AI272" i="2"/>
  <c r="AN179" i="2" l="1"/>
  <c r="AN181" i="2" s="1"/>
  <c r="AA527" i="2"/>
  <c r="AF581" i="2"/>
  <c r="AG577" i="2" s="1"/>
  <c r="AS382" i="2"/>
  <c r="AS384" i="2" s="1"/>
  <c r="AA506" i="2"/>
  <c r="AR395" i="2"/>
  <c r="AR524" i="2" s="1"/>
  <c r="AU378" i="2"/>
  <c r="AI281" i="2"/>
  <c r="J76" i="107"/>
  <c r="AH303" i="2"/>
  <c r="AO587" i="2"/>
  <c r="AO588" i="2" s="1"/>
  <c r="AP584" i="2" s="1"/>
  <c r="AS494" i="2"/>
  <c r="AV377" i="2"/>
  <c r="AV362" i="2"/>
  <c r="AV408" i="2"/>
  <c r="AV410" i="2" s="1"/>
  <c r="AE473" i="2"/>
  <c r="AE480" i="2"/>
  <c r="AE481" i="2" s="1"/>
  <c r="U566" i="2"/>
  <c r="U569" i="2" s="1"/>
  <c r="V568" i="2" s="1"/>
  <c r="U573" i="2"/>
  <c r="AQ61" i="2"/>
  <c r="AQ62" i="2"/>
  <c r="AQ455" i="2"/>
  <c r="AQ457" i="2" s="1"/>
  <c r="AR105" i="2"/>
  <c r="AQ106" i="2"/>
  <c r="AQ108" i="2" s="1"/>
  <c r="AM115" i="2"/>
  <c r="AN114" i="2"/>
  <c r="AE346" i="2"/>
  <c r="AE347" i="2"/>
  <c r="AE342" i="2"/>
  <c r="AE343" i="2"/>
  <c r="AE348" i="2"/>
  <c r="AE344" i="2"/>
  <c r="AE341" i="2"/>
  <c r="AE345" i="2"/>
  <c r="AN183" i="2"/>
  <c r="AN196" i="2" s="1"/>
  <c r="AB505" i="2"/>
  <c r="AB525" i="2" s="1"/>
  <c r="AB535" i="2" s="1"/>
  <c r="I97" i="107" s="1"/>
  <c r="AI498" i="2"/>
  <c r="AI154" i="2"/>
  <c r="AS389" i="2"/>
  <c r="AS390" i="2"/>
  <c r="AS476" i="2"/>
  <c r="AG446" i="2"/>
  <c r="AJ260" i="2"/>
  <c r="AJ273" i="2"/>
  <c r="AJ254" i="2"/>
  <c r="AI267" i="2"/>
  <c r="AI269" i="2" s="1"/>
  <c r="AI468" i="2" s="1"/>
  <c r="AI302" i="2"/>
  <c r="AH190" i="2"/>
  <c r="AG580" i="2"/>
  <c r="AG590" i="2" s="1"/>
  <c r="AG528" i="2" s="1"/>
  <c r="AG581" i="2"/>
  <c r="AH577" i="2" s="1"/>
  <c r="AR477" i="2"/>
  <c r="AL83" i="2"/>
  <c r="AK80" i="2"/>
  <c r="AK118" i="2"/>
  <c r="AK119" i="2"/>
  <c r="AK148" i="2"/>
  <c r="AK147" i="2"/>
  <c r="AK150" i="2"/>
  <c r="AK233" i="2"/>
  <c r="AK245" i="2" s="1"/>
  <c r="AK246" i="2" s="1"/>
  <c r="AK149" i="2"/>
  <c r="AK154" i="2"/>
  <c r="AK232" i="2"/>
  <c r="AF520" i="2"/>
  <c r="AI449" i="2"/>
  <c r="AI451" i="2" s="1"/>
  <c r="AI437" i="2"/>
  <c r="AJ90" i="2"/>
  <c r="AJ279" i="2"/>
  <c r="AJ433" i="2"/>
  <c r="AL87" i="2"/>
  <c r="AL86" i="2" s="1"/>
  <c r="AK435" i="2"/>
  <c r="AK438" i="2" s="1"/>
  <c r="AI262" i="2"/>
  <c r="AM460" i="2"/>
  <c r="AG517" i="2"/>
  <c r="AG521" i="2"/>
  <c r="AJ151" i="2"/>
  <c r="AJ498" i="2" s="1"/>
  <c r="AG318" i="2"/>
  <c r="AG311" i="2"/>
  <c r="AG312" i="2"/>
  <c r="AG291" i="2"/>
  <c r="AG290" i="2" s="1"/>
  <c r="AD349" i="2"/>
  <c r="AD499" i="2" s="1"/>
  <c r="AN287" i="2"/>
  <c r="AN288" i="2" s="1"/>
  <c r="AS111" i="2"/>
  <c r="AR113" i="2"/>
  <c r="X537" i="2"/>
  <c r="H95" i="107"/>
  <c r="V547" i="2"/>
  <c r="AC523" i="2"/>
  <c r="AC502" i="2"/>
  <c r="H124" i="107"/>
  <c r="AG337" i="2"/>
  <c r="AG330" i="2"/>
  <c r="AG331" i="2" s="1"/>
  <c r="AE519" i="2"/>
  <c r="AE520" i="2" s="1"/>
  <c r="AP48" i="2"/>
  <c r="AP45" i="2"/>
  <c r="AQ47" i="2"/>
  <c r="AL68" i="2"/>
  <c r="AL81" i="2" s="1"/>
  <c r="AL67" i="2"/>
  <c r="AU367" i="2"/>
  <c r="AT369" i="2"/>
  <c r="AT372" i="2" s="1"/>
  <c r="AU368" i="2"/>
  <c r="AT381" i="2"/>
  <c r="AT382" i="2" s="1"/>
  <c r="AT384" i="2" s="1"/>
  <c r="AT416" i="2"/>
  <c r="AT418" i="2" s="1"/>
  <c r="AT417" i="2"/>
  <c r="AT419" i="2" s="1"/>
  <c r="AT422" i="2"/>
  <c r="AO241" i="2"/>
  <c r="AO239" i="2"/>
  <c r="AO259" i="2" s="1"/>
  <c r="AO266" i="2" s="1"/>
  <c r="W566" i="2"/>
  <c r="W573" i="2"/>
  <c r="AP78" i="2"/>
  <c r="AP217" i="2" s="1"/>
  <c r="AP77" i="2"/>
  <c r="AG509" i="2"/>
  <c r="AV227" i="2"/>
  <c r="AA541" i="2"/>
  <c r="AA530" i="2"/>
  <c r="AA533" i="2" s="1"/>
  <c r="AA537" i="2" s="1"/>
  <c r="AC491" i="2"/>
  <c r="AC504" i="2" s="1"/>
  <c r="AC510" i="2"/>
  <c r="AM428" i="2"/>
  <c r="AN63" i="2"/>
  <c r="AM65" i="2"/>
  <c r="J80" i="107"/>
  <c r="AH335" i="2"/>
  <c r="AH299" i="2"/>
  <c r="AH326" i="2"/>
  <c r="AN213" i="2"/>
  <c r="AM500" i="2"/>
  <c r="AM511" i="2" s="1"/>
  <c r="AM216" i="2"/>
  <c r="AM218" i="2" s="1"/>
  <c r="AM463" i="2" s="1"/>
  <c r="AR71" i="2"/>
  <c r="AQ75" i="2"/>
  <c r="AI188" i="2"/>
  <c r="AI189" i="2"/>
  <c r="AI255" i="2"/>
  <c r="AI298" i="2" s="1"/>
  <c r="AD321" i="2"/>
  <c r="AD324" i="2"/>
  <c r="AD353" i="2"/>
  <c r="AD490" i="2"/>
  <c r="AD322" i="2"/>
  <c r="AQ524" i="2"/>
  <c r="Y533" i="2"/>
  <c r="AR494" i="2"/>
  <c r="AR495" i="2" s="1"/>
  <c r="AT421" i="2"/>
  <c r="AT424" i="2" s="1"/>
  <c r="AT426" i="2" s="1"/>
  <c r="AT244" i="2" s="1"/>
  <c r="AU404" i="2"/>
  <c r="AT407" i="2"/>
  <c r="AT409" i="2" s="1"/>
  <c r="AJ187" i="2"/>
  <c r="AJ272" i="2"/>
  <c r="AJ284" i="2"/>
  <c r="AJ285" i="2" s="1"/>
  <c r="AJ251" i="2"/>
  <c r="Z541" i="2"/>
  <c r="Z530" i="2"/>
  <c r="Z533" i="2" s="1"/>
  <c r="Z537" i="2" s="1"/>
  <c r="AJ265" i="2"/>
  <c r="AG519" i="2"/>
  <c r="AR54" i="2"/>
  <c r="AS55" i="2"/>
  <c r="AH469" i="2"/>
  <c r="AH483" i="2" s="1"/>
  <c r="AH443" i="2"/>
  <c r="AH446" i="2" s="1"/>
  <c r="AH445" i="2"/>
  <c r="AF304" i="2"/>
  <c r="AF307" i="2"/>
  <c r="AF316" i="2" s="1"/>
  <c r="AF306" i="2"/>
  <c r="AF315" i="2" s="1"/>
  <c r="AF305" i="2"/>
  <c r="AF314" i="2" s="1"/>
  <c r="AE308" i="2"/>
  <c r="AE313" i="2"/>
  <c r="AE317" i="2" s="1"/>
  <c r="AE320" i="2" s="1"/>
  <c r="AJ92" i="2"/>
  <c r="AJ93" i="2" s="1"/>
  <c r="AI280" i="2"/>
  <c r="AI282" i="2" s="1"/>
  <c r="AI441" i="2"/>
  <c r="AI397" i="2"/>
  <c r="AI398" i="2" s="1"/>
  <c r="AJ120" i="2"/>
  <c r="AJ122" i="2" s="1"/>
  <c r="AK238" i="2"/>
  <c r="AK258" i="2" s="1"/>
  <c r="AK240" i="2"/>
  <c r="AP84" i="2"/>
  <c r="AO235" i="2"/>
  <c r="AO249" i="2" s="1"/>
  <c r="AO250" i="2" s="1"/>
  <c r="AO182" i="2"/>
  <c r="AO178" i="2"/>
  <c r="AO177" i="2"/>
  <c r="AO179" i="2" s="1"/>
  <c r="AO181" i="2" s="1"/>
  <c r="AO210" i="2"/>
  <c r="AO209" i="2"/>
  <c r="AO211" i="2"/>
  <c r="AO212" i="2"/>
  <c r="AO236" i="2"/>
  <c r="AF338" i="2"/>
  <c r="AF352" i="2"/>
  <c r="AF472" i="2"/>
  <c r="J37" i="107" s="1"/>
  <c r="AV8" i="2"/>
  <c r="AV35" i="2" s="1"/>
  <c r="AV34" i="2"/>
  <c r="AV36" i="2" s="1"/>
  <c r="AR328" i="2"/>
  <c r="AG194" i="2"/>
  <c r="AG195" i="2" s="1"/>
  <c r="AG199" i="2"/>
  <c r="AI129" i="2"/>
  <c r="AI130" i="2" s="1"/>
  <c r="AI131" i="2"/>
  <c r="AI155" i="2" s="1"/>
  <c r="AI134" i="2"/>
  <c r="AS425" i="2"/>
  <c r="AS427" i="2" s="1"/>
  <c r="AS248" i="2" s="1"/>
  <c r="AS297" i="2"/>
  <c r="J106" i="107"/>
  <c r="AT104" i="2"/>
  <c r="AN261" i="2"/>
  <c r="AN268" i="2" s="1"/>
  <c r="AN144" i="2"/>
  <c r="AO140" i="2"/>
  <c r="AK151" i="2" l="1"/>
  <c r="AK498" i="2" s="1"/>
  <c r="AI190" i="2"/>
  <c r="AI194" i="2" s="1"/>
  <c r="AI195" i="2" s="1"/>
  <c r="AS395" i="2"/>
  <c r="AS524" i="2" s="1"/>
  <c r="AB506" i="2"/>
  <c r="AT494" i="2"/>
  <c r="AT495" i="2" s="1"/>
  <c r="AI199" i="2"/>
  <c r="AI486" i="2"/>
  <c r="AI487" i="2" s="1"/>
  <c r="AC505" i="2"/>
  <c r="AC525" i="2" s="1"/>
  <c r="AL137" i="2"/>
  <c r="AK265" i="2"/>
  <c r="AU421" i="2"/>
  <c r="AU424" i="2" s="1"/>
  <c r="AU426" i="2" s="1"/>
  <c r="AU244" i="2" s="1"/>
  <c r="AV404" i="2"/>
  <c r="AU407" i="2"/>
  <c r="AU409" i="2" s="1"/>
  <c r="AH337" i="2"/>
  <c r="AH330" i="2"/>
  <c r="AH331" i="2" s="1"/>
  <c r="AD491" i="2"/>
  <c r="AD504" i="2" s="1"/>
  <c r="AD510" i="2"/>
  <c r="AQ78" i="2"/>
  <c r="AQ217" i="2" s="1"/>
  <c r="AQ77" i="2"/>
  <c r="AK120" i="2"/>
  <c r="AK122" i="2" s="1"/>
  <c r="AH291" i="2"/>
  <c r="AH290" i="2" s="1"/>
  <c r="AH311" i="2"/>
  <c r="AH312" i="2"/>
  <c r="AH318" i="2"/>
  <c r="AT389" i="2"/>
  <c r="AT390" i="2"/>
  <c r="AT476" i="2"/>
  <c r="X545" i="2"/>
  <c r="X539" i="2"/>
  <c r="H99" i="107"/>
  <c r="AO183" i="2"/>
  <c r="AO196" i="2" s="1"/>
  <c r="AH517" i="2"/>
  <c r="AH518" i="2" s="1"/>
  <c r="AH521" i="2"/>
  <c r="AN428" i="2"/>
  <c r="AO63" i="2"/>
  <c r="AN65" i="2"/>
  <c r="AO261" i="2"/>
  <c r="AO268" i="2" s="1"/>
  <c r="AM83" i="2"/>
  <c r="AL80" i="2"/>
  <c r="AL118" i="2"/>
  <c r="AL120" i="2" s="1"/>
  <c r="AL122" i="2" s="1"/>
  <c r="AL119" i="2"/>
  <c r="AL149" i="2"/>
  <c r="AL147" i="2"/>
  <c r="AL150" i="2"/>
  <c r="AL233" i="2"/>
  <c r="AL245" i="2" s="1"/>
  <c r="AL246" i="2" s="1"/>
  <c r="AL148" i="2"/>
  <c r="AL232" i="2"/>
  <c r="AJ281" i="2"/>
  <c r="AK90" i="2"/>
  <c r="AK95" i="2" s="1"/>
  <c r="AK96" i="2" s="1"/>
  <c r="AK279" i="2"/>
  <c r="AK433" i="2"/>
  <c r="AH580" i="2"/>
  <c r="AH590" i="2" s="1"/>
  <c r="AH528" i="2" s="1"/>
  <c r="AH546" i="2" s="1"/>
  <c r="AJ267" i="2"/>
  <c r="AJ269" i="2" s="1"/>
  <c r="AJ468" i="2" s="1"/>
  <c r="AJ302" i="2"/>
  <c r="AO213" i="2"/>
  <c r="Z545" i="2"/>
  <c r="Z547" i="2" s="1"/>
  <c r="Z539" i="2"/>
  <c r="AI303" i="2"/>
  <c r="AG546" i="2"/>
  <c r="AV378" i="2"/>
  <c r="AU104" i="2"/>
  <c r="AF473" i="2"/>
  <c r="AF480" i="2"/>
  <c r="AF481" i="2" s="1"/>
  <c r="AI469" i="2"/>
  <c r="AI483" i="2" s="1"/>
  <c r="AS105" i="2"/>
  <c r="AR106" i="2"/>
  <c r="AR108" i="2" s="1"/>
  <c r="AF341" i="2"/>
  <c r="AF345" i="2"/>
  <c r="AF342" i="2"/>
  <c r="AF346" i="2"/>
  <c r="AF347" i="2"/>
  <c r="AF344" i="2"/>
  <c r="AF348" i="2"/>
  <c r="AF343" i="2"/>
  <c r="AM67" i="2"/>
  <c r="AM68" i="2"/>
  <c r="AM81" i="2" s="1"/>
  <c r="J79" i="107"/>
  <c r="J81" i="107" s="1"/>
  <c r="AS495" i="2"/>
  <c r="AP140" i="2"/>
  <c r="AO144" i="2"/>
  <c r="AJ262" i="2"/>
  <c r="Y537" i="2"/>
  <c r="AT425" i="2"/>
  <c r="AT427" i="2" s="1"/>
  <c r="AT248" i="2" s="1"/>
  <c r="AT297" i="2"/>
  <c r="AM87" i="2"/>
  <c r="AM86" i="2" s="1"/>
  <c r="AL435" i="2"/>
  <c r="AL438" i="2" s="1"/>
  <c r="AT111" i="2"/>
  <c r="AS113" i="2"/>
  <c r="AK92" i="2"/>
  <c r="AK93" i="2" s="1"/>
  <c r="AJ280" i="2"/>
  <c r="AJ282" i="2" s="1"/>
  <c r="AJ441" i="2"/>
  <c r="AL238" i="2"/>
  <c r="AL258" i="2" s="1"/>
  <c r="AL240" i="2"/>
  <c r="AN218" i="2"/>
  <c r="AN463" i="2" s="1"/>
  <c r="AN460" i="2"/>
  <c r="AP587" i="2"/>
  <c r="AP588" i="2" s="1"/>
  <c r="AQ584" i="2" s="1"/>
  <c r="V571" i="2"/>
  <c r="V549" i="2"/>
  <c r="AK522" i="2"/>
  <c r="AE321" i="2"/>
  <c r="AE324" i="2"/>
  <c r="AE353" i="2"/>
  <c r="AE490" i="2"/>
  <c r="AE322" i="2"/>
  <c r="AA539" i="2"/>
  <c r="AA545" i="2"/>
  <c r="AA547" i="2" s="1"/>
  <c r="AJ522" i="2"/>
  <c r="AJ124" i="2"/>
  <c r="AK137" i="2" s="1"/>
  <c r="AJ126" i="2"/>
  <c r="AR75" i="2"/>
  <c r="AS71" i="2"/>
  <c r="AV367" i="2"/>
  <c r="AU369" i="2"/>
  <c r="AU372" i="2" s="1"/>
  <c r="AV368" i="2"/>
  <c r="AU416" i="2"/>
  <c r="AU418" i="2" s="1"/>
  <c r="AU381" i="2"/>
  <c r="AU382" i="2" s="1"/>
  <c r="AU384" i="2" s="1"/>
  <c r="AU417" i="2"/>
  <c r="AU419" i="2" s="1"/>
  <c r="AU422" i="2"/>
  <c r="AG305" i="2"/>
  <c r="AG314" i="2" s="1"/>
  <c r="AG304" i="2"/>
  <c r="AG306" i="2"/>
  <c r="AG315" i="2" s="1"/>
  <c r="AG307" i="2"/>
  <c r="AG316" i="2" s="1"/>
  <c r="AG518" i="2"/>
  <c r="AJ449" i="2"/>
  <c r="AJ451" i="2" s="1"/>
  <c r="AJ437" i="2"/>
  <c r="AH199" i="2"/>
  <c r="AH194" i="2"/>
  <c r="AH195" i="2" s="1"/>
  <c r="AH486" i="2"/>
  <c r="AS477" i="2"/>
  <c r="AS328" i="2"/>
  <c r="AO287" i="2"/>
  <c r="AO288" i="2" s="1"/>
  <c r="AI443" i="2"/>
  <c r="AI445" i="2"/>
  <c r="AF308" i="2"/>
  <c r="AF313" i="2"/>
  <c r="AF317" i="2" s="1"/>
  <c r="AF320" i="2" s="1"/>
  <c r="AN500" i="2"/>
  <c r="AN511" i="2" s="1"/>
  <c r="AN216" i="2"/>
  <c r="AG338" i="2"/>
  <c r="AG352" i="2"/>
  <c r="AG472" i="2"/>
  <c r="AJ95" i="2"/>
  <c r="AJ96" i="2" s="1"/>
  <c r="AK187" i="2"/>
  <c r="AK272" i="2"/>
  <c r="AK251" i="2"/>
  <c r="AK284" i="2"/>
  <c r="AK285" i="2" s="1"/>
  <c r="AJ189" i="2"/>
  <c r="AJ188" i="2"/>
  <c r="AJ255" i="2"/>
  <c r="AJ298" i="2" s="1"/>
  <c r="AN115" i="2"/>
  <c r="AO114" i="2"/>
  <c r="AK273" i="2"/>
  <c r="AK260" i="2"/>
  <c r="AK254" i="2"/>
  <c r="AR61" i="2"/>
  <c r="AR62" i="2"/>
  <c r="AR455" i="2"/>
  <c r="AR457" i="2" s="1"/>
  <c r="AD523" i="2"/>
  <c r="AD502" i="2"/>
  <c r="AP241" i="2"/>
  <c r="AP239" i="2"/>
  <c r="AP259" i="2" s="1"/>
  <c r="AP266" i="2" s="1"/>
  <c r="AS54" i="2"/>
  <c r="AT55" i="2"/>
  <c r="AJ397" i="2"/>
  <c r="AJ398" i="2" s="1"/>
  <c r="AI335" i="2"/>
  <c r="AI299" i="2"/>
  <c r="AI326" i="2"/>
  <c r="AQ84" i="2"/>
  <c r="AP182" i="2"/>
  <c r="AP235" i="2"/>
  <c r="AP249" i="2" s="1"/>
  <c r="AP250" i="2" s="1"/>
  <c r="AP177" i="2"/>
  <c r="AP211" i="2"/>
  <c r="AP178" i="2"/>
  <c r="AP210" i="2"/>
  <c r="AP209" i="2"/>
  <c r="AP212" i="2"/>
  <c r="AP236" i="2"/>
  <c r="AQ45" i="2"/>
  <c r="AR47" i="2"/>
  <c r="AQ48" i="2"/>
  <c r="AI522" i="2"/>
  <c r="AE349" i="2"/>
  <c r="AE499" i="2" s="1"/>
  <c r="AB527" i="2"/>
  <c r="AJ303" i="2" l="1"/>
  <c r="AL151" i="2"/>
  <c r="AL498" i="2" s="1"/>
  <c r="AP179" i="2"/>
  <c r="AP181" i="2" s="1"/>
  <c r="AP183" i="2" s="1"/>
  <c r="AP196" i="2" s="1"/>
  <c r="AC506" i="2"/>
  <c r="AH581" i="2"/>
  <c r="AI577" i="2" s="1"/>
  <c r="AJ190" i="2"/>
  <c r="AJ486" i="2" s="1"/>
  <c r="AJ487" i="2" s="1"/>
  <c r="AI509" i="2"/>
  <c r="AT395" i="2"/>
  <c r="AT524" i="2" s="1"/>
  <c r="AJ469" i="2"/>
  <c r="AJ483" i="2" s="1"/>
  <c r="AO115" i="2"/>
  <c r="AP114" i="2"/>
  <c r="AU55" i="2"/>
  <c r="AT54" i="2"/>
  <c r="AI337" i="2"/>
  <c r="AI330" i="2"/>
  <c r="AI331" i="2" s="1"/>
  <c r="AK302" i="2"/>
  <c r="AK267" i="2"/>
  <c r="AK269" i="2" s="1"/>
  <c r="AK468" i="2" s="1"/>
  <c r="AQ587" i="2"/>
  <c r="AQ588" i="2" s="1"/>
  <c r="AR584" i="2" s="1"/>
  <c r="Y545" i="2"/>
  <c r="Y539" i="2"/>
  <c r="AI517" i="2"/>
  <c r="AI521" i="2"/>
  <c r="AC535" i="2"/>
  <c r="AC527" i="2"/>
  <c r="AS47" i="2"/>
  <c r="AR48" i="2"/>
  <c r="AR45" i="2"/>
  <c r="AA549" i="2"/>
  <c r="AA571" i="2"/>
  <c r="AG520" i="2"/>
  <c r="AU494" i="2"/>
  <c r="AL273" i="2"/>
  <c r="AL254" i="2"/>
  <c r="AL260" i="2"/>
  <c r="AL262" i="2" s="1"/>
  <c r="AM80" i="2"/>
  <c r="AN83" i="2"/>
  <c r="AM118" i="2"/>
  <c r="AM119" i="2"/>
  <c r="AM148" i="2"/>
  <c r="AM147" i="2"/>
  <c r="AM150" i="2"/>
  <c r="AM149" i="2"/>
  <c r="AM154" i="2"/>
  <c r="AM233" i="2"/>
  <c r="AM245" i="2" s="1"/>
  <c r="AM246" i="2" s="1"/>
  <c r="AM232" i="2"/>
  <c r="AF349" i="2"/>
  <c r="AF499" i="2" s="1"/>
  <c r="AO428" i="2"/>
  <c r="AP63" i="2"/>
  <c r="AO65" i="2"/>
  <c r="AV421" i="2"/>
  <c r="AV424" i="2" s="1"/>
  <c r="AV426" i="2" s="1"/>
  <c r="AV244" i="2" s="1"/>
  <c r="AV407" i="2"/>
  <c r="AV409" i="2" s="1"/>
  <c r="AI519" i="2"/>
  <c r="AU425" i="2"/>
  <c r="AU427" i="2" s="1"/>
  <c r="AU248" i="2" s="1"/>
  <c r="AU297" i="2"/>
  <c r="AK124" i="2"/>
  <c r="AK126" i="2"/>
  <c r="AF353" i="2"/>
  <c r="AF321" i="2"/>
  <c r="AF324" i="2"/>
  <c r="AF490" i="2"/>
  <c r="AF322" i="2"/>
  <c r="AR77" i="2"/>
  <c r="AR78" i="2"/>
  <c r="AR217" i="2" s="1"/>
  <c r="AS62" i="2"/>
  <c r="AS61" i="2"/>
  <c r="AS455" i="2"/>
  <c r="AS457" i="2" s="1"/>
  <c r="AJ335" i="2"/>
  <c r="AJ326" i="2"/>
  <c r="AJ299" i="2"/>
  <c r="AG473" i="2"/>
  <c r="AG480" i="2"/>
  <c r="AG481" i="2" s="1"/>
  <c r="AJ129" i="2"/>
  <c r="AJ130" i="2" s="1"/>
  <c r="AJ134" i="2"/>
  <c r="AJ131" i="2"/>
  <c r="AJ155" i="2" s="1"/>
  <c r="AE491" i="2"/>
  <c r="AE504" i="2" s="1"/>
  <c r="AE510" i="2"/>
  <c r="AM137" i="2"/>
  <c r="AL265" i="2"/>
  <c r="AQ140" i="2"/>
  <c r="AP144" i="2"/>
  <c r="AL126" i="2"/>
  <c r="AL124" i="2"/>
  <c r="X547" i="2"/>
  <c r="H105" i="107"/>
  <c r="AB541" i="2"/>
  <c r="I101" i="107" s="1"/>
  <c r="AB530" i="2"/>
  <c r="I89" i="107"/>
  <c r="AL92" i="2"/>
  <c r="AL93" i="2" s="1"/>
  <c r="AK280" i="2"/>
  <c r="AK282" i="2" s="1"/>
  <c r="AK441" i="2"/>
  <c r="AH338" i="2"/>
  <c r="AH352" i="2"/>
  <c r="AH472" i="2"/>
  <c r="AN87" i="2"/>
  <c r="AN86" i="2" s="1"/>
  <c r="AM435" i="2"/>
  <c r="AM438" i="2" s="1"/>
  <c r="AI580" i="2"/>
  <c r="AI590" i="2" s="1"/>
  <c r="AI528" i="2" s="1"/>
  <c r="AP287" i="2"/>
  <c r="AP288" i="2" s="1"/>
  <c r="AQ241" i="2"/>
  <c r="AQ239" i="2"/>
  <c r="AQ259" i="2" s="1"/>
  <c r="AQ266" i="2" s="1"/>
  <c r="AG341" i="2"/>
  <c r="AG345" i="2"/>
  <c r="AG346" i="2"/>
  <c r="AG342" i="2"/>
  <c r="AG347" i="2"/>
  <c r="AG343" i="2"/>
  <c r="AG348" i="2"/>
  <c r="AG344" i="2"/>
  <c r="V566" i="2"/>
  <c r="V569" i="2" s="1"/>
  <c r="W568" i="2" s="1"/>
  <c r="W569" i="2" s="1"/>
  <c r="X568" i="2" s="1"/>
  <c r="V573" i="2"/>
  <c r="AJ443" i="2"/>
  <c r="AJ446" i="2" s="1"/>
  <c r="AJ445" i="2"/>
  <c r="AT105" i="2"/>
  <c r="AS106" i="2"/>
  <c r="AS108" i="2" s="1"/>
  <c r="Z571" i="2"/>
  <c r="Z549" i="2"/>
  <c r="AL90" i="2"/>
  <c r="AL95" i="2" s="1"/>
  <c r="AL96" i="2" s="1"/>
  <c r="AL279" i="2"/>
  <c r="AL433" i="2"/>
  <c r="AT477" i="2"/>
  <c r="AH305" i="2"/>
  <c r="AH314" i="2" s="1"/>
  <c r="AH304" i="2"/>
  <c r="AH307" i="2"/>
  <c r="AH316" i="2" s="1"/>
  <c r="AH306" i="2"/>
  <c r="AH315" i="2" s="1"/>
  <c r="AD505" i="2"/>
  <c r="AD525" i="2" s="1"/>
  <c r="AD535" i="2" s="1"/>
  <c r="AJ199" i="2"/>
  <c r="AJ194" i="2"/>
  <c r="AJ195" i="2" s="1"/>
  <c r="AT71" i="2"/>
  <c r="AS75" i="2"/>
  <c r="AL522" i="2"/>
  <c r="AR84" i="2"/>
  <c r="AQ235" i="2"/>
  <c r="AQ249" i="2" s="1"/>
  <c r="AQ250" i="2" s="1"/>
  <c r="AQ177" i="2"/>
  <c r="AQ178" i="2"/>
  <c r="AQ211" i="2"/>
  <c r="AQ212" i="2"/>
  <c r="AQ236" i="2"/>
  <c r="AQ210" i="2"/>
  <c r="AQ209" i="2"/>
  <c r="AQ182" i="2"/>
  <c r="AU390" i="2"/>
  <c r="AU476" i="2"/>
  <c r="AU389" i="2"/>
  <c r="AT328" i="2"/>
  <c r="AV104" i="2"/>
  <c r="AO500" i="2"/>
  <c r="AO216" i="2"/>
  <c r="AO218" i="2" s="1"/>
  <c r="AO463" i="2" s="1"/>
  <c r="AK437" i="2"/>
  <c r="AK449" i="2"/>
  <c r="AK451" i="2" s="1"/>
  <c r="AL154" i="2"/>
  <c r="AM238" i="2"/>
  <c r="AM258" i="2" s="1"/>
  <c r="AM240" i="2"/>
  <c r="AK262" i="2"/>
  <c r="AO460" i="2"/>
  <c r="AK397" i="2"/>
  <c r="AK398" i="2" s="1"/>
  <c r="AU111" i="2"/>
  <c r="AT113" i="2"/>
  <c r="AN68" i="2"/>
  <c r="AN81" i="2" s="1"/>
  <c r="AN67" i="2"/>
  <c r="AE523" i="2"/>
  <c r="AE502" i="2"/>
  <c r="AI446" i="2"/>
  <c r="AP213" i="2"/>
  <c r="AH487" i="2"/>
  <c r="AH509" i="2"/>
  <c r="AI318" i="2"/>
  <c r="AI291" i="2"/>
  <c r="AI290" i="2" s="1"/>
  <c r="AI311" i="2"/>
  <c r="AI312" i="2"/>
  <c r="AP261" i="2"/>
  <c r="AP268" i="2" s="1"/>
  <c r="AK189" i="2"/>
  <c r="AK255" i="2"/>
  <c r="AK298" i="2" s="1"/>
  <c r="AK188" i="2"/>
  <c r="AG308" i="2"/>
  <c r="AG313" i="2"/>
  <c r="AG317" i="2" s="1"/>
  <c r="AG320" i="2" s="1"/>
  <c r="AV369" i="2"/>
  <c r="AV372" i="2" s="1"/>
  <c r="AV381" i="2"/>
  <c r="AV416" i="2"/>
  <c r="AV418" i="2" s="1"/>
  <c r="AV417" i="2"/>
  <c r="AV419" i="2" s="1"/>
  <c r="AV422" i="2"/>
  <c r="AK281" i="2"/>
  <c r="AL187" i="2"/>
  <c r="AL272" i="2"/>
  <c r="AL251" i="2"/>
  <c r="AL284" i="2"/>
  <c r="AL285" i="2" s="1"/>
  <c r="AM151" i="2" l="1"/>
  <c r="AM498" i="2" s="1"/>
  <c r="K20" i="107"/>
  <c r="AD527" i="2"/>
  <c r="AD541" i="2" s="1"/>
  <c r="AK190" i="2"/>
  <c r="AK199" i="2"/>
  <c r="AK194" i="2"/>
  <c r="AK195" i="2" s="1"/>
  <c r="AK469" i="2"/>
  <c r="AK483" i="2" s="1"/>
  <c r="AV425" i="2"/>
  <c r="AV427" i="2" s="1"/>
  <c r="AV248" i="2" s="1"/>
  <c r="AV297" i="2"/>
  <c r="AV111" i="2"/>
  <c r="AV113" i="2" s="1"/>
  <c r="AU113" i="2"/>
  <c r="AU71" i="2"/>
  <c r="AT75" i="2"/>
  <c r="AP428" i="2"/>
  <c r="AQ63" i="2"/>
  <c r="AP65" i="2"/>
  <c r="AM260" i="2"/>
  <c r="AM254" i="2"/>
  <c r="AM273" i="2"/>
  <c r="AJ311" i="2"/>
  <c r="AJ312" i="2"/>
  <c r="AJ291" i="2"/>
  <c r="AJ290" i="2" s="1"/>
  <c r="AJ318" i="2"/>
  <c r="AD530" i="2"/>
  <c r="AD533" i="2" s="1"/>
  <c r="AD537" i="2" s="1"/>
  <c r="AF523" i="2"/>
  <c r="AF502" i="2"/>
  <c r="AU495" i="2"/>
  <c r="AV382" i="2"/>
  <c r="AV384" i="2" s="1"/>
  <c r="AQ213" i="2"/>
  <c r="AQ287" i="2"/>
  <c r="AQ288" i="2" s="1"/>
  <c r="AU105" i="2"/>
  <c r="AT106" i="2"/>
  <c r="AT108" i="2" s="1"/>
  <c r="AQ261" i="2"/>
  <c r="AQ268" i="2" s="1"/>
  <c r="AH473" i="2"/>
  <c r="AH480" i="2"/>
  <c r="AH481" i="2" s="1"/>
  <c r="AB533" i="2"/>
  <c r="I92" i="107"/>
  <c r="AJ337" i="2"/>
  <c r="AJ330" i="2"/>
  <c r="AJ331" i="2" s="1"/>
  <c r="AF491" i="2"/>
  <c r="AF504" i="2" s="1"/>
  <c r="AF510" i="2"/>
  <c r="AM120" i="2"/>
  <c r="AM122" i="2" s="1"/>
  <c r="AP460" i="2"/>
  <c r="AK335" i="2"/>
  <c r="AK326" i="2"/>
  <c r="AK299" i="2"/>
  <c r="AR241" i="2"/>
  <c r="AR239" i="2"/>
  <c r="AR259" i="2" s="1"/>
  <c r="AR266" i="2" s="1"/>
  <c r="AL437" i="2"/>
  <c r="AH344" i="2"/>
  <c r="AH348" i="2"/>
  <c r="AH345" i="2"/>
  <c r="AH341" i="2"/>
  <c r="AH346" i="2"/>
  <c r="AH343" i="2"/>
  <c r="AH342" i="2"/>
  <c r="AH347" i="2"/>
  <c r="AQ144" i="2"/>
  <c r="AR140" i="2"/>
  <c r="AM187" i="2"/>
  <c r="AM284" i="2"/>
  <c r="AM285" i="2" s="1"/>
  <c r="AM272" i="2"/>
  <c r="AM251" i="2"/>
  <c r="AN238" i="2"/>
  <c r="AN258" i="2" s="1"/>
  <c r="AN240" i="2"/>
  <c r="AT47" i="2"/>
  <c r="AS45" i="2"/>
  <c r="AS48" i="2"/>
  <c r="AI518" i="2"/>
  <c r="AI520" i="2" s="1"/>
  <c r="AU328" i="2"/>
  <c r="AM262" i="2"/>
  <c r="AM265" i="2"/>
  <c r="AL129" i="2"/>
  <c r="AL130" i="2" s="1"/>
  <c r="AL131" i="2"/>
  <c r="AL155" i="2" s="1"/>
  <c r="AL134" i="2"/>
  <c r="H7" i="65"/>
  <c r="S21" i="65"/>
  <c r="AL397" i="2"/>
  <c r="AL398" i="2" s="1"/>
  <c r="AG321" i="2"/>
  <c r="AG324" i="2"/>
  <c r="AG353" i="2"/>
  <c r="AG490" i="2"/>
  <c r="AG322" i="2"/>
  <c r="AN80" i="2"/>
  <c r="AO83" i="2"/>
  <c r="AN119" i="2"/>
  <c r="AN118" i="2"/>
  <c r="AN154" i="2"/>
  <c r="AN148" i="2"/>
  <c r="AN233" i="2"/>
  <c r="AN245" i="2" s="1"/>
  <c r="AN246" i="2" s="1"/>
  <c r="AN147" i="2"/>
  <c r="AN149" i="2"/>
  <c r="AN150" i="2"/>
  <c r="AN232" i="2"/>
  <c r="AD506" i="2"/>
  <c r="AL281" i="2"/>
  <c r="AM90" i="2"/>
  <c r="AM95" i="2" s="1"/>
  <c r="AM96" i="2" s="1"/>
  <c r="AM279" i="2"/>
  <c r="AM433" i="2"/>
  <c r="AC530" i="2"/>
  <c r="AC541" i="2"/>
  <c r="AI352" i="2"/>
  <c r="AI338" i="2"/>
  <c r="AI472" i="2"/>
  <c r="AJ509" i="2"/>
  <c r="AU477" i="2"/>
  <c r="Z566" i="2"/>
  <c r="Z573" i="2"/>
  <c r="X571" i="2"/>
  <c r="H127" i="107" s="1"/>
  <c r="X549" i="2"/>
  <c r="H107" i="107"/>
  <c r="AP115" i="2"/>
  <c r="AQ114" i="2"/>
  <c r="AG349" i="2"/>
  <c r="AG499" i="2" s="1"/>
  <c r="AE505" i="2"/>
  <c r="AE525" i="2" s="1"/>
  <c r="AE535" i="2" s="1"/>
  <c r="AQ179" i="2"/>
  <c r="AQ181" i="2" s="1"/>
  <c r="AV389" i="2"/>
  <c r="AV390" i="2"/>
  <c r="AV476" i="2"/>
  <c r="AH519" i="2"/>
  <c r="AO87" i="2"/>
  <c r="AO86" i="2" s="1"/>
  <c r="AN435" i="2"/>
  <c r="AN438" i="2" s="1"/>
  <c r="AI581" i="2"/>
  <c r="AJ577" i="2" s="1"/>
  <c r="AK445" i="2"/>
  <c r="AK443" i="2"/>
  <c r="AL267" i="2"/>
  <c r="AL269" i="2" s="1"/>
  <c r="AL468" i="2" s="1"/>
  <c r="Y547" i="2"/>
  <c r="AT62" i="2"/>
  <c r="AT61" i="2"/>
  <c r="AT455" i="2"/>
  <c r="AT457" i="2" s="1"/>
  <c r="AJ521" i="2"/>
  <c r="AJ517" i="2"/>
  <c r="AJ518" i="2" s="1"/>
  <c r="AP500" i="2"/>
  <c r="AP511" i="2" s="1"/>
  <c r="AP216" i="2"/>
  <c r="AP218" i="2" s="1"/>
  <c r="AP463" i="2" s="1"/>
  <c r="AO511" i="2"/>
  <c r="AH308" i="2"/>
  <c r="AH313" i="2"/>
  <c r="AH317" i="2" s="1"/>
  <c r="AH320" i="2" s="1"/>
  <c r="AM522" i="2"/>
  <c r="AR587" i="2"/>
  <c r="AR588" i="2" s="1"/>
  <c r="AS584" i="2" s="1"/>
  <c r="AS84" i="2"/>
  <c r="AR235" i="2"/>
  <c r="AR249" i="2" s="1"/>
  <c r="AR250" i="2" s="1"/>
  <c r="AR177" i="2"/>
  <c r="AR182" i="2"/>
  <c r="AR178" i="2"/>
  <c r="AR209" i="2"/>
  <c r="AR211" i="2"/>
  <c r="AR210" i="2"/>
  <c r="AR212" i="2"/>
  <c r="AR236" i="2"/>
  <c r="AJ519" i="2"/>
  <c r="AK303" i="2"/>
  <c r="AI306" i="2"/>
  <c r="AI315" i="2" s="1"/>
  <c r="AI305" i="2"/>
  <c r="AI314" i="2" s="1"/>
  <c r="AI307" i="2"/>
  <c r="AI316" i="2" s="1"/>
  <c r="AI304" i="2"/>
  <c r="AU395" i="2"/>
  <c r="AS77" i="2"/>
  <c r="AS78" i="2"/>
  <c r="AS217" i="2" s="1"/>
  <c r="AM92" i="2"/>
  <c r="AM93" i="2" s="1"/>
  <c r="AL280" i="2"/>
  <c r="AL282" i="2" s="1"/>
  <c r="AL441" i="2"/>
  <c r="AL449" i="2" s="1"/>
  <c r="AL451" i="2" s="1"/>
  <c r="AI546" i="2"/>
  <c r="AK129" i="2"/>
  <c r="AK130" i="2" s="1"/>
  <c r="AK134" i="2"/>
  <c r="AK131" i="2"/>
  <c r="AK155" i="2" s="1"/>
  <c r="AK486" i="2"/>
  <c r="AK509" i="2" s="1"/>
  <c r="AO67" i="2"/>
  <c r="AO68" i="2"/>
  <c r="AO81" i="2" s="1"/>
  <c r="AL189" i="2"/>
  <c r="AL255" i="2"/>
  <c r="AL298" i="2" s="1"/>
  <c r="AL188" i="2"/>
  <c r="AA566" i="2"/>
  <c r="AA573" i="2"/>
  <c r="AU54" i="2"/>
  <c r="AV55" i="2"/>
  <c r="AV54" i="2" s="1"/>
  <c r="AL302" i="2" l="1"/>
  <c r="AL303" i="2"/>
  <c r="AR213" i="2"/>
  <c r="AR500" i="2" s="1"/>
  <c r="AR511" i="2" s="1"/>
  <c r="AN120" i="2"/>
  <c r="AN122" i="2" s="1"/>
  <c r="AJ520" i="2"/>
  <c r="AL469" i="2"/>
  <c r="AL483" i="2" s="1"/>
  <c r="AO137" i="2"/>
  <c r="AN265" i="2"/>
  <c r="AV328" i="2"/>
  <c r="AT84" i="2"/>
  <c r="AS235" i="2"/>
  <c r="AS249" i="2" s="1"/>
  <c r="AS250" i="2" s="1"/>
  <c r="AS177" i="2"/>
  <c r="AS182" i="2"/>
  <c r="AS212" i="2"/>
  <c r="AS209" i="2"/>
  <c r="AS178" i="2"/>
  <c r="AS211" i="2"/>
  <c r="AS210" i="2"/>
  <c r="AS236" i="2"/>
  <c r="AN151" i="2"/>
  <c r="AN498" i="2" s="1"/>
  <c r="AU524" i="2"/>
  <c r="AC533" i="2"/>
  <c r="AL335" i="2"/>
  <c r="AL326" i="2"/>
  <c r="AL299" i="2"/>
  <c r="AR179" i="2"/>
  <c r="AR181" i="2" s="1"/>
  <c r="AG523" i="2"/>
  <c r="AG502" i="2"/>
  <c r="AE527" i="2"/>
  <c r="AH349" i="2"/>
  <c r="AH499" i="2" s="1"/>
  <c r="AK311" i="2"/>
  <c r="AK312" i="2"/>
  <c r="AK291" i="2"/>
  <c r="AK290" i="2" s="1"/>
  <c r="AK318" i="2"/>
  <c r="AF505" i="2"/>
  <c r="AF525" i="2" s="1"/>
  <c r="AF535" i="2" s="1"/>
  <c r="J97" i="107" s="1"/>
  <c r="AQ500" i="2"/>
  <c r="AQ511" i="2" s="1"/>
  <c r="AQ216" i="2"/>
  <c r="AD545" i="2"/>
  <c r="AD547" i="2" s="1"/>
  <c r="AD539" i="2"/>
  <c r="AV494" i="2"/>
  <c r="AT78" i="2"/>
  <c r="AT217" i="2" s="1"/>
  <c r="AT77" i="2"/>
  <c r="AK517" i="2"/>
  <c r="AK521" i="2"/>
  <c r="AN90" i="2"/>
  <c r="AN95" i="2"/>
  <c r="AN96" i="2" s="1"/>
  <c r="AN279" i="2"/>
  <c r="AN433" i="2"/>
  <c r="AN92" i="2"/>
  <c r="AN93" i="2" s="1"/>
  <c r="AM280" i="2"/>
  <c r="AM282" i="2" s="1"/>
  <c r="AM441" i="2"/>
  <c r="AM449" i="2" s="1"/>
  <c r="AM451" i="2" s="1"/>
  <c r="AH324" i="2"/>
  <c r="AH353" i="2"/>
  <c r="AH321" i="2"/>
  <c r="AH490" i="2"/>
  <c r="AH322" i="2"/>
  <c r="AE506" i="2"/>
  <c r="AG491" i="2"/>
  <c r="AG504" i="2" s="1"/>
  <c r="AG510" i="2"/>
  <c r="AR261" i="2"/>
  <c r="AR268" i="2" s="1"/>
  <c r="AI313" i="2"/>
  <c r="AI317" i="2" s="1"/>
  <c r="AI320" i="2" s="1"/>
  <c r="AI308" i="2"/>
  <c r="AQ115" i="2"/>
  <c r="AR114" i="2"/>
  <c r="AP87" i="2"/>
  <c r="AP86" i="2" s="1"/>
  <c r="AO435" i="2"/>
  <c r="AO438" i="2" s="1"/>
  <c r="AN126" i="2"/>
  <c r="AN124" i="2"/>
  <c r="AS140" i="2"/>
  <c r="AR144" i="2"/>
  <c r="AK337" i="2"/>
  <c r="AK330" i="2"/>
  <c r="AK331" i="2" s="1"/>
  <c r="AJ338" i="2"/>
  <c r="AJ352" i="2"/>
  <c r="AJ472" i="2"/>
  <c r="AV71" i="2"/>
  <c r="AV75" i="2" s="1"/>
  <c r="AU75" i="2"/>
  <c r="AR287" i="2"/>
  <c r="AR288" i="2" s="1"/>
  <c r="AV477" i="2"/>
  <c r="K40" i="107"/>
  <c r="H40" i="107"/>
  <c r="L40" i="107"/>
  <c r="N40" i="107"/>
  <c r="I40" i="107"/>
  <c r="J40" i="107"/>
  <c r="M40" i="107"/>
  <c r="AV455" i="2"/>
  <c r="AV457" i="2" s="1"/>
  <c r="AO80" i="2"/>
  <c r="AO119" i="2"/>
  <c r="AO118" i="2"/>
  <c r="AP83" i="2"/>
  <c r="AO147" i="2"/>
  <c r="AO149" i="2"/>
  <c r="AO148" i="2"/>
  <c r="AO233" i="2"/>
  <c r="AO245" i="2" s="1"/>
  <c r="AO246" i="2" s="1"/>
  <c r="AO150" i="2"/>
  <c r="AO232" i="2"/>
  <c r="Y549" i="2"/>
  <c r="Y571" i="2"/>
  <c r="AJ580" i="2"/>
  <c r="AJ590" i="2" s="1"/>
  <c r="AJ528" i="2" s="1"/>
  <c r="AI473" i="2"/>
  <c r="AI480" i="2"/>
  <c r="AI481" i="2" s="1"/>
  <c r="AM437" i="2"/>
  <c r="L9" i="107"/>
  <c r="AL190" i="2"/>
  <c r="AT48" i="2"/>
  <c r="AT45" i="2"/>
  <c r="AU47" i="2"/>
  <c r="AJ306" i="2"/>
  <c r="AJ315" i="2" s="1"/>
  <c r="AJ305" i="2"/>
  <c r="AJ314" i="2" s="1"/>
  <c r="AJ304" i="2"/>
  <c r="AJ307" i="2"/>
  <c r="AJ316" i="2" s="1"/>
  <c r="AM189" i="2"/>
  <c r="AM188" i="2"/>
  <c r="AM255" i="2"/>
  <c r="AM298" i="2" s="1"/>
  <c r="AQ183" i="2"/>
  <c r="AQ196" i="2" s="1"/>
  <c r="AI344" i="2"/>
  <c r="AI345" i="2"/>
  <c r="AI341" i="2"/>
  <c r="AI346" i="2"/>
  <c r="AI342" i="2"/>
  <c r="AI347" i="2"/>
  <c r="AI348" i="2"/>
  <c r="AI343" i="2"/>
  <c r="K76" i="107"/>
  <c r="AP68" i="2"/>
  <c r="AP81" i="2" s="1"/>
  <c r="AP67" i="2"/>
  <c r="AM126" i="2"/>
  <c r="AM124" i="2"/>
  <c r="AN137" i="2" s="1"/>
  <c r="AQ428" i="2"/>
  <c r="AR63" i="2"/>
  <c r="AQ65" i="2"/>
  <c r="K79" i="107"/>
  <c r="AH520" i="2"/>
  <c r="AN187" i="2"/>
  <c r="AN284" i="2"/>
  <c r="AN285" i="2" s="1"/>
  <c r="AN251" i="2"/>
  <c r="AN272" i="2"/>
  <c r="AK446" i="2"/>
  <c r="AM397" i="2"/>
  <c r="AM398" i="2" s="1"/>
  <c r="AL445" i="2"/>
  <c r="AL443" i="2"/>
  <c r="AL446" i="2" s="1"/>
  <c r="AS241" i="2"/>
  <c r="AS239" i="2"/>
  <c r="AS259" i="2" s="1"/>
  <c r="AS266" i="2" s="1"/>
  <c r="AU62" i="2"/>
  <c r="AV62" i="2" s="1"/>
  <c r="AU61" i="2"/>
  <c r="AU455" i="2"/>
  <c r="AU457" i="2" s="1"/>
  <c r="AK487" i="2"/>
  <c r="AR216" i="2"/>
  <c r="AS587" i="2"/>
  <c r="AS588" i="2" s="1"/>
  <c r="AT584" i="2" s="1"/>
  <c r="AV395" i="2"/>
  <c r="AV524" i="2" s="1"/>
  <c r="X566" i="2"/>
  <c r="X569" i="2" s="1"/>
  <c r="X573" i="2"/>
  <c r="H130" i="107" s="1"/>
  <c r="G8" i="65" s="1"/>
  <c r="H109" i="107"/>
  <c r="AM281" i="2"/>
  <c r="AO238" i="2"/>
  <c r="AO258" i="2" s="1"/>
  <c r="AO240" i="2"/>
  <c r="AN273" i="2"/>
  <c r="AN260" i="2"/>
  <c r="AN262" i="2" s="1"/>
  <c r="AN254" i="2"/>
  <c r="AB537" i="2"/>
  <c r="I95" i="107"/>
  <c r="AV105" i="2"/>
  <c r="AU106" i="2"/>
  <c r="AU108" i="2" s="1"/>
  <c r="AM267" i="2"/>
  <c r="AM269" i="2" s="1"/>
  <c r="AM468" i="2" s="1"/>
  <c r="AM302" i="2"/>
  <c r="AS213" i="2" l="1"/>
  <c r="AS500" i="2" s="1"/>
  <c r="AS179" i="2"/>
  <c r="AS181" i="2" s="1"/>
  <c r="AM303" i="2"/>
  <c r="AO120" i="2"/>
  <c r="AO122" i="2" s="1"/>
  <c r="AF527" i="2"/>
  <c r="AM190" i="2"/>
  <c r="AM199" i="2" s="1"/>
  <c r="AT587" i="2"/>
  <c r="AT588" i="2" s="1"/>
  <c r="AU584" i="2" s="1"/>
  <c r="AM469" i="2"/>
  <c r="AM483" i="2" s="1"/>
  <c r="AI321" i="2"/>
  <c r="AI324" i="2"/>
  <c r="AI353" i="2"/>
  <c r="AI490" i="2"/>
  <c r="AI322" i="2"/>
  <c r="AK518" i="2"/>
  <c r="AD571" i="2"/>
  <c r="AD549" i="2"/>
  <c r="H125" i="107"/>
  <c r="Y568" i="2"/>
  <c r="G10" i="65"/>
  <c r="G86" i="107"/>
  <c r="I86" i="107"/>
  <c r="N86" i="107"/>
  <c r="J86" i="107"/>
  <c r="K86" i="107"/>
  <c r="L86" i="107"/>
  <c r="M86" i="107"/>
  <c r="AQ67" i="2"/>
  <c r="AQ68" i="2"/>
  <c r="AQ81" i="2" s="1"/>
  <c r="AU48" i="2"/>
  <c r="AU45" i="2"/>
  <c r="AV47" i="2"/>
  <c r="AP240" i="2"/>
  <c r="AP238" i="2"/>
  <c r="AP258" i="2" s="1"/>
  <c r="AU84" i="2"/>
  <c r="AT178" i="2"/>
  <c r="AT177" i="2"/>
  <c r="AT182" i="2"/>
  <c r="AT212" i="2"/>
  <c r="AT235" i="2"/>
  <c r="AT249" i="2" s="1"/>
  <c r="AT250" i="2" s="1"/>
  <c r="AT209" i="2"/>
  <c r="AT211" i="2"/>
  <c r="AT236" i="2"/>
  <c r="AT210" i="2"/>
  <c r="AR183" i="2"/>
  <c r="AR196" i="2" s="1"/>
  <c r="AN522" i="2"/>
  <c r="Y566" i="2"/>
  <c r="Y573" i="2"/>
  <c r="AP80" i="2"/>
  <c r="AP119" i="2"/>
  <c r="AP118" i="2"/>
  <c r="AP148" i="2"/>
  <c r="AQ83" i="2"/>
  <c r="AP149" i="2"/>
  <c r="AP154" i="2"/>
  <c r="AP233" i="2"/>
  <c r="AP245" i="2" s="1"/>
  <c r="AP246" i="2" s="1"/>
  <c r="AP150" i="2"/>
  <c r="AP147" i="2"/>
  <c r="AP232" i="2"/>
  <c r="AJ473" i="2"/>
  <c r="AJ480" i="2"/>
  <c r="AJ481" i="2" s="1"/>
  <c r="AS511" i="2"/>
  <c r="S40" i="65"/>
  <c r="AL318" i="2"/>
  <c r="AL311" i="2"/>
  <c r="AL312" i="2"/>
  <c r="AL291" i="2"/>
  <c r="AL290" i="2" s="1"/>
  <c r="R40" i="65"/>
  <c r="AS216" i="2"/>
  <c r="AS287" i="2"/>
  <c r="AS288" i="2" s="1"/>
  <c r="AP137" i="2"/>
  <c r="AO265" i="2"/>
  <c r="AS261" i="2"/>
  <c r="AS268" i="2" s="1"/>
  <c r="AO251" i="2"/>
  <c r="AO187" i="2"/>
  <c r="AO272" i="2"/>
  <c r="AO284" i="2"/>
  <c r="AO285" i="2" s="1"/>
  <c r="AO90" i="2"/>
  <c r="AO95" i="2"/>
  <c r="AO96" i="2" s="1"/>
  <c r="AO279" i="2"/>
  <c r="AO433" i="2"/>
  <c r="AR115" i="2"/>
  <c r="AS114" i="2"/>
  <c r="AN281" i="2"/>
  <c r="AF506" i="2"/>
  <c r="AL337" i="2"/>
  <c r="AL330" i="2"/>
  <c r="AL331" i="2" s="1"/>
  <c r="AT241" i="2"/>
  <c r="AT239" i="2"/>
  <c r="AT259" i="2" s="1"/>
  <c r="AT266" i="2" s="1"/>
  <c r="AB539" i="2"/>
  <c r="AB545" i="2"/>
  <c r="I99" i="107"/>
  <c r="AG505" i="2"/>
  <c r="AG525" i="2" s="1"/>
  <c r="AG527" i="2" s="1"/>
  <c r="AR428" i="2"/>
  <c r="AR65" i="2"/>
  <c r="AS63" i="2"/>
  <c r="AM335" i="2"/>
  <c r="AM326" i="2"/>
  <c r="AM299" i="2"/>
  <c r="AO126" i="2"/>
  <c r="AO124" i="2"/>
  <c r="AF530" i="2"/>
  <c r="AF533" i="2" s="1"/>
  <c r="AF537" i="2" s="1"/>
  <c r="AF541" i="2"/>
  <c r="AS183" i="2"/>
  <c r="AS196" i="2" s="1"/>
  <c r="AN437" i="2"/>
  <c r="AV495" i="2"/>
  <c r="I51" i="107"/>
  <c r="I72" i="107" s="1"/>
  <c r="J51" i="107"/>
  <c r="K51" i="107"/>
  <c r="K72" i="107" s="1"/>
  <c r="M51" i="107"/>
  <c r="N51" i="107"/>
  <c r="AV106" i="2"/>
  <c r="AV108" i="2" s="1"/>
  <c r="AM131" i="2"/>
  <c r="AM155" i="2" s="1"/>
  <c r="AM134" i="2"/>
  <c r="AM129" i="2"/>
  <c r="AM130" i="2" s="1"/>
  <c r="AJ581" i="2"/>
  <c r="AK577" i="2" s="1"/>
  <c r="AU78" i="2"/>
  <c r="AU217" i="2" s="1"/>
  <c r="AU77" i="2"/>
  <c r="AT140" i="2"/>
  <c r="AS144" i="2"/>
  <c r="AH523" i="2"/>
  <c r="AH502" i="2"/>
  <c r="AC537" i="2"/>
  <c r="AL517" i="2"/>
  <c r="AL518" i="2" s="1"/>
  <c r="AL521" i="2"/>
  <c r="AN131" i="2"/>
  <c r="AN155" i="2" s="1"/>
  <c r="AN134" i="2"/>
  <c r="AN129" i="2"/>
  <c r="AN130" i="2" s="1"/>
  <c r="AM443" i="2"/>
  <c r="AM446" i="2" s="1"/>
  <c r="AM445" i="2"/>
  <c r="AK307" i="2"/>
  <c r="AK316" i="2" s="1"/>
  <c r="AK306" i="2"/>
  <c r="AK315" i="2" s="1"/>
  <c r="AK304" i="2"/>
  <c r="AK305" i="2"/>
  <c r="AK314" i="2" s="1"/>
  <c r="AN189" i="2"/>
  <c r="AN188" i="2"/>
  <c r="AN255" i="2"/>
  <c r="AN298" i="2" s="1"/>
  <c r="AO151" i="2"/>
  <c r="AJ341" i="2"/>
  <c r="AJ343" i="2"/>
  <c r="AJ347" i="2"/>
  <c r="AJ344" i="2"/>
  <c r="AJ348" i="2"/>
  <c r="AJ345" i="2"/>
  <c r="AJ342" i="2"/>
  <c r="AJ346" i="2"/>
  <c r="AN267" i="2"/>
  <c r="AN269" i="2" s="1"/>
  <c r="AN468" i="2" s="1"/>
  <c r="AN302" i="2"/>
  <c r="AI349" i="2"/>
  <c r="AI499" i="2" s="1"/>
  <c r="AH491" i="2"/>
  <c r="AH504" i="2" s="1"/>
  <c r="AH510" i="2"/>
  <c r="AO273" i="2"/>
  <c r="AO254" i="2"/>
  <c r="AO260" i="2"/>
  <c r="AO262" i="2" s="1"/>
  <c r="AQ87" i="2"/>
  <c r="AQ86" i="2" s="1"/>
  <c r="AP435" i="2"/>
  <c r="AP438" i="2" s="1"/>
  <c r="AK472" i="2"/>
  <c r="AK338" i="2"/>
  <c r="AK352" i="2"/>
  <c r="AK519" i="2"/>
  <c r="AN397" i="2"/>
  <c r="AN398" i="2" s="1"/>
  <c r="AQ218" i="2"/>
  <c r="AQ463" i="2" s="1"/>
  <c r="AQ460" i="2"/>
  <c r="AJ308" i="2"/>
  <c r="AJ313" i="2"/>
  <c r="AJ317" i="2" s="1"/>
  <c r="AJ320" i="2" s="1"/>
  <c r="AL199" i="2"/>
  <c r="AL194" i="2"/>
  <c r="AL195" i="2" s="1"/>
  <c r="AL486" i="2"/>
  <c r="AJ546" i="2"/>
  <c r="K106" i="107" s="1"/>
  <c r="K80" i="107"/>
  <c r="K81" i="107" s="1"/>
  <c r="AV61" i="2"/>
  <c r="Q40" i="65"/>
  <c r="AV77" i="2"/>
  <c r="AV78" i="2"/>
  <c r="AV217" i="2" s="1"/>
  <c r="AO92" i="2"/>
  <c r="AO93" i="2" s="1"/>
  <c r="AN280" i="2"/>
  <c r="AN282" i="2" s="1"/>
  <c r="AN441" i="2"/>
  <c r="AE530" i="2"/>
  <c r="AE541" i="2"/>
  <c r="J89" i="107"/>
  <c r="AT179" i="2" l="1"/>
  <c r="AT181" i="2" s="1"/>
  <c r="AM486" i="2"/>
  <c r="AM487" i="2" s="1"/>
  <c r="AP120" i="2"/>
  <c r="AP122" i="2" s="1"/>
  <c r="AP124" i="2" s="1"/>
  <c r="AM194" i="2"/>
  <c r="AM195" i="2" s="1"/>
  <c r="AN190" i="2"/>
  <c r="AN486" i="2" s="1"/>
  <c r="AN487" i="2" s="1"/>
  <c r="AN519" i="2" s="1"/>
  <c r="AG506" i="2"/>
  <c r="AN469" i="2"/>
  <c r="AN483" i="2" s="1"/>
  <c r="AU587" i="2"/>
  <c r="AU588" i="2" s="1"/>
  <c r="AV584" i="2" s="1"/>
  <c r="AN445" i="2"/>
  <c r="AN443" i="2"/>
  <c r="AN446" i="2" s="1"/>
  <c r="AQ80" i="2"/>
  <c r="AR83" i="2"/>
  <c r="AQ119" i="2"/>
  <c r="AQ149" i="2"/>
  <c r="AQ118" i="2"/>
  <c r="AQ120" i="2" s="1"/>
  <c r="AQ122" i="2" s="1"/>
  <c r="AQ148" i="2"/>
  <c r="AQ154" i="2"/>
  <c r="AQ147" i="2"/>
  <c r="AQ150" i="2"/>
  <c r="AQ233" i="2"/>
  <c r="AQ245" i="2" s="1"/>
  <c r="AQ246" i="2" s="1"/>
  <c r="AQ232" i="2"/>
  <c r="AM519" i="2"/>
  <c r="AR67" i="2"/>
  <c r="AR68" i="2"/>
  <c r="AR81" i="2" s="1"/>
  <c r="AS115" i="2"/>
  <c r="AT114" i="2"/>
  <c r="AP126" i="2"/>
  <c r="AP273" i="2"/>
  <c r="AP260" i="2"/>
  <c r="AP262" i="2" s="1"/>
  <c r="AP254" i="2"/>
  <c r="AK308" i="2"/>
  <c r="AK313" i="2"/>
  <c r="AK317" i="2" s="1"/>
  <c r="AK320" i="2" s="1"/>
  <c r="AP265" i="2"/>
  <c r="AL487" i="2"/>
  <c r="AL509" i="2"/>
  <c r="AO267" i="2"/>
  <c r="AO269" i="2" s="1"/>
  <c r="AO468" i="2" s="1"/>
  <c r="AO302" i="2"/>
  <c r="AJ349" i="2"/>
  <c r="AJ499" i="2" s="1"/>
  <c r="AF539" i="2"/>
  <c r="AF545" i="2"/>
  <c r="AF547" i="2" s="1"/>
  <c r="AT261" i="2"/>
  <c r="AT268" i="2" s="1"/>
  <c r="AO397" i="2"/>
  <c r="AO398" i="2" s="1"/>
  <c r="AL307" i="2"/>
  <c r="AL316" i="2" s="1"/>
  <c r="AL306" i="2"/>
  <c r="AL315" i="2" s="1"/>
  <c r="AL305" i="2"/>
  <c r="AL314" i="2" s="1"/>
  <c r="AL304" i="2"/>
  <c r="AP151" i="2"/>
  <c r="AP498" i="2" s="1"/>
  <c r="AR218" i="2"/>
  <c r="AR463" i="2" s="1"/>
  <c r="AR460" i="2"/>
  <c r="AV45" i="2"/>
  <c r="AV48" i="2"/>
  <c r="I124" i="107"/>
  <c r="Y569" i="2"/>
  <c r="Z568" i="2" s="1"/>
  <c r="Z569" i="2" s="1"/>
  <c r="AA568" i="2" s="1"/>
  <c r="AA569" i="2" s="1"/>
  <c r="AB568" i="2" s="1"/>
  <c r="AD573" i="2"/>
  <c r="AD566" i="2"/>
  <c r="AI523" i="2"/>
  <c r="AI502" i="2"/>
  <c r="AS218" i="2"/>
  <c r="AS463" i="2" s="1"/>
  <c r="AS460" i="2"/>
  <c r="AK520" i="2"/>
  <c r="AM509" i="2"/>
  <c r="AK580" i="2"/>
  <c r="AK590" i="2" s="1"/>
  <c r="AK528" i="2" s="1"/>
  <c r="AG530" i="2"/>
  <c r="AG541" i="2"/>
  <c r="AO188" i="2"/>
  <c r="AO189" i="2"/>
  <c r="AO255" i="2"/>
  <c r="AO298" i="2" s="1"/>
  <c r="AO498" i="2"/>
  <c r="AO154" i="2"/>
  <c r="AT183" i="2"/>
  <c r="AT196" i="2" s="1"/>
  <c r="AU140" i="2"/>
  <c r="AT144" i="2"/>
  <c r="AO129" i="2"/>
  <c r="AO130" i="2" s="1"/>
  <c r="AO131" i="2"/>
  <c r="AO134" i="2"/>
  <c r="AG535" i="2"/>
  <c r="AL338" i="2"/>
  <c r="AL352" i="2"/>
  <c r="AL472" i="2"/>
  <c r="AO437" i="2"/>
  <c r="AP187" i="2"/>
  <c r="AP251" i="2"/>
  <c r="AP272" i="2"/>
  <c r="AP284" i="2"/>
  <c r="AP285" i="2" s="1"/>
  <c r="AJ324" i="2"/>
  <c r="AJ321" i="2"/>
  <c r="AJ490" i="2"/>
  <c r="AJ353" i="2"/>
  <c r="AJ322" i="2"/>
  <c r="AK341" i="2"/>
  <c r="AK343" i="2"/>
  <c r="AK344" i="2"/>
  <c r="AK345" i="2"/>
  <c r="AK346" i="2"/>
  <c r="AK347" i="2"/>
  <c r="AK342" i="2"/>
  <c r="AK348" i="2"/>
  <c r="AN303" i="2"/>
  <c r="AV84" i="2"/>
  <c r="AU182" i="2"/>
  <c r="AU178" i="2"/>
  <c r="AU210" i="2"/>
  <c r="AU177" i="2"/>
  <c r="AU209" i="2"/>
  <c r="AU211" i="2"/>
  <c r="AU235" i="2"/>
  <c r="AU249" i="2" s="1"/>
  <c r="AU250" i="2" s="1"/>
  <c r="AU236" i="2"/>
  <c r="AU212" i="2"/>
  <c r="AN449" i="2"/>
  <c r="AN451" i="2" s="1"/>
  <c r="AM318" i="2"/>
  <c r="AM311" i="2"/>
  <c r="AM312" i="2"/>
  <c r="AM291" i="2"/>
  <c r="AM290" i="2" s="1"/>
  <c r="AO281" i="2"/>
  <c r="AU239" i="2"/>
  <c r="AU259" i="2" s="1"/>
  <c r="AU266" i="2" s="1"/>
  <c r="AU241" i="2"/>
  <c r="AM517" i="2"/>
  <c r="AM518" i="2" s="1"/>
  <c r="AM521" i="2"/>
  <c r="AN194" i="2"/>
  <c r="AN195" i="2" s="1"/>
  <c r="AN335" i="2"/>
  <c r="AN299" i="2"/>
  <c r="AN326" i="2"/>
  <c r="J101" i="107"/>
  <c r="AH505" i="2"/>
  <c r="AH525" i="2" s="1"/>
  <c r="AS428" i="2"/>
  <c r="AS65" i="2"/>
  <c r="AT63" i="2"/>
  <c r="AT287" i="2"/>
  <c r="AT288" i="2" s="1"/>
  <c r="AP90" i="2"/>
  <c r="AP95" i="2" s="1"/>
  <c r="AP96" i="2" s="1"/>
  <c r="AP279" i="2"/>
  <c r="AP433" i="2"/>
  <c r="AV182" i="2"/>
  <c r="AV178" i="2"/>
  <c r="AV177" i="2"/>
  <c r="AV210" i="2"/>
  <c r="AV235" i="2"/>
  <c r="AV212" i="2"/>
  <c r="AV211" i="2"/>
  <c r="AV236" i="2"/>
  <c r="AV209" i="2"/>
  <c r="AE533" i="2"/>
  <c r="J92" i="107"/>
  <c r="AK473" i="2"/>
  <c r="AK480" i="2"/>
  <c r="AK481" i="2" s="1"/>
  <c r="AC545" i="2"/>
  <c r="AC539" i="2"/>
  <c r="AM337" i="2"/>
  <c r="AM330" i="2"/>
  <c r="AM331" i="2" s="1"/>
  <c r="AB547" i="2"/>
  <c r="I105" i="107"/>
  <c r="AP92" i="2"/>
  <c r="AP93" i="2" s="1"/>
  <c r="AO280" i="2"/>
  <c r="AO282" i="2" s="1"/>
  <c r="AO441" i="2"/>
  <c r="AO449" i="2" s="1"/>
  <c r="AO451" i="2" s="1"/>
  <c r="AQ238" i="2"/>
  <c r="AQ258" i="2" s="1"/>
  <c r="AQ240" i="2"/>
  <c r="AT213" i="2"/>
  <c r="AR87" i="2"/>
  <c r="AR86" i="2" s="1"/>
  <c r="AQ435" i="2"/>
  <c r="AQ438" i="2" s="1"/>
  <c r="AI491" i="2"/>
  <c r="AI504" i="2" s="1"/>
  <c r="AI510" i="2"/>
  <c r="AQ151" i="2" l="1"/>
  <c r="AQ498" i="2" s="1"/>
  <c r="AV249" i="2"/>
  <c r="AV250" i="2" s="1"/>
  <c r="AU213" i="2"/>
  <c r="AU500" i="2" s="1"/>
  <c r="AU511" i="2" s="1"/>
  <c r="AU179" i="2"/>
  <c r="AU181" i="2" s="1"/>
  <c r="AV179" i="2"/>
  <c r="AV181" i="2" s="1"/>
  <c r="AV213" i="2"/>
  <c r="AV500" i="2" s="1"/>
  <c r="AQ137" i="2"/>
  <c r="AK581" i="2"/>
  <c r="AL577" i="2" s="1"/>
  <c r="AN509" i="2"/>
  <c r="AN199" i="2"/>
  <c r="L45" i="107"/>
  <c r="AO190" i="2"/>
  <c r="AO194" i="2" s="1"/>
  <c r="AO195" i="2" s="1"/>
  <c r="AO486" i="2"/>
  <c r="AO509" i="2" s="1"/>
  <c r="AO469" i="2"/>
  <c r="AO483" i="2" s="1"/>
  <c r="AV588" i="2"/>
  <c r="AV587" i="2"/>
  <c r="AP437" i="2"/>
  <c r="AL580" i="2"/>
  <c r="AL590" i="2" s="1"/>
  <c r="AL528" i="2" s="1"/>
  <c r="AL546" i="2" s="1"/>
  <c r="AS68" i="2"/>
  <c r="AS81" i="2" s="1"/>
  <c r="AS67" i="2"/>
  <c r="AP397" i="2"/>
  <c r="AP398" i="2" s="1"/>
  <c r="AQ126" i="2"/>
  <c r="AQ124" i="2"/>
  <c r="AU183" i="2"/>
  <c r="AU196" i="2" s="1"/>
  <c r="AB549" i="2"/>
  <c r="AB571" i="2"/>
  <c r="I127" i="107" s="1"/>
  <c r="I107" i="107"/>
  <c r="AP281" i="2"/>
  <c r="AJ491" i="2"/>
  <c r="AJ504" i="2" s="1"/>
  <c r="AJ510" i="2"/>
  <c r="AO522" i="2"/>
  <c r="AK546" i="2"/>
  <c r="AJ523" i="2"/>
  <c r="AJ502" i="2"/>
  <c r="AF571" i="2"/>
  <c r="AF549" i="2"/>
  <c r="AP267" i="2"/>
  <c r="AP269" i="2" s="1"/>
  <c r="AP468" i="2" s="1"/>
  <c r="AP302" i="2"/>
  <c r="AT500" i="2"/>
  <c r="AT511" i="2" s="1"/>
  <c r="AT216" i="2"/>
  <c r="AH506" i="2"/>
  <c r="AO155" i="2"/>
  <c r="AO335" i="2"/>
  <c r="AO326" i="2"/>
  <c r="AO299" i="2"/>
  <c r="AP129" i="2"/>
  <c r="AP130" i="2" s="1"/>
  <c r="AP131" i="2"/>
  <c r="AP155" i="2" s="1"/>
  <c r="AP134" i="2"/>
  <c r="AQ187" i="2"/>
  <c r="AQ284" i="2"/>
  <c r="AQ285" i="2" s="1"/>
  <c r="AQ251" i="2"/>
  <c r="AQ272" i="2"/>
  <c r="AR238" i="2"/>
  <c r="AR258" i="2" s="1"/>
  <c r="AR240" i="2"/>
  <c r="AN521" i="2"/>
  <c r="AN517" i="2"/>
  <c r="AN518" i="2" s="1"/>
  <c r="AT115" i="2"/>
  <c r="AU114" i="2"/>
  <c r="AQ90" i="2"/>
  <c r="AQ279" i="2"/>
  <c r="AQ433" i="2"/>
  <c r="AI505" i="2"/>
  <c r="AI525" i="2" s="1"/>
  <c r="AI535" i="2" s="1"/>
  <c r="AQ522" i="2"/>
  <c r="AQ254" i="2"/>
  <c r="AQ273" i="2"/>
  <c r="AQ260" i="2"/>
  <c r="AQ262" i="2" s="1"/>
  <c r="AV287" i="2"/>
  <c r="AV288" i="2" s="1"/>
  <c r="AR137" i="2"/>
  <c r="AQ265" i="2"/>
  <c r="AM520" i="2"/>
  <c r="AL342" i="2"/>
  <c r="AL346" i="2"/>
  <c r="AL343" i="2"/>
  <c r="AL347" i="2"/>
  <c r="AL348" i="2"/>
  <c r="AL344" i="2"/>
  <c r="AL341" i="2"/>
  <c r="AL345" i="2"/>
  <c r="AV183" i="2"/>
  <c r="AV196" i="2" s="1"/>
  <c r="AV140" i="2"/>
  <c r="AV144" i="2" s="1"/>
  <c r="AU144" i="2"/>
  <c r="AP522" i="2"/>
  <c r="AS87" i="2"/>
  <c r="AS86" i="2" s="1"/>
  <c r="AR435" i="2"/>
  <c r="AR438" i="2" s="1"/>
  <c r="J61" i="107"/>
  <c r="J72" i="107" s="1"/>
  <c r="L61" i="107"/>
  <c r="L72" i="107" s="1"/>
  <c r="G61" i="107"/>
  <c r="G72" i="107" s="1"/>
  <c r="H61" i="107"/>
  <c r="H72" i="107" s="1"/>
  <c r="M61" i="107"/>
  <c r="M72" i="107" s="1"/>
  <c r="AV511" i="2"/>
  <c r="AN337" i="2"/>
  <c r="AN330" i="2"/>
  <c r="AN331" i="2" s="1"/>
  <c r="AM338" i="2"/>
  <c r="AM352" i="2"/>
  <c r="AM472" i="2"/>
  <c r="AQ92" i="2"/>
  <c r="AQ93" i="2" s="1"/>
  <c r="AP280" i="2"/>
  <c r="AP282" i="2" s="1"/>
  <c r="AP441" i="2"/>
  <c r="AH535" i="2"/>
  <c r="AH527" i="2"/>
  <c r="AL473" i="2"/>
  <c r="AL480" i="2"/>
  <c r="AL481" i="2" s="1"/>
  <c r="AM304" i="2"/>
  <c r="AM307" i="2"/>
  <c r="AM316" i="2" s="1"/>
  <c r="AM305" i="2"/>
  <c r="AM314" i="2" s="1"/>
  <c r="AM306" i="2"/>
  <c r="AM315" i="2" s="1"/>
  <c r="AU216" i="2"/>
  <c r="AV241" i="2"/>
  <c r="AV239" i="2"/>
  <c r="AV259" i="2" s="1"/>
  <c r="AV266" i="2" s="1"/>
  <c r="AO303" i="2"/>
  <c r="AK324" i="2"/>
  <c r="AK353" i="2"/>
  <c r="AK321" i="2"/>
  <c r="AK490" i="2"/>
  <c r="AK322" i="2"/>
  <c r="AO443" i="2"/>
  <c r="AO445" i="2"/>
  <c r="AC547" i="2"/>
  <c r="AE537" i="2"/>
  <c r="J95" i="107"/>
  <c r="AU287" i="2"/>
  <c r="AU288" i="2" s="1"/>
  <c r="AV216" i="2"/>
  <c r="AT428" i="2"/>
  <c r="AT65" i="2"/>
  <c r="AU63" i="2"/>
  <c r="AN318" i="2"/>
  <c r="AN291" i="2"/>
  <c r="AN290" i="2" s="1"/>
  <c r="AN312" i="2"/>
  <c r="AN311" i="2"/>
  <c r="AU261" i="2"/>
  <c r="AU268" i="2" s="1"/>
  <c r="AK349" i="2"/>
  <c r="AK499" i="2" s="1"/>
  <c r="AT218" i="2"/>
  <c r="AT463" i="2" s="1"/>
  <c r="AT460" i="2"/>
  <c r="AG533" i="2"/>
  <c r="AL308" i="2"/>
  <c r="AL313" i="2"/>
  <c r="AL317" i="2" s="1"/>
  <c r="AL320" i="2" s="1"/>
  <c r="AL519" i="2"/>
  <c r="AP189" i="2"/>
  <c r="AP188" i="2"/>
  <c r="AP255" i="2"/>
  <c r="AP298" i="2" s="1"/>
  <c r="AS83" i="2"/>
  <c r="AR118" i="2"/>
  <c r="AR80" i="2"/>
  <c r="AR119" i="2"/>
  <c r="AR147" i="2"/>
  <c r="AR150" i="2"/>
  <c r="AR233" i="2"/>
  <c r="AR245" i="2" s="1"/>
  <c r="AR246" i="2" s="1"/>
  <c r="AR149" i="2"/>
  <c r="AR148" i="2"/>
  <c r="AR232" i="2"/>
  <c r="AL581" i="2" l="1"/>
  <c r="AM577" i="2" s="1"/>
  <c r="AO199" i="2"/>
  <c r="AL349" i="2"/>
  <c r="AL499" i="2" s="1"/>
  <c r="L76" i="107"/>
  <c r="AP469" i="2"/>
  <c r="AP483" i="2" s="1"/>
  <c r="AO318" i="2"/>
  <c r="AO311" i="2"/>
  <c r="AO312" i="2"/>
  <c r="AO291" i="2"/>
  <c r="AO290" i="2" s="1"/>
  <c r="AB573" i="2"/>
  <c r="I130" i="107" s="1"/>
  <c r="H8" i="65" s="1"/>
  <c r="AB566" i="2"/>
  <c r="AB569" i="2" s="1"/>
  <c r="I109" i="107"/>
  <c r="AT83" i="2"/>
  <c r="AS118" i="2"/>
  <c r="AS80" i="2"/>
  <c r="AS119" i="2"/>
  <c r="AS148" i="2"/>
  <c r="AS150" i="2"/>
  <c r="AS149" i="2"/>
  <c r="AS233" i="2"/>
  <c r="AS245" i="2" s="1"/>
  <c r="AS246" i="2" s="1"/>
  <c r="AS154" i="2"/>
  <c r="AS147" i="2"/>
  <c r="AS232" i="2"/>
  <c r="AM341" i="2"/>
  <c r="AM342" i="2"/>
  <c r="AM343" i="2"/>
  <c r="AM348" i="2"/>
  <c r="AM344" i="2"/>
  <c r="AM345" i="2"/>
  <c r="AM346" i="2"/>
  <c r="AM347" i="2"/>
  <c r="AI506" i="2"/>
  <c r="AN520" i="2"/>
  <c r="L77" i="107"/>
  <c r="AO337" i="2"/>
  <c r="AO330" i="2"/>
  <c r="AO331" i="2" s="1"/>
  <c r="AU218" i="2"/>
  <c r="AU463" i="2" s="1"/>
  <c r="AU460" i="2"/>
  <c r="AO521" i="2"/>
  <c r="AO517" i="2"/>
  <c r="AK491" i="2"/>
  <c r="AK504" i="2" s="1"/>
  <c r="AK510" i="2"/>
  <c r="AV261" i="2"/>
  <c r="AV268" i="2" s="1"/>
  <c r="AF566" i="2"/>
  <c r="AF573" i="2"/>
  <c r="AM580" i="2"/>
  <c r="AM590" i="2" s="1"/>
  <c r="AM528" i="2" s="1"/>
  <c r="AK523" i="2"/>
  <c r="AK502" i="2"/>
  <c r="AQ437" i="2"/>
  <c r="AR273" i="2"/>
  <c r="AR254" i="2"/>
  <c r="AR260" i="2"/>
  <c r="AR262" i="2" s="1"/>
  <c r="AJ505" i="2"/>
  <c r="AJ525" i="2" s="1"/>
  <c r="AJ535" i="2" s="1"/>
  <c r="K97" i="107" s="1"/>
  <c r="AQ129" i="2"/>
  <c r="AQ130" i="2" s="1"/>
  <c r="AQ131" i="2"/>
  <c r="AQ155" i="2" s="1"/>
  <c r="AQ134" i="2"/>
  <c r="AU115" i="2"/>
  <c r="AV114" i="2"/>
  <c r="AV115" i="2" s="1"/>
  <c r="AM473" i="2"/>
  <c r="AM480" i="2"/>
  <c r="AM481" i="2" s="1"/>
  <c r="AG537" i="2"/>
  <c r="AP335" i="2"/>
  <c r="AP326" i="2"/>
  <c r="AP299" i="2"/>
  <c r="AU428" i="2"/>
  <c r="AV63" i="2"/>
  <c r="AU65" i="2"/>
  <c r="AH541" i="2"/>
  <c r="AH530" i="2"/>
  <c r="AR187" i="2"/>
  <c r="AR272" i="2"/>
  <c r="AR284" i="2"/>
  <c r="AR285" i="2" s="1"/>
  <c r="AR251" i="2"/>
  <c r="AP303" i="2"/>
  <c r="AT68" i="2"/>
  <c r="AT81" i="2" s="1"/>
  <c r="AT67" i="2"/>
  <c r="AC549" i="2"/>
  <c r="AC571" i="2"/>
  <c r="AN352" i="2"/>
  <c r="AN338" i="2"/>
  <c r="AN472" i="2"/>
  <c r="AQ267" i="2"/>
  <c r="AQ269" i="2" s="1"/>
  <c r="AQ468" i="2" s="1"/>
  <c r="AQ281" i="2"/>
  <c r="AS137" i="2"/>
  <c r="AR265" i="2"/>
  <c r="AP190" i="2"/>
  <c r="AO487" i="2"/>
  <c r="AM308" i="2"/>
  <c r="AM313" i="2"/>
  <c r="AM317" i="2" s="1"/>
  <c r="AM320" i="2" s="1"/>
  <c r="AR90" i="2"/>
  <c r="AR95" i="2" s="1"/>
  <c r="AR96" i="2" s="1"/>
  <c r="AR279" i="2"/>
  <c r="AR433" i="2"/>
  <c r="AO446" i="2"/>
  <c r="AQ397" i="2"/>
  <c r="AQ398" i="2" s="1"/>
  <c r="AR120" i="2"/>
  <c r="AR122" i="2" s="1"/>
  <c r="AS240" i="2"/>
  <c r="AS238" i="2"/>
  <c r="AS258" i="2" s="1"/>
  <c r="AP443" i="2"/>
  <c r="AP446" i="2" s="1"/>
  <c r="AP445" i="2"/>
  <c r="N61" i="107"/>
  <c r="N72" i="107" s="1"/>
  <c r="AV218" i="2"/>
  <c r="AV463" i="2" s="1"/>
  <c r="AV460" i="2"/>
  <c r="AR92" i="2"/>
  <c r="AR93" i="2" s="1"/>
  <c r="AQ280" i="2"/>
  <c r="AQ282" i="2" s="1"/>
  <c r="AQ441" i="2"/>
  <c r="AQ449" i="2" s="1"/>
  <c r="AQ451" i="2" s="1"/>
  <c r="AP449" i="2"/>
  <c r="AP451" i="2" s="1"/>
  <c r="AN304" i="2"/>
  <c r="AN307" i="2"/>
  <c r="AN316" i="2" s="1"/>
  <c r="AN306" i="2"/>
  <c r="AN315" i="2" s="1"/>
  <c r="AN305" i="2"/>
  <c r="AN314" i="2" s="1"/>
  <c r="AL523" i="2"/>
  <c r="AL502" i="2"/>
  <c r="AL321" i="2"/>
  <c r="AL353" i="2"/>
  <c r="AL324" i="2"/>
  <c r="AL490" i="2"/>
  <c r="AL322" i="2"/>
  <c r="AT87" i="2"/>
  <c r="AT86" i="2" s="1"/>
  <c r="AS435" i="2"/>
  <c r="AS438" i="2" s="1"/>
  <c r="AE545" i="2"/>
  <c r="AE539" i="2"/>
  <c r="J99" i="107"/>
  <c r="AR151" i="2"/>
  <c r="AL520" i="2"/>
  <c r="L79" i="107"/>
  <c r="AQ189" i="2"/>
  <c r="AQ188" i="2"/>
  <c r="AQ255" i="2"/>
  <c r="AQ298" i="2" s="1"/>
  <c r="AQ95" i="2"/>
  <c r="AQ96" i="2" s="1"/>
  <c r="AI527" i="2"/>
  <c r="AQ303" i="2" l="1"/>
  <c r="AJ506" i="2"/>
  <c r="AJ527" i="2"/>
  <c r="K89" i="107" s="1"/>
  <c r="AQ190" i="2"/>
  <c r="AQ194" i="2" s="1"/>
  <c r="AQ195" i="2" s="1"/>
  <c r="AR281" i="2"/>
  <c r="AQ469" i="2"/>
  <c r="AQ483" i="2" s="1"/>
  <c r="AQ199" i="2"/>
  <c r="AR188" i="2"/>
  <c r="AR189" i="2"/>
  <c r="AR255" i="2"/>
  <c r="AR298" i="2" s="1"/>
  <c r="AK505" i="2"/>
  <c r="AK525" i="2" s="1"/>
  <c r="AK527" i="2" s="1"/>
  <c r="I125" i="107"/>
  <c r="H10" i="65"/>
  <c r="AC568" i="2"/>
  <c r="AQ335" i="2"/>
  <c r="AQ326" i="2"/>
  <c r="AQ299" i="2"/>
  <c r="AR498" i="2"/>
  <c r="AR154" i="2"/>
  <c r="AN308" i="2"/>
  <c r="AN313" i="2"/>
  <c r="AN317" i="2" s="1"/>
  <c r="AN320" i="2" s="1"/>
  <c r="AQ302" i="2"/>
  <c r="AU83" i="2"/>
  <c r="AT118" i="2"/>
  <c r="AT120" i="2" s="1"/>
  <c r="AT122" i="2" s="1"/>
  <c r="AT80" i="2"/>
  <c r="AT119" i="2"/>
  <c r="AT149" i="2"/>
  <c r="AT233" i="2"/>
  <c r="AT245" i="2" s="1"/>
  <c r="AT246" i="2" s="1"/>
  <c r="AT150" i="2"/>
  <c r="AT148" i="2"/>
  <c r="AT154" i="2"/>
  <c r="AT232" i="2"/>
  <c r="AT147" i="2"/>
  <c r="AP337" i="2"/>
  <c r="AP330" i="2"/>
  <c r="AP331" i="2" s="1"/>
  <c r="AQ486" i="2"/>
  <c r="AQ487" i="2" s="1"/>
  <c r="AO518" i="2"/>
  <c r="AM349" i="2"/>
  <c r="AM499" i="2" s="1"/>
  <c r="AL491" i="2"/>
  <c r="AL504" i="2" s="1"/>
  <c r="AL510" i="2"/>
  <c r="AU87" i="2"/>
  <c r="AU86" i="2" s="1"/>
  <c r="AT435" i="2"/>
  <c r="AT438" i="2" s="1"/>
  <c r="AH533" i="2"/>
  <c r="AG545" i="2"/>
  <c r="AG539" i="2"/>
  <c r="AM321" i="2"/>
  <c r="AM324" i="2"/>
  <c r="AM353" i="2"/>
  <c r="AM490" i="2"/>
  <c r="AM322" i="2"/>
  <c r="AM546" i="2"/>
  <c r="AO519" i="2"/>
  <c r="AE547" i="2"/>
  <c r="J105" i="107"/>
  <c r="AQ443" i="2"/>
  <c r="AQ446" i="2" s="1"/>
  <c r="AQ445" i="2"/>
  <c r="AP199" i="2"/>
  <c r="AP194" i="2"/>
  <c r="AP195" i="2" s="1"/>
  <c r="AP486" i="2"/>
  <c r="AS90" i="2"/>
  <c r="AS95" i="2" s="1"/>
  <c r="AS96" i="2" s="1"/>
  <c r="AS279" i="2"/>
  <c r="AS433" i="2"/>
  <c r="AO305" i="2"/>
  <c r="AO314" i="2" s="1"/>
  <c r="AO304" i="2"/>
  <c r="AO306" i="2"/>
  <c r="AO315" i="2" s="1"/>
  <c r="AO307" i="2"/>
  <c r="AO316" i="2" s="1"/>
  <c r="AN473" i="2"/>
  <c r="AN480" i="2"/>
  <c r="AN481" i="2" s="1"/>
  <c r="AR437" i="2"/>
  <c r="AU68" i="2"/>
  <c r="AU81" i="2" s="1"/>
  <c r="AU67" i="2"/>
  <c r="AS265" i="2"/>
  <c r="AN341" i="2"/>
  <c r="AN345" i="2"/>
  <c r="AN342" i="2"/>
  <c r="AN346" i="2"/>
  <c r="AN347" i="2"/>
  <c r="AN343" i="2"/>
  <c r="AN348" i="2"/>
  <c r="AN344" i="2"/>
  <c r="AV428" i="2"/>
  <c r="AV65" i="2"/>
  <c r="AS151" i="2"/>
  <c r="AS498" i="2" s="1"/>
  <c r="AS120" i="2"/>
  <c r="AS122" i="2" s="1"/>
  <c r="AJ530" i="2"/>
  <c r="AJ533" i="2" s="1"/>
  <c r="AJ537" i="2" s="1"/>
  <c r="AS260" i="2"/>
  <c r="AS254" i="2"/>
  <c r="AS273" i="2"/>
  <c r="AO338" i="2"/>
  <c r="AO352" i="2"/>
  <c r="AO472" i="2"/>
  <c r="AT238" i="2"/>
  <c r="AT258" i="2" s="1"/>
  <c r="AT240" i="2"/>
  <c r="AP517" i="2"/>
  <c r="AP518" i="2" s="1"/>
  <c r="AP521" i="2"/>
  <c r="AI541" i="2"/>
  <c r="AI530" i="2"/>
  <c r="AI533" i="2" s="1"/>
  <c r="AI537" i="2" s="1"/>
  <c r="AR124" i="2"/>
  <c r="AR126" i="2"/>
  <c r="AS92" i="2"/>
  <c r="AS93" i="2" s="1"/>
  <c r="AR280" i="2"/>
  <c r="AR282" i="2" s="1"/>
  <c r="AR441" i="2"/>
  <c r="AC566" i="2"/>
  <c r="AC573" i="2"/>
  <c r="AR397" i="2"/>
  <c r="AR398" i="2" s="1"/>
  <c r="AR190" i="2"/>
  <c r="AP291" i="2"/>
  <c r="AP290" i="2" s="1"/>
  <c r="AP311" i="2"/>
  <c r="AP312" i="2"/>
  <c r="AP318" i="2"/>
  <c r="AR267" i="2"/>
  <c r="AR269" i="2" s="1"/>
  <c r="AR468" i="2" s="1"/>
  <c r="AM581" i="2"/>
  <c r="AN577" i="2" s="1"/>
  <c r="AS187" i="2"/>
  <c r="AS272" i="2"/>
  <c r="AS251" i="2"/>
  <c r="AS284" i="2"/>
  <c r="AS285" i="2" s="1"/>
  <c r="AR303" i="2" l="1"/>
  <c r="AJ541" i="2"/>
  <c r="AR302" i="2"/>
  <c r="K101" i="107"/>
  <c r="AK506" i="2"/>
  <c r="AR469" i="2"/>
  <c r="AR483" i="2" s="1"/>
  <c r="AS522" i="2"/>
  <c r="AU80" i="2"/>
  <c r="AV83" i="2"/>
  <c r="AU118" i="2"/>
  <c r="AU119" i="2"/>
  <c r="AU147" i="2"/>
  <c r="AU150" i="2"/>
  <c r="AU148" i="2"/>
  <c r="AU233" i="2"/>
  <c r="AU245" i="2" s="1"/>
  <c r="AU246" i="2" s="1"/>
  <c r="AU149" i="2"/>
  <c r="AU232" i="2"/>
  <c r="AP338" i="2"/>
  <c r="AP352" i="2"/>
  <c r="AP472" i="2"/>
  <c r="AR522" i="2"/>
  <c r="AP305" i="2"/>
  <c r="AP314" i="2" s="1"/>
  <c r="AP304" i="2"/>
  <c r="AP307" i="2"/>
  <c r="AP316" i="2" s="1"/>
  <c r="AP306" i="2"/>
  <c r="AP315" i="2" s="1"/>
  <c r="AR443" i="2"/>
  <c r="AR446" i="2" s="1"/>
  <c r="M23" i="107" s="1"/>
  <c r="AR445" i="2"/>
  <c r="AV87" i="2"/>
  <c r="AV86" i="2" s="1"/>
  <c r="AU435" i="2"/>
  <c r="AU438" i="2" s="1"/>
  <c r="AP487" i="2"/>
  <c r="AP509" i="2"/>
  <c r="AT151" i="2"/>
  <c r="AT498" i="2" s="1"/>
  <c r="AT90" i="2"/>
  <c r="AT95" i="2"/>
  <c r="AT96" i="2" s="1"/>
  <c r="AT279" i="2"/>
  <c r="AT433" i="2"/>
  <c r="AQ318" i="2"/>
  <c r="AQ291" i="2"/>
  <c r="AQ290" i="2" s="1"/>
  <c r="AQ311" i="2"/>
  <c r="AQ312" i="2"/>
  <c r="AK535" i="2"/>
  <c r="AT254" i="2"/>
  <c r="AT273" i="2"/>
  <c r="AT260" i="2"/>
  <c r="AV68" i="2"/>
  <c r="AV81" i="2" s="1"/>
  <c r="AV435" i="2" s="1"/>
  <c r="AV67" i="2"/>
  <c r="AL505" i="2"/>
  <c r="AL525" i="2" s="1"/>
  <c r="AT126" i="2"/>
  <c r="AT124" i="2"/>
  <c r="AR129" i="2"/>
  <c r="AR130" i="2" s="1"/>
  <c r="AR131" i="2"/>
  <c r="AR155" i="2" s="1"/>
  <c r="AR134" i="2"/>
  <c r="AR486" i="2"/>
  <c r="AR487" i="2" s="1"/>
  <c r="AR335" i="2"/>
  <c r="AR326" i="2"/>
  <c r="AR299" i="2"/>
  <c r="AK541" i="2"/>
  <c r="AK530" i="2"/>
  <c r="AN580" i="2"/>
  <c r="AN590" i="2" s="1"/>
  <c r="AN528" i="2" s="1"/>
  <c r="AR199" i="2"/>
  <c r="AR194" i="2"/>
  <c r="AR195" i="2" s="1"/>
  <c r="AN349" i="2"/>
  <c r="AN499" i="2" s="1"/>
  <c r="AO308" i="2"/>
  <c r="AO313" i="2"/>
  <c r="AO317" i="2" s="1"/>
  <c r="AO320" i="2" s="1"/>
  <c r="AM523" i="2"/>
  <c r="AM502" i="2"/>
  <c r="AO473" i="2"/>
  <c r="AO480" i="2"/>
  <c r="AO481" i="2" s="1"/>
  <c r="AS302" i="2"/>
  <c r="AS267" i="2"/>
  <c r="AS269" i="2" s="1"/>
  <c r="AS468" i="2" s="1"/>
  <c r="AO520" i="2"/>
  <c r="J124" i="107"/>
  <c r="AC569" i="2"/>
  <c r="AD568" i="2" s="1"/>
  <c r="AD569" i="2" s="1"/>
  <c r="AE568" i="2" s="1"/>
  <c r="AQ509" i="2"/>
  <c r="AS397" i="2"/>
  <c r="AS398" i="2" s="1"/>
  <c r="AS124" i="2"/>
  <c r="AT137" i="2" s="1"/>
  <c r="AS126" i="2"/>
  <c r="AT92" i="2"/>
  <c r="AT93" i="2" s="1"/>
  <c r="AS280" i="2"/>
  <c r="AS282" i="2" s="1"/>
  <c r="AS441" i="2"/>
  <c r="AS449" i="2" s="1"/>
  <c r="AS451" i="2" s="1"/>
  <c r="AU137" i="2"/>
  <c r="AT265" i="2"/>
  <c r="AR449" i="2"/>
  <c r="AR451" i="2" s="1"/>
  <c r="AG547" i="2"/>
  <c r="AQ337" i="2"/>
  <c r="AQ330" i="2"/>
  <c r="AQ331" i="2" s="1"/>
  <c r="AJ539" i="2"/>
  <c r="AJ545" i="2"/>
  <c r="AJ547" i="2" s="1"/>
  <c r="AS437" i="2"/>
  <c r="AM491" i="2"/>
  <c r="AM504" i="2" s="1"/>
  <c r="AM510" i="2"/>
  <c r="K92" i="107"/>
  <c r="AN353" i="2"/>
  <c r="AN321" i="2"/>
  <c r="AN324" i="2"/>
  <c r="AN490" i="2"/>
  <c r="AN322" i="2"/>
  <c r="AQ517" i="2"/>
  <c r="AQ518" i="2" s="1"/>
  <c r="AQ521" i="2"/>
  <c r="AE571" i="2"/>
  <c r="J127" i="107" s="1"/>
  <c r="AE549" i="2"/>
  <c r="J107" i="107"/>
  <c r="AS188" i="2"/>
  <c r="AS189" i="2"/>
  <c r="AS255" i="2"/>
  <c r="AS298" i="2" s="1"/>
  <c r="AU238" i="2"/>
  <c r="AU258" i="2" s="1"/>
  <c r="AU240" i="2"/>
  <c r="AI539" i="2"/>
  <c r="AI545" i="2"/>
  <c r="AI547" i="2" s="1"/>
  <c r="AO341" i="2"/>
  <c r="AO342" i="2"/>
  <c r="AO347" i="2"/>
  <c r="AO343" i="2"/>
  <c r="AO348" i="2"/>
  <c r="AO344" i="2"/>
  <c r="AO345" i="2"/>
  <c r="AO346" i="2"/>
  <c r="AS262" i="2"/>
  <c r="AS281" i="2"/>
  <c r="AH537" i="2"/>
  <c r="K95" i="107"/>
  <c r="AQ519" i="2"/>
  <c r="AT187" i="2"/>
  <c r="AT272" i="2"/>
  <c r="AT251" i="2"/>
  <c r="AT284" i="2"/>
  <c r="AT285" i="2" s="1"/>
  <c r="AU120" i="2" l="1"/>
  <c r="AU122" i="2" s="1"/>
  <c r="AS303" i="2"/>
  <c r="AO349" i="2"/>
  <c r="AO499" i="2" s="1"/>
  <c r="AL506" i="2"/>
  <c r="AV240" i="2"/>
  <c r="AV238" i="2"/>
  <c r="AV258" i="2" s="1"/>
  <c r="AG549" i="2"/>
  <c r="AG571" i="2"/>
  <c r="AN581" i="2"/>
  <c r="AO577" i="2" s="1"/>
  <c r="M45" i="107"/>
  <c r="AU126" i="2"/>
  <c r="AU124" i="2"/>
  <c r="AR519" i="2"/>
  <c r="AI549" i="2"/>
  <c r="AI571" i="2"/>
  <c r="AT437" i="2"/>
  <c r="AO321" i="2"/>
  <c r="AO353" i="2"/>
  <c r="AO324" i="2"/>
  <c r="AO490" i="2"/>
  <c r="AO322" i="2"/>
  <c r="AT267" i="2"/>
  <c r="AT302" i="2" s="1"/>
  <c r="AT281" i="2"/>
  <c r="AU187" i="2"/>
  <c r="AU284" i="2"/>
  <c r="AU285" i="2" s="1"/>
  <c r="AU272" i="2"/>
  <c r="AU251" i="2"/>
  <c r="AO523" i="2"/>
  <c r="AO502" i="2"/>
  <c r="AP313" i="2"/>
  <c r="AP317" i="2" s="1"/>
  <c r="AP320" i="2" s="1"/>
  <c r="AP308" i="2"/>
  <c r="AS469" i="2"/>
  <c r="AS483" i="2" s="1"/>
  <c r="AP519" i="2"/>
  <c r="AS190" i="2"/>
  <c r="AS486" i="2" s="1"/>
  <c r="AT397" i="2"/>
  <c r="AT398" i="2" s="1"/>
  <c r="AE566" i="2"/>
  <c r="AE569" i="2" s="1"/>
  <c r="AF568" i="2" s="1"/>
  <c r="AF569" i="2" s="1"/>
  <c r="AE573" i="2"/>
  <c r="J130" i="107" s="1"/>
  <c r="J109" i="107"/>
  <c r="AS129" i="2"/>
  <c r="AS130" i="2" s="1"/>
  <c r="AS131" i="2"/>
  <c r="AS155" i="2" s="1"/>
  <c r="AS134" i="2"/>
  <c r="AK533" i="2"/>
  <c r="AJ549" i="2"/>
  <c r="AJ571" i="2"/>
  <c r="AU273" i="2"/>
  <c r="AU260" i="2"/>
  <c r="AU262" i="2" s="1"/>
  <c r="AU254" i="2"/>
  <c r="AT262" i="2"/>
  <c r="AQ306" i="2"/>
  <c r="AQ315" i="2" s="1"/>
  <c r="AQ305" i="2"/>
  <c r="AQ314" i="2" s="1"/>
  <c r="AQ307" i="2"/>
  <c r="AQ316" i="2" s="1"/>
  <c r="AQ304" i="2"/>
  <c r="AV137" i="2"/>
  <c r="AU265" i="2"/>
  <c r="AQ520" i="2"/>
  <c r="AN523" i="2"/>
  <c r="AN502" i="2"/>
  <c r="AR311" i="2"/>
  <c r="AR312" i="2"/>
  <c r="AR291" i="2"/>
  <c r="AR290" i="2" s="1"/>
  <c r="AR318" i="2"/>
  <c r="AT188" i="2"/>
  <c r="AT189" i="2"/>
  <c r="AT255" i="2"/>
  <c r="AT298" i="2" s="1"/>
  <c r="AU92" i="2"/>
  <c r="AU93" i="2" s="1"/>
  <c r="AT280" i="2"/>
  <c r="AT282" i="2" s="1"/>
  <c r="AT441" i="2"/>
  <c r="AP473" i="2"/>
  <c r="AP480" i="2"/>
  <c r="AP481" i="2" s="1"/>
  <c r="AR509" i="2"/>
  <c r="AV119" i="2"/>
  <c r="AV80" i="2"/>
  <c r="AV118" i="2"/>
  <c r="AV154" i="2"/>
  <c r="AV147" i="2"/>
  <c r="AV149" i="2"/>
  <c r="AV233" i="2"/>
  <c r="AV245" i="2" s="1"/>
  <c r="AV246" i="2" s="1"/>
  <c r="AV148" i="2"/>
  <c r="AV150" i="2"/>
  <c r="AV232" i="2"/>
  <c r="AT129" i="2"/>
  <c r="AT130" i="2" s="1"/>
  <c r="AT131" i="2"/>
  <c r="AT155" i="2" s="1"/>
  <c r="AT134" i="2"/>
  <c r="AT522" i="2"/>
  <c r="AP344" i="2"/>
  <c r="AP348" i="2"/>
  <c r="AP345" i="2"/>
  <c r="AP346" i="2"/>
  <c r="AP342" i="2"/>
  <c r="AP347" i="2"/>
  <c r="AP343" i="2"/>
  <c r="AP341" i="2"/>
  <c r="AU151" i="2"/>
  <c r="AR521" i="2"/>
  <c r="AR517" i="2"/>
  <c r="AN546" i="2"/>
  <c r="L106" i="107" s="1"/>
  <c r="L80" i="107"/>
  <c r="L81" i="107" s="1"/>
  <c r="AV438" i="2"/>
  <c r="K12" i="107"/>
  <c r="L12" i="107"/>
  <c r="M12" i="107"/>
  <c r="N12" i="107"/>
  <c r="H12" i="107"/>
  <c r="R9" i="65" s="1"/>
  <c r="R11" i="65" s="1"/>
  <c r="G4" i="65" s="1"/>
  <c r="I12" i="107"/>
  <c r="S9" i="65" s="1"/>
  <c r="S11" i="65" s="1"/>
  <c r="H4" i="65" s="1"/>
  <c r="AU90" i="2"/>
  <c r="AU95" i="2" s="1"/>
  <c r="AU96" i="2" s="1"/>
  <c r="AU279" i="2"/>
  <c r="AU433" i="2"/>
  <c r="AH545" i="2"/>
  <c r="AH539" i="2"/>
  <c r="K99" i="107"/>
  <c r="AS335" i="2"/>
  <c r="AS299" i="2"/>
  <c r="AS326" i="2"/>
  <c r="AM505" i="2"/>
  <c r="AM525" i="2" s="1"/>
  <c r="AM527" i="2" s="1"/>
  <c r="AN491" i="2"/>
  <c r="AN504" i="2" s="1"/>
  <c r="AN510" i="2"/>
  <c r="AQ352" i="2"/>
  <c r="AQ338" i="2"/>
  <c r="AQ472" i="2"/>
  <c r="AS443" i="2"/>
  <c r="AS445" i="2"/>
  <c r="AR337" i="2"/>
  <c r="AR330" i="2"/>
  <c r="AR331" i="2" s="1"/>
  <c r="AL527" i="2"/>
  <c r="AL535" i="2"/>
  <c r="AV120" i="2" l="1"/>
  <c r="AV122" i="2" s="1"/>
  <c r="AV124" i="2" s="1"/>
  <c r="AT190" i="2"/>
  <c r="AT486" i="2" s="1"/>
  <c r="AT487" i="2" s="1"/>
  <c r="AP349" i="2"/>
  <c r="AP499" i="2" s="1"/>
  <c r="AP523" i="2" s="1"/>
  <c r="AU281" i="2"/>
  <c r="AM530" i="2"/>
  <c r="AM533" i="2" s="1"/>
  <c r="AM541" i="2"/>
  <c r="AT519" i="2"/>
  <c r="AS487" i="2"/>
  <c r="AS509" i="2"/>
  <c r="AR338" i="2"/>
  <c r="AR472" i="2"/>
  <c r="M37" i="107" s="1"/>
  <c r="AR352" i="2"/>
  <c r="AN505" i="2"/>
  <c r="AN525" i="2" s="1"/>
  <c r="AN535" i="2" s="1"/>
  <c r="AH547" i="2"/>
  <c r="K105" i="107"/>
  <c r="AU498" i="2"/>
  <c r="AU154" i="2"/>
  <c r="AV90" i="2"/>
  <c r="AV95" i="2"/>
  <c r="AV96" i="2" s="1"/>
  <c r="AV279" i="2"/>
  <c r="AV433" i="2"/>
  <c r="AU189" i="2"/>
  <c r="AU188" i="2"/>
  <c r="AU255" i="2"/>
  <c r="AU298" i="2" s="1"/>
  <c r="AS517" i="2"/>
  <c r="AS521" i="2"/>
  <c r="AU267" i="2"/>
  <c r="AU269" i="2" s="1"/>
  <c r="AU468" i="2" s="1"/>
  <c r="AO491" i="2"/>
  <c r="AO504" i="2" s="1"/>
  <c r="AO510" i="2"/>
  <c r="AO580" i="2"/>
  <c r="AO590" i="2" s="1"/>
  <c r="AO528" i="2" s="1"/>
  <c r="AM506" i="2"/>
  <c r="AS199" i="2"/>
  <c r="AS194" i="2"/>
  <c r="AS195" i="2" s="1"/>
  <c r="AS446" i="2"/>
  <c r="I15" i="107"/>
  <c r="F15" i="107"/>
  <c r="L15" i="107"/>
  <c r="N15" i="107"/>
  <c r="G15" i="107"/>
  <c r="H15" i="107"/>
  <c r="J15" i="107"/>
  <c r="K15" i="107"/>
  <c r="M15" i="107"/>
  <c r="AV187" i="2"/>
  <c r="AV284" i="2"/>
  <c r="AV285" i="2" s="1"/>
  <c r="AV272" i="2"/>
  <c r="AV251" i="2"/>
  <c r="AT303" i="2"/>
  <c r="AU397" i="2"/>
  <c r="AU398" i="2" s="1"/>
  <c r="AG566" i="2"/>
  <c r="AG573" i="2"/>
  <c r="AV126" i="2"/>
  <c r="AT199" i="2"/>
  <c r="AT194" i="2"/>
  <c r="AT195" i="2" s="1"/>
  <c r="AQ308" i="2"/>
  <c r="AQ313" i="2"/>
  <c r="AQ317" i="2" s="1"/>
  <c r="AQ320" i="2" s="1"/>
  <c r="AI566" i="2"/>
  <c r="AI573" i="2"/>
  <c r="AQ473" i="2"/>
  <c r="AQ480" i="2"/>
  <c r="AQ481" i="2" s="1"/>
  <c r="AS311" i="2"/>
  <c r="AS312" i="2"/>
  <c r="AS291" i="2"/>
  <c r="AS290" i="2" s="1"/>
  <c r="AS318" i="2"/>
  <c r="AV92" i="2"/>
  <c r="AV93" i="2" s="1"/>
  <c r="AU280" i="2"/>
  <c r="AU282" i="2" s="1"/>
  <c r="AU441" i="2"/>
  <c r="M79" i="107"/>
  <c r="AP520" i="2"/>
  <c r="AP324" i="2"/>
  <c r="AP353" i="2"/>
  <c r="AP321" i="2"/>
  <c r="AP490" i="2"/>
  <c r="AP322" i="2"/>
  <c r="J125" i="107"/>
  <c r="AG568" i="2"/>
  <c r="AT335" i="2"/>
  <c r="AT299" i="2"/>
  <c r="AT326" i="2"/>
  <c r="AS337" i="2"/>
  <c r="AS330" i="2"/>
  <c r="AS331" i="2" s="1"/>
  <c r="AV151" i="2"/>
  <c r="AV498" i="2" s="1"/>
  <c r="AN527" i="2"/>
  <c r="L89" i="107" s="1"/>
  <c r="AJ566" i="2"/>
  <c r="AJ573" i="2"/>
  <c r="AT269" i="2"/>
  <c r="AT468" i="2" s="1"/>
  <c r="AV265" i="2"/>
  <c r="AM535" i="2"/>
  <c r="L97" i="107" s="1"/>
  <c r="L87" i="107"/>
  <c r="AU437" i="2"/>
  <c r="AL530" i="2"/>
  <c r="AL541" i="2"/>
  <c r="AQ346" i="2"/>
  <c r="AQ342" i="2"/>
  <c r="AQ347" i="2"/>
  <c r="AQ343" i="2"/>
  <c r="AQ341" i="2"/>
  <c r="AQ344" i="2"/>
  <c r="AQ348" i="2"/>
  <c r="AQ345" i="2"/>
  <c r="AR518" i="2"/>
  <c r="AR520" i="2" s="1"/>
  <c r="M76" i="107"/>
  <c r="AT445" i="2"/>
  <c r="AT443" i="2"/>
  <c r="AT446" i="2" s="1"/>
  <c r="AR306" i="2"/>
  <c r="AR315" i="2" s="1"/>
  <c r="AR305" i="2"/>
  <c r="AR314" i="2" s="1"/>
  <c r="AR304" i="2"/>
  <c r="AR307" i="2"/>
  <c r="AR316" i="2" s="1"/>
  <c r="AK537" i="2"/>
  <c r="AT449" i="2"/>
  <c r="AT451" i="2" s="1"/>
  <c r="AU131" i="2"/>
  <c r="AU134" i="2"/>
  <c r="AU129" i="2"/>
  <c r="AU130" i="2" s="1"/>
  <c r="AV273" i="2"/>
  <c r="AV254" i="2"/>
  <c r="AV260" i="2"/>
  <c r="AV262" i="2" s="1"/>
  <c r="AU155" i="2" l="1"/>
  <c r="AP502" i="2"/>
  <c r="AU302" i="2"/>
  <c r="AU303" i="2"/>
  <c r="AV281" i="2"/>
  <c r="AN506" i="2"/>
  <c r="AU469" i="2"/>
  <c r="AU483" i="2" s="1"/>
  <c r="AS338" i="2"/>
  <c r="AS352" i="2"/>
  <c r="AS472" i="2"/>
  <c r="AS519" i="2"/>
  <c r="AK545" i="2"/>
  <c r="AK539" i="2"/>
  <c r="AO546" i="2"/>
  <c r="AV522" i="2"/>
  <c r="M55" i="107"/>
  <c r="N55" i="107"/>
  <c r="H55" i="107"/>
  <c r="I55" i="107"/>
  <c r="J55" i="107"/>
  <c r="K55" i="107"/>
  <c r="L55" i="107"/>
  <c r="K124" i="107"/>
  <c r="AG569" i="2"/>
  <c r="AH568" i="2" s="1"/>
  <c r="AH549" i="2"/>
  <c r="AH571" i="2"/>
  <c r="K127" i="107" s="1"/>
  <c r="K107" i="107"/>
  <c r="AV255" i="2"/>
  <c r="AV298" i="2" s="1"/>
  <c r="AV188" i="2"/>
  <c r="AV189" i="2"/>
  <c r="AN530" i="2"/>
  <c r="AN533" i="2" s="1"/>
  <c r="AN537" i="2" s="1"/>
  <c r="AN541" i="2"/>
  <c r="L101" i="107" s="1"/>
  <c r="AS307" i="2"/>
  <c r="AS316" i="2" s="1"/>
  <c r="AS306" i="2"/>
  <c r="AS315" i="2" s="1"/>
  <c r="AS304" i="2"/>
  <c r="AS305" i="2"/>
  <c r="AS314" i="2" s="1"/>
  <c r="AV131" i="2"/>
  <c r="AV155" i="2" s="1"/>
  <c r="AV134" i="2"/>
  <c r="AV129" i="2"/>
  <c r="AV130" i="2" s="1"/>
  <c r="AO505" i="2"/>
  <c r="AO525" i="2" s="1"/>
  <c r="AV437" i="2"/>
  <c r="K9" i="107"/>
  <c r="G9" i="107"/>
  <c r="H9" i="107"/>
  <c r="I9" i="107"/>
  <c r="J9" i="107"/>
  <c r="M9" i="107"/>
  <c r="N9" i="107"/>
  <c r="AR308" i="2"/>
  <c r="AR313" i="2"/>
  <c r="AR317" i="2" s="1"/>
  <c r="AR320" i="2" s="1"/>
  <c r="AT509" i="2"/>
  <c r="AT469" i="2"/>
  <c r="AT483" i="2" s="1"/>
  <c r="AT318" i="2"/>
  <c r="AT311" i="2"/>
  <c r="AT312" i="2"/>
  <c r="AT291" i="2"/>
  <c r="AT290" i="2" s="1"/>
  <c r="AP491" i="2"/>
  <c r="AP504" i="2" s="1"/>
  <c r="AP510" i="2"/>
  <c r="AV397" i="2"/>
  <c r="AV398" i="2" s="1"/>
  <c r="AV280" i="2"/>
  <c r="AV282" i="2" s="1"/>
  <c r="AV441" i="2"/>
  <c r="AV449" i="2" s="1"/>
  <c r="AV451" i="2" s="1"/>
  <c r="AR473" i="2"/>
  <c r="AR480" i="2"/>
  <c r="AR481" i="2" s="1"/>
  <c r="AU445" i="2"/>
  <c r="AU443" i="2"/>
  <c r="AU446" i="2" s="1"/>
  <c r="AR341" i="2"/>
  <c r="AR343" i="2"/>
  <c r="AR347" i="2"/>
  <c r="AR344" i="2"/>
  <c r="AR348" i="2"/>
  <c r="AR345" i="2"/>
  <c r="AR346" i="2"/>
  <c r="AR342" i="2"/>
  <c r="AL533" i="2"/>
  <c r="AT337" i="2"/>
  <c r="AT330" i="2"/>
  <c r="AT331" i="2" s="1"/>
  <c r="AU190" i="2"/>
  <c r="AS518" i="2"/>
  <c r="AQ321" i="2"/>
  <c r="AQ324" i="2"/>
  <c r="AQ353" i="2"/>
  <c r="AQ490" i="2"/>
  <c r="AQ322" i="2"/>
  <c r="AV267" i="2"/>
  <c r="AV269" i="2" s="1"/>
  <c r="AV468" i="2" s="1"/>
  <c r="AV302" i="2"/>
  <c r="AQ349" i="2"/>
  <c r="AQ499" i="2" s="1"/>
  <c r="AU449" i="2"/>
  <c r="AU451" i="2" s="1"/>
  <c r="AO581" i="2"/>
  <c r="AP577" i="2" s="1"/>
  <c r="AU335" i="2"/>
  <c r="AU299" i="2"/>
  <c r="AU326" i="2"/>
  <c r="AU522" i="2"/>
  <c r="AM537" i="2"/>
  <c r="L92" i="107" l="1"/>
  <c r="AV303" i="2"/>
  <c r="AO506" i="2"/>
  <c r="AV190" i="2"/>
  <c r="AV199" i="2" s="1"/>
  <c r="G26" i="107"/>
  <c r="Q17" i="65"/>
  <c r="F5" i="65" s="1"/>
  <c r="AN539" i="2"/>
  <c r="AN545" i="2"/>
  <c r="AN547" i="2" s="1"/>
  <c r="AH566" i="2"/>
  <c r="AH569" i="2" s="1"/>
  <c r="AI568" i="2" s="1"/>
  <c r="AI569" i="2" s="1"/>
  <c r="AJ568" i="2" s="1"/>
  <c r="AJ569" i="2" s="1"/>
  <c r="AH573" i="2"/>
  <c r="K130" i="107" s="1"/>
  <c r="K109" i="107"/>
  <c r="AM545" i="2"/>
  <c r="AM547" i="2" s="1"/>
  <c r="AM539" i="2"/>
  <c r="AS341" i="2"/>
  <c r="AS345" i="2"/>
  <c r="AS346" i="2"/>
  <c r="AS342" i="2"/>
  <c r="AS348" i="2"/>
  <c r="AS343" i="2"/>
  <c r="AS344" i="2"/>
  <c r="AS347" i="2"/>
  <c r="AR324" i="2"/>
  <c r="AR321" i="2"/>
  <c r="AR353" i="2"/>
  <c r="AR490" i="2"/>
  <c r="AR322" i="2"/>
  <c r="AU199" i="2"/>
  <c r="AU194" i="2"/>
  <c r="AU195" i="2" s="1"/>
  <c r="AU486" i="2"/>
  <c r="AK547" i="2"/>
  <c r="AQ523" i="2"/>
  <c r="AQ502" i="2"/>
  <c r="AS520" i="2"/>
  <c r="AV194" i="2"/>
  <c r="AV195" i="2" s="1"/>
  <c r="AP580" i="2"/>
  <c r="AP590" i="2" s="1"/>
  <c r="AP528" i="2" s="1"/>
  <c r="N14" i="107"/>
  <c r="G14" i="107"/>
  <c r="H14" i="107"/>
  <c r="I14" i="107"/>
  <c r="J14" i="107"/>
  <c r="K14" i="107"/>
  <c r="L14" i="107"/>
  <c r="M14" i="107"/>
  <c r="AU318" i="2"/>
  <c r="AU311" i="2"/>
  <c r="AU312" i="2"/>
  <c r="AU291" i="2"/>
  <c r="AU290" i="2" s="1"/>
  <c r="AQ491" i="2"/>
  <c r="AQ504" i="2" s="1"/>
  <c r="AQ510" i="2"/>
  <c r="AP505" i="2"/>
  <c r="AP525" i="2" s="1"/>
  <c r="AV335" i="2"/>
  <c r="AV326" i="2"/>
  <c r="AV299" i="2"/>
  <c r="AU337" i="2"/>
  <c r="AU330" i="2"/>
  <c r="AU331" i="2" s="1"/>
  <c r="AT338" i="2"/>
  <c r="AT352" i="2"/>
  <c r="AT472" i="2"/>
  <c r="AV445" i="2"/>
  <c r="AV443" i="2"/>
  <c r="K18" i="107"/>
  <c r="K26" i="107" s="1"/>
  <c r="K28" i="107" s="1"/>
  <c r="K29" i="107" s="1"/>
  <c r="L18" i="107"/>
  <c r="L26" i="107" s="1"/>
  <c r="L28" i="107" s="1"/>
  <c r="L29" i="107" s="1"/>
  <c r="N18" i="107"/>
  <c r="N26" i="107" s="1"/>
  <c r="N28" i="107" s="1"/>
  <c r="N29" i="107" s="1"/>
  <c r="H18" i="107"/>
  <c r="H26" i="107" s="1"/>
  <c r="I18" i="107"/>
  <c r="I26" i="107" s="1"/>
  <c r="J18" i="107"/>
  <c r="J26" i="107" s="1"/>
  <c r="J28" i="107" s="1"/>
  <c r="J29" i="107" s="1"/>
  <c r="M18" i="107"/>
  <c r="M26" i="107" s="1"/>
  <c r="M28" i="107" s="1"/>
  <c r="M29" i="107" s="1"/>
  <c r="AO535" i="2"/>
  <c r="AO527" i="2"/>
  <c r="AS308" i="2"/>
  <c r="AS313" i="2"/>
  <c r="AS317" i="2" s="1"/>
  <c r="AS320" i="2" s="1"/>
  <c r="J84" i="107"/>
  <c r="G84" i="107"/>
  <c r="H84" i="107"/>
  <c r="I84" i="107"/>
  <c r="K84" i="107"/>
  <c r="L84" i="107"/>
  <c r="M84" i="107"/>
  <c r="N84" i="107"/>
  <c r="S17" i="65"/>
  <c r="H5" i="65" s="1"/>
  <c r="AV486" i="2"/>
  <c r="AV509" i="2" s="1"/>
  <c r="AV469" i="2"/>
  <c r="AV483" i="2" s="1"/>
  <c r="G34" i="107"/>
  <c r="H34" i="107"/>
  <c r="I34" i="107"/>
  <c r="J34" i="107"/>
  <c r="K34" i="107"/>
  <c r="L34" i="107"/>
  <c r="L66" i="107" s="1"/>
  <c r="M34" i="107"/>
  <c r="M66" i="107" s="1"/>
  <c r="N34" i="107"/>
  <c r="AT517" i="2"/>
  <c r="AT521" i="2"/>
  <c r="AU521" i="2" s="1"/>
  <c r="AL537" i="2"/>
  <c r="L95" i="107"/>
  <c r="AR349" i="2"/>
  <c r="AR499" i="2" s="1"/>
  <c r="AT307" i="2"/>
  <c r="AT316" i="2" s="1"/>
  <c r="AT306" i="2"/>
  <c r="AT315" i="2" s="1"/>
  <c r="AT305" i="2"/>
  <c r="AT314" i="2" s="1"/>
  <c r="AT304" i="2"/>
  <c r="R17" i="65"/>
  <c r="G5" i="65" s="1"/>
  <c r="AS473" i="2"/>
  <c r="AS480" i="2"/>
  <c r="AS481" i="2" s="1"/>
  <c r="AU517" i="2"/>
  <c r="AU518" i="2" s="1"/>
  <c r="I28" i="107" l="1"/>
  <c r="S14" i="65"/>
  <c r="S38" i="65"/>
  <c r="I22" i="107"/>
  <c r="M22" i="107"/>
  <c r="F22" i="107"/>
  <c r="G22" i="107"/>
  <c r="H22" i="107"/>
  <c r="J22" i="107"/>
  <c r="K22" i="107"/>
  <c r="L22" i="107"/>
  <c r="N22" i="107"/>
  <c r="K125" i="107"/>
  <c r="AK568" i="2"/>
  <c r="AQ505" i="2"/>
  <c r="AQ525" i="2" s="1"/>
  <c r="AQ535" i="2" s="1"/>
  <c r="AR491" i="2"/>
  <c r="AR504" i="2" s="1"/>
  <c r="AR510" i="2"/>
  <c r="R38" i="65"/>
  <c r="AT473" i="2"/>
  <c r="AT480" i="2"/>
  <c r="AT481" i="2" s="1"/>
  <c r="AV318" i="2"/>
  <c r="AV291" i="2"/>
  <c r="AV290" i="2" s="1"/>
  <c r="AV312" i="2"/>
  <c r="AV311" i="2"/>
  <c r="AP581" i="2"/>
  <c r="AQ577" i="2" s="1"/>
  <c r="AR523" i="2"/>
  <c r="AR502" i="2"/>
  <c r="AP546" i="2"/>
  <c r="AK549" i="2"/>
  <c r="AK571" i="2"/>
  <c r="AN571" i="2"/>
  <c r="AN549" i="2"/>
  <c r="AT308" i="2"/>
  <c r="AT313" i="2"/>
  <c r="AT317" i="2" s="1"/>
  <c r="AT320" i="2" s="1"/>
  <c r="AT518" i="2"/>
  <c r="AS324" i="2"/>
  <c r="AS321" i="2"/>
  <c r="AS353" i="2"/>
  <c r="AS490" i="2"/>
  <c r="AS322" i="2"/>
  <c r="AV337" i="2"/>
  <c r="AV330" i="2"/>
  <c r="AV331" i="2" s="1"/>
  <c r="AV446" i="2"/>
  <c r="H20" i="107"/>
  <c r="I20" i="107"/>
  <c r="J20" i="107"/>
  <c r="L20" i="107"/>
  <c r="M20" i="107"/>
  <c r="N20" i="107"/>
  <c r="H28" i="107"/>
  <c r="R14" i="65"/>
  <c r="AT342" i="2"/>
  <c r="AT346" i="2"/>
  <c r="AT343" i="2"/>
  <c r="AT347" i="2"/>
  <c r="AT344" i="2"/>
  <c r="AT341" i="2"/>
  <c r="AT345" i="2"/>
  <c r="AT348" i="2"/>
  <c r="P38" i="65"/>
  <c r="AP506" i="2"/>
  <c r="AU304" i="2"/>
  <c r="AU307" i="2"/>
  <c r="AU316" i="2" s="1"/>
  <c r="AU305" i="2"/>
  <c r="AU314" i="2" s="1"/>
  <c r="AU306" i="2"/>
  <c r="AU315" i="2" s="1"/>
  <c r="AU487" i="2"/>
  <c r="AU509" i="2"/>
  <c r="AS349" i="2"/>
  <c r="AS499" i="2" s="1"/>
  <c r="AV487" i="2"/>
  <c r="I45" i="107"/>
  <c r="I66" i="107" s="1"/>
  <c r="K45" i="107"/>
  <c r="K66" i="107" s="1"/>
  <c r="G45" i="107"/>
  <c r="G66" i="107" s="1"/>
  <c r="H45" i="107"/>
  <c r="H66" i="107" s="1"/>
  <c r="J45" i="107"/>
  <c r="J66" i="107" s="1"/>
  <c r="N45" i="107"/>
  <c r="N66" i="107" s="1"/>
  <c r="Q38" i="65"/>
  <c r="AV517" i="2"/>
  <c r="AV518" i="2" s="1"/>
  <c r="AV521" i="2"/>
  <c r="AO530" i="2"/>
  <c r="AO541" i="2"/>
  <c r="AU338" i="2"/>
  <c r="AU352" i="2"/>
  <c r="AU472" i="2"/>
  <c r="AP535" i="2"/>
  <c r="AP527" i="2"/>
  <c r="AL545" i="2"/>
  <c r="AL539" i="2"/>
  <c r="L99" i="107"/>
  <c r="AM571" i="2"/>
  <c r="AM549" i="2"/>
  <c r="G28" i="107"/>
  <c r="Q14" i="65"/>
  <c r="N76" i="107" l="1"/>
  <c r="AQ527" i="2"/>
  <c r="AV338" i="2"/>
  <c r="AV352" i="2"/>
  <c r="AV472" i="2"/>
  <c r="AT321" i="2"/>
  <c r="AT353" i="2"/>
  <c r="AT324" i="2"/>
  <c r="AT490" i="2"/>
  <c r="AT322" i="2"/>
  <c r="AV304" i="2"/>
  <c r="AV307" i="2"/>
  <c r="AV316" i="2" s="1"/>
  <c r="AV306" i="2"/>
  <c r="AV315" i="2" s="1"/>
  <c r="AV305" i="2"/>
  <c r="AV314" i="2" s="1"/>
  <c r="AS491" i="2"/>
  <c r="AS504" i="2" s="1"/>
  <c r="AS510" i="2"/>
  <c r="AN566" i="2"/>
  <c r="AN573" i="2"/>
  <c r="AT520" i="2"/>
  <c r="N77" i="107"/>
  <c r="AO533" i="2"/>
  <c r="AL547" i="2"/>
  <c r="L105" i="107"/>
  <c r="AP530" i="2"/>
  <c r="AP533" i="2" s="1"/>
  <c r="AP537" i="2" s="1"/>
  <c r="AP541" i="2"/>
  <c r="I83" i="107"/>
  <c r="G83" i="107"/>
  <c r="H83" i="107"/>
  <c r="J83" i="107"/>
  <c r="K83" i="107"/>
  <c r="L83" i="107"/>
  <c r="M83" i="107"/>
  <c r="N83" i="107"/>
  <c r="AQ541" i="2"/>
  <c r="AR505" i="2"/>
  <c r="AR525" i="2" s="1"/>
  <c r="AR535" i="2" s="1"/>
  <c r="M97" i="107" s="1"/>
  <c r="AR506" i="2"/>
  <c r="AU344" i="2"/>
  <c r="AU345" i="2"/>
  <c r="AU347" i="2"/>
  <c r="AU342" i="2"/>
  <c r="AU343" i="2"/>
  <c r="AU341" i="2"/>
  <c r="AU348" i="2"/>
  <c r="AU346" i="2"/>
  <c r="L124" i="107"/>
  <c r="G29" i="107"/>
  <c r="Q5" i="65" s="1"/>
  <c r="Q6" i="65" s="1"/>
  <c r="Q4" i="65"/>
  <c r="I77" i="107"/>
  <c r="M77" i="107"/>
  <c r="J77" i="107"/>
  <c r="K77" i="107"/>
  <c r="AU308" i="2"/>
  <c r="AU313" i="2"/>
  <c r="AU317" i="2" s="1"/>
  <c r="AU320" i="2" s="1"/>
  <c r="AQ580" i="2"/>
  <c r="AQ590" i="2" s="1"/>
  <c r="AQ528" i="2" s="1"/>
  <c r="AQ581" i="2"/>
  <c r="AR577" i="2" s="1"/>
  <c r="AQ506" i="2"/>
  <c r="AS523" i="2"/>
  <c r="AS502" i="2"/>
  <c r="AU519" i="2"/>
  <c r="H29" i="107"/>
  <c r="R5" i="65" s="1"/>
  <c r="R6" i="65" s="1"/>
  <c r="R4" i="65"/>
  <c r="AM573" i="2"/>
  <c r="AM566" i="2"/>
  <c r="AU473" i="2"/>
  <c r="AU480" i="2"/>
  <c r="AU481" i="2" s="1"/>
  <c r="AV519" i="2"/>
  <c r="AV520" i="2" s="1"/>
  <c r="AT349" i="2"/>
  <c r="AT499" i="2" s="1"/>
  <c r="I23" i="107"/>
  <c r="L23" i="107"/>
  <c r="N23" i="107"/>
  <c r="H23" i="107"/>
  <c r="J23" i="107"/>
  <c r="K23" i="107"/>
  <c r="AK566" i="2"/>
  <c r="AK569" i="2" s="1"/>
  <c r="AL568" i="2" s="1"/>
  <c r="AK573" i="2"/>
  <c r="I29" i="107"/>
  <c r="S5" i="65" s="1"/>
  <c r="S6" i="65" s="1"/>
  <c r="S4" i="65"/>
  <c r="AL571" i="2" l="1"/>
  <c r="L127" i="107" s="1"/>
  <c r="AL549" i="2"/>
  <c r="L107" i="107"/>
  <c r="AT491" i="2"/>
  <c r="AT504" i="2" s="1"/>
  <c r="AT510" i="2"/>
  <c r="AQ546" i="2"/>
  <c r="AS505" i="2"/>
  <c r="AS525" i="2" s="1"/>
  <c r="AU349" i="2"/>
  <c r="AU499" i="2" s="1"/>
  <c r="AO537" i="2"/>
  <c r="N79" i="107"/>
  <c r="AU520" i="2"/>
  <c r="AU321" i="2"/>
  <c r="AU324" i="2"/>
  <c r="AU353" i="2"/>
  <c r="AU490" i="2"/>
  <c r="AU322" i="2"/>
  <c r="AQ530" i="2"/>
  <c r="AT523" i="2"/>
  <c r="AT502" i="2"/>
  <c r="AR580" i="2"/>
  <c r="AR590" i="2" s="1"/>
  <c r="AR528" i="2" s="1"/>
  <c r="AR546" i="2" s="1"/>
  <c r="AR581" i="2"/>
  <c r="AS577" i="2" s="1"/>
  <c r="AV473" i="2"/>
  <c r="I37" i="107"/>
  <c r="K37" i="107"/>
  <c r="N37" i="107"/>
  <c r="H37" i="107"/>
  <c r="L37" i="107"/>
  <c r="AV480" i="2"/>
  <c r="AV481" i="2" s="1"/>
  <c r="AP545" i="2"/>
  <c r="AP547" i="2" s="1"/>
  <c r="AP539" i="2"/>
  <c r="AR527" i="2"/>
  <c r="AV308" i="2"/>
  <c r="AV313" i="2"/>
  <c r="AV317" i="2" s="1"/>
  <c r="AV320" i="2" s="1"/>
  <c r="AV341" i="2"/>
  <c r="AV345" i="2"/>
  <c r="AV342" i="2"/>
  <c r="AV346" i="2"/>
  <c r="AV343" i="2"/>
  <c r="AV348" i="2"/>
  <c r="AV344" i="2"/>
  <c r="AV347" i="2"/>
  <c r="AS527" i="2"/>
  <c r="AS580" i="2" l="1"/>
  <c r="AS590" i="2" s="1"/>
  <c r="AS528" i="2" s="1"/>
  <c r="AS581" i="2"/>
  <c r="AT577" i="2" s="1"/>
  <c r="AL566" i="2"/>
  <c r="AL569" i="2" s="1"/>
  <c r="AM568" i="2" s="1"/>
  <c r="AM569" i="2" s="1"/>
  <c r="AN568" i="2" s="1"/>
  <c r="AN569" i="2" s="1"/>
  <c r="AL573" i="2"/>
  <c r="L130" i="107" s="1"/>
  <c r="L109" i="107"/>
  <c r="AP549" i="2"/>
  <c r="AP571" i="2"/>
  <c r="AS506" i="2"/>
  <c r="R39" i="65"/>
  <c r="AS535" i="2"/>
  <c r="M80" i="107"/>
  <c r="M81" i="107" s="1"/>
  <c r="M106" i="107"/>
  <c r="AU523" i="2"/>
  <c r="AU502" i="2"/>
  <c r="S39" i="65"/>
  <c r="AU491" i="2"/>
  <c r="AU504" i="2" s="1"/>
  <c r="AU510" i="2"/>
  <c r="AS530" i="2"/>
  <c r="AS541" i="2"/>
  <c r="AV349" i="2"/>
  <c r="AV499" i="2" s="1"/>
  <c r="AV353" i="2"/>
  <c r="AV321" i="2"/>
  <c r="AV324" i="2"/>
  <c r="AV490" i="2"/>
  <c r="AV322" i="2"/>
  <c r="AR541" i="2"/>
  <c r="M101" i="107" s="1"/>
  <c r="AR530" i="2"/>
  <c r="AR533" i="2" s="1"/>
  <c r="AR537" i="2" s="1"/>
  <c r="M89" i="107"/>
  <c r="AQ533" i="2"/>
  <c r="AO545" i="2"/>
  <c r="AO539" i="2"/>
  <c r="AT505" i="2"/>
  <c r="AT525" i="2" s="1"/>
  <c r="AT535" i="2" s="1"/>
  <c r="AV523" i="2" l="1"/>
  <c r="K58" i="107"/>
  <c r="L58" i="107"/>
  <c r="N58" i="107"/>
  <c r="H58" i="107"/>
  <c r="I58" i="107"/>
  <c r="I69" i="107" s="1"/>
  <c r="J58" i="107"/>
  <c r="M58" i="107"/>
  <c r="AV502" i="2"/>
  <c r="AV491" i="2"/>
  <c r="AV504" i="2" s="1"/>
  <c r="M48" i="107"/>
  <c r="N48" i="107"/>
  <c r="H48" i="107"/>
  <c r="H69" i="107" s="1"/>
  <c r="J48" i="107"/>
  <c r="K48" i="107"/>
  <c r="K69" i="107" s="1"/>
  <c r="L48" i="107"/>
  <c r="L69" i="107" s="1"/>
  <c r="AV510" i="2"/>
  <c r="AT580" i="2"/>
  <c r="AT590" i="2" s="1"/>
  <c r="AT528" i="2" s="1"/>
  <c r="AT546" i="2" s="1"/>
  <c r="AT581" i="2"/>
  <c r="AU577" i="2" s="1"/>
  <c r="AT506" i="2"/>
  <c r="L125" i="107"/>
  <c r="AO568" i="2"/>
  <c r="AU505" i="2"/>
  <c r="AU525" i="2" s="1"/>
  <c r="AU535" i="2" s="1"/>
  <c r="AS546" i="2"/>
  <c r="AQ537" i="2"/>
  <c r="M95" i="107"/>
  <c r="AP566" i="2"/>
  <c r="AP573" i="2"/>
  <c r="AR539" i="2"/>
  <c r="AR545" i="2"/>
  <c r="AR547" i="2" s="1"/>
  <c r="AS533" i="2"/>
  <c r="AO547" i="2"/>
  <c r="M92" i="107"/>
  <c r="AT527" i="2"/>
  <c r="N69" i="107" l="1"/>
  <c r="M69" i="107"/>
  <c r="AU580" i="2"/>
  <c r="AU590" i="2" s="1"/>
  <c r="AU528" i="2" s="1"/>
  <c r="AU581" i="2"/>
  <c r="AV577" i="2" s="1"/>
  <c r="AV505" i="2"/>
  <c r="AV525" i="2" s="1"/>
  <c r="AO549" i="2"/>
  <c r="AO571" i="2"/>
  <c r="AQ539" i="2"/>
  <c r="AQ545" i="2"/>
  <c r="M99" i="107"/>
  <c r="AS537" i="2"/>
  <c r="AR549" i="2"/>
  <c r="AR571" i="2"/>
  <c r="AU506" i="2"/>
  <c r="J85" i="107"/>
  <c r="N85" i="107"/>
  <c r="H85" i="107"/>
  <c r="I85" i="107"/>
  <c r="K85" i="107"/>
  <c r="L85" i="107"/>
  <c r="M85" i="107"/>
  <c r="AT530" i="2"/>
  <c r="AT541" i="2"/>
  <c r="M124" i="107"/>
  <c r="J69" i="107"/>
  <c r="AU527" i="2"/>
  <c r="AV506" i="2" l="1"/>
  <c r="AO566" i="2"/>
  <c r="AO569" i="2" s="1"/>
  <c r="AP568" i="2" s="1"/>
  <c r="AP569" i="2" s="1"/>
  <c r="AQ568" i="2" s="1"/>
  <c r="AO573" i="2"/>
  <c r="AR566" i="2"/>
  <c r="AR573" i="2"/>
  <c r="AS545" i="2"/>
  <c r="AS539" i="2"/>
  <c r="M87" i="107"/>
  <c r="G87" i="107"/>
  <c r="H87" i="107"/>
  <c r="I87" i="107"/>
  <c r="J87" i="107"/>
  <c r="K87" i="107"/>
  <c r="AV535" i="2"/>
  <c r="N97" i="107" s="1"/>
  <c r="N87" i="107"/>
  <c r="AU541" i="2"/>
  <c r="AU530" i="2"/>
  <c r="AU533" i="2" s="1"/>
  <c r="AU537" i="2" s="1"/>
  <c r="AQ547" i="2"/>
  <c r="M105" i="107"/>
  <c r="AV580" i="2"/>
  <c r="AV590" i="2" s="1"/>
  <c r="AV528" i="2" s="1"/>
  <c r="AV546" i="2" s="1"/>
  <c r="AU546" i="2"/>
  <c r="AT533" i="2"/>
  <c r="AV527" i="2"/>
  <c r="N106" i="107" l="1"/>
  <c r="AV581" i="2"/>
  <c r="N80" i="107"/>
  <c r="N81" i="107" s="1"/>
  <c r="AV530" i="2"/>
  <c r="AV541" i="2"/>
  <c r="N101" i="107" s="1"/>
  <c r="AT537" i="2"/>
  <c r="AQ549" i="2"/>
  <c r="AQ571" i="2"/>
  <c r="M127" i="107" s="1"/>
  <c r="M107" i="107"/>
  <c r="AU545" i="2"/>
  <c r="AU547" i="2" s="1"/>
  <c r="AU539" i="2"/>
  <c r="AS547" i="2"/>
  <c r="N89" i="107"/>
  <c r="AS549" i="2" l="1"/>
  <c r="AS571" i="2"/>
  <c r="AQ566" i="2"/>
  <c r="AQ569" i="2" s="1"/>
  <c r="AR568" i="2" s="1"/>
  <c r="AR569" i="2" s="1"/>
  <c r="AQ573" i="2"/>
  <c r="M130" i="107" s="1"/>
  <c r="M109" i="107"/>
  <c r="AT545" i="2"/>
  <c r="AT539" i="2"/>
  <c r="AU571" i="2"/>
  <c r="AU549" i="2"/>
  <c r="AV533" i="2"/>
  <c r="N92" i="107"/>
  <c r="AV537" i="2" l="1"/>
  <c r="N95" i="107"/>
  <c r="AT547" i="2"/>
  <c r="AS566" i="2"/>
  <c r="AS573" i="2"/>
  <c r="M125" i="107"/>
  <c r="AS568" i="2"/>
  <c r="AU573" i="2"/>
  <c r="AU566" i="2"/>
  <c r="AT571" i="2" l="1"/>
  <c r="AT549" i="2"/>
  <c r="N124" i="107"/>
  <c r="AS569" i="2"/>
  <c r="AT568" i="2" s="1"/>
  <c r="AV539" i="2"/>
  <c r="AV545" i="2"/>
  <c r="N99" i="107"/>
  <c r="AV547" i="2" l="1"/>
  <c r="N105" i="107"/>
  <c r="AT566" i="2"/>
  <c r="AT569" i="2" s="1"/>
  <c r="AU568" i="2" s="1"/>
  <c r="AU569" i="2" s="1"/>
  <c r="AV568" i="2" s="1"/>
  <c r="AT573" i="2"/>
  <c r="AV571" i="2" l="1"/>
  <c r="N127" i="107" s="1"/>
  <c r="AV549" i="2"/>
  <c r="N107" i="107"/>
  <c r="AV566" i="2" l="1"/>
  <c r="AV569" i="2" s="1"/>
  <c r="N125" i="107" s="1"/>
  <c r="AV573" i="2"/>
  <c r="N130" i="107" s="1"/>
  <c r="N109" i="107"/>
</calcChain>
</file>

<file path=xl/sharedStrings.xml><?xml version="1.0" encoding="utf-8"?>
<sst xmlns="http://schemas.openxmlformats.org/spreadsheetml/2006/main" count="1195" uniqueCount="407">
  <si>
    <t>Variable Operating Cost</t>
  </si>
  <si>
    <t>FY:</t>
  </si>
  <si>
    <t>Transfer</t>
  </si>
  <si>
    <t>Total Operating Expenses</t>
  </si>
  <si>
    <t>Net Income (Loss) from Continued Operations</t>
  </si>
  <si>
    <t>Non-Cash Adjustments</t>
  </si>
  <si>
    <t>Adjusted Net Income (Loss) from Continued Operations</t>
  </si>
  <si>
    <t>Administration</t>
  </si>
  <si>
    <t>Corporate &amp; Administrative</t>
  </si>
  <si>
    <t>Income (Loss) from Operations</t>
  </si>
  <si>
    <t>CAPEX</t>
  </si>
  <si>
    <t>MAR 31</t>
  </si>
  <si>
    <t>DEC 31</t>
  </si>
  <si>
    <t>SEP 30</t>
  </si>
  <si>
    <t>JUN 30</t>
  </si>
  <si>
    <t>Current Income Taxes</t>
  </si>
  <si>
    <t>Future Income Taxes</t>
  </si>
  <si>
    <t>Carrying Value - BOP</t>
  </si>
  <si>
    <t>Carrying Value - EOP</t>
  </si>
  <si>
    <t>CFO Before Changes in Non-Cash Working Capital</t>
  </si>
  <si>
    <t>Q4</t>
  </si>
  <si>
    <t>Interest Expense</t>
  </si>
  <si>
    <t>Operating Activities (CFO)</t>
  </si>
  <si>
    <t>Q1</t>
  </si>
  <si>
    <t>Q2</t>
  </si>
  <si>
    <t>Q3</t>
  </si>
  <si>
    <t>Depreciation &amp; Amortization</t>
  </si>
  <si>
    <t>Income Statement</t>
  </si>
  <si>
    <t>Revenue</t>
  </si>
  <si>
    <t>Gross Operating Profit</t>
  </si>
  <si>
    <t>EBIT</t>
  </si>
  <si>
    <t>EBT</t>
  </si>
  <si>
    <t>Cash Flow Statement</t>
  </si>
  <si>
    <t>Check</t>
  </si>
  <si>
    <t>Cash - BOP</t>
  </si>
  <si>
    <t>Cash - EOP</t>
  </si>
  <si>
    <t>Investing Activities (CFI)</t>
  </si>
  <si>
    <t>Financing Activities (CFF)</t>
  </si>
  <si>
    <t>Net CFO</t>
  </si>
  <si>
    <t>Net CFI</t>
  </si>
  <si>
    <t>Net CFF</t>
  </si>
  <si>
    <t>Increase (Decrease) in Cash &amp; Cash Equivalents</t>
  </si>
  <si>
    <t>(US$ 000)</t>
  </si>
  <si>
    <t>Depreciation &amp; Amortization Schedule</t>
  </si>
  <si>
    <t>Total Depreciation &amp; Amortization</t>
  </si>
  <si>
    <t>Operating CF</t>
  </si>
  <si>
    <t>Reported Revenue</t>
  </si>
  <si>
    <t>Total</t>
  </si>
  <si>
    <t>Variable Operating Cost Per Unit</t>
  </si>
  <si>
    <t>Enter Current Quarter</t>
  </si>
  <si>
    <t>Quarter</t>
  </si>
  <si>
    <t>Column</t>
  </si>
  <si>
    <t>Rows</t>
  </si>
  <si>
    <t>Q3 2016</t>
  </si>
  <si>
    <t>Last Reported</t>
  </si>
  <si>
    <t>Prior Q</t>
  </si>
  <si>
    <t>Last Reported Quarter</t>
  </si>
  <si>
    <t>Current</t>
  </si>
  <si>
    <t>Q4 2016</t>
  </si>
  <si>
    <t>Consolidated Totals</t>
  </si>
  <si>
    <t>Total Operating Cost</t>
  </si>
  <si>
    <t xml:space="preserve"> Total Direct Costs (LINKED TO INCOME STATEMENT)</t>
  </si>
  <si>
    <t>Revenue (LINKED TO INCOME STATEMENT)</t>
  </si>
  <si>
    <t>Consolidated Operations</t>
  </si>
  <si>
    <t>#</t>
  </si>
  <si>
    <t>Consolidated Production</t>
  </si>
  <si>
    <t>Long Term</t>
  </si>
  <si>
    <t>no</t>
  </si>
  <si>
    <t>Commodities</t>
  </si>
  <si>
    <t>Currencies</t>
  </si>
  <si>
    <t>Canadian : US$ exchange rate</t>
  </si>
  <si>
    <t>Mexican Peso : US$ exchange rate</t>
  </si>
  <si>
    <t>Peruvian Nuevo Sol : US$ exchange rate</t>
  </si>
  <si>
    <t>Brazilian Real : US$ exchange rate</t>
  </si>
  <si>
    <t>Chilean pess : US$ exchange rate</t>
  </si>
  <si>
    <t>Argentinean peso : US$ exchange rate</t>
  </si>
  <si>
    <t>Australian : US$ exchange rate</t>
  </si>
  <si>
    <t>Euro : US$ exchange rate</t>
  </si>
  <si>
    <t>Rand : US$ exchange rate</t>
  </si>
  <si>
    <t>Russian Ruble : US$ exchange rate</t>
  </si>
  <si>
    <t>Kina : US$ exchange rate</t>
  </si>
  <si>
    <t>Columbian Peso : US$ exchange rate</t>
  </si>
  <si>
    <t>Guyanese Dollar : GDY$ exchange rate</t>
  </si>
  <si>
    <t>Dominican Peso: DOP$ exchange rate</t>
  </si>
  <si>
    <t>British Pound: GBP$ exchange rate</t>
  </si>
  <si>
    <t>Other:</t>
  </si>
  <si>
    <t>12 month London Interbank Offering Rate</t>
  </si>
  <si>
    <t>Year Plus 1</t>
  </si>
  <si>
    <t>Year Plus 2</t>
  </si>
  <si>
    <t>Year Plus 3</t>
  </si>
  <si>
    <t>Spot across board?</t>
  </si>
  <si>
    <t>FOREX (CAN$/US$)</t>
  </si>
  <si>
    <t>FCF</t>
  </si>
  <si>
    <t>Total CAPEX ($M)</t>
  </si>
  <si>
    <t>Cash At Year End ($M)</t>
  </si>
  <si>
    <t>Debt At Year End ($M)</t>
  </si>
  <si>
    <t>FCF ($M)</t>
  </si>
  <si>
    <t>Capacity utilization (%)</t>
  </si>
  <si>
    <t>Production Metrics</t>
  </si>
  <si>
    <t>Trim</t>
  </si>
  <si>
    <t>lbs</t>
  </si>
  <si>
    <t>Licensed capacity (lbs/year)</t>
  </si>
  <si>
    <t>%</t>
  </si>
  <si>
    <t>Cultivation &amp; Harvesting - Per Pound</t>
  </si>
  <si>
    <t>Administration - Per Pound</t>
  </si>
  <si>
    <t>(US$/lb)</t>
  </si>
  <si>
    <t>Cash Cost per Pound</t>
  </si>
  <si>
    <t>Operating Costs Per Pound</t>
  </si>
  <si>
    <t>Price per Pound (Wholesale) - Realized</t>
  </si>
  <si>
    <t>Flower</t>
  </si>
  <si>
    <t>Total Revenue</t>
  </si>
  <si>
    <t>Cash Cost per Gram</t>
  </si>
  <si>
    <t>(US$/g)</t>
  </si>
  <si>
    <t>Trim production</t>
  </si>
  <si>
    <t xml:space="preserve">Trim Yield </t>
  </si>
  <si>
    <t>grams</t>
  </si>
  <si>
    <t>Shipping &amp; Packaging - Per Pound</t>
  </si>
  <si>
    <t>Total Cash Cost Per Unit</t>
  </si>
  <si>
    <t>Operating Cost Per Unit</t>
  </si>
  <si>
    <t>Total Cash Cost per Gram</t>
  </si>
  <si>
    <t>Cultivating/Harvesting Costs</t>
  </si>
  <si>
    <t xml:space="preserve">Shipping &amp; Packaging </t>
  </si>
  <si>
    <t>Price per Trim (Wholesale) - Realized</t>
  </si>
  <si>
    <t>Reported Flower Production</t>
  </si>
  <si>
    <t>Remaining Product Available for Sale</t>
  </si>
  <si>
    <t>Consolidated Grams/ft</t>
  </si>
  <si>
    <t>Flower Demand</t>
  </si>
  <si>
    <t>Trim Demand</t>
  </si>
  <si>
    <t>units</t>
  </si>
  <si>
    <t>Added buffer</t>
  </si>
  <si>
    <t>(US$)</t>
  </si>
  <si>
    <t>EBITDA</t>
  </si>
  <si>
    <t>Total Cash Cost per Pound, Including Shipping</t>
  </si>
  <si>
    <t>All-In Cash Cost per Gram</t>
  </si>
  <si>
    <t>Forex &amp; Realized Prices</t>
  </si>
  <si>
    <t>Operating Expenses</t>
  </si>
  <si>
    <t>g</t>
  </si>
  <si>
    <t xml:space="preserve">Currency Price Deck </t>
  </si>
  <si>
    <t>x</t>
  </si>
  <si>
    <t>Grams per Plant</t>
  </si>
  <si>
    <t>Square Feet per Plant</t>
  </si>
  <si>
    <t>Days per Cycle</t>
  </si>
  <si>
    <t>Initial Production Efficiency</t>
  </si>
  <si>
    <t>Grams per Flowering Square Foot</t>
  </si>
  <si>
    <t>Operational Production Space</t>
  </si>
  <si>
    <t>Unadjusted flower production</t>
  </si>
  <si>
    <t xml:space="preserve">Unadjusted flower production </t>
  </si>
  <si>
    <t>Total unadjusted flower production</t>
  </si>
  <si>
    <t>Total Space Available</t>
  </si>
  <si>
    <t>sq ft</t>
  </si>
  <si>
    <t>days</t>
  </si>
  <si>
    <t>Sustaining+Building Capital</t>
  </si>
  <si>
    <t>Total Flower Production in Inventory</t>
  </si>
  <si>
    <t>Total Cash Cost per Gram sold</t>
  </si>
  <si>
    <t>Total Trim Production in Inventory</t>
  </si>
  <si>
    <t>Wholesale</t>
  </si>
  <si>
    <t>California</t>
  </si>
  <si>
    <t>Fixed Price</t>
  </si>
  <si>
    <t>Base Year</t>
  </si>
  <si>
    <t>2021&amp;LT</t>
  </si>
  <si>
    <t>Cannabis Production (Wholesale Flower)</t>
  </si>
  <si>
    <t>Cannabis Production (Wholesale Trim)</t>
  </si>
  <si>
    <t>Total Trim Production - Consolidated</t>
  </si>
  <si>
    <t>Total Flower Production - Consolidated</t>
  </si>
  <si>
    <t>Ticket Average</t>
  </si>
  <si>
    <t>US$</t>
  </si>
  <si>
    <t>Consumption Assumptions:</t>
  </si>
  <si>
    <t>Average Flower Consumed/Transaction</t>
  </si>
  <si>
    <t>Implied Flower Demand</t>
  </si>
  <si>
    <t>Implied Trim Demand</t>
  </si>
  <si>
    <t>Average Quarterly Transactions</t>
  </si>
  <si>
    <t>Total Implied Flower Demand</t>
  </si>
  <si>
    <t>Total Implied Trim Demand</t>
  </si>
  <si>
    <t>Average Gross Margin</t>
  </si>
  <si>
    <t>Costs</t>
  </si>
  <si>
    <t>Trim California (US$/lb)</t>
  </si>
  <si>
    <t>California Price Trim</t>
  </si>
  <si>
    <t>Transaction Growth</t>
  </si>
  <si>
    <t>Cultivation &amp; Harvesting - Per Pound Trim</t>
  </si>
  <si>
    <t>Administration - Per Pound Trim</t>
  </si>
  <si>
    <t>Shipping &amp; Packaging - Per Pound Trim</t>
  </si>
  <si>
    <t>Total Cash Cost Per Unit - Trim</t>
  </si>
  <si>
    <t>Variable Operating Cost Per Unit - Trim</t>
  </si>
  <si>
    <t>Total Operating Expenses per Sold Product</t>
  </si>
  <si>
    <t>Average Grams Distillate Consumed/Transaction</t>
  </si>
  <si>
    <t>n/a</t>
  </si>
  <si>
    <t>All-In Cash Costs</t>
  </si>
  <si>
    <t>Wholesale Flower Produced (kg)</t>
  </si>
  <si>
    <t>Total Production - Consolidated</t>
  </si>
  <si>
    <t>Cannabis Production (Total Flower+Trim)</t>
  </si>
  <si>
    <t>EBITDA ($M)</t>
  </si>
  <si>
    <t>Revenue ($M)</t>
  </si>
  <si>
    <t>Shipping adjustment (related to all operations)</t>
  </si>
  <si>
    <t>Other Expense</t>
  </si>
  <si>
    <t>% Sold Internally</t>
  </si>
  <si>
    <t>* Based on Audited Financials (FYE: Dec. 31)</t>
  </si>
  <si>
    <t>Average People/Day</t>
  </si>
  <si>
    <t>Additional Expenses Summary:</t>
  </si>
  <si>
    <t>Reported Expenses</t>
  </si>
  <si>
    <t>Missouri</t>
  </si>
  <si>
    <t xml:space="preserve">Flowering Rooms  </t>
  </si>
  <si>
    <t>Pennsylvania</t>
  </si>
  <si>
    <t>Price per Sq ft Cultivation</t>
  </si>
  <si>
    <t>Price per Sq ft Dispensary</t>
  </si>
  <si>
    <t xml:space="preserve">Flower Transferred to </t>
  </si>
  <si>
    <t xml:space="preserve">Trim Transferred to </t>
  </si>
  <si>
    <t xml:space="preserve"> Manufacturing Demand</t>
  </si>
  <si>
    <t xml:space="preserve"> Dispensary 2 - Fully Owned:</t>
  </si>
  <si>
    <t>Total Internal Flower Demand</t>
  </si>
  <si>
    <t>Total Internal Trim Demand</t>
  </si>
  <si>
    <t>Indirect salary</t>
  </si>
  <si>
    <t>Indirect utilities</t>
  </si>
  <si>
    <t>Indirect office supplies</t>
  </si>
  <si>
    <t>Indirect insurance</t>
  </si>
  <si>
    <t>Indirect Cost Per Unit - flower</t>
  </si>
  <si>
    <t>Indirect Variable Operating Cost</t>
  </si>
  <si>
    <t>Indirect Operating Cost Per Unit</t>
  </si>
  <si>
    <t>Operations 100%</t>
  </si>
  <si>
    <t>Sustaining Capital for Dispensary</t>
  </si>
  <si>
    <t>Sustaining Capital for Cultivation</t>
  </si>
  <si>
    <t>Cultivation</t>
  </si>
  <si>
    <t>Dispensaries</t>
  </si>
  <si>
    <t>Combined Space (Total)</t>
  </si>
  <si>
    <t>Total Space - Consolidated</t>
  </si>
  <si>
    <t>COGS</t>
  </si>
  <si>
    <t>Dispensary</t>
  </si>
  <si>
    <t>Avg People/Day</t>
  </si>
  <si>
    <t>Manfacturing</t>
  </si>
  <si>
    <t>Products created</t>
  </si>
  <si>
    <t>Crude</t>
  </si>
  <si>
    <t>Distillate</t>
  </si>
  <si>
    <t>Expenses</t>
  </si>
  <si>
    <t>Taxes</t>
  </si>
  <si>
    <t>COGSX2</t>
  </si>
  <si>
    <t>TOTAL</t>
  </si>
  <si>
    <t>crude</t>
  </si>
  <si>
    <t>distillate</t>
  </si>
  <si>
    <t>Production</t>
  </si>
  <si>
    <t>Revenue by State</t>
  </si>
  <si>
    <t>Cultivation Operating Cost</t>
  </si>
  <si>
    <t>Dispensary Operating Cost</t>
  </si>
  <si>
    <t>FINANCIAL TOTALS</t>
  </si>
  <si>
    <t>Cultivation Wholesale Revenue</t>
  </si>
  <si>
    <t>Total Cultivation Wholesale Revenue</t>
  </si>
  <si>
    <t>Dispensary Revenue</t>
  </si>
  <si>
    <t>Total Dispensary Revenue</t>
  </si>
  <si>
    <t>Total Cultivation Operating COGS</t>
  </si>
  <si>
    <t>Total COGS</t>
  </si>
  <si>
    <t>Shipping Expenses</t>
  </si>
  <si>
    <t>Cultivation Expenses</t>
  </si>
  <si>
    <t>Initial Inventory Costs (US$'000)</t>
  </si>
  <si>
    <t>Production: Flower (kg)</t>
  </si>
  <si>
    <t>Production: Consolidated (kg)</t>
  </si>
  <si>
    <t>CAPEX &amp; Budget - Outlook (US$'000)</t>
  </si>
  <si>
    <t>Dispensary 1 - Fully Owned:</t>
  </si>
  <si>
    <t>Dispensary Expenses</t>
  </si>
  <si>
    <t>US-Based Operators</t>
  </si>
  <si>
    <t>CAN-Based Operators</t>
  </si>
  <si>
    <t>SALES</t>
  </si>
  <si>
    <t>Production: Flower (lbs)</t>
  </si>
  <si>
    <t>Revenue by Asset</t>
  </si>
  <si>
    <t>COGS by Asset</t>
  </si>
  <si>
    <t>Expenses by Asset</t>
  </si>
  <si>
    <t>EBITDA by Asset</t>
  </si>
  <si>
    <t>Wholesale Flower Produced (lbs)</t>
  </si>
  <si>
    <t>Total Canopy Space</t>
  </si>
  <si>
    <t>Operations Schedule - California</t>
  </si>
  <si>
    <t>Cost Schedule - California</t>
  </si>
  <si>
    <t>Revenue Schedule - California</t>
  </si>
  <si>
    <t>Operating Metrics -  California - Outdoor</t>
  </si>
  <si>
    <t>O. Cannabis</t>
  </si>
  <si>
    <t>O. Trim</t>
  </si>
  <si>
    <t>O. California Price Cannabis</t>
  </si>
  <si>
    <t xml:space="preserve">California - Cultivation
</t>
  </si>
  <si>
    <t>Operating Metrics - California - Indoor</t>
  </si>
  <si>
    <t>Indoor grow</t>
  </si>
  <si>
    <t>I. California Price Cannabis</t>
  </si>
  <si>
    <t>O. Cannabis California (US$/lb)</t>
  </si>
  <si>
    <t>I. Cannabis California (US$/lb)</t>
  </si>
  <si>
    <t>I. Cannabis</t>
  </si>
  <si>
    <t>Outdoor Price per Pound (Wholesale) - Realized</t>
  </si>
  <si>
    <t>Outdoor Price per Trim (Wholesale) - Realized</t>
  </si>
  <si>
    <t>Indoor Price per Pound (Wholesale) - Realized</t>
  </si>
  <si>
    <t>Indoor Price per Trim (Wholesale) - Realized</t>
  </si>
  <si>
    <t>Reported Production</t>
  </si>
  <si>
    <t>O. Flower</t>
  </si>
  <si>
    <t>I. Flower</t>
  </si>
  <si>
    <t>O. Flower Production in Inventory</t>
  </si>
  <si>
    <t>I. Flower Production in Inventory</t>
  </si>
  <si>
    <t>O. Trim Production in Inventory</t>
  </si>
  <si>
    <t>I. Trim Production in Inventory</t>
  </si>
  <si>
    <t>I. Trim</t>
  </si>
  <si>
    <t>Outdoor:</t>
  </si>
  <si>
    <t>Indoor:</t>
  </si>
  <si>
    <t>Dispensaries - California</t>
  </si>
  <si>
    <t>CA Initial Inventory</t>
  </si>
  <si>
    <t>Plant &amp; Equipment - California Cultivation</t>
  </si>
  <si>
    <t>Plant &amp; Equipment - California Dispensaries</t>
  </si>
  <si>
    <t>sq. ft</t>
  </si>
  <si>
    <t>Canopy</t>
  </si>
  <si>
    <t>TOTAL SQ. FT VS. CANOPY VS. GRAMS/SQ. FT</t>
  </si>
  <si>
    <t>PENNSYLVANIA REVENUE BY SEGMENT</t>
  </si>
  <si>
    <t>PENNSYLVANIA SQ. FT VS. CANOPY VS. GRAMS/SQ. FT</t>
  </si>
  <si>
    <t>PENNSYLVANIA PRODUCTION VS. COSTS</t>
  </si>
  <si>
    <t>Square feet canopy in production - Indoor Grow</t>
  </si>
  <si>
    <t>Square feet canopy in production - Outdoor Grow</t>
  </si>
  <si>
    <t>Cash Costs</t>
  </si>
  <si>
    <t xml:space="preserve">RELATIVE VALUATION* </t>
  </si>
  <si>
    <t>$500M &lt; $100M mkt cap</t>
  </si>
  <si>
    <t>Total Pounds/year</t>
  </si>
  <si>
    <t>Total Grams/year</t>
  </si>
  <si>
    <t>Total Kg/Year</t>
  </si>
  <si>
    <t>Production: Consolidated</t>
  </si>
  <si>
    <t>Change in Non-Cash Working Capital</t>
  </si>
  <si>
    <t>Dispensary 2 - Sonoma</t>
  </si>
  <si>
    <t>Dispensary 1 - Santa Rosa:</t>
  </si>
  <si>
    <t xml:space="preserve">Total Revenue </t>
  </si>
  <si>
    <t>California: Dispensaries - 1 &amp; 2 - Revenue/Cost Schedule</t>
  </si>
  <si>
    <t>Dispensary 2 - Sonoma:</t>
  </si>
  <si>
    <t xml:space="preserve">Total Costs </t>
  </si>
  <si>
    <t>Number of Dispensaries</t>
  </si>
  <si>
    <t>CAPEX - California Cultivation</t>
  </si>
  <si>
    <t>CAPEX - California Dispensary - Santa Rosa</t>
  </si>
  <si>
    <t>CAPEX - California Dispensary - Sonoma</t>
  </si>
  <si>
    <t>Dispensary Related Acquisition Cost</t>
  </si>
  <si>
    <t>Revenue Breakdown ($M)</t>
  </si>
  <si>
    <t>*Last updated June 8, 2020</t>
  </si>
  <si>
    <t>Private Investment, Net of Costs</t>
  </si>
  <si>
    <t>Flower produced/quarterly</t>
  </si>
  <si>
    <t>Trim produced/quarterly</t>
  </si>
  <si>
    <t>Flower remaining for sale</t>
  </si>
  <si>
    <t>Trim remaining for sale</t>
  </si>
  <si>
    <t>Total Value of Biomass for Crude</t>
  </si>
  <si>
    <t>Total Amount of Biomass Processed</t>
  </si>
  <si>
    <t>Oil Product (1 gram) - Extract Oil</t>
  </si>
  <si>
    <t>ON</t>
  </si>
  <si>
    <t>Estimated Wholesale Demand</t>
  </si>
  <si>
    <t>Material needed per product - flower</t>
  </si>
  <si>
    <t>Material needed per product - trim</t>
  </si>
  <si>
    <r>
      <t xml:space="preserve">Manufacturing Demand - </t>
    </r>
    <r>
      <rPr>
        <b/>
        <sz val="10"/>
        <color rgb="FF000000"/>
        <rFont val="Calibri"/>
        <family val="2"/>
      </rPr>
      <t>Internal</t>
    </r>
  </si>
  <si>
    <r>
      <t xml:space="preserve">Manufacturing Demand - </t>
    </r>
    <r>
      <rPr>
        <b/>
        <sz val="10"/>
        <color rgb="FF000000"/>
        <rFont val="Calibri"/>
        <family val="2"/>
      </rPr>
      <t>Wholesale</t>
    </r>
  </si>
  <si>
    <t>Material Required</t>
  </si>
  <si>
    <t>Oil/Product Manufacturing</t>
  </si>
  <si>
    <t>Raw product cost</t>
  </si>
  <si>
    <t>Direct Labour Salaries</t>
  </si>
  <si>
    <t>Factory Overhead</t>
  </si>
  <si>
    <t>Manufacturing &amp; Cost of Prdocution</t>
  </si>
  <si>
    <t>Shipping &amp; Packaging</t>
  </si>
  <si>
    <t>Oil/Product Manufacturing (per gram of biomass)</t>
  </si>
  <si>
    <t>Operating Cost Per Gram</t>
  </si>
  <si>
    <t>Grams Processed</t>
  </si>
  <si>
    <t>units (grams)</t>
  </si>
  <si>
    <t>Additional Expenses</t>
  </si>
  <si>
    <t>Total Cost of Manufacturing</t>
  </si>
  <si>
    <t>(US$M)</t>
  </si>
  <si>
    <t>Margins</t>
  </si>
  <si>
    <t>Total Cash Cost per Extract Gram</t>
  </si>
  <si>
    <t>Units Manufactured</t>
  </si>
  <si>
    <t>Internal Products Manufactured</t>
  </si>
  <si>
    <t>Internal &amp; External Products Manufactured</t>
  </si>
  <si>
    <t>Total Value of Processed Products (Wholesale)</t>
  </si>
  <si>
    <t>Revenue per Wholesale Product - Extract Oil</t>
  </si>
  <si>
    <t>Average Amount of Extract Oil Used in a Wholesale Product</t>
  </si>
  <si>
    <t>Wholesale Products Sold</t>
  </si>
  <si>
    <t>Ticket Average - Average Sold Product</t>
  </si>
  <si>
    <t>Facility costs</t>
  </si>
  <si>
    <t>General and admin</t>
  </si>
  <si>
    <t>insurance</t>
  </si>
  <si>
    <t>Management and consulting fees</t>
  </si>
  <si>
    <t>Professional fees</t>
  </si>
  <si>
    <t>Research, extraction and lab supplies</t>
  </si>
  <si>
    <t>Travel and business development</t>
  </si>
  <si>
    <t>Wages and Salaries &amp; management Fees</t>
  </si>
  <si>
    <t>TOTAL WHOLESALE REVENUE (LINKED TO INCOME S)</t>
  </si>
  <si>
    <t>TOTAL COSTS (LINKED TO INCOME S)</t>
  </si>
  <si>
    <t xml:space="preserve">Extraction - Consolidated </t>
  </si>
  <si>
    <t>Source: Planet 13 Q1/21</t>
  </si>
  <si>
    <t>Salaries and Wages</t>
  </si>
  <si>
    <t>Executive Compensation</t>
  </si>
  <si>
    <t>Licenses and Permits</t>
  </si>
  <si>
    <t>Payroll Taxes and Benefits</t>
  </si>
  <si>
    <t>Supplies and Office Expenses</t>
  </si>
  <si>
    <t xml:space="preserve">Subscontractors </t>
  </si>
  <si>
    <t>Professional Fees (legal, audit, and other)</t>
  </si>
  <si>
    <t>Misc G&amp;A</t>
  </si>
  <si>
    <t>Processors</t>
  </si>
  <si>
    <t>Source: Valens</t>
  </si>
  <si>
    <t>California: Flower Transferred to Facility</t>
  </si>
  <si>
    <t>California: Trim Transferred to Facility</t>
  </si>
  <si>
    <t>Operations/Cost Schedule - Extraction - California</t>
  </si>
  <si>
    <t>Percentage trim processed internally for wholesale</t>
  </si>
  <si>
    <t>Non-internal trim sent to wholesalers</t>
  </si>
  <si>
    <t>Transfer Cost Adj. - Flower Demanded to Dispensary</t>
  </si>
  <si>
    <t>Transfer Cost Adj. 2 - Trim Demanded to Processing Facility</t>
  </si>
  <si>
    <t>Transfer Cost Adj. 3 - Trim Wholesale to Processing Facility</t>
  </si>
  <si>
    <t>Transfer Cost from Cultivation Facility</t>
  </si>
  <si>
    <t>Transfer COGS (From Cultivation Facility)</t>
  </si>
  <si>
    <t>Oil Products Wholesale Revenue</t>
  </si>
  <si>
    <t>Total Oil Wholesale Revenue</t>
  </si>
  <si>
    <t>Oil Production &amp; Wholesale Items</t>
  </si>
  <si>
    <t>Processing Operating Cost</t>
  </si>
  <si>
    <t>Oil Production - PA</t>
  </si>
  <si>
    <t>Total Production COGS</t>
  </si>
  <si>
    <t>Processing</t>
  </si>
  <si>
    <t>Processing Expenses</t>
  </si>
  <si>
    <t>CAPEX - Processing Facility</t>
  </si>
  <si>
    <t>Processing -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</si>
</sst>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2">
    <numFmt numFmtId="6" formatCode="&quot;$&quot;#,##0;[Red]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_);[Red]\(&quot;$&quot;#,##0\)"/>
    <numFmt numFmtId="165" formatCode="&quot;$&quot;#,##0.00_);\(&quot;$&quot;#,##0.00\)"/>
    <numFmt numFmtId="166" formatCode="&quot;$&quot;#,##0.00_);[Red]\(&quot;$&quot;#,##0.00\)"/>
    <numFmt numFmtId="167" formatCode="_(&quot;$&quot;* #,##0_);_(&quot;$&quot;* \(#,##0\);_(&quot;$&quot;* &quot;-&quot;_);_(@_)"/>
    <numFmt numFmtId="168" formatCode="_(* #,##0_);_(* \(#,##0\);_(* &quot;-&quot;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* #,##0_-;\-* #,##0_-;_-* &quot;-&quot;??_-;_-@_-"/>
    <numFmt numFmtId="172" formatCode="_(* #,##0.0_);_(* \(#,##0.0\);_(* &quot;-&quot;??_);_(@_)"/>
    <numFmt numFmtId="173" formatCode="_(* #,##0_);_(* \(#,##0\);_(* &quot;-&quot;??_);_(@_)"/>
    <numFmt numFmtId="174" formatCode="0.0"/>
    <numFmt numFmtId="175" formatCode="0.0\x"/>
    <numFmt numFmtId="176" formatCode="0.00\x"/>
    <numFmt numFmtId="177" formatCode="&quot;$&quot;#,##0.0"/>
    <numFmt numFmtId="178" formatCode="0.000"/>
    <numFmt numFmtId="179" formatCode="&quot;$&quot;#,##0.00"/>
    <numFmt numFmtId="180" formatCode="&quot;$&quot;#,##0"/>
    <numFmt numFmtId="181" formatCode="_(* #,##0.000_);_(* \(#,##0.000\);_(* &quot;-&quot;??_);_(@_)"/>
    <numFmt numFmtId="182" formatCode="_([$€-2]* #,##0.00_);_([$€-2]* \(#,##0.00\);_([$€-2]* &quot;-&quot;??_)"/>
    <numFmt numFmtId="183" formatCode="#,##0.000"/>
    <numFmt numFmtId="184" formatCode="&quot;$ &quot;#,##0.00_);[Red]\(&quot;$ &quot;#,##0.00\)"/>
    <numFmt numFmtId="185" formatCode="mmm\-dd\-yy"/>
    <numFmt numFmtId="186" formatCode="mmm\-dd\-yyyy"/>
    <numFmt numFmtId="187" formatCode="mmm\-d\-yy"/>
    <numFmt numFmtId="188" formatCode="0.0%_);\(0.0%\)"/>
    <numFmt numFmtId="189" formatCode="_(&quot;$&quot;* #,##0.0_);_(&quot;$&quot;* \(#,##0.0\);_(&quot;$&quot;* &quot;-&quot;_);_(@_)"/>
    <numFmt numFmtId="190" formatCode="_(* #,##0.00000_);_(* \(#,##0.00000\);_(* &quot;-&quot;??_);_(@_)"/>
    <numFmt numFmtId="191" formatCode="\£\ #,##0_);[Red]\(\£\ #,##0\)"/>
    <numFmt numFmtId="192" formatCode="0.000000%"/>
    <numFmt numFmtId="193" formatCode="0.0%;\(0.0%"/>
    <numFmt numFmtId="194" formatCode="\•\ \ @"/>
    <numFmt numFmtId="195" formatCode="0.0_)\%;\(0.0\)\%;0.0_)\%;@_)_%"/>
    <numFmt numFmtId="196" formatCode="&quot;$&quot;#,##0.00_%_);\(&quot;$&quot;#,##0.00\)_%;&quot;$&quot;#,##0.00_%_);@_%_)"/>
    <numFmt numFmtId="197" formatCode="0.0\x_)"/>
    <numFmt numFmtId="198" formatCode="&quot;$&quot;#,##0.00_);\(&quot;$&quot;#,##0.00\);&quot;$&quot;&quot;-&quot;?"/>
    <numFmt numFmtId="199" formatCode="0.0000"/>
    <numFmt numFmtId="200" formatCode="0_);\(0\)"/>
    <numFmt numFmtId="201" formatCode="#,##0.0_)_%;\(#,##0.0\)_%;0.0_)_%;@_)_%"/>
    <numFmt numFmtId="202" formatCode="#,##0.00_);\(#,##0.00\);0.00_);@_)"/>
    <numFmt numFmtId="203" formatCode="#,##0.0\x;\(#,##0.00\)"/>
    <numFmt numFmtId="204" formatCode="#,##0.0%;\-#,##0.0%;&quot;- &quot;"/>
    <numFmt numFmtId="205" formatCode="\ \ _•\–\ \ \ \ @"/>
    <numFmt numFmtId="206" formatCode="#,##0.0_);\(#,##0.0\);#,##0.0_);@_)"/>
    <numFmt numFmtId="207" formatCode="#,##0.0_);\(#,##0.0\)"/>
    <numFmt numFmtId="208" formatCode="&quot;$&quot;_(#,##0.00_);&quot;$&quot;\(#,##0.00\);&quot;$&quot;_(0.00_);@_)"/>
    <numFmt numFmtId="209" formatCode="\ \ @"/>
    <numFmt numFmtId="210" formatCode="###0_)"/>
    <numFmt numFmtId="211" formatCode="#,##0_%_);\(#,##0\)_%;**;@_%_)"/>
    <numFmt numFmtId="212" formatCode="#,##0;\(#,##0\);\—"/>
    <numFmt numFmtId="213" formatCode="#,##0.00;\-#,##0.00;&quot;-&quot;"/>
    <numFmt numFmtId="214" formatCode="&quot;€&quot;_(#,##0.00_);&quot;€&quot;\(#,##0.00\);&quot;€&quot;_(0.00_);@_)"/>
    <numFmt numFmtId="215" formatCode="General_)"/>
    <numFmt numFmtId="216" formatCode="#,##0.0_%_);\(#,##0.0\)_%;**;@_%_)"/>
    <numFmt numFmtId="217" formatCode="0.00%_);[Red]\(0.00%\)"/>
    <numFmt numFmtId="218" formatCode="#,##0.0000_);\(#,##0.0000\)"/>
    <numFmt numFmtId="219" formatCode="\ \ \ \ @"/>
    <numFmt numFmtId="220" formatCode="\¥\ #,##0_);[Red]\(\¥\ #,##0\)"/>
    <numFmt numFmtId="221" formatCode="#,##0.00_);\(#,##0.00\);&quot;-&quot;?"/>
    <numFmt numFmtId="222" formatCode="#,##0.0_x_)_);&quot;NM&quot;_x_)_);#,##0.0_x_)_);@_x_)_)"/>
    <numFmt numFmtId="223" formatCode="#,##0%;\-#,##0%;&quot;- &quot;"/>
    <numFmt numFmtId="224" formatCode="&quot;$&quot;#,##0_%_);\(&quot;$&quot;#,##0\)_%;&quot;$&quot;#,##0_%_);@_%_)"/>
    <numFmt numFmtId="225" formatCode="#,##0_)\x;\(#,##0\)\x;0_)\x;@_)_x"/>
    <numFmt numFmtId="226" formatCode="0.00%;\(0.00%\)"/>
    <numFmt numFmtId="227" formatCode="#,##0_)_x;\(#,##0\)_x;0_)_x;@_)_x"/>
    <numFmt numFmtId="228" formatCode="0.0_);\(0.0\)"/>
    <numFmt numFmtId="229" formatCode="#,##0.0_%_);\(#,##0.0\)_%;#,##0.0_%_);@_%_)"/>
    <numFmt numFmtId="230" formatCode="\€#,##0.00_);[Red]\(\€#,##0.00\)"/>
    <numFmt numFmtId="231" formatCode="m/d/yy\ h:mm\ AM/PM"/>
    <numFmt numFmtId="232" formatCode="#,##0.00%;\-#,##0.00%;&quot;- &quot;"/>
    <numFmt numFmtId="233" formatCode="&quot;$&quot;#,##0.000_);\(&quot;$&quot;#,##0.000\)"/>
    <numFmt numFmtId="234" formatCode="_ &quot;¥&quot;* #,##0_ ;_ &quot;¥&quot;* \-#,##0_ ;_ &quot;¥&quot;* &quot;-&quot;_ ;_ @_ "/>
    <numFmt numFmtId="235" formatCode="mm/dd/yy;@"/>
    <numFmt numFmtId="236" formatCode="0%;\(0%\)"/>
    <numFmt numFmtId="237" formatCode="0.0;[Red]0.0"/>
    <numFmt numFmtId="238" formatCode="_ * #,##0_ ;_ * \-#,##0_ ;_ * &quot;-&quot;_ ;_ @_ "/>
    <numFmt numFmtId="239" formatCode="#,##0%_);\(#,##0%\)"/>
    <numFmt numFmtId="240" formatCode="#,##0.0_);[Red]\(#,##0.0\);"/>
    <numFmt numFmtId="241" formatCode="#,##0_);\(#,##0\);&quot;&quot;"/>
    <numFmt numFmtId="242" formatCode="[&gt;1]&quot;10Q: &quot;0&quot; qtrs&quot;;&quot;10Q: &quot;0&quot; qtr&quot;"/>
    <numFmt numFmtId="243" formatCode="_(* #,##0_);_(* \(#,##0\);_(* &quot;--- &quot;_)"/>
    <numFmt numFmtId="244" formatCode="_(&quot;$&quot;* #,##0_);_(&quot;$&quot;* \(#,##0\);_(&quot;$&quot;* &quot;--- &quot;_)"/>
    <numFmt numFmtId="245" formatCode="_(* #,##0.0_);_(* \(#,##0.0\);_(* &quot;-&quot;?_);_(@_)"/>
    <numFmt numFmtId="246" formatCode="_(&quot;$&quot;* #,##0.0_);_(&quot;$&quot;* \(#,##0.0\);_(&quot;$&quot;* &quot;-&quot;?_);_(@_)"/>
    <numFmt numFmtId="247" formatCode="_ &quot;¥&quot;* #,##0.00_ ;_ &quot;¥&quot;* \-#,##0.00_ ;_ &quot;¥&quot;* &quot;-&quot;??_ ;_ @_ "/>
    <numFmt numFmtId="248" formatCode="0.0_)"/>
    <numFmt numFmtId="249" formatCode="\x_)#,##0.0_)_%"/>
    <numFmt numFmtId="250" formatCode="&quot;$&quot;#,##0.0_);\(&quot;$&quot;#,##0.0\)"/>
    <numFmt numFmtId="251" formatCode="#,##0.0\x_);\(#,##0.0\x\)"/>
    <numFmt numFmtId="252" formatCode="#."/>
    <numFmt numFmtId="253" formatCode="_(* #,##0.0000000_);_(* \(#,##0.0000000\);_(* &quot;-&quot;??_);_(@_)"/>
    <numFmt numFmtId="254" formatCode="#,##0.0_);[Red]\(#,##0.0\)"/>
    <numFmt numFmtId="255" formatCode="&quot;Bcfe&quot;_);;&quot;Boe&quot;_)"/>
    <numFmt numFmtId="256" formatCode="_(#,##0_);\(#,##0\)"/>
    <numFmt numFmtId="257" formatCode="m/d"/>
    <numFmt numFmtId="258" formatCode="_(* #,##0.0000000000_);_(* \(#,##0.0000000000\);_(* &quot;-&quot;??_);_(@_)"/>
    <numFmt numFmtId="259" formatCode="0&quot; bp&quot;;;&quot;--  &quot;"/>
    <numFmt numFmtId="260" formatCode="#,##0_);\(#,##0\);\-_);@\ "/>
    <numFmt numFmtId="261" formatCode="#,##0.00_);\(#,##0.00\);\-_);@\ "/>
    <numFmt numFmtId="262" formatCode="#,##0;\-#,##0;&quot;-&quot;"/>
    <numFmt numFmtId="263" formatCode="#,##0.0;\-#,##0.0;&quot;-&quot;"/>
    <numFmt numFmtId="264" formatCode="_(* #,##0.0000_);_(* \(#,##0.0000\);_(* &quot;-&quot;??_);_(@_)"/>
    <numFmt numFmtId="265" formatCode="#,##0_);\(#,##0\);&quot;-&quot;?"/>
    <numFmt numFmtId="266" formatCode="#,##0.0_);\(#,##0.0\);&quot;-&quot;?"/>
    <numFmt numFmtId="267" formatCode="#,##0.0000_);\(#,##0.0000\);&quot;-&quot;?"/>
    <numFmt numFmtId="268" formatCode="#,##0_%_);\(#,##0\)_%;#,##0_%_);@_%_)"/>
    <numFmt numFmtId="269" formatCode="0.000%"/>
    <numFmt numFmtId="270" formatCode="_(* #,##0.0\ \ _);_(* \(#,##0\);_(* &quot;-&quot;_);_(@_)"/>
    <numFmt numFmtId="271" formatCode="#,##0.00_%_);\(#,##0.00\)_%;**;@_%_)"/>
    <numFmt numFmtId="272" formatCode="#,##0.000_%_);\(#,##0.000\)_%;**;@_%_)"/>
    <numFmt numFmtId="273" formatCode="#,##0;\(#,##0\)"/>
    <numFmt numFmtId="274" formatCode="#,##0.000_);[Red]\(#,##0.000\)"/>
    <numFmt numFmtId="275" formatCode="&quot;$&quot;#,##0.00_);[Red]\(&quot;$&quot;#,##0.00\);&quot;--  &quot;;_(@_)"/>
    <numFmt numFmtId="276" formatCode="&quot;$&quot;#,##0_);\(&quot;$&quot;#,##0\);&quot;$&quot;&quot;-&quot;?"/>
    <numFmt numFmtId="277" formatCode="&quot;$&quot;#,##0.0_);\(&quot;$&quot;#,##0.0\);&quot;$&quot;&quot;-&quot;?"/>
    <numFmt numFmtId="278" formatCode="&quot;$&quot;#,##0.00_%_);\(&quot;$&quot;#,##0.00\)_%;**;@_%_)"/>
    <numFmt numFmtId="279" formatCode="&quot;$&quot;#,##0.000_%_);\(&quot;$&quot;#,##0.000\)_%;**;@_%_)"/>
    <numFmt numFmtId="280" formatCode="&quot;$&quot;#,##0.0_%_);\(&quot;$&quot;#,##0.0\)_%;**;@_%_)"/>
    <numFmt numFmtId="281" formatCode="\$#,##0.00;\(\$#,##0.00\)"/>
    <numFmt numFmtId="282" formatCode="&quot;$&quot;#,##0.00\ \ \ ;\(&quot;$&quot;#,##0.00\)\ \ "/>
    <numFmt numFmtId="283" formatCode="mmm\-d\-yyyy"/>
    <numFmt numFmtId="284" formatCode="&quot;Deal &quot;0"/>
    <numFmt numFmtId="285" formatCode="_ * #,##0.00_ ;_ * \-#,##0.00_ ;_ * &quot;-&quot;??_ ;_ @_ "/>
    <numFmt numFmtId="286" formatCode="mmm\-yyyy"/>
    <numFmt numFmtId="287" formatCode="m/d/yy_%_)"/>
    <numFmt numFmtId="288" formatCode="m/d/yy_%_);;**"/>
    <numFmt numFmtId="289" formatCode="yyyy"/>
    <numFmt numFmtId="290" formatCode="\$#,##0;\(\$#,##0\)"/>
    <numFmt numFmtId="291" formatCode="&quot;£&quot;#,##0;\-&quot;£&quot;#,##0"/>
    <numFmt numFmtId="292" formatCode="0_%_);\(0\)_%;0_%_);@_%_)"/>
    <numFmt numFmtId="293" formatCode="#,##0.00000_);\(#,##0.00000\)"/>
    <numFmt numFmtId="294" formatCode="0.0%;\(0.0%\)"/>
    <numFmt numFmtId="295" formatCode="0.0\ &quot;yrs&quot;"/>
    <numFmt numFmtId="296" formatCode="#,##0.0_);[Red]\(#,##0.0\);&quot;N/A &quot;"/>
    <numFmt numFmtId="297" formatCode="#.00"/>
    <numFmt numFmtId="298" formatCode="0_);[Red]\(0\)"/>
    <numFmt numFmtId="299" formatCode="0.000000"/>
    <numFmt numFmtId="300" formatCode="m/d/yy;@"/>
    <numFmt numFmtId="301" formatCode="00000"/>
    <numFmt numFmtId="302" formatCode="0.0%_);[Red]\(0.0%\)"/>
    <numFmt numFmtId="303" formatCode="0.0%_);\(0.0%\);&quot;—&quot;_%;@_%_)"/>
    <numFmt numFmtId="304" formatCode="0.0\%_);\(0.0\%\);0.0\%_);@_%_)"/>
    <numFmt numFmtId="305" formatCode="###0&quot;E&quot;_)"/>
    <numFmt numFmtId="306" formatCode="###0_);\(###0\)"/>
    <numFmt numFmtId="307" formatCode="_(* #,##0.00_);[Red]_(* \(#,##0.00\);_(* &quot;-&quot;_);_(@_)"/>
    <numFmt numFmtId="308" formatCode="_(* #,##0_);[Red]_(* \(#,##0\);_(* &quot;-&quot;_);_(@_)"/>
    <numFmt numFmtId="309" formatCode="#,##0.00_)&quot; &quot;;[Red]\(#,##0.00\)&quot; &quot;"/>
    <numFmt numFmtId="310" formatCode="#,##0.0\x"/>
    <numFmt numFmtId="311" formatCode="0.000000000000000%"/>
    <numFmt numFmtId="312" formatCode="&quot;$&quot;#,##0.0;[Red]\(&quot;$&quot;#,##0.0\)"/>
    <numFmt numFmtId="313" formatCode="0\ &quot;yrs&quot;"/>
    <numFmt numFmtId="314" formatCode="mmm\ yyyy"/>
    <numFmt numFmtId="315" formatCode="#,##0.00\x_);[Red]\(#,##0.00\x\)"/>
    <numFmt numFmtId="316" formatCode="0.0\ ;\(\Nm\)\ "/>
    <numFmt numFmtId="317" formatCode="#,##0.0_);[Red]\(#,##0.0\);&quot;--  &quot;"/>
    <numFmt numFmtId="318" formatCode="0.00;[Red]0.00"/>
    <numFmt numFmtId="319" formatCode="#,##0.000_);\(#,##0.000\)"/>
    <numFmt numFmtId="320" formatCode="#,##0.0_)\ \ ;[Red]\(#,##0.0\)\ \ "/>
    <numFmt numFmtId="321" formatCode="#,##0.00\ \ \ ;\(#,##0.00\)\ \ "/>
    <numFmt numFmtId="322" formatCode="#,##0.00&quot;x&quot;;[Red]\(#,##0.00\)&quot;x&quot;"/>
    <numFmt numFmtId="323" formatCode="0.00%_);\(0.00%\)"/>
    <numFmt numFmtId="324" formatCode="#,##0.0%_);\(#,##0.0%\)"/>
    <numFmt numFmtId="325" formatCode="#,##0.00%_);\(#,##0.00%\)"/>
    <numFmt numFmtId="326" formatCode="0.0%;[Red]\(0.0%\);&quot;--  &quot;"/>
    <numFmt numFmtId="327" formatCode="0.0%;[Red]\(0.0%\)"/>
    <numFmt numFmtId="328" formatCode="#,##0.0"/>
    <numFmt numFmtId="329" formatCode="0.000%;[Red]\(0.000%\)"/>
    <numFmt numFmtId="330" formatCode="0.000%;;&quot;-- &quot;"/>
    <numFmt numFmtId="331" formatCode="0.0_%"/>
    <numFmt numFmtId="332" formatCode="_(* #,##0.0_);_(* \(#,##0.0\);_(* &quot;-&quot;_);_(@_)"/>
    <numFmt numFmtId="333" formatCode="0.0%_);\(0.0%\);**;@_%_)"/>
    <numFmt numFmtId="334" formatCode="_(#,##0.0_)%;\(#,##0.0\)%"/>
    <numFmt numFmtId="335" formatCode="#0.0\x"/>
    <numFmt numFmtId="336" formatCode="#,##0.0%;[Red]\(#,##0.0%\)"/>
    <numFmt numFmtId="337" formatCode="#,##0.00\x"/>
    <numFmt numFmtId="338" formatCode="#,##0.00_x"/>
    <numFmt numFmtId="339" formatCode="&quot;$&quot;#\ ?/?"/>
    <numFmt numFmtId="340" formatCode="0.0000000000000000%"/>
    <numFmt numFmtId="341" formatCode="#,##0\x_);\(#,##0\x\)"/>
    <numFmt numFmtId="342" formatCode="#,##0.00\x_);\(#,##0.00\x\)"/>
    <numFmt numFmtId="343" formatCode="&quot;$&quot;#,##0.0_);[Red]\(&quot;$&quot;#,##0.0\)"/>
    <numFmt numFmtId="344" formatCode="#,##0.0\x_);\(#,##0.0\x\);&quot;-&quot;?"/>
    <numFmt numFmtId="345" formatCode="#,##0_);\(#,##0\);&quot;-&quot;??_);@_)"/>
    <numFmt numFmtId="346" formatCode="0.0%"/>
    <numFmt numFmtId="347" formatCode="&quot;FY&quot;#&quot;E&quot;"/>
    <numFmt numFmtId="348" formatCode="#,##0.0000"/>
    <numFmt numFmtId="349" formatCode="#,##0_ ;\(#,##0\)"/>
    <numFmt numFmtId="350" formatCode="#0%;\-#0%"/>
    <numFmt numFmtId="351" formatCode="_(&quot;$&quot;* #,##0_);_(&quot;$&quot;* \(#,##0\);_(&quot;$&quot;* &quot;-&quot;??_);_(@_)"/>
  </numFmts>
  <fonts count="313">
    <font>
      <sz val="1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Book Antiqua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2"/>
      <name val="Book Antiqua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ldine401 BT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alibri"/>
      <family val="2"/>
    </font>
    <font>
      <b/>
      <sz val="10"/>
      <color indexed="53"/>
      <name val="Calibri"/>
      <family val="2"/>
    </font>
    <font>
      <sz val="10"/>
      <name val="Palatino"/>
      <family val="1"/>
    </font>
    <font>
      <sz val="10"/>
      <name val="Times New Roman"/>
      <family val="1"/>
    </font>
    <font>
      <sz val="10"/>
      <name val="GillSans"/>
    </font>
    <font>
      <sz val="10"/>
      <color indexed="12"/>
      <name val="Arial"/>
      <family val="2"/>
    </font>
    <font>
      <sz val="10"/>
      <name val="Trebuchet MS"/>
      <family val="2"/>
    </font>
    <font>
      <sz val="8"/>
      <color indexed="49"/>
      <name val="Times New Roman"/>
      <family val="1"/>
    </font>
    <font>
      <sz val="10"/>
      <name val="Helvetica"/>
      <family val="2"/>
    </font>
    <font>
      <sz val="8"/>
      <name val="Times New Roman"/>
      <family val="1"/>
    </font>
    <font>
      <sz val="8"/>
      <name val="Trebuchet MS"/>
      <family val="2"/>
    </font>
    <font>
      <sz val="10"/>
      <name val="Helvetica"/>
      <family val="2"/>
    </font>
    <font>
      <sz val="10"/>
      <color indexed="12"/>
      <name val="Trebuchet MS"/>
      <family val="2"/>
    </font>
    <font>
      <sz val="10"/>
      <name val="Arial CE"/>
    </font>
    <font>
      <sz val="11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sz val="10"/>
      <color indexed="8"/>
      <name val="MS Sans Serif"/>
      <family val="2"/>
    </font>
    <font>
      <sz val="10"/>
      <name val="Courier"/>
      <family val="3"/>
    </font>
    <font>
      <i/>
      <sz val="9"/>
      <color indexed="8"/>
      <name val="Arial"/>
      <family val="2"/>
    </font>
    <font>
      <sz val="10"/>
      <name val="Helv"/>
    </font>
    <font>
      <sz val="8"/>
      <color indexed="8"/>
      <name val="Arial"/>
      <family val="2"/>
    </font>
    <font>
      <b/>
      <sz val="22"/>
      <color indexed="18"/>
      <name val="Arial"/>
      <family val="2"/>
    </font>
    <font>
      <sz val="9"/>
      <color indexed="8"/>
      <name val="ＭＳ Ｐゴシック"/>
      <family val="3"/>
      <charset val="128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9"/>
      <name val="Arial"/>
      <family val="2"/>
    </font>
    <font>
      <sz val="12"/>
      <name val="Times New Roman"/>
      <family val="1"/>
    </font>
    <font>
      <u/>
      <sz val="10"/>
      <name val="Arial"/>
      <family val="2"/>
    </font>
    <font>
      <sz val="12"/>
      <name val="Arial MT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u/>
      <sz val="12"/>
      <name val="Arial"/>
      <family val="2"/>
    </font>
    <font>
      <sz val="8"/>
      <color indexed="12"/>
      <name val="Helv"/>
    </font>
    <font>
      <sz val="10"/>
      <name val="Geneva"/>
    </font>
    <font>
      <sz val="8"/>
      <color indexed="12"/>
      <name val="Arial"/>
      <family val="2"/>
    </font>
    <font>
      <sz val="8"/>
      <color indexed="12"/>
      <name val="Trebuchet MS"/>
      <family val="2"/>
    </font>
    <font>
      <b/>
      <sz val="8"/>
      <color indexed="12"/>
      <name val="Arial"/>
      <family val="2"/>
    </font>
    <font>
      <b/>
      <sz val="14"/>
      <name val="Arial"/>
      <family val="2"/>
    </font>
    <font>
      <b/>
      <sz val="10"/>
      <color indexed="9"/>
      <name val="Arial"/>
      <family val="2"/>
    </font>
    <font>
      <b/>
      <sz val="8"/>
      <color indexed="12"/>
      <name val="Trebuchet MS"/>
      <family val="2"/>
    </font>
    <font>
      <sz val="8"/>
      <name val="Tms Rmn"/>
    </font>
    <font>
      <b/>
      <sz val="8"/>
      <name val="Times New Roman"/>
      <family val="1"/>
    </font>
    <font>
      <b/>
      <i/>
      <sz val="11"/>
      <color indexed="9"/>
      <name val="Times New Roman"/>
      <family val="1"/>
    </font>
    <font>
      <sz val="10"/>
      <color indexed="12"/>
      <name val="Helvetica"/>
      <family val="2"/>
    </font>
    <font>
      <sz val="9"/>
      <color indexed="18"/>
      <name val="CharterITC BT"/>
      <family val="1"/>
    </font>
    <font>
      <b/>
      <sz val="8"/>
      <color indexed="12"/>
      <name val="Times New Roman"/>
      <family val="1"/>
    </font>
    <font>
      <sz val="12"/>
      <name val="Tms Rmn"/>
    </font>
    <font>
      <b/>
      <sz val="18"/>
      <name val="Tms Rmn"/>
    </font>
    <font>
      <b/>
      <sz val="12"/>
      <name val="Times New Roman"/>
      <family val="1"/>
    </font>
    <font>
      <sz val="10"/>
      <color indexed="17"/>
      <name val="Times New Roman"/>
      <family val="1"/>
    </font>
    <font>
      <b/>
      <sz val="10"/>
      <name val="Helv"/>
    </font>
    <font>
      <b/>
      <i/>
      <sz val="12"/>
      <name val="Times New Roman"/>
      <family val="1"/>
    </font>
    <font>
      <sz val="10"/>
      <name val="Univers 47 CondensedLight"/>
    </font>
    <font>
      <i/>
      <sz val="8"/>
      <color indexed="12"/>
      <name val="Arial"/>
      <family val="2"/>
    </font>
    <font>
      <b/>
      <sz val="10"/>
      <color indexed="8"/>
      <name val="Times New Roman"/>
      <family val="1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8"/>
      <name val="Times"/>
      <family val="1"/>
    </font>
    <font>
      <sz val="10"/>
      <color indexed="8"/>
      <name val="Arial"/>
      <family val="2"/>
    </font>
    <font>
      <b/>
      <sz val="11"/>
      <name val="Helvetica"/>
      <family val="2"/>
    </font>
    <font>
      <sz val="10"/>
      <name val="Verdana"/>
      <family val="2"/>
    </font>
    <font>
      <sz val="10"/>
      <color indexed="18"/>
      <name val="Times New Roman"/>
      <family val="1"/>
    </font>
    <font>
      <b/>
      <sz val="10"/>
      <color indexed="37"/>
      <name val="Times New Roman"/>
      <family val="1"/>
    </font>
    <font>
      <b/>
      <sz val="8"/>
      <name val="Arial"/>
      <family val="2"/>
    </font>
    <font>
      <b/>
      <u val="singleAccounting"/>
      <sz val="8"/>
      <name val="Arial"/>
      <family val="2"/>
    </font>
    <font>
      <sz val="9"/>
      <name val="Trebuchet MS"/>
      <family val="2"/>
    </font>
    <font>
      <sz val="10"/>
      <name val="Geneva"/>
    </font>
    <font>
      <sz val="8"/>
      <color indexed="12"/>
      <name val="Times New Roman"/>
      <family val="1"/>
    </font>
    <font>
      <sz val="8"/>
      <name val="Palatino"/>
      <family val="1"/>
    </font>
    <font>
      <sz val="8"/>
      <color theme="1"/>
      <name val="Calibri"/>
      <family val="2"/>
      <scheme val="minor"/>
    </font>
    <font>
      <sz val="10"/>
      <name val="BERNHARD"/>
    </font>
    <font>
      <sz val="10"/>
      <color indexed="0"/>
      <name val="MS Sans Serif"/>
      <family val="2"/>
    </font>
    <font>
      <sz val="24"/>
      <name val="MS Sans Serif"/>
      <family val="2"/>
    </font>
    <font>
      <b/>
      <sz val="11"/>
      <name val="Times New Roman"/>
      <family val="1"/>
    </font>
    <font>
      <b/>
      <sz val="11"/>
      <color indexed="12"/>
      <name val="Arial"/>
      <family val="2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b/>
      <sz val="8"/>
      <color indexed="14"/>
      <name val="Arial"/>
      <family val="2"/>
    </font>
    <font>
      <sz val="8"/>
      <color indexed="16"/>
      <name val="Palatino"/>
      <family val="1"/>
    </font>
    <font>
      <sz val="10"/>
      <color indexed="16"/>
      <name val="Times New Roman"/>
      <family val="1"/>
    </font>
    <font>
      <sz val="8"/>
      <name val="Helv"/>
    </font>
    <font>
      <b/>
      <sz val="14"/>
      <color indexed="10"/>
      <name val="Times New Roman"/>
      <family val="1"/>
    </font>
    <font>
      <sz val="9"/>
      <color indexed="12"/>
      <name val="Trebuchet MS"/>
      <family val="2"/>
    </font>
    <font>
      <b/>
      <sz val="10"/>
      <name val="Helvetica"/>
      <family val="2"/>
    </font>
    <font>
      <b/>
      <sz val="9"/>
      <name val="Times New Roman"/>
      <family val="1"/>
    </font>
    <font>
      <sz val="1"/>
      <color indexed="8"/>
      <name val="Courier"/>
      <family val="3"/>
    </font>
    <font>
      <sz val="10"/>
      <color indexed="12"/>
      <name val="Geneva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vertAlign val="superscript"/>
      <sz val="8.5"/>
      <name val="Arial"/>
      <family val="2"/>
    </font>
    <font>
      <sz val="9"/>
      <name val="Times New Roman"/>
      <family val="1"/>
    </font>
    <font>
      <sz val="11"/>
      <name val="Book Antiqua"/>
      <family val="1"/>
    </font>
    <font>
      <sz val="8"/>
      <color indexed="57"/>
      <name val="Trebuchet MS"/>
      <family val="2"/>
    </font>
    <font>
      <i/>
      <sz val="8"/>
      <color indexed="12"/>
      <name val="Times New Roman"/>
      <family val="1"/>
    </font>
    <font>
      <sz val="8"/>
      <color indexed="17"/>
      <name val="Times New Roman"/>
      <family val="1"/>
    </font>
    <font>
      <sz val="8"/>
      <color indexed="21"/>
      <name val="Arial"/>
      <family val="2"/>
    </font>
    <font>
      <b/>
      <sz val="8"/>
      <color indexed="9"/>
      <name val="Arial"/>
      <family val="2"/>
    </font>
    <font>
      <sz val="10"/>
      <color indexed="48"/>
      <name val="Helvetica"/>
      <family val="2"/>
    </font>
    <font>
      <sz val="6"/>
      <color indexed="16"/>
      <name val="Palatino"/>
      <family val="1"/>
    </font>
    <font>
      <sz val="6"/>
      <name val="Palatino"/>
      <family val="1"/>
    </font>
    <font>
      <b/>
      <sz val="8"/>
      <name val="Palatino"/>
      <family val="1"/>
    </font>
    <font>
      <b/>
      <sz val="9"/>
      <name val="Arial"/>
      <family val="2"/>
    </font>
    <font>
      <b/>
      <sz val="10"/>
      <color indexed="18"/>
      <name val="Times New Roman"/>
      <family val="1"/>
    </font>
    <font>
      <b/>
      <sz val="1"/>
      <color indexed="8"/>
      <name val="Courier"/>
      <family val="3"/>
    </font>
    <font>
      <b/>
      <sz val="12"/>
      <name val="Helv"/>
    </font>
    <font>
      <sz val="14"/>
      <color indexed="9"/>
      <name val="Univers Condensed"/>
      <family val="2"/>
    </font>
    <font>
      <b/>
      <sz val="8"/>
      <name val="MS Sans Serif"/>
      <family val="2"/>
    </font>
    <font>
      <b/>
      <sz val="7"/>
      <color indexed="8"/>
      <name val="Tms Rmn"/>
    </font>
    <font>
      <sz val="7"/>
      <color indexed="8"/>
      <name val="Tms Rmn"/>
    </font>
    <font>
      <sz val="10"/>
      <color indexed="39"/>
      <name val="Arial"/>
      <family val="2"/>
    </font>
    <font>
      <u/>
      <sz val="10"/>
      <color indexed="12"/>
      <name val="Arial"/>
      <family val="2"/>
    </font>
    <font>
      <u/>
      <sz val="9"/>
      <color indexed="12"/>
      <name val="Arial"/>
      <family val="2"/>
    </font>
    <font>
      <sz val="10"/>
      <color indexed="17"/>
      <name val="Helvetica"/>
      <family val="2"/>
    </font>
    <font>
      <sz val="10"/>
      <color indexed="16"/>
      <name val="Arial"/>
      <family val="2"/>
    </font>
    <font>
      <i/>
      <sz val="8"/>
      <name val="Arial"/>
      <family val="2"/>
    </font>
    <font>
      <sz val="12"/>
      <color indexed="12"/>
      <name val="Times New Roman"/>
      <family val="1"/>
    </font>
    <font>
      <sz val="8"/>
      <color indexed="12"/>
      <name val="Helvetica"/>
      <family val="2"/>
    </font>
    <font>
      <b/>
      <sz val="10"/>
      <color indexed="9"/>
      <name val="Tms Rmn"/>
    </font>
    <font>
      <b/>
      <sz val="10"/>
      <name val="MS Sans Serif"/>
      <family val="2"/>
    </font>
    <font>
      <u/>
      <sz val="10"/>
      <color indexed="36"/>
      <name val="Arial"/>
      <family val="2"/>
    </font>
    <font>
      <sz val="10"/>
      <color indexed="11"/>
      <name val="Arial"/>
      <family val="2"/>
    </font>
    <font>
      <sz val="18"/>
      <color indexed="17"/>
      <name val="Arial"/>
      <family val="2"/>
    </font>
    <font>
      <sz val="8"/>
      <color indexed="8"/>
      <name val="Helv"/>
    </font>
    <font>
      <sz val="8"/>
      <color indexed="18"/>
      <name val="Times New Roman"/>
      <family val="1"/>
    </font>
    <font>
      <sz val="10"/>
      <color indexed="20"/>
      <name val="Times New Roman"/>
      <family val="1"/>
    </font>
    <font>
      <sz val="10"/>
      <name val="Comic Sans MS"/>
      <family val="4"/>
    </font>
    <font>
      <b/>
      <u/>
      <sz val="12"/>
      <name val="Helv"/>
    </font>
    <font>
      <b/>
      <sz val="11"/>
      <name val="Helv"/>
    </font>
    <font>
      <sz val="7"/>
      <name val="Small Fonts"/>
      <family val="2"/>
    </font>
    <font>
      <sz val="10"/>
      <name val="Tms Rmn"/>
    </font>
    <font>
      <sz val="11"/>
      <color theme="1"/>
      <name val="Calibri"/>
      <family val="2"/>
      <scheme val="minor"/>
    </font>
    <font>
      <sz val="12"/>
      <name val="Helv"/>
    </font>
    <font>
      <sz val="8"/>
      <name val="Helv"/>
    </font>
    <font>
      <sz val="10"/>
      <name val="Palatino"/>
      <family val="1"/>
    </font>
    <font>
      <i/>
      <sz val="10"/>
      <name val="Helv"/>
    </font>
    <font>
      <sz val="10"/>
      <name val="Garamond"/>
      <family val="1"/>
    </font>
    <font>
      <sz val="8"/>
      <name val="Dutch"/>
    </font>
    <font>
      <b/>
      <sz val="13.5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10"/>
      <color indexed="17"/>
      <name val="Arial"/>
      <family val="2"/>
    </font>
    <font>
      <b/>
      <sz val="10"/>
      <color indexed="13"/>
      <name val="Arial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color indexed="16"/>
      <name val="Helvetica-Black"/>
    </font>
    <font>
      <b/>
      <u/>
      <sz val="10"/>
      <name val="Helv"/>
    </font>
    <font>
      <sz val="10"/>
      <color indexed="10"/>
      <name val="Geneva"/>
    </font>
    <font>
      <sz val="22"/>
      <name val="UBSHeadline"/>
      <family val="1"/>
    </font>
    <font>
      <u val="singleAccounting"/>
      <sz val="11"/>
      <name val="Times New Roman"/>
      <family val="1"/>
    </font>
    <font>
      <sz val="11"/>
      <name val="Times New Roman"/>
      <family val="1"/>
    </font>
    <font>
      <i/>
      <sz val="9"/>
      <name val="Trebuchet MS"/>
      <family val="2"/>
    </font>
    <font>
      <sz val="10"/>
      <color indexed="8"/>
      <name val="Times New Roman"/>
      <family val="1"/>
    </font>
    <font>
      <b/>
      <sz val="10"/>
      <name val="Arial CE"/>
      <family val="2"/>
    </font>
    <font>
      <sz val="10"/>
      <color indexed="10"/>
      <name val="Arial"/>
      <family val="2"/>
    </font>
    <font>
      <b/>
      <sz val="8"/>
      <color indexed="18"/>
      <name val="Times New Roman"/>
      <family val="1"/>
    </font>
    <font>
      <sz val="12"/>
      <color indexed="9"/>
      <name val="Helvetica"/>
      <family val="2"/>
    </font>
    <font>
      <b/>
      <sz val="14"/>
      <name val="Times New Roman"/>
      <family val="1"/>
    </font>
    <font>
      <u/>
      <sz val="10"/>
      <name val="GillSans"/>
      <family val="2"/>
    </font>
    <font>
      <b/>
      <i/>
      <sz val="16"/>
      <name val="Arial"/>
      <family val="2"/>
    </font>
    <font>
      <b/>
      <sz val="10"/>
      <color indexed="32"/>
      <name val="Arial"/>
      <family val="2"/>
    </font>
    <font>
      <b/>
      <sz val="12"/>
      <color indexed="32"/>
      <name val="Arial"/>
      <family val="2"/>
    </font>
    <font>
      <i/>
      <sz val="11"/>
      <name val="Arial"/>
      <family val="2"/>
    </font>
    <font>
      <sz val="7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0"/>
      <name val="Times New Roman"/>
      <family val="1"/>
    </font>
    <font>
      <sz val="8"/>
      <name val="Wingdings"/>
      <charset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0"/>
      <color indexed="23"/>
      <name val="MS Sans Serif"/>
      <family val="2"/>
    </font>
    <font>
      <b/>
      <sz val="12"/>
      <name val="MS Sans Serif"/>
      <family val="2"/>
    </font>
    <font>
      <sz val="8"/>
      <color indexed="9"/>
      <name val="Arial Black"/>
      <family val="2"/>
    </font>
    <font>
      <u/>
      <sz val="9"/>
      <color indexed="36"/>
      <name val="Arial"/>
      <family val="2"/>
    </font>
    <font>
      <b/>
      <sz val="16"/>
      <color indexed="16"/>
      <name val="Arial"/>
      <family val="2"/>
    </font>
    <font>
      <b/>
      <sz val="9"/>
      <color indexed="12"/>
      <name val="Times New Roman"/>
      <family val="1"/>
    </font>
    <font>
      <sz val="8"/>
      <name val="MS Sans Serif"/>
      <family val="2"/>
    </font>
    <font>
      <b/>
      <sz val="10"/>
      <color indexed="10"/>
      <name val="Arial"/>
      <family val="2"/>
    </font>
    <font>
      <sz val="10"/>
      <name val="Century Schoolbook"/>
      <family val="1"/>
    </font>
    <font>
      <b/>
      <sz val="10"/>
      <color indexed="9"/>
      <name val="Helvetica"/>
      <family val="2"/>
    </font>
    <font>
      <b/>
      <sz val="16"/>
      <color indexed="9"/>
      <name val="Helvetica"/>
      <family val="2"/>
    </font>
    <font>
      <b/>
      <sz val="24"/>
      <name val="Arial"/>
      <family val="2"/>
    </font>
    <font>
      <b/>
      <sz val="10"/>
      <color indexed="12"/>
      <name val="Arial"/>
      <family val="2"/>
    </font>
    <font>
      <b/>
      <sz val="11"/>
      <color indexed="23"/>
      <name val="Arial"/>
      <family val="2"/>
    </font>
    <font>
      <b/>
      <sz val="12"/>
      <color indexed="9"/>
      <name val="Arial"/>
      <family val="2"/>
    </font>
    <font>
      <sz val="8"/>
      <color indexed="39"/>
      <name val="Arial"/>
      <family val="2"/>
    </font>
    <font>
      <u/>
      <sz val="8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9"/>
      <color indexed="10"/>
      <name val="Arial"/>
      <family val="2"/>
    </font>
    <font>
      <b/>
      <sz val="11"/>
      <color indexed="33"/>
      <name val="Arial"/>
      <family val="2"/>
    </font>
    <font>
      <sz val="9"/>
      <color indexed="33"/>
      <name val="Arial"/>
      <family val="2"/>
    </font>
    <font>
      <sz val="9"/>
      <color indexed="9"/>
      <name val="Arial"/>
      <family val="2"/>
    </font>
    <font>
      <sz val="9"/>
      <color indexed="39"/>
      <name val="Arial"/>
      <family val="2"/>
    </font>
    <font>
      <b/>
      <sz val="10"/>
      <color indexed="33"/>
      <name val="Arial"/>
      <family val="2"/>
    </font>
    <font>
      <sz val="7"/>
      <name val="Arial"/>
      <family val="2"/>
    </font>
    <font>
      <b/>
      <sz val="14"/>
      <name val="Helvetica"/>
      <family val="2"/>
    </font>
    <font>
      <sz val="10"/>
      <name val="Arial Black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color indexed="16"/>
      <name val="Arial"/>
      <family val="2"/>
    </font>
    <font>
      <sz val="9"/>
      <name val="Helvetica-Black"/>
    </font>
    <font>
      <b/>
      <u val="singleAccounting"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sz val="6"/>
      <name val="Arial"/>
      <family val="2"/>
    </font>
    <font>
      <b/>
      <sz val="12"/>
      <name val="GillSans"/>
      <family val="2"/>
    </font>
    <font>
      <sz val="12"/>
      <color indexed="8"/>
      <name val="Palatino"/>
      <family val="1"/>
    </font>
    <font>
      <sz val="11"/>
      <color indexed="8"/>
      <name val="Helvetica-Black"/>
    </font>
    <font>
      <b/>
      <sz val="16"/>
      <color indexed="62"/>
      <name val="Arial"/>
      <family val="2"/>
    </font>
    <font>
      <b/>
      <sz val="10"/>
      <color indexed="16"/>
      <name val="Times New Roman"/>
      <family val="1"/>
    </font>
    <font>
      <u/>
      <sz val="11"/>
      <name val="GillSans"/>
      <family val="2"/>
    </font>
    <font>
      <i/>
      <sz val="10"/>
      <name val="Times New Roman"/>
      <family val="1"/>
    </font>
    <font>
      <b/>
      <sz val="7"/>
      <color indexed="12"/>
      <name val="Arial"/>
      <family val="2"/>
    </font>
    <font>
      <u val="doubleAccounting"/>
      <sz val="10"/>
      <name val="Arial"/>
      <family val="2"/>
    </font>
    <font>
      <sz val="12"/>
      <color indexed="12"/>
      <name val="Arial"/>
      <family val="2"/>
    </font>
    <font>
      <b/>
      <sz val="9"/>
      <color indexed="10"/>
      <name val="Wingdings"/>
      <charset val="2"/>
    </font>
    <font>
      <sz val="8"/>
      <name val="Verdan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name val="Helvetica"/>
      <family val="2"/>
    </font>
    <font>
      <b/>
      <sz val="10"/>
      <color rgb="FFFF0000"/>
      <name val="Calibri"/>
      <family val="2"/>
    </font>
    <font>
      <b/>
      <sz val="10"/>
      <color rgb="FF3366FF"/>
      <name val="Calibri"/>
      <family val="2"/>
    </font>
    <font>
      <sz val="10"/>
      <color rgb="FF3366FF"/>
      <name val="Calibri"/>
      <family val="2"/>
    </font>
    <font>
      <sz val="10"/>
      <color rgb="FF00B0F0"/>
      <name val="Calibri"/>
      <family val="2"/>
    </font>
    <font>
      <b/>
      <sz val="10"/>
      <color rgb="FF00B0F0"/>
      <name val="Calibri"/>
      <family val="2"/>
    </font>
    <font>
      <sz val="9"/>
      <name val="Tahoma"/>
      <family val="2"/>
    </font>
    <font>
      <b/>
      <sz val="15"/>
      <name val="Tahoma"/>
      <family val="2"/>
    </font>
    <font>
      <b/>
      <sz val="9"/>
      <name val="Tahoma"/>
      <family val="2"/>
    </font>
    <font>
      <sz val="7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sz val="10"/>
      <color indexed="15"/>
      <name val="Arial"/>
      <family val="2"/>
    </font>
    <font>
      <sz val="10"/>
      <color indexed="48"/>
      <name val="Arial"/>
      <family val="2"/>
    </font>
    <font>
      <sz val="9"/>
      <color rgb="FFFF0000"/>
      <name val="Arial"/>
      <family val="2"/>
    </font>
    <font>
      <sz val="10"/>
      <color indexed="60"/>
      <name val="Arial"/>
      <family val="2"/>
    </font>
    <font>
      <sz val="10"/>
      <color rgb="FF00B0F0"/>
      <name val="Arial"/>
      <family val="2"/>
    </font>
    <font>
      <b/>
      <sz val="10"/>
      <color theme="4"/>
      <name val="Arial"/>
      <family val="2"/>
    </font>
    <font>
      <sz val="10"/>
      <name val="Calibri"/>
      <family val="2"/>
    </font>
    <font>
      <sz val="10"/>
      <color theme="0" tint="-0.14999847407452621"/>
      <name val="Calibri"/>
      <family val="2"/>
    </font>
    <font>
      <b/>
      <sz val="10"/>
      <color theme="0" tint="-0.14999847407452621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00B050"/>
      <name val="Calibri"/>
      <family val="2"/>
    </font>
    <font>
      <sz val="10"/>
      <color rgb="FF006336"/>
      <name val="Calibri"/>
      <family val="2"/>
    </font>
    <font>
      <b/>
      <sz val="10"/>
      <color rgb="FF006336"/>
      <name val="Calibri"/>
      <family val="2"/>
    </font>
  </fonts>
  <fills count="84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lightGray">
        <fgColor indexed="15"/>
        <bgColor indexed="9"/>
      </patternFill>
    </fill>
    <fill>
      <patternFill patternType="solid">
        <fgColor indexed="18"/>
        <bgColor indexed="64"/>
      </patternFill>
    </fill>
    <fill>
      <patternFill patternType="solid">
        <fgColor indexed="8"/>
        <bgColor indexed="64"/>
      </patternFill>
    </fill>
    <fill>
      <patternFill patternType="darkGray">
        <fgColor indexed="9"/>
        <bgColor indexed="10"/>
      </patternFill>
    </fill>
    <fill>
      <patternFill patternType="mediumGray">
        <fgColor indexed="9"/>
        <bgColor indexed="12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lightGray">
        <fgColor indexed="12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62"/>
        <bgColor indexed="64"/>
      </patternFill>
    </fill>
    <fill>
      <patternFill patternType="mediumGray"/>
    </fill>
    <fill>
      <patternFill patternType="darkTrellis">
        <fgColor indexed="13"/>
        <bgColor indexed="9"/>
      </patternFill>
    </fill>
    <fill>
      <patternFill patternType="solid">
        <fgColor indexed="13"/>
      </patternFill>
    </fill>
    <fill>
      <patternFill patternType="mediumGray">
        <fgColor indexed="9"/>
        <bgColor indexed="22"/>
      </patternFill>
    </fill>
    <fill>
      <patternFill patternType="solid">
        <fgColor indexed="29"/>
        <bgColor indexed="0"/>
      </patternFill>
    </fill>
    <fill>
      <patternFill patternType="solid">
        <fgColor indexed="31"/>
        <bgColor indexed="64"/>
      </patternFill>
    </fill>
    <fill>
      <patternFill patternType="solid">
        <fgColor indexed="9"/>
      </patternFill>
    </fill>
    <fill>
      <patternFill patternType="solid">
        <fgColor indexed="17"/>
      </patternFill>
    </fill>
    <fill>
      <patternFill patternType="solid">
        <fgColor indexed="10"/>
        <bgColor indexed="64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5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0"/>
        <bgColor indexed="64"/>
      </patternFill>
    </fill>
    <fill>
      <patternFill patternType="solid">
        <fgColor indexed="63"/>
        <bgColor indexed="64"/>
      </patternFill>
    </fill>
    <fill>
      <patternFill patternType="gray125">
        <fgColor indexed="22"/>
      </patternFill>
    </fill>
    <fill>
      <patternFill patternType="solid">
        <fgColor indexed="12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/>
      <bottom style="thin">
        <color indexed="44"/>
      </bottom>
      <diagonal/>
    </border>
    <border>
      <left/>
      <right/>
      <top style="thin">
        <color indexed="8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12"/>
      </left>
      <right style="dotted">
        <color indexed="12"/>
      </right>
      <top style="dotted">
        <color indexed="12"/>
      </top>
      <bottom style="dotted">
        <color indexed="1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dotted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55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double">
        <color indexed="64"/>
      </left>
      <right/>
      <top/>
      <bottom/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18"/>
      </bottom>
      <diagonal/>
    </border>
    <border>
      <left/>
      <right/>
      <top style="double">
        <color indexed="8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623">
    <xf numFmtId="0" fontId="0" fillId="0" borderId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11" borderId="0" applyNumberFormat="0" applyBorder="0" applyAlignment="0" applyProtection="0"/>
    <xf numFmtId="0" fontId="18" fillId="0" borderId="0" applyNumberFormat="0" applyFont="0" applyFill="0" applyBorder="0" applyProtection="0">
      <alignment horizontal="centerContinuous"/>
    </xf>
    <xf numFmtId="0" fontId="19" fillId="2" borderId="0" applyNumberFormat="0" applyBorder="0" applyAlignment="0" applyProtection="0"/>
    <xf numFmtId="0" fontId="18" fillId="0" borderId="1" applyNumberFormat="0" applyFont="0" applyFill="0" applyAlignment="0" applyProtection="0"/>
    <xf numFmtId="0" fontId="20" fillId="12" borderId="2" applyNumberFormat="0" applyAlignment="0" applyProtection="0"/>
    <xf numFmtId="0" fontId="18" fillId="0" borderId="0" applyNumberFormat="0" applyFont="0" applyFill="0" applyBorder="0" applyProtection="0">
      <alignment horizontal="center"/>
    </xf>
    <xf numFmtId="0" fontId="21" fillId="13" borderId="3" applyNumberFormat="0" applyAlignment="0" applyProtection="0"/>
    <xf numFmtId="170" fontId="14" fillId="0" borderId="0" applyFont="0" applyFill="0" applyBorder="0" applyAlignment="0" applyProtection="0"/>
    <xf numFmtId="166" fontId="22" fillId="0" borderId="4">
      <protection locked="0"/>
    </xf>
    <xf numFmtId="0" fontId="18" fillId="0" borderId="5" applyNumberFormat="0" applyFont="0" applyFill="0" applyAlignment="0" applyProtection="0"/>
    <xf numFmtId="182" fontId="1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3" borderId="0" applyNumberFormat="0" applyBorder="0" applyAlignment="0" applyProtection="0"/>
    <xf numFmtId="0" fontId="25" fillId="0" borderId="6" applyNumberFormat="0" applyFill="0" applyAlignment="0" applyProtection="0"/>
    <xf numFmtId="0" fontId="26" fillId="0" borderId="7" applyNumberFormat="0" applyFill="0" applyAlignment="0" applyProtection="0"/>
    <xf numFmtId="0" fontId="27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28" fillId="4" borderId="2" applyNumberFormat="0" applyAlignment="0" applyProtection="0"/>
    <xf numFmtId="0" fontId="29" fillId="0" borderId="9" applyNumberFormat="0" applyFill="0" applyAlignment="0" applyProtection="0"/>
    <xf numFmtId="0" fontId="30" fillId="14" borderId="0" applyNumberFormat="0" applyBorder="0" applyAlignment="0" applyProtection="0"/>
    <xf numFmtId="0" fontId="31" fillId="15" borderId="10" applyNumberFormat="0" applyFont="0" applyAlignment="0" applyProtection="0"/>
    <xf numFmtId="0" fontId="32" fillId="0" borderId="0" applyNumberFormat="0" applyFill="0" applyBorder="0" applyAlignment="0" applyProtection="0"/>
    <xf numFmtId="171" fontId="33" fillId="0" borderId="0" applyNumberFormat="0" applyFill="0" applyBorder="0" applyAlignment="0" applyProtection="0"/>
    <xf numFmtId="0" fontId="18" fillId="0" borderId="11" applyNumberFormat="0" applyFont="0" applyFill="0" applyAlignment="0" applyProtection="0"/>
    <xf numFmtId="0" fontId="34" fillId="12" borderId="12" applyNumberFormat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3" applyNumberFormat="0" applyFill="0" applyAlignment="0" applyProtection="0"/>
    <xf numFmtId="0" fontId="37" fillId="0" borderId="0" applyNumberFormat="0" applyFill="0" applyBorder="0" applyAlignment="0" applyProtection="0"/>
    <xf numFmtId="0" fontId="14" fillId="0" borderId="0"/>
    <xf numFmtId="169" fontId="14" fillId="0" borderId="0" applyFont="0" applyFill="0" applyBorder="0" applyAlignment="0" applyProtection="0"/>
    <xf numFmtId="0" fontId="31" fillId="0" borderId="0"/>
    <xf numFmtId="0" fontId="40" fillId="0" borderId="0"/>
    <xf numFmtId="0" fontId="41" fillId="0" borderId="0"/>
    <xf numFmtId="0" fontId="42" fillId="0" borderId="0"/>
    <xf numFmtId="38" fontId="31" fillId="0" borderId="0"/>
    <xf numFmtId="38" fontId="43" fillId="0" borderId="0"/>
    <xf numFmtId="183" fontId="44" fillId="0" borderId="0">
      <alignment horizontal="right"/>
      <protection locked="0"/>
    </xf>
    <xf numFmtId="0" fontId="42" fillId="0" borderId="0">
      <alignment horizontal="right"/>
    </xf>
    <xf numFmtId="184" fontId="31" fillId="17" borderId="0"/>
    <xf numFmtId="185" fontId="31" fillId="17" borderId="0"/>
    <xf numFmtId="184" fontId="31" fillId="17" borderId="0"/>
    <xf numFmtId="186" fontId="31" fillId="17" borderId="0"/>
    <xf numFmtId="187" fontId="31" fillId="17" borderId="0">
      <alignment horizontal="right"/>
    </xf>
    <xf numFmtId="0" fontId="45" fillId="0" borderId="0" applyFont="0" applyFill="0" applyBorder="0" applyAlignment="0" applyProtection="0"/>
    <xf numFmtId="9" fontId="31" fillId="0" borderId="0"/>
    <xf numFmtId="9" fontId="43" fillId="0" borderId="0"/>
    <xf numFmtId="188" fontId="45" fillId="0" borderId="0" applyFont="0" applyFill="0" applyBorder="0" applyAlignment="0" applyProtection="0"/>
    <xf numFmtId="189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90" fontId="47" fillId="0" borderId="0" applyFont="0" applyFill="0" applyBorder="0" applyAlignment="0" applyProtection="0"/>
    <xf numFmtId="191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3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189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37" fontId="45" fillId="0" borderId="0" applyFont="0" applyFill="0" applyBorder="0" applyAlignment="0" applyProtection="0"/>
    <xf numFmtId="188" fontId="45" fillId="0" borderId="0" applyFont="0" applyFill="0" applyBorder="0" applyAlignment="0" applyProtection="0"/>
    <xf numFmtId="189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90" fontId="47" fillId="0" borderId="0" applyFont="0" applyFill="0" applyBorder="0" applyAlignment="0" applyProtection="0"/>
    <xf numFmtId="191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3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194" fontId="48" fillId="0" borderId="0" applyBorder="0" applyAlignment="0" applyProtection="0"/>
    <xf numFmtId="191" fontId="48" fillId="0" borderId="0" applyFont="0" applyFill="0" applyBorder="0" applyAlignment="0" applyProtection="0"/>
    <xf numFmtId="188" fontId="45" fillId="0" borderId="0" applyFont="0" applyFill="0" applyBorder="0" applyAlignment="0" applyProtection="0"/>
    <xf numFmtId="189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90" fontId="47" fillId="0" borderId="0" applyFont="0" applyFill="0" applyBorder="0" applyAlignment="0" applyProtection="0"/>
    <xf numFmtId="191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3" fontId="46" fillId="0" borderId="0" applyFont="0" applyFill="0" applyBorder="0" applyAlignment="0" applyProtection="0"/>
    <xf numFmtId="188" fontId="45" fillId="0" borderId="0" applyFont="0" applyFill="0" applyBorder="0" applyAlignment="0" applyProtection="0"/>
    <xf numFmtId="192" fontId="48" fillId="0" borderId="0" applyFont="0" applyFill="0" applyBorder="0" applyAlignment="0" applyProtection="0"/>
    <xf numFmtId="190" fontId="47" fillId="0" borderId="0" applyFont="0" applyFill="0" applyBorder="0" applyAlignment="0" applyProtection="0"/>
    <xf numFmtId="37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188" fontId="49" fillId="0" borderId="0" applyFont="0" applyFill="0" applyBorder="0" applyAlignment="0" applyProtection="0"/>
    <xf numFmtId="37" fontId="46" fillId="0" borderId="0" applyAlignment="0" applyProtection="0"/>
    <xf numFmtId="168" fontId="31" fillId="0" borderId="0" applyNumberFormat="0" applyAlignment="0">
      <alignment horizontal="right"/>
    </xf>
    <xf numFmtId="0" fontId="41" fillId="0" borderId="0" applyFont="0" applyFill="0" applyBorder="0" applyAlignment="0"/>
    <xf numFmtId="0" fontId="50" fillId="0" borderId="0">
      <alignment horizontal="right"/>
    </xf>
    <xf numFmtId="0" fontId="51" fillId="0" borderId="0"/>
    <xf numFmtId="0" fontId="46" fillId="0" borderId="0"/>
    <xf numFmtId="195" fontId="31" fillId="0" borderId="0" applyFont="0" applyFill="0" applyBorder="0" applyAlignment="0" applyProtection="0"/>
    <xf numFmtId="195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195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195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0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48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196" fontId="31" fillId="0" borderId="0" applyFont="0" applyFill="0" applyBorder="0" applyAlignment="0" applyProtection="0"/>
    <xf numFmtId="196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197" fontId="46" fillId="0" borderId="0" applyFont="0" applyFill="0" applyBorder="0" applyAlignment="0" applyProtection="0"/>
    <xf numFmtId="197" fontId="46" fillId="0" borderId="0" applyFont="0" applyFill="0" applyBorder="0" applyAlignment="0" applyProtection="0"/>
    <xf numFmtId="37" fontId="31" fillId="0" borderId="0" applyFont="0" applyFill="0" applyBorder="0" applyAlignment="0" applyProtection="0"/>
    <xf numFmtId="198" fontId="46" fillId="0" borderId="0" applyFont="0" applyFill="0" applyBorder="0" applyAlignment="0" applyProtection="0"/>
    <xf numFmtId="199" fontId="48" fillId="0" borderId="0" applyFont="0" applyFill="0" applyBorder="0" applyAlignment="0" applyProtection="0"/>
    <xf numFmtId="37" fontId="31" fillId="0" borderId="0" applyFont="0" applyFill="0" applyBorder="0" applyAlignment="0" applyProtection="0"/>
    <xf numFmtId="200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194" fontId="31" fillId="0" borderId="0" applyFont="0" applyFill="0" applyBorder="0" applyAlignment="0" applyProtection="0"/>
    <xf numFmtId="201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201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201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52" fillId="0" borderId="0" applyFont="0" applyFill="0" applyBorder="0" applyAlignment="0" applyProtection="0"/>
    <xf numFmtId="37" fontId="46" fillId="0" borderId="0" applyFont="0" applyFill="0" applyBorder="0" applyAlignment="0" applyProtection="0"/>
    <xf numFmtId="201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48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202" fontId="46" fillId="0" borderId="0" applyFont="0" applyFill="0" applyBorder="0" applyAlignment="0" applyProtection="0"/>
    <xf numFmtId="203" fontId="31" fillId="0" borderId="0" applyFont="0" applyFill="0" applyBorder="0" applyAlignment="0" applyProtection="0"/>
    <xf numFmtId="204" fontId="48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205" fontId="31" fillId="0" borderId="0" applyFont="0" applyFill="0" applyBorder="0" applyAlignment="0" applyProtection="0"/>
    <xf numFmtId="38" fontId="53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ont="0" applyFill="0" applyBorder="0" applyAlignment="0" applyProtection="0"/>
    <xf numFmtId="0" fontId="56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38" fontId="53" fillId="0" borderId="0" applyFont="0" applyFill="0" applyBorder="0" applyAlignment="0" applyProtection="0"/>
    <xf numFmtId="37" fontId="57" fillId="0" borderId="0"/>
    <xf numFmtId="0" fontId="5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>
      <alignment vertical="center"/>
    </xf>
    <xf numFmtId="0" fontId="31" fillId="0" borderId="0" applyNumberFormat="0" applyFill="0" applyBorder="0" applyAlignment="0" applyProtection="0"/>
    <xf numFmtId="0" fontId="31" fillId="0" borderId="0">
      <alignment vertical="center"/>
    </xf>
    <xf numFmtId="0" fontId="54" fillId="0" borderId="0" applyNumberFormat="0" applyFill="0" applyBorder="0" applyAlignment="0" applyProtection="0"/>
    <xf numFmtId="0" fontId="58" fillId="0" borderId="0"/>
    <xf numFmtId="38" fontId="53" fillId="0" borderId="0" applyFont="0" applyFill="0" applyBorder="0" applyAlignment="0" applyProtection="0"/>
    <xf numFmtId="0" fontId="31" fillId="0" borderId="0">
      <alignment vertical="center"/>
    </xf>
    <xf numFmtId="0" fontId="31" fillId="0" borderId="0" applyNumberFormat="0" applyFill="0" applyBorder="0" applyAlignment="0" applyProtection="0"/>
    <xf numFmtId="0" fontId="31" fillId="0" borderId="0">
      <alignment vertical="center"/>
    </xf>
    <xf numFmtId="0" fontId="56" fillId="0" borderId="0">
      <alignment vertical="center"/>
    </xf>
    <xf numFmtId="0" fontId="31" fillId="0" borderId="0">
      <alignment vertical="center"/>
    </xf>
    <xf numFmtId="0" fontId="31" fillId="0" borderId="0" applyNumberFormat="0" applyFill="0" applyBorder="0" applyAlignment="0" applyProtection="0"/>
    <xf numFmtId="38" fontId="53" fillId="0" borderId="0" applyFont="0" applyFill="0" applyBorder="0" applyAlignment="0" applyProtection="0"/>
    <xf numFmtId="0" fontId="31" fillId="0" borderId="0" applyFont="0" applyFill="0" applyBorder="0" applyAlignment="0" applyProtection="0"/>
    <xf numFmtId="38" fontId="31" fillId="0" borderId="0" applyFont="0" applyFill="0" applyBorder="0" applyAlignment="0" applyProtection="0"/>
    <xf numFmtId="0" fontId="31" fillId="0" borderId="0">
      <alignment vertical="center"/>
    </xf>
    <xf numFmtId="37" fontId="57" fillId="0" borderId="0"/>
    <xf numFmtId="206" fontId="31" fillId="0" borderId="0" applyFont="0" applyFill="0" applyBorder="0" applyAlignment="0" applyProtection="0"/>
    <xf numFmtId="206" fontId="31" fillId="0" borderId="0" applyFont="0" applyFill="0" applyBorder="0" applyAlignment="0" applyProtection="0"/>
    <xf numFmtId="207" fontId="31" fillId="0" borderId="0" applyFont="0" applyFill="0" applyBorder="0" applyAlignment="0" applyProtection="0"/>
    <xf numFmtId="206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206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207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207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0" fontId="55" fillId="0" borderId="0" applyNumberFormat="0" applyFont="0" applyFill="0" applyBorder="0" applyAlignment="0" applyProtection="0"/>
    <xf numFmtId="38" fontId="53" fillId="0" borderId="0" applyFont="0" applyFill="0" applyBorder="0" applyAlignment="0" applyProtection="0"/>
    <xf numFmtId="38" fontId="53" fillId="0" borderId="0" applyFont="0" applyFill="0" applyBorder="0" applyAlignment="0" applyProtection="0"/>
    <xf numFmtId="38" fontId="53" fillId="0" borderId="0" applyFont="0" applyFill="0" applyBorder="0" applyAlignment="0" applyProtection="0"/>
    <xf numFmtId="38" fontId="5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38" fontId="5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208" fontId="31" fillId="0" borderId="0" applyFont="0" applyFill="0" applyBorder="0" applyAlignment="0" applyProtection="0"/>
    <xf numFmtId="37" fontId="48" fillId="0" borderId="0" applyFont="0" applyFill="0" applyBorder="0" applyAlignment="0" applyProtection="0"/>
    <xf numFmtId="208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208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31" fillId="0" borderId="0" applyFont="0" applyFill="0" applyBorder="0" applyAlignment="0" applyProtection="0"/>
    <xf numFmtId="208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31" fillId="0" borderId="0" applyFont="0" applyFill="0" applyBorder="0" applyAlignment="0" applyProtection="0"/>
    <xf numFmtId="179" fontId="48" fillId="0" borderId="0" applyFont="0" applyFill="0" applyBorder="0" applyAlignment="0" applyProtection="0"/>
    <xf numFmtId="179" fontId="48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201" fontId="44" fillId="0" borderId="0" applyFont="0" applyFill="0" applyBorder="0" applyAlignment="0" applyProtection="0"/>
    <xf numFmtId="172" fontId="44" fillId="0" borderId="0" applyFont="0" applyFill="0" applyBorder="0" applyAlignment="0" applyProtection="0"/>
    <xf numFmtId="172" fontId="44" fillId="0" borderId="0" applyFont="0" applyFill="0" applyBorder="0" applyAlignment="0" applyProtection="0"/>
    <xf numFmtId="202" fontId="44" fillId="0" borderId="0" applyFont="0" applyFill="0" applyBorder="0" applyAlignment="0" applyProtection="0"/>
    <xf numFmtId="209" fontId="46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179" fontId="48" fillId="0" borderId="0" applyFont="0" applyFill="0" applyBorder="0" applyAlignment="0" applyProtection="0"/>
    <xf numFmtId="179" fontId="48" fillId="0" borderId="0" applyFont="0" applyFill="0" applyBorder="0" applyAlignment="0" applyProtection="0"/>
    <xf numFmtId="37" fontId="46" fillId="0" borderId="0" applyFont="0" applyFill="0" applyBorder="0" applyAlignment="0" applyProtection="0"/>
    <xf numFmtId="172" fontId="44" fillId="0" borderId="0" applyFont="0" applyFill="0" applyBorder="0" applyAlignment="0" applyProtection="0"/>
    <xf numFmtId="37" fontId="46" fillId="0" borderId="0" applyFont="0" applyFill="0" applyBorder="0" applyAlignment="0" applyProtection="0"/>
    <xf numFmtId="172" fontId="44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202" fontId="44" fillId="0" borderId="0" applyFont="0" applyFill="0" applyBorder="0" applyAlignment="0" applyProtection="0"/>
    <xf numFmtId="200" fontId="46" fillId="0" borderId="0" applyFont="0" applyFill="0" applyBorder="0" applyAlignment="0" applyProtection="0"/>
    <xf numFmtId="210" fontId="44" fillId="0" borderId="0" applyFont="0" applyFill="0" applyBorder="0" applyAlignment="0" applyProtection="0"/>
    <xf numFmtId="210" fontId="44" fillId="0" borderId="0" applyFont="0" applyFill="0" applyBorder="0" applyAlignment="0" applyProtection="0"/>
    <xf numFmtId="211" fontId="44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31" fillId="0" borderId="0" applyFont="0" applyFill="0" applyBorder="0" applyAlignment="0" applyProtection="0"/>
    <xf numFmtId="202" fontId="31" fillId="0" borderId="0" applyFont="0" applyFill="0" applyBorder="0" applyAlignment="0" applyProtection="0"/>
    <xf numFmtId="202" fontId="31" fillId="0" borderId="0" applyFont="0" applyFill="0" applyBorder="0" applyAlignment="0" applyProtection="0"/>
    <xf numFmtId="39" fontId="31" fillId="0" borderId="0" applyFont="0" applyFill="0" applyBorder="0" applyAlignment="0" applyProtection="0"/>
    <xf numFmtId="202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202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39" fontId="31" fillId="0" borderId="0" applyFont="0" applyFill="0" applyBorder="0" applyAlignment="0" applyProtection="0"/>
    <xf numFmtId="39" fontId="59" fillId="0" borderId="0" applyFont="0" applyFill="0" applyBorder="0" applyAlignment="0" applyProtection="0"/>
    <xf numFmtId="39" fontId="31" fillId="0" borderId="0" applyFont="0" applyFill="0" applyBorder="0" applyAlignment="0" applyProtection="0"/>
    <xf numFmtId="39" fontId="59" fillId="0" borderId="0" applyFont="0" applyFill="0" applyBorder="0" applyAlignment="0" applyProtection="0"/>
    <xf numFmtId="212" fontId="31" fillId="0" borderId="0" applyFont="0" applyFill="0" applyBorder="0" applyAlignment="0" applyProtection="0"/>
    <xf numFmtId="213" fontId="48" fillId="0" borderId="0" applyFont="0" applyFill="0" applyBorder="0" applyAlignment="0" applyProtection="0"/>
    <xf numFmtId="37" fontId="46" fillId="0" borderId="0" applyFont="0" applyFill="0" applyBorder="0" applyAlignment="0" applyProtection="0"/>
    <xf numFmtId="191" fontId="31" fillId="0" borderId="0" applyFont="0" applyFill="0" applyBorder="0" applyAlignment="0" applyProtection="0"/>
    <xf numFmtId="214" fontId="31" fillId="0" borderId="0" applyFont="0" applyFill="0" applyBorder="0" applyAlignment="0" applyProtection="0"/>
    <xf numFmtId="214" fontId="31" fillId="0" borderId="0" applyFont="0" applyFill="0" applyBorder="0" applyAlignment="0" applyProtection="0"/>
    <xf numFmtId="215" fontId="31" fillId="0" borderId="0" applyFont="0" applyFill="0" applyBorder="0" applyAlignment="0" applyProtection="0"/>
    <xf numFmtId="215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215" fontId="31" fillId="0" borderId="0" applyFont="0" applyFill="0" applyBorder="0" applyAlignment="0" applyProtection="0"/>
    <xf numFmtId="215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21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214" fontId="31" fillId="0" borderId="0" applyFont="0" applyFill="0" applyBorder="0" applyAlignment="0" applyProtection="0"/>
    <xf numFmtId="216" fontId="44" fillId="0" borderId="0" applyFont="0" applyFill="0" applyBorder="0" applyAlignment="0" applyProtection="0"/>
    <xf numFmtId="37" fontId="46" fillId="0" borderId="0" applyFont="0" applyFill="0" applyBorder="0" applyAlignment="0" applyProtection="0"/>
    <xf numFmtId="217" fontId="48" fillId="0" borderId="0" applyFont="0" applyFill="0" applyBorder="0" applyAlignment="0" applyProtection="0"/>
    <xf numFmtId="210" fontId="31" fillId="0" borderId="0" applyFont="0" applyFill="0" applyBorder="0" applyAlignment="0" applyProtection="0"/>
    <xf numFmtId="210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48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205" fontId="44" fillId="0" borderId="0" applyFont="0" applyFill="0" applyBorder="0" applyAlignment="0" applyProtection="0"/>
    <xf numFmtId="214" fontId="31" fillId="0" borderId="0" applyFont="0" applyFill="0" applyBorder="0" applyAlignment="0" applyProtection="0"/>
    <xf numFmtId="215" fontId="31" fillId="0" borderId="0" applyFont="0" applyFill="0" applyBorder="0" applyAlignment="0" applyProtection="0"/>
    <xf numFmtId="215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31" fillId="0" borderId="0" applyFont="0" applyFill="0" applyBorder="0" applyAlignment="0" applyProtection="0"/>
    <xf numFmtId="215" fontId="31" fillId="0" borderId="0" applyFont="0" applyFill="0" applyBorder="0" applyAlignment="0" applyProtection="0"/>
    <xf numFmtId="215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215" fontId="31" fillId="0" borderId="0" applyFont="0" applyFill="0" applyBorder="0" applyAlignment="0" applyProtection="0"/>
    <xf numFmtId="215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218" fontId="31" fillId="0" borderId="0" applyFont="0" applyFill="0" applyBorder="0" applyAlignment="0" applyProtection="0"/>
    <xf numFmtId="219" fontId="46" fillId="0" borderId="0" applyFont="0" applyFill="0" applyBorder="0" applyAlignment="0" applyProtection="0"/>
    <xf numFmtId="219" fontId="46" fillId="0" borderId="0" applyFont="0" applyFill="0" applyBorder="0" applyAlignment="0" applyProtection="0"/>
    <xf numFmtId="220" fontId="44" fillId="0" borderId="0" applyFont="0" applyFill="0" applyBorder="0" applyAlignment="0" applyProtection="0"/>
    <xf numFmtId="221" fontId="46" fillId="0" borderId="0" applyFont="0" applyFill="0" applyBorder="0" applyAlignment="0" applyProtection="0"/>
    <xf numFmtId="218" fontId="31" fillId="0" borderId="0" applyFont="0" applyFill="0" applyBorder="0" applyAlignment="0" applyProtection="0"/>
    <xf numFmtId="222" fontId="44" fillId="0" borderId="0" applyFont="0" applyFill="0" applyBorder="0" applyAlignment="0" applyProtection="0"/>
    <xf numFmtId="37" fontId="31" fillId="0" borderId="0" applyFont="0" applyFill="0" applyBorder="0" applyAlignment="0" applyProtection="0"/>
    <xf numFmtId="14" fontId="31" fillId="0" borderId="0" applyFont="0" applyFill="0" applyBorder="0" applyAlignment="0" applyProtection="0"/>
    <xf numFmtId="223" fontId="48" fillId="0" borderId="0" applyFont="0" applyFill="0" applyBorder="0" applyAlignment="0" applyProtection="0"/>
    <xf numFmtId="179" fontId="48" fillId="0" borderId="0" applyFont="0" applyFill="0" applyBorder="0" applyAlignment="0" applyProtection="0"/>
    <xf numFmtId="215" fontId="31" fillId="0" borderId="0" applyFont="0" applyFill="0" applyBorder="0" applyAlignment="0" applyProtection="0"/>
    <xf numFmtId="215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214" fontId="31" fillId="0" borderId="0" applyFont="0" applyFill="0" applyBorder="0" applyAlignment="0" applyProtection="0"/>
    <xf numFmtId="224" fontId="48" fillId="0" borderId="0" applyFont="0" applyFill="0" applyBorder="0" applyAlignment="0" applyProtection="0"/>
    <xf numFmtId="37" fontId="46" fillId="0" borderId="0" applyFont="0" applyFill="0" applyBorder="0" applyAlignment="0" applyProtection="0"/>
    <xf numFmtId="220" fontId="31" fillId="0" borderId="0" applyFont="0" applyFill="0" applyBorder="0" applyAlignment="0" applyProtection="0"/>
    <xf numFmtId="38" fontId="31" fillId="0" borderId="0" applyFont="0" applyFill="0" applyBorder="0" applyAlignment="0" applyProtection="0"/>
    <xf numFmtId="38" fontId="53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1" fillId="14" borderId="0" applyNumberFormat="0" applyFont="0" applyAlignment="0" applyProtection="0"/>
    <xf numFmtId="0" fontId="56" fillId="0" borderId="0">
      <alignment vertical="center"/>
    </xf>
    <xf numFmtId="0" fontId="56" fillId="0" borderId="0">
      <alignment vertical="center"/>
    </xf>
    <xf numFmtId="0" fontId="31" fillId="0" borderId="0">
      <alignment vertical="center"/>
    </xf>
    <xf numFmtId="0" fontId="58" fillId="0" borderId="0"/>
    <xf numFmtId="0" fontId="55" fillId="0" borderId="0" applyNumberForma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56" fillId="0" borderId="0">
      <alignment vertical="center"/>
    </xf>
    <xf numFmtId="0" fontId="31" fillId="0" borderId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56" fillId="0" borderId="0">
      <alignment vertical="center"/>
    </xf>
    <xf numFmtId="0" fontId="31" fillId="0" borderId="0" applyFont="0" applyFill="0" applyBorder="0" applyAlignment="0" applyProtection="0"/>
    <xf numFmtId="0" fontId="31" fillId="0" borderId="0">
      <alignment vertical="center"/>
    </xf>
    <xf numFmtId="0" fontId="31" fillId="0" borderId="0" applyNumberForma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>
      <alignment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38" fontId="53" fillId="0" borderId="0" applyFont="0" applyFill="0" applyBorder="0" applyAlignment="0" applyProtection="0"/>
    <xf numFmtId="0" fontId="31" fillId="0" borderId="0">
      <alignment vertical="center"/>
    </xf>
    <xf numFmtId="38" fontId="53" fillId="0" borderId="0" applyFont="0" applyFill="0" applyBorder="0" applyAlignment="0" applyProtection="0"/>
    <xf numFmtId="0" fontId="31" fillId="0" borderId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225" fontId="31" fillId="0" borderId="0" applyFont="0" applyFill="0" applyBorder="0" applyAlignment="0" applyProtection="0"/>
    <xf numFmtId="225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225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37" fontId="48" fillId="0" borderId="0" applyFont="0" applyFill="0" applyBorder="0" applyAlignment="0" applyProtection="0"/>
    <xf numFmtId="173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8" fillId="0" borderId="0" applyFont="0" applyFill="0" applyBorder="0" applyAlignment="0" applyProtection="0"/>
    <xf numFmtId="173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3" fontId="46" fillId="0" borderId="0" applyFont="0" applyFill="0" applyBorder="0" applyAlignment="0" applyProtection="0"/>
    <xf numFmtId="37" fontId="48" fillId="0" borderId="0" applyFont="0" applyFill="0" applyBorder="0" applyAlignment="0" applyProtection="0"/>
    <xf numFmtId="37" fontId="31" fillId="0" borderId="0" applyFont="0" applyFill="0" applyBorder="0" applyAlignment="0" applyProtection="0"/>
    <xf numFmtId="225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0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0" fontId="31" fillId="0" borderId="0" applyFont="0" applyFill="0" applyBorder="0" applyAlignment="0" applyProtection="0"/>
    <xf numFmtId="189" fontId="46" fillId="0" borderId="0" applyFont="0" applyFill="0" applyBorder="0" applyAlignment="0" applyProtection="0"/>
    <xf numFmtId="37" fontId="48" fillId="0" borderId="0" applyFont="0" applyFill="0" applyBorder="0" applyAlignment="0" applyProtection="0"/>
    <xf numFmtId="189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191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0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226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37" fontId="31" fillId="0" borderId="0" applyFont="0" applyFill="0" applyBorder="0" applyAlignment="0" applyProtection="0"/>
    <xf numFmtId="227" fontId="31" fillId="0" borderId="0" applyFont="0" applyFill="0" applyBorder="0" applyProtection="0">
      <alignment horizontal="right"/>
    </xf>
    <xf numFmtId="37" fontId="48" fillId="0" borderId="0" applyFont="0" applyFill="0" applyBorder="0" applyAlignment="0" applyProtection="0"/>
    <xf numFmtId="227" fontId="31" fillId="0" borderId="0" applyFont="0" applyFill="0" applyBorder="0" applyProtection="0">
      <alignment horizontal="right"/>
    </xf>
    <xf numFmtId="37" fontId="46" fillId="0" borderId="0" applyFont="0" applyFill="0" applyBorder="0" applyAlignment="0" applyProtection="0"/>
    <xf numFmtId="227" fontId="31" fillId="0" borderId="0" applyFont="0" applyFill="0" applyBorder="0" applyProtection="0">
      <alignment horizontal="right"/>
    </xf>
    <xf numFmtId="37" fontId="31" fillId="0" borderId="0" applyFont="0" applyFill="0" applyBorder="0" applyProtection="0">
      <alignment horizontal="right"/>
    </xf>
    <xf numFmtId="37" fontId="48" fillId="0" borderId="0" applyFont="0" applyFill="0" applyBorder="0" applyAlignment="0" applyProtection="0"/>
    <xf numFmtId="227" fontId="31" fillId="0" borderId="0" applyFont="0" applyFill="0" applyBorder="0" applyProtection="0">
      <alignment horizontal="right"/>
    </xf>
    <xf numFmtId="37" fontId="46" fillId="0" borderId="0" applyFont="0" applyFill="0" applyBorder="0" applyProtection="0">
      <alignment horizontal="right"/>
    </xf>
    <xf numFmtId="37" fontId="46" fillId="0" borderId="0" applyFont="0" applyFill="0" applyBorder="0" applyProtection="0">
      <alignment horizontal="right"/>
    </xf>
    <xf numFmtId="37" fontId="46" fillId="0" borderId="0" applyFont="0" applyFill="0" applyBorder="0" applyProtection="0">
      <alignment horizontal="right"/>
    </xf>
    <xf numFmtId="37" fontId="44" fillId="0" borderId="0" applyFont="0" applyFill="0" applyBorder="0" applyProtection="0">
      <alignment horizontal="right"/>
    </xf>
    <xf numFmtId="37" fontId="52" fillId="0" borderId="0" applyFont="0" applyFill="0" applyBorder="0" applyProtection="0">
      <alignment horizontal="right"/>
    </xf>
    <xf numFmtId="37" fontId="46" fillId="0" borderId="0" applyFont="0" applyFill="0" applyBorder="0" applyProtection="0">
      <alignment horizontal="right"/>
    </xf>
    <xf numFmtId="37" fontId="46" fillId="0" borderId="0" applyFont="0" applyFill="0" applyBorder="0" applyProtection="0">
      <alignment horizontal="right"/>
    </xf>
    <xf numFmtId="37" fontId="46" fillId="0" borderId="0" applyFont="0" applyFill="0" applyBorder="0" applyProtection="0">
      <alignment horizontal="right"/>
    </xf>
    <xf numFmtId="37" fontId="46" fillId="0" borderId="0" applyFont="0" applyFill="0" applyBorder="0" applyProtection="0">
      <alignment horizontal="right"/>
    </xf>
    <xf numFmtId="37" fontId="46" fillId="0" borderId="0" applyFont="0" applyFill="0" applyBorder="0" applyProtection="0">
      <alignment horizontal="right"/>
    </xf>
    <xf numFmtId="37" fontId="48" fillId="0" borderId="0" applyFont="0" applyFill="0" applyBorder="0" applyProtection="0">
      <alignment horizontal="right"/>
    </xf>
    <xf numFmtId="37" fontId="46" fillId="0" borderId="0" applyFont="0" applyFill="0" applyBorder="0" applyProtection="0">
      <alignment horizontal="right"/>
    </xf>
    <xf numFmtId="37" fontId="48" fillId="0" borderId="0" applyFont="0" applyFill="0" applyBorder="0" applyProtection="0">
      <alignment horizontal="right"/>
    </xf>
    <xf numFmtId="37" fontId="46" fillId="0" borderId="0" applyFont="0" applyFill="0" applyBorder="0" applyProtection="0">
      <alignment horizontal="right"/>
    </xf>
    <xf numFmtId="37" fontId="31" fillId="0" borderId="0" applyFont="0" applyFill="0" applyBorder="0" applyProtection="0">
      <alignment horizontal="right"/>
    </xf>
    <xf numFmtId="37" fontId="31" fillId="0" borderId="0" applyFont="0" applyFill="0" applyBorder="0" applyProtection="0">
      <alignment horizontal="right"/>
    </xf>
    <xf numFmtId="37" fontId="31" fillId="0" borderId="0" applyFont="0" applyFill="0" applyBorder="0" applyProtection="0">
      <alignment horizontal="right"/>
    </xf>
    <xf numFmtId="37" fontId="31" fillId="0" borderId="0" applyFont="0" applyFill="0" applyBorder="0" applyProtection="0">
      <alignment horizontal="right"/>
    </xf>
    <xf numFmtId="37" fontId="31" fillId="0" borderId="0" applyFont="0" applyFill="0" applyBorder="0" applyProtection="0">
      <alignment horizontal="right"/>
    </xf>
    <xf numFmtId="37" fontId="46" fillId="0" borderId="0" applyFont="0" applyFill="0" applyBorder="0" applyProtection="0">
      <alignment horizontal="right"/>
    </xf>
    <xf numFmtId="178" fontId="31" fillId="0" borderId="0" applyFont="0" applyFill="0" applyBorder="0" applyAlignment="0" applyProtection="0"/>
    <xf numFmtId="228" fontId="46" fillId="0" borderId="0" applyFont="0" applyFill="0" applyBorder="0" applyAlignment="0" applyProtection="0"/>
    <xf numFmtId="228" fontId="46" fillId="0" borderId="0" applyFont="0" applyFill="0" applyBorder="0" applyAlignment="0" applyProtection="0"/>
    <xf numFmtId="195" fontId="44" fillId="0" borderId="0" applyFont="0" applyFill="0" applyBorder="0" applyAlignment="0" applyProtection="0"/>
    <xf numFmtId="229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230" fontId="31" fillId="0" borderId="0" applyFont="0" applyFill="0" applyBorder="0" applyAlignment="0" applyProtection="0"/>
    <xf numFmtId="37" fontId="48" fillId="0" borderId="0" applyFont="0" applyFill="0" applyBorder="0" applyAlignment="0" applyProtection="0"/>
    <xf numFmtId="230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230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214" fontId="46" fillId="0" borderId="0" applyFont="0" applyFill="0" applyBorder="0" applyProtection="0">
      <alignment horizontal="right"/>
    </xf>
    <xf numFmtId="231" fontId="31" fillId="0" borderId="0" applyFont="0" applyFill="0" applyBorder="0" applyProtection="0">
      <alignment horizontal="right"/>
    </xf>
    <xf numFmtId="232" fontId="48" fillId="0" borderId="0" applyFont="0" applyFill="0" applyBorder="0" applyProtection="0">
      <alignment horizontal="right"/>
    </xf>
    <xf numFmtId="37" fontId="48" fillId="0" borderId="0" applyFont="0" applyFill="0" applyBorder="0" applyAlignment="0" applyProtection="0"/>
    <xf numFmtId="37" fontId="44" fillId="0" borderId="0" applyFont="0" applyFill="0" applyBorder="0" applyProtection="0">
      <alignment horizontal="right"/>
    </xf>
    <xf numFmtId="199" fontId="46" fillId="0" borderId="0" applyFont="0" applyFill="0" applyBorder="0" applyProtection="0">
      <alignment horizontal="right"/>
    </xf>
    <xf numFmtId="233" fontId="46" fillId="0" borderId="0" applyFont="0" applyFill="0" applyBorder="0" applyProtection="0">
      <alignment horizontal="right"/>
    </xf>
    <xf numFmtId="0" fontId="31" fillId="0" borderId="0">
      <alignment vertical="center"/>
    </xf>
    <xf numFmtId="38" fontId="53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38" fontId="53" fillId="0" borderId="0" applyFont="0" applyFill="0" applyBorder="0" applyAlignment="0" applyProtection="0"/>
    <xf numFmtId="179" fontId="44" fillId="0" borderId="0" applyFont="0" applyFill="0" applyBorder="0" applyAlignment="0" applyProtection="0"/>
    <xf numFmtId="37" fontId="48" fillId="0" borderId="0" applyFont="0" applyFill="0" applyBorder="0" applyAlignment="0" applyProtection="0"/>
    <xf numFmtId="179" fontId="44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8" fillId="0" borderId="0" applyFont="0" applyFill="0" applyBorder="0" applyAlignment="0" applyProtection="0"/>
    <xf numFmtId="234" fontId="44" fillId="0" borderId="0" applyFont="0" applyFill="0" applyBorder="0" applyAlignment="0" applyProtection="0"/>
    <xf numFmtId="37" fontId="46" fillId="0" borderId="0" applyFont="0" applyFill="0" applyBorder="0" applyAlignment="0" applyProtection="0"/>
    <xf numFmtId="190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190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8" fillId="0" borderId="0" applyFont="0" applyFill="0" applyBorder="0" applyAlignment="0" applyProtection="0"/>
    <xf numFmtId="235" fontId="44" fillId="0" borderId="0" applyFont="0" applyFill="0" applyBorder="0" applyAlignment="0" applyProtection="0"/>
    <xf numFmtId="37" fontId="46" fillId="0" borderId="0" applyFont="0" applyFill="0" applyBorder="0" applyAlignment="0" applyProtection="0"/>
    <xf numFmtId="178" fontId="31" fillId="0" borderId="0" applyFont="0" applyFill="0" applyBorder="0" applyAlignment="0" applyProtection="0"/>
    <xf numFmtId="37" fontId="48" fillId="0" borderId="0" applyFont="0" applyFill="0" applyBorder="0" applyAlignment="0" applyProtection="0"/>
    <xf numFmtId="236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201" fontId="44" fillId="0" borderId="0" applyFont="0" applyFill="0" applyBorder="0" applyAlignment="0" applyProtection="0"/>
    <xf numFmtId="209" fontId="46" fillId="0" borderId="0" applyFont="0" applyFill="0" applyBorder="0" applyAlignment="0" applyProtection="0"/>
    <xf numFmtId="37" fontId="48" fillId="0" borderId="0" applyFont="0" applyFill="0" applyBorder="0" applyAlignment="0" applyProtection="0"/>
    <xf numFmtId="2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8" fillId="0" borderId="0" applyFont="0" applyFill="0" applyBorder="0" applyAlignment="0" applyProtection="0"/>
    <xf numFmtId="238" fontId="44" fillId="0" borderId="0" applyFont="0" applyFill="0" applyBorder="0" applyAlignment="0" applyProtection="0"/>
    <xf numFmtId="226" fontId="46" fillId="0" borderId="0" applyFont="0" applyFill="0" applyBorder="0" applyAlignment="0" applyProtection="0"/>
    <xf numFmtId="228" fontId="46" fillId="0" borderId="0" applyFont="0" applyFill="0" applyBorder="0" applyAlignment="0" applyProtection="0"/>
    <xf numFmtId="37" fontId="48" fillId="0" borderId="0" applyFont="0" applyFill="0" applyBorder="0" applyAlignment="0" applyProtection="0"/>
    <xf numFmtId="228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8" fillId="0" borderId="0" applyFont="0" applyFill="0" applyBorder="0" applyAlignment="0" applyProtection="0"/>
    <xf numFmtId="195" fontId="44" fillId="0" borderId="0" applyFont="0" applyFill="0" applyBorder="0" applyAlignment="0" applyProtection="0"/>
    <xf numFmtId="37" fontId="46" fillId="0" borderId="0" applyFont="0" applyFill="0" applyBorder="0" applyAlignment="0" applyProtection="0"/>
    <xf numFmtId="239" fontId="44" fillId="0" borderId="0" applyFont="0" applyFill="0" applyBorder="0" applyAlignment="0" applyProtection="0"/>
    <xf numFmtId="239" fontId="44" fillId="0" borderId="0" applyFont="0" applyFill="0" applyBorder="0" applyAlignment="0" applyProtection="0"/>
    <xf numFmtId="216" fontId="44" fillId="0" borderId="0" applyFont="0" applyFill="0" applyBorder="0" applyAlignment="0" applyProtection="0"/>
    <xf numFmtId="37" fontId="48" fillId="0" borderId="0" applyFont="0" applyFill="0" applyBorder="0" applyAlignment="0" applyProtection="0"/>
    <xf numFmtId="229" fontId="46" fillId="0" borderId="0" applyFont="0" applyFill="0" applyBorder="0" applyAlignment="0" applyProtection="0"/>
    <xf numFmtId="173" fontId="31" fillId="0" borderId="0" applyFont="0" applyFill="0" applyBorder="0" applyAlignment="0" applyProtection="0"/>
    <xf numFmtId="37" fontId="48" fillId="0" borderId="0" applyFont="0" applyFill="0" applyBorder="0" applyAlignment="0" applyProtection="0"/>
    <xf numFmtId="240" fontId="46" fillId="0" borderId="0" applyFont="0" applyFill="0" applyBorder="0" applyAlignment="0" applyProtection="0"/>
    <xf numFmtId="38" fontId="53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>
      <alignment vertical="center"/>
    </xf>
    <xf numFmtId="0" fontId="56" fillId="0" borderId="0">
      <alignment vertical="center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6" fillId="0" borderId="0">
      <alignment vertical="center"/>
    </xf>
    <xf numFmtId="0" fontId="56" fillId="0" borderId="0">
      <alignment vertical="center"/>
    </xf>
    <xf numFmtId="0" fontId="31" fillId="0" borderId="0" applyNumberFormat="0" applyFill="0" applyBorder="0" applyAlignment="0" applyProtection="0"/>
    <xf numFmtId="170" fontId="61" fillId="0" borderId="0" applyFont="0" applyFill="0" applyBorder="0" applyAlignment="0" applyProtection="0"/>
    <xf numFmtId="38" fontId="5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56" fillId="0" borderId="0">
      <alignment vertical="center"/>
    </xf>
    <xf numFmtId="0" fontId="31" fillId="0" borderId="0">
      <alignment vertical="center"/>
    </xf>
    <xf numFmtId="0" fontId="55" fillId="0" borderId="0" applyNumberFormat="0" applyFill="0" applyBorder="0" applyAlignment="0" applyProtection="0"/>
    <xf numFmtId="38" fontId="53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5" fillId="0" borderId="0" applyNumberFormat="0" applyFont="0" applyFill="0" applyBorder="0" applyAlignment="0" applyProtection="0"/>
    <xf numFmtId="38" fontId="53" fillId="0" borderId="0" applyFont="0" applyFill="0" applyBorder="0" applyAlignment="0" applyProtection="0"/>
    <xf numFmtId="0" fontId="62" fillId="0" borderId="0" applyNumberFormat="0" applyFill="0" applyBorder="0" applyProtection="0">
      <alignment vertical="top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63" fillId="0" borderId="28" applyNumberFormat="0" applyFill="0" applyAlignment="0" applyProtection="0"/>
    <xf numFmtId="0" fontId="64" fillId="0" borderId="29" applyNumberFormat="0" applyFill="0" applyProtection="0">
      <alignment horizontal="center"/>
    </xf>
    <xf numFmtId="0" fontId="64" fillId="0" borderId="0" applyNumberFormat="0" applyFill="0" applyBorder="0" applyProtection="0">
      <alignment horizontal="left"/>
    </xf>
    <xf numFmtId="0" fontId="65" fillId="0" borderId="0" applyNumberFormat="0" applyFill="0" applyBorder="0" applyProtection="0">
      <alignment horizontal="centerContinuous"/>
    </xf>
    <xf numFmtId="0" fontId="31" fillId="0" borderId="0"/>
    <xf numFmtId="0" fontId="31" fillId="0" borderId="0"/>
    <xf numFmtId="0" fontId="5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 applyNumberFormat="0" applyFill="0" applyBorder="0" applyAlignment="0" applyProtection="0"/>
    <xf numFmtId="38" fontId="31" fillId="0" borderId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31" fillId="0" borderId="0" applyNumberFormat="0" applyFill="0" applyBorder="0" applyAlignment="0" applyProtection="0"/>
    <xf numFmtId="3" fontId="66" fillId="0" borderId="0"/>
    <xf numFmtId="0" fontId="56" fillId="0" borderId="0">
      <alignment vertical="center"/>
    </xf>
    <xf numFmtId="0" fontId="56" fillId="0" borderId="0">
      <alignment vertical="center"/>
    </xf>
    <xf numFmtId="0" fontId="31" fillId="0" borderId="0">
      <alignment vertical="center"/>
    </xf>
    <xf numFmtId="0" fontId="58" fillId="0" borderId="0"/>
    <xf numFmtId="0" fontId="56" fillId="0" borderId="0">
      <alignment vertical="center"/>
    </xf>
    <xf numFmtId="191" fontId="67" fillId="0" borderId="0" applyFont="0" applyFill="0" applyBorder="0" applyAlignment="0" applyProtection="0"/>
    <xf numFmtId="220" fontId="67" fillId="0" borderId="0" applyFont="0" applyFill="0" applyBorder="0" applyAlignment="0" applyProtection="0"/>
    <xf numFmtId="168" fontId="31" fillId="0" borderId="0" applyFont="0" applyFill="0" applyBorder="0" applyAlignment="0" applyProtection="0"/>
    <xf numFmtId="0" fontId="41" fillId="0" borderId="0"/>
    <xf numFmtId="0" fontId="41" fillId="0" borderId="0"/>
    <xf numFmtId="0" fontId="53" fillId="0" borderId="0"/>
    <xf numFmtId="9" fontId="31" fillId="0" borderId="0"/>
    <xf numFmtId="0" fontId="31" fillId="0" borderId="0"/>
    <xf numFmtId="0" fontId="53" fillId="0" borderId="0"/>
    <xf numFmtId="0" fontId="53" fillId="0" borderId="0"/>
    <xf numFmtId="2" fontId="53" fillId="0" borderId="0"/>
    <xf numFmtId="10" fontId="53" fillId="0" borderId="0"/>
    <xf numFmtId="1" fontId="68" fillId="0" borderId="0"/>
    <xf numFmtId="0" fontId="53" fillId="0" borderId="0"/>
    <xf numFmtId="1" fontId="68" fillId="0" borderId="0"/>
    <xf numFmtId="0" fontId="53" fillId="0" borderId="0"/>
    <xf numFmtId="1" fontId="68" fillId="0" borderId="0"/>
    <xf numFmtId="0" fontId="53" fillId="0" borderId="0"/>
    <xf numFmtId="0" fontId="53" fillId="0" borderId="0"/>
    <xf numFmtId="1" fontId="68" fillId="0" borderId="0"/>
    <xf numFmtId="0" fontId="53" fillId="0" borderId="0"/>
    <xf numFmtId="0" fontId="53" fillId="0" borderId="0"/>
    <xf numFmtId="0" fontId="53" fillId="0" borderId="0"/>
    <xf numFmtId="1" fontId="68" fillId="0" borderId="0"/>
    <xf numFmtId="0" fontId="53" fillId="0" borderId="0"/>
    <xf numFmtId="0" fontId="53" fillId="0" borderId="0"/>
    <xf numFmtId="1" fontId="68" fillId="0" borderId="0"/>
    <xf numFmtId="0" fontId="53" fillId="0" borderId="0"/>
    <xf numFmtId="1" fontId="68" fillId="0" borderId="0"/>
    <xf numFmtId="241" fontId="32" fillId="0" borderId="0" applyFont="0" applyFill="0" applyBorder="0" applyAlignment="0" applyProtection="0"/>
    <xf numFmtId="207" fontId="32" fillId="0" borderId="0"/>
    <xf numFmtId="178" fontId="44" fillId="0" borderId="0">
      <alignment horizontal="right"/>
      <protection locked="0"/>
    </xf>
    <xf numFmtId="242" fontId="32" fillId="0" borderId="1" applyFont="0" applyFill="0" applyBorder="0" applyAlignment="0" applyProtection="0">
      <alignment horizontal="right"/>
    </xf>
    <xf numFmtId="37" fontId="41" fillId="0" borderId="0">
      <alignment horizontal="right"/>
    </xf>
    <xf numFmtId="44" fontId="31" fillId="0" borderId="0"/>
    <xf numFmtId="37" fontId="69" fillId="0" borderId="0">
      <alignment horizontal="center"/>
    </xf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7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7" fillId="26" borderId="0" applyNumberFormat="0" applyBorder="0" applyAlignment="0" applyProtection="0"/>
    <xf numFmtId="0" fontId="16" fillId="24" borderId="0" applyNumberFormat="0" applyBorder="0" applyAlignment="0" applyProtection="0"/>
    <xf numFmtId="0" fontId="16" fillId="27" borderId="0" applyNumberFormat="0" applyBorder="0" applyAlignment="0" applyProtection="0"/>
    <xf numFmtId="0" fontId="17" fillId="25" borderId="0" applyNumberFormat="0" applyBorder="0" applyAlignment="0" applyProtection="0"/>
    <xf numFmtId="0" fontId="16" fillId="22" borderId="0" applyNumberFormat="0" applyBorder="0" applyAlignment="0" applyProtection="0"/>
    <xf numFmtId="0" fontId="16" fillId="25" borderId="0" applyNumberFormat="0" applyBorder="0" applyAlignment="0" applyProtection="0"/>
    <xf numFmtId="0" fontId="17" fillId="25" borderId="0" applyNumberFormat="0" applyBorder="0" applyAlignment="0" applyProtection="0"/>
    <xf numFmtId="0" fontId="16" fillId="28" borderId="0" applyNumberFormat="0" applyBorder="0" applyAlignment="0" applyProtection="0"/>
    <xf numFmtId="0" fontId="16" fillId="22" borderId="0" applyNumberFormat="0" applyBorder="0" applyAlignment="0" applyProtection="0"/>
    <xf numFmtId="0" fontId="17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9" borderId="0" applyNumberFormat="0" applyBorder="0" applyAlignment="0" applyProtection="0"/>
    <xf numFmtId="0" fontId="17" fillId="29" borderId="0" applyNumberFormat="0" applyBorder="0" applyAlignment="0" applyProtection="0"/>
    <xf numFmtId="167" fontId="70" fillId="0" borderId="0" applyFont="0"/>
    <xf numFmtId="167" fontId="70" fillId="0" borderId="27" applyFont="0"/>
    <xf numFmtId="168" fontId="70" fillId="0" borderId="0" applyFont="0"/>
    <xf numFmtId="243" fontId="71" fillId="0" borderId="0" applyFont="0" applyFill="0" applyBorder="0" applyAlignment="0" applyProtection="0"/>
    <xf numFmtId="244" fontId="71" fillId="0" borderId="0" applyFont="0" applyFill="0" applyBorder="0" applyAlignment="0" applyProtection="0"/>
    <xf numFmtId="243" fontId="71" fillId="0" borderId="0" applyFont="0" applyFill="0" applyBorder="0" applyAlignment="0" applyProtection="0"/>
    <xf numFmtId="168" fontId="46" fillId="0" borderId="0" applyFont="0" applyFill="0" applyBorder="0" applyAlignment="0" applyProtection="0"/>
    <xf numFmtId="245" fontId="46" fillId="0" borderId="0" applyFont="0" applyFill="0" applyBorder="0" applyAlignment="0" applyProtection="0"/>
    <xf numFmtId="170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246" fontId="46" fillId="0" borderId="0" applyFont="0" applyFill="0" applyBorder="0" applyAlignment="0" applyProtection="0"/>
    <xf numFmtId="169" fontId="46" fillId="0" borderId="0" applyFont="0" applyFill="0" applyBorder="0" applyAlignment="0" applyProtection="0"/>
    <xf numFmtId="247" fontId="46" fillId="0" borderId="0" applyFill="0" applyBorder="0" applyProtection="0">
      <alignment horizontal="right"/>
    </xf>
    <xf numFmtId="0" fontId="32" fillId="0" borderId="0" applyNumberFormat="0" applyAlignment="0"/>
    <xf numFmtId="242" fontId="31" fillId="0" borderId="1">
      <alignment horizontal="centerContinuous"/>
    </xf>
    <xf numFmtId="14" fontId="31" fillId="30" borderId="30">
      <alignment horizontal="center" vertical="center"/>
    </xf>
    <xf numFmtId="37" fontId="46" fillId="0" borderId="1">
      <alignment horizontal="centerContinuous"/>
    </xf>
    <xf numFmtId="239" fontId="44" fillId="0" borderId="20"/>
    <xf numFmtId="218" fontId="46" fillId="0" borderId="1"/>
    <xf numFmtId="0" fontId="53" fillId="0" borderId="0"/>
    <xf numFmtId="218" fontId="46" fillId="0" borderId="23" applyBorder="0"/>
    <xf numFmtId="248" fontId="31" fillId="0" borderId="0">
      <alignment horizontal="left"/>
    </xf>
    <xf numFmtId="249" fontId="31" fillId="0" borderId="0"/>
    <xf numFmtId="0" fontId="41" fillId="0" borderId="0"/>
    <xf numFmtId="0" fontId="72" fillId="0" borderId="0" applyNumberFormat="0" applyProtection="0"/>
    <xf numFmtId="0" fontId="47" fillId="0" borderId="0">
      <alignment horizontal="center" wrapText="1"/>
      <protection locked="0"/>
    </xf>
    <xf numFmtId="0" fontId="73" fillId="0" borderId="18">
      <protection hidden="1"/>
    </xf>
    <xf numFmtId="0" fontId="74" fillId="12" borderId="18" applyNumberFormat="0" applyFont="0" applyBorder="0" applyAlignment="0" applyProtection="0">
      <protection hidden="1"/>
    </xf>
    <xf numFmtId="188" fontId="75" fillId="31" borderId="0" applyNumberFormat="0" applyBorder="0" applyAlignment="0" applyProtection="0"/>
    <xf numFmtId="250" fontId="76" fillId="18" borderId="31"/>
    <xf numFmtId="207" fontId="43" fillId="31" borderId="0" applyBorder="0" applyAlignment="0" applyProtection="0"/>
    <xf numFmtId="188" fontId="43" fillId="31" borderId="0" applyBorder="0" applyAlignment="0" applyProtection="0"/>
    <xf numFmtId="251" fontId="43" fillId="31" borderId="0" applyBorder="0" applyAlignment="0" applyProtection="0"/>
    <xf numFmtId="174" fontId="77" fillId="18" borderId="0"/>
    <xf numFmtId="252" fontId="46" fillId="18" borderId="0" applyBorder="0"/>
    <xf numFmtId="207" fontId="43" fillId="31" borderId="0" applyBorder="0" applyAlignment="0" applyProtection="0"/>
    <xf numFmtId="37" fontId="31" fillId="18" borderId="11" applyNumberFormat="0" applyFont="0" applyAlignment="0" applyProtection="0"/>
    <xf numFmtId="0" fontId="31" fillId="0" borderId="0"/>
    <xf numFmtId="3" fontId="32" fillId="19" borderId="0" applyBorder="0"/>
    <xf numFmtId="3" fontId="32" fillId="19" borderId="0" applyBorder="0"/>
    <xf numFmtId="0" fontId="50" fillId="0" borderId="0" applyNumberFormat="0" applyFill="0" applyBorder="0" applyAlignment="0" applyProtection="0"/>
    <xf numFmtId="3" fontId="32" fillId="19" borderId="0" applyBorder="0"/>
    <xf numFmtId="3" fontId="78" fillId="32" borderId="21" applyNumberFormat="0" applyBorder="0" applyAlignment="0">
      <alignment vertical="center"/>
    </xf>
    <xf numFmtId="253" fontId="44" fillId="0" borderId="0" applyFont="0" applyFill="0" applyBorder="0" applyAlignment="0" applyProtection="0"/>
    <xf numFmtId="254" fontId="47" fillId="0" borderId="0" applyFont="0" applyFill="0" applyBorder="0" applyAlignment="0" applyProtection="0"/>
    <xf numFmtId="0" fontId="79" fillId="33" borderId="32" applyNumberFormat="0" applyAlignment="0" applyProtection="0"/>
    <xf numFmtId="173" fontId="80" fillId="18" borderId="11"/>
    <xf numFmtId="0" fontId="79" fillId="34" borderId="0" applyNumberFormat="0" applyBorder="0" applyAlignment="0"/>
    <xf numFmtId="0" fontId="81" fillId="0" borderId="0"/>
    <xf numFmtId="207" fontId="47" fillId="0" borderId="0"/>
    <xf numFmtId="250" fontId="47" fillId="0" borderId="17"/>
    <xf numFmtId="0" fontId="81" fillId="0" borderId="0"/>
    <xf numFmtId="0" fontId="81" fillId="0" borderId="0"/>
    <xf numFmtId="0" fontId="81" fillId="0" borderId="0"/>
    <xf numFmtId="1" fontId="82" fillId="0" borderId="0" applyFill="0" applyBorder="0" applyProtection="0">
      <alignment wrapText="1"/>
      <protection locked="0"/>
    </xf>
    <xf numFmtId="255" fontId="46" fillId="0" borderId="0" applyFill="0" applyBorder="0" applyProtection="0">
      <alignment horizontal="right"/>
      <protection locked="0"/>
    </xf>
    <xf numFmtId="1" fontId="82" fillId="0" borderId="0" applyFill="0" applyBorder="0" applyProtection="0">
      <alignment wrapText="1"/>
      <protection locked="0"/>
    </xf>
    <xf numFmtId="0" fontId="47" fillId="0" borderId="0">
      <alignment horizontal="right"/>
    </xf>
    <xf numFmtId="0" fontId="81" fillId="0" borderId="0">
      <alignment horizontal="right"/>
    </xf>
    <xf numFmtId="0" fontId="81" fillId="0" borderId="0">
      <alignment horizontal="right"/>
    </xf>
    <xf numFmtId="0" fontId="41" fillId="0" borderId="0"/>
    <xf numFmtId="0" fontId="47" fillId="0" borderId="0">
      <alignment horizontal="right"/>
    </xf>
    <xf numFmtId="173" fontId="80" fillId="18" borderId="11"/>
    <xf numFmtId="0" fontId="59" fillId="19" borderId="0" applyNumberFormat="0" applyFill="0" applyBorder="0" applyAlignment="0" applyProtection="0">
      <protection locked="0"/>
    </xf>
    <xf numFmtId="0" fontId="83" fillId="34" borderId="0"/>
    <xf numFmtId="37" fontId="31" fillId="0" borderId="0"/>
    <xf numFmtId="207" fontId="31" fillId="0" borderId="0" applyNumberFormat="0" applyFont="0" applyAlignment="0" applyProtection="0"/>
    <xf numFmtId="256" fontId="84" fillId="0" borderId="0" applyNumberFormat="0" applyFill="0" applyBorder="0" applyAlignment="0" applyProtection="0"/>
    <xf numFmtId="0" fontId="31" fillId="0" borderId="0"/>
    <xf numFmtId="0" fontId="81" fillId="0" borderId="0"/>
    <xf numFmtId="0" fontId="31" fillId="0" borderId="0"/>
    <xf numFmtId="254" fontId="75" fillId="18" borderId="0" applyNumberFormat="0" applyFill="0" applyBorder="0" applyAlignment="0" applyProtection="0">
      <alignment horizontal="center"/>
    </xf>
    <xf numFmtId="0" fontId="85" fillId="0" borderId="0"/>
    <xf numFmtId="0" fontId="31" fillId="0" borderId="0"/>
    <xf numFmtId="255" fontId="46" fillId="0" borderId="0">
      <protection locked="0"/>
    </xf>
    <xf numFmtId="0" fontId="86" fillId="0" borderId="0" applyNumberFormat="0" applyFill="0" applyBorder="0" applyProtection="0">
      <protection locked="0"/>
    </xf>
    <xf numFmtId="0" fontId="31" fillId="0" borderId="0"/>
    <xf numFmtId="256" fontId="84" fillId="0" borderId="0" applyNumberFormat="0" applyFill="0" applyBorder="0" applyAlignment="0" applyProtection="0"/>
    <xf numFmtId="257" fontId="87" fillId="0" borderId="0" applyBorder="0" applyProtection="0"/>
    <xf numFmtId="258" fontId="44" fillId="0" borderId="0"/>
    <xf numFmtId="0" fontId="87" fillId="0" borderId="0" applyNumberFormat="0" applyFill="0" applyBorder="0" applyAlignment="0" applyProtection="0"/>
    <xf numFmtId="37" fontId="88" fillId="0" borderId="0">
      <alignment horizontal="centerContinuous"/>
    </xf>
    <xf numFmtId="0" fontId="89" fillId="0" borderId="1" applyNumberFormat="0" applyFill="0" applyAlignment="0" applyProtection="0"/>
    <xf numFmtId="207" fontId="31" fillId="0" borderId="17" applyNumberFormat="0" applyFont="0" applyFill="0" applyAlignment="0" applyProtection="0"/>
    <xf numFmtId="0" fontId="47" fillId="0" borderId="26" applyNumberFormat="0" applyFont="0" applyFill="0" applyAlignment="0" applyProtection="0"/>
    <xf numFmtId="0" fontId="47" fillId="0" borderId="33" applyNumberFormat="0" applyFont="0" applyFill="0" applyAlignment="0" applyProtection="0"/>
    <xf numFmtId="215" fontId="41" fillId="0" borderId="0"/>
    <xf numFmtId="0" fontId="47" fillId="0" borderId="33" applyNumberFormat="0" applyFont="0" applyFill="0" applyAlignment="0" applyProtection="0"/>
    <xf numFmtId="215" fontId="41" fillId="0" borderId="0"/>
    <xf numFmtId="37" fontId="90" fillId="0" borderId="33" applyNumberFormat="0" applyFont="0" applyFill="0" applyProtection="0">
      <alignment horizontal="right" vertical="center"/>
    </xf>
    <xf numFmtId="37" fontId="41" fillId="0" borderId="0"/>
    <xf numFmtId="215" fontId="41" fillId="0" borderId="0"/>
    <xf numFmtId="0" fontId="58" fillId="0" borderId="11"/>
    <xf numFmtId="0" fontId="91" fillId="35" borderId="11"/>
    <xf numFmtId="0" fontId="91" fillId="36" borderId="11"/>
    <xf numFmtId="0" fontId="31" fillId="0" borderId="1" applyNumberFormat="0" applyFont="0" applyFill="0" applyAlignment="0" applyProtection="0"/>
    <xf numFmtId="0" fontId="92" fillId="0" borderId="34" applyFill="0" applyProtection="0">
      <alignment horizontal="right"/>
    </xf>
    <xf numFmtId="0" fontId="93" fillId="0" borderId="1" applyNumberFormat="0" applyFont="0" applyFill="0" applyAlignment="0" applyProtection="0"/>
    <xf numFmtId="208" fontId="31" fillId="0" borderId="0" applyFont="0" applyFill="0" applyBorder="0" applyAlignment="0" applyProtection="0">
      <alignment horizontal="right"/>
    </xf>
    <xf numFmtId="259" fontId="94" fillId="18" borderId="0" applyFont="0" applyFill="0" applyBorder="0" applyAlignment="0" applyProtection="0"/>
    <xf numFmtId="218" fontId="46" fillId="0" borderId="0" applyFont="0" applyFill="0" applyBorder="0" applyAlignment="0" applyProtection="0">
      <alignment horizontal="right"/>
    </xf>
    <xf numFmtId="259" fontId="94" fillId="18" borderId="0" applyFont="0" applyFill="0" applyBorder="0" applyAlignment="0" applyProtection="0"/>
    <xf numFmtId="260" fontId="31" fillId="0" borderId="0"/>
    <xf numFmtId="260" fontId="43" fillId="0" borderId="0"/>
    <xf numFmtId="261" fontId="31" fillId="0" borderId="0"/>
    <xf numFmtId="261" fontId="43" fillId="0" borderId="0"/>
    <xf numFmtId="194" fontId="67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95" fillId="0" borderId="0"/>
    <xf numFmtId="37" fontId="32" fillId="0" borderId="0" applyFill="0"/>
    <xf numFmtId="37" fontId="32" fillId="0" borderId="0">
      <alignment horizontal="center"/>
    </xf>
    <xf numFmtId="0" fontId="32" fillId="0" borderId="0" applyFill="0">
      <alignment horizontal="center"/>
    </xf>
    <xf numFmtId="37" fontId="78" fillId="0" borderId="35" applyFill="0"/>
    <xf numFmtId="0" fontId="31" fillId="0" borderId="0" applyFont="0" applyAlignment="0"/>
    <xf numFmtId="0" fontId="96" fillId="0" borderId="0" applyFill="0">
      <alignment vertical="top"/>
    </xf>
    <xf numFmtId="0" fontId="78" fillId="0" borderId="0" applyFill="0">
      <alignment horizontal="left" vertical="top"/>
    </xf>
    <xf numFmtId="37" fontId="97" fillId="0" borderId="17" applyFill="0"/>
    <xf numFmtId="0" fontId="31" fillId="0" borderId="0" applyNumberFormat="0" applyFont="0" applyAlignment="0"/>
    <xf numFmtId="0" fontId="96" fillId="0" borderId="0" applyFill="0">
      <alignment wrapText="1"/>
    </xf>
    <xf numFmtId="0" fontId="78" fillId="0" borderId="0" applyFill="0">
      <alignment horizontal="left" vertical="top" wrapText="1"/>
    </xf>
    <xf numFmtId="37" fontId="98" fillId="0" borderId="0" applyFill="0"/>
    <xf numFmtId="0" fontId="99" fillId="0" borderId="0" applyNumberFormat="0" applyFont="0" applyAlignment="0">
      <alignment horizontal="center"/>
    </xf>
    <xf numFmtId="0" fontId="100" fillId="0" borderId="0" applyFill="0">
      <alignment vertical="top" wrapText="1"/>
    </xf>
    <xf numFmtId="0" fontId="97" fillId="0" borderId="0" applyFill="0">
      <alignment horizontal="left" vertical="top" wrapText="1"/>
    </xf>
    <xf numFmtId="37" fontId="31" fillId="0" borderId="0" applyFill="0"/>
    <xf numFmtId="0" fontId="99" fillId="0" borderId="0" applyNumberFormat="0" applyFont="0" applyAlignment="0">
      <alignment horizontal="center"/>
    </xf>
    <xf numFmtId="0" fontId="101" fillId="0" borderId="0" applyFill="0">
      <alignment vertical="center" wrapText="1"/>
    </xf>
    <xf numFmtId="0" fontId="102" fillId="0" borderId="0">
      <alignment horizontal="left" vertical="center" wrapText="1"/>
    </xf>
    <xf numFmtId="37" fontId="66" fillId="0" borderId="0" applyFill="0"/>
    <xf numFmtId="0" fontId="99" fillId="0" borderId="0" applyNumberFormat="0" applyFont="0" applyAlignment="0">
      <alignment horizontal="center"/>
    </xf>
    <xf numFmtId="0" fontId="103" fillId="0" borderId="0" applyFill="0">
      <alignment horizontal="center" vertical="center" wrapText="1"/>
    </xf>
    <xf numFmtId="0" fontId="31" fillId="0" borderId="0" applyFill="0">
      <alignment horizontal="center" vertical="center" wrapText="1"/>
    </xf>
    <xf numFmtId="37" fontId="104" fillId="0" borderId="0" applyFill="0"/>
    <xf numFmtId="0" fontId="99" fillId="0" borderId="0" applyNumberFormat="0" applyFont="0" applyAlignment="0">
      <alignment horizontal="center"/>
    </xf>
    <xf numFmtId="0" fontId="105" fillId="0" borderId="0" applyFill="0">
      <alignment horizontal="center" vertical="center" wrapText="1"/>
    </xf>
    <xf numFmtId="0" fontId="106" fillId="0" borderId="0" applyFill="0">
      <alignment horizontal="center" vertical="center" wrapText="1"/>
    </xf>
    <xf numFmtId="37" fontId="107" fillId="0" borderId="0" applyFill="0"/>
    <xf numFmtId="0" fontId="99" fillId="0" borderId="0" applyNumberFormat="0" applyFont="0" applyAlignment="0">
      <alignment horizontal="center"/>
    </xf>
    <xf numFmtId="0" fontId="108" fillId="0" borderId="0">
      <alignment horizontal="center" wrapText="1"/>
    </xf>
    <xf numFmtId="0" fontId="104" fillId="0" borderId="0" applyFill="0">
      <alignment horizontal="center" wrapText="1"/>
    </xf>
    <xf numFmtId="37" fontId="32" fillId="16" borderId="20"/>
    <xf numFmtId="221" fontId="46" fillId="0" borderId="0" applyFill="0" applyBorder="0" applyProtection="0"/>
    <xf numFmtId="39" fontId="109" fillId="0" borderId="0" applyFill="0" applyBorder="0" applyAlignment="0"/>
    <xf numFmtId="213" fontId="110" fillId="0" borderId="0" applyFill="0" applyBorder="0" applyAlignment="0"/>
    <xf numFmtId="223" fontId="110" fillId="0" borderId="0" applyFill="0" applyBorder="0" applyAlignment="0"/>
    <xf numFmtId="204" fontId="110" fillId="0" borderId="0" applyFill="0" applyBorder="0" applyAlignment="0"/>
    <xf numFmtId="232" fontId="110" fillId="0" borderId="0" applyFill="0" applyBorder="0" applyAlignment="0"/>
    <xf numFmtId="262" fontId="110" fillId="0" borderId="0" applyFill="0" applyBorder="0" applyAlignment="0"/>
    <xf numFmtId="263" fontId="110" fillId="0" borderId="0" applyFill="0" applyBorder="0" applyAlignment="0"/>
    <xf numFmtId="213" fontId="110" fillId="0" borderId="0" applyFill="0" applyBorder="0" applyAlignment="0"/>
    <xf numFmtId="37" fontId="46" fillId="0" borderId="0" applyFill="0" applyBorder="0" applyProtection="0"/>
    <xf numFmtId="0" fontId="111" fillId="37" borderId="0"/>
    <xf numFmtId="0" fontId="112" fillId="0" borderId="0" applyNumberFormat="0" applyFill="0" applyBorder="0" applyAlignment="0" applyProtection="0"/>
    <xf numFmtId="170" fontId="31" fillId="0" borderId="0" applyFont="0" applyFill="0" applyBorder="0" applyAlignment="0" applyProtection="0"/>
    <xf numFmtId="215" fontId="47" fillId="0" borderId="0" applyFill="0" applyBorder="0" applyProtection="0"/>
    <xf numFmtId="254" fontId="82" fillId="0" borderId="0" applyFont="0" applyFill="0" applyBorder="0" applyAlignment="0" applyProtection="0"/>
    <xf numFmtId="0" fontId="91" fillId="0" borderId="0"/>
    <xf numFmtId="1" fontId="31" fillId="0" borderId="0">
      <alignment horizontal="left"/>
    </xf>
    <xf numFmtId="0" fontId="41" fillId="0" borderId="0" applyNumberFormat="0" applyFont="0" applyFill="0">
      <alignment horizontal="center"/>
    </xf>
    <xf numFmtId="0" fontId="98" fillId="0" borderId="0" applyFill="0" applyBorder="0" applyProtection="0">
      <alignment horizontal="center"/>
      <protection locked="0"/>
    </xf>
    <xf numFmtId="166" fontId="31" fillId="0" borderId="36" applyFont="0" applyFill="0" applyBorder="0" applyProtection="0">
      <alignment horizontal="right"/>
    </xf>
    <xf numFmtId="264" fontId="46" fillId="0" borderId="0"/>
    <xf numFmtId="1" fontId="113" fillId="0" borderId="0"/>
    <xf numFmtId="0" fontId="114" fillId="0" borderId="0" applyAlignment="0"/>
    <xf numFmtId="253" fontId="44" fillId="0" borderId="5" applyFont="0" applyFill="0" applyAlignment="0" applyProtection="0"/>
    <xf numFmtId="207" fontId="32" fillId="0" borderId="0" applyNumberFormat="0" applyFont="0" applyAlignment="0" applyProtection="0"/>
    <xf numFmtId="0" fontId="31" fillId="0" borderId="0" applyNumberFormat="0" applyFont="0" applyFill="0" applyAlignment="0" applyProtection="0"/>
    <xf numFmtId="0" fontId="32" fillId="0" borderId="0" applyNumberFormat="0" applyFill="0" applyBorder="0" applyAlignment="0" applyProtection="0"/>
    <xf numFmtId="0" fontId="53" fillId="0" borderId="0">
      <alignment horizontal="center" wrapText="1"/>
      <protection hidden="1"/>
    </xf>
    <xf numFmtId="0" fontId="31" fillId="0" borderId="24" applyNumberFormat="0" applyFill="0" applyProtection="0">
      <alignment horizontal="center" vertical="center"/>
    </xf>
    <xf numFmtId="0" fontId="31" fillId="0" borderId="1" applyNumberFormat="0" applyFill="0" applyBorder="0" applyProtection="0">
      <alignment horizontal="right" vertical="center"/>
    </xf>
    <xf numFmtId="0" fontId="115" fillId="0" borderId="0" applyNumberFormat="0" applyFill="0" applyBorder="0" applyProtection="0">
      <alignment wrapText="1"/>
    </xf>
    <xf numFmtId="0" fontId="97" fillId="0" borderId="0" applyNumberFormat="0" applyFill="0" applyBorder="0" applyProtection="0">
      <alignment wrapText="1"/>
    </xf>
    <xf numFmtId="0" fontId="116" fillId="0" borderId="0" applyNumberFormat="0" applyFill="0" applyBorder="0" applyProtection="0">
      <alignment horizontal="center" wrapText="1"/>
    </xf>
    <xf numFmtId="0" fontId="115" fillId="0" borderId="1" applyNumberFormat="0" applyFill="0" applyProtection="0">
      <alignment horizontal="right" wrapText="1"/>
    </xf>
    <xf numFmtId="37" fontId="32" fillId="0" borderId="0" applyFont="0" applyFill="0" applyBorder="0" applyAlignment="0" applyProtection="0"/>
    <xf numFmtId="215" fontId="41" fillId="0" borderId="0"/>
    <xf numFmtId="37" fontId="46" fillId="0" borderId="0">
      <alignment horizontal="right"/>
    </xf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46" fillId="0" borderId="0" applyFont="0" applyFill="0" applyBorder="0" applyAlignment="0" applyProtection="0"/>
    <xf numFmtId="265" fontId="117" fillId="38" borderId="0" applyFont="0" applyFill="0" applyBorder="0" applyAlignment="0" applyProtection="0"/>
    <xf numFmtId="266" fontId="117" fillId="0" borderId="0" applyFont="0" applyFill="0" applyBorder="0" applyAlignment="0" applyProtection="0"/>
    <xf numFmtId="221" fontId="117" fillId="0" borderId="0" applyFont="0" applyFill="0" applyBorder="0" applyAlignment="0" applyProtection="0">
      <alignment horizontal="left" indent="1"/>
    </xf>
    <xf numFmtId="267" fontId="117" fillId="0" borderId="0" applyFont="0" applyFill="0" applyBorder="0" applyProtection="0"/>
    <xf numFmtId="207" fontId="118" fillId="0" borderId="0" applyFont="0" applyFill="0" applyBorder="0" applyAlignment="0"/>
    <xf numFmtId="37" fontId="46" fillId="0" borderId="0" applyFont="0" applyFill="0" applyBorder="0" applyProtection="0"/>
    <xf numFmtId="37" fontId="46" fillId="0" borderId="0" applyFont="0" applyFill="0" applyBorder="0" applyProtection="0"/>
    <xf numFmtId="262" fontId="31" fillId="0" borderId="0" applyFont="0" applyFill="0" applyBorder="0" applyAlignment="0" applyProtection="0"/>
    <xf numFmtId="0" fontId="119" fillId="0" borderId="0" applyFont="0" applyFill="0" applyBorder="0" applyAlignment="0" applyProtection="0"/>
    <xf numFmtId="268" fontId="120" fillId="0" borderId="0" applyFont="0" applyFill="0" applyBorder="0" applyAlignment="0" applyProtection="0">
      <alignment horizontal="right"/>
    </xf>
    <xf numFmtId="211" fontId="120" fillId="0" borderId="0" applyFont="0" applyFill="0" applyBorder="0" applyAlignment="0" applyProtection="0"/>
    <xf numFmtId="37" fontId="102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102" fillId="0" borderId="0" applyFont="0" applyFill="0" applyBorder="0" applyAlignment="0" applyProtection="0"/>
    <xf numFmtId="40" fontId="102" fillId="0" borderId="0" applyFont="0" applyFill="0" applyBorder="0" applyAlignment="0" applyProtection="0"/>
    <xf numFmtId="37" fontId="46" fillId="0" borderId="0" applyFont="0" applyFill="0" applyBorder="0" applyAlignment="0" applyProtection="0"/>
    <xf numFmtId="40" fontId="102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269" fontId="44" fillId="0" borderId="0" applyFont="0" applyFill="0" applyBorder="0" applyAlignment="0" applyProtection="0">
      <alignment horizontal="right"/>
    </xf>
    <xf numFmtId="270" fontId="32" fillId="0" borderId="0"/>
    <xf numFmtId="0" fontId="31" fillId="0" borderId="0"/>
    <xf numFmtId="271" fontId="120" fillId="0" borderId="0" applyFont="0" applyFill="0" applyBorder="0" applyAlignment="0" applyProtection="0"/>
    <xf numFmtId="0" fontId="120" fillId="0" borderId="0" applyFill="0" applyBorder="0" applyProtection="0">
      <alignment horizontal="right"/>
    </xf>
    <xf numFmtId="43" fontId="121" fillId="0" borderId="0" applyFont="0" applyFill="0" applyBorder="0" applyAlignment="0" applyProtection="0"/>
    <xf numFmtId="272" fontId="120" fillId="0" borderId="0" applyFont="0" applyFill="0" applyBorder="0" applyAlignment="0" applyProtection="0"/>
    <xf numFmtId="40" fontId="31" fillId="0" borderId="0" applyFont="0" applyFill="0" applyBorder="0" applyProtection="0">
      <alignment horizontal="right"/>
    </xf>
    <xf numFmtId="273" fontId="41" fillId="0" borderId="0"/>
    <xf numFmtId="216" fontId="120" fillId="0" borderId="0" applyFont="0" applyFill="0" applyBorder="0" applyAlignment="0" applyProtection="0"/>
    <xf numFmtId="207" fontId="32" fillId="0" borderId="0"/>
    <xf numFmtId="274" fontId="46" fillId="0" borderId="0" applyBorder="0">
      <alignment horizontal="right"/>
    </xf>
    <xf numFmtId="3" fontId="31" fillId="0" borderId="0" applyFont="0" applyFill="0" applyBorder="0" applyAlignment="0" applyProtection="0"/>
    <xf numFmtId="0" fontId="122" fillId="0" borderId="0"/>
    <xf numFmtId="0" fontId="58" fillId="0" borderId="0"/>
    <xf numFmtId="0" fontId="58" fillId="0" borderId="0"/>
    <xf numFmtId="0" fontId="123" fillId="0" borderId="0" applyNumberFormat="0" applyFont="0" applyFill="0" applyBorder="0" applyAlignment="0" applyProtection="0"/>
    <xf numFmtId="37" fontId="90" fillId="0" borderId="0">
      <alignment horizontal="right"/>
    </xf>
    <xf numFmtId="0" fontId="122" fillId="0" borderId="0"/>
    <xf numFmtId="0" fontId="49" fillId="0" borderId="0"/>
    <xf numFmtId="0" fontId="58" fillId="0" borderId="0"/>
    <xf numFmtId="39" fontId="74" fillId="0" borderId="0" applyFont="0" applyFill="0" applyBorder="0" applyAlignment="0" applyProtection="0"/>
    <xf numFmtId="0" fontId="124" fillId="39" borderId="0">
      <alignment horizontal="center" vertical="center" wrapText="1"/>
    </xf>
    <xf numFmtId="0" fontId="78" fillId="0" borderId="0" applyFill="0" applyBorder="0" applyAlignment="0" applyProtection="0">
      <protection locked="0"/>
    </xf>
    <xf numFmtId="0" fontId="124" fillId="39" borderId="0">
      <alignment horizontal="center" vertical="center" wrapText="1"/>
    </xf>
    <xf numFmtId="215" fontId="125" fillId="0" borderId="0" applyFill="0" applyBorder="0">
      <alignment horizontal="left"/>
    </xf>
    <xf numFmtId="251" fontId="31" fillId="0" borderId="0" applyFont="0" applyFill="0" applyBorder="0" applyAlignment="0" applyProtection="0"/>
    <xf numFmtId="0" fontId="126" fillId="0" borderId="0">
      <alignment horizontal="left" vertical="center" indent="1"/>
    </xf>
    <xf numFmtId="0" fontId="49" fillId="0" borderId="0" applyNumberFormat="0" applyAlignment="0">
      <alignment horizontal="left"/>
    </xf>
    <xf numFmtId="0" fontId="49" fillId="0" borderId="0" applyNumberFormat="0" applyAlignment="0"/>
    <xf numFmtId="0" fontId="127" fillId="0" borderId="0">
      <alignment horizontal="left"/>
    </xf>
    <xf numFmtId="0" fontId="128" fillId="0" borderId="0"/>
    <xf numFmtId="0" fontId="129" fillId="0" borderId="0">
      <alignment horizontal="left"/>
    </xf>
    <xf numFmtId="215" fontId="130" fillId="0" borderId="0"/>
    <xf numFmtId="37" fontId="46" fillId="0" borderId="0" applyFill="0" applyBorder="0" applyProtection="0"/>
    <xf numFmtId="37" fontId="46" fillId="0" borderId="0" applyFont="0" applyFill="0" applyBorder="0" applyAlignment="0" applyProtection="0"/>
    <xf numFmtId="0" fontId="53" fillId="0" borderId="0" applyFill="0" applyBorder="0">
      <alignment horizontal="right"/>
      <protection locked="0"/>
    </xf>
    <xf numFmtId="0" fontId="31" fillId="0" borderId="0"/>
    <xf numFmtId="0" fontId="58" fillId="0" borderId="0"/>
    <xf numFmtId="0" fontId="58" fillId="0" borderId="0"/>
    <xf numFmtId="37" fontId="31" fillId="0" borderId="0" applyFont="0" applyFill="0" applyBorder="0" applyAlignment="0" applyProtection="0"/>
    <xf numFmtId="275" fontId="32" fillId="0" borderId="37" applyFont="0" applyFill="0" applyBorder="0" applyAlignment="0" applyProtection="0"/>
    <xf numFmtId="37" fontId="46" fillId="0" borderId="0" applyFont="0" applyFill="0" applyBorder="0" applyAlignment="0" applyProtection="0"/>
    <xf numFmtId="276" fontId="117" fillId="0" borderId="0" applyFont="0" applyFill="0" applyBorder="0" applyAlignment="0" applyProtection="0"/>
    <xf numFmtId="277" fontId="117" fillId="0" borderId="0" applyFont="0" applyFill="0" applyBorder="0" applyAlignment="0" applyProtection="0"/>
    <xf numFmtId="198" fontId="117" fillId="38" borderId="0" applyFont="0" applyFill="0" applyBorder="0" applyAlignment="0" applyProtection="0"/>
    <xf numFmtId="37" fontId="46" fillId="0" borderId="0" applyFont="0" applyFill="0" applyBorder="0" applyProtection="0"/>
    <xf numFmtId="37" fontId="46" fillId="0" borderId="0" applyFont="0" applyFill="0" applyBorder="0" applyProtection="0"/>
    <xf numFmtId="213" fontId="31" fillId="0" borderId="0" applyFont="0" applyFill="0" applyBorder="0" applyAlignment="0" applyProtection="0"/>
    <xf numFmtId="250" fontId="46" fillId="0" borderId="0" applyFont="0" applyFill="0" applyBorder="0" applyAlignment="0" applyProtection="0"/>
    <xf numFmtId="254" fontId="18" fillId="0" borderId="0"/>
    <xf numFmtId="224" fontId="120" fillId="0" borderId="0" applyFont="0" applyFill="0" applyBorder="0" applyAlignment="0" applyProtection="0">
      <alignment horizontal="right"/>
    </xf>
    <xf numFmtId="37" fontId="102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102" fillId="0" borderId="0" applyFont="0" applyFill="0" applyBorder="0" applyAlignment="0" applyProtection="0"/>
    <xf numFmtId="166" fontId="102" fillId="0" borderId="0" applyFont="0" applyFill="0" applyBorder="0" applyAlignment="0" applyProtection="0"/>
    <xf numFmtId="37" fontId="46" fillId="0" borderId="0" applyFont="0" applyFill="0" applyBorder="0" applyAlignment="0" applyProtection="0"/>
    <xf numFmtId="166" fontId="102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224" fontId="120" fillId="0" borderId="0" applyFont="0" applyFill="0" applyBorder="0" applyAlignment="0" applyProtection="0">
      <alignment horizontal="right"/>
    </xf>
    <xf numFmtId="278" fontId="131" fillId="0" borderId="0" applyFont="0" applyFill="0" applyBorder="0" applyAlignment="0" applyProtection="0"/>
    <xf numFmtId="0" fontId="120" fillId="0" borderId="0" applyFill="0" applyBorder="0" applyProtection="0"/>
    <xf numFmtId="279" fontId="131" fillId="0" borderId="0" applyFont="0" applyFill="0" applyBorder="0" applyAlignment="0" applyProtection="0"/>
    <xf numFmtId="37" fontId="46" fillId="0" borderId="0" applyFont="0" applyFill="0" applyBorder="0" applyProtection="0">
      <alignment horizontal="right"/>
    </xf>
    <xf numFmtId="166" fontId="53" fillId="19" borderId="0" applyFont="0" applyFill="0" applyBorder="0" applyAlignment="0" applyProtection="0"/>
    <xf numFmtId="280" fontId="120" fillId="0" borderId="0" applyFont="0" applyFill="0" applyBorder="0" applyAlignment="0" applyProtection="0"/>
    <xf numFmtId="207" fontId="115" fillId="18" borderId="0"/>
    <xf numFmtId="206" fontId="132" fillId="0" borderId="0">
      <alignment horizontal="right"/>
    </xf>
    <xf numFmtId="37" fontId="32" fillId="0" borderId="37" applyFont="0" applyFill="0" applyBorder="0" applyAlignment="0" applyProtection="0"/>
    <xf numFmtId="199" fontId="46" fillId="0" borderId="0" applyFont="0" applyFill="0" applyBorder="0" applyAlignment="0" applyProtection="0"/>
    <xf numFmtId="281" fontId="41" fillId="0" borderId="0"/>
    <xf numFmtId="282" fontId="133" fillId="0" borderId="0"/>
    <xf numFmtId="169" fontId="31" fillId="0" borderId="0" applyFont="0" applyFill="0" applyBorder="0" applyAlignment="0" applyProtection="0"/>
    <xf numFmtId="15" fontId="44" fillId="0" borderId="0" applyFont="0" applyFill="0" applyBorder="0" applyAlignment="0" applyProtection="0"/>
    <xf numFmtId="283" fontId="31" fillId="17" borderId="20">
      <alignment horizontal="right"/>
    </xf>
    <xf numFmtId="283" fontId="31" fillId="17" borderId="20">
      <alignment horizontal="right"/>
    </xf>
    <xf numFmtId="219" fontId="46" fillId="17" borderId="20">
      <alignment horizontal="right"/>
    </xf>
    <xf numFmtId="221" fontId="46" fillId="17" borderId="20">
      <alignment horizontal="right"/>
    </xf>
    <xf numFmtId="37" fontId="46" fillId="17" borderId="20">
      <alignment horizontal="right"/>
    </xf>
    <xf numFmtId="283" fontId="31" fillId="17" borderId="20">
      <alignment horizontal="right"/>
    </xf>
    <xf numFmtId="37" fontId="31" fillId="17" borderId="20">
      <alignment horizontal="right"/>
    </xf>
    <xf numFmtId="37" fontId="46" fillId="17" borderId="20">
      <alignment horizontal="right"/>
    </xf>
    <xf numFmtId="0" fontId="48" fillId="17" borderId="20">
      <alignment horizontal="right"/>
    </xf>
    <xf numFmtId="283" fontId="31" fillId="17" borderId="20">
      <alignment horizontal="right"/>
    </xf>
    <xf numFmtId="283" fontId="31" fillId="17" borderId="20">
      <alignment horizontal="right"/>
    </xf>
    <xf numFmtId="37" fontId="31" fillId="17" borderId="20">
      <alignment horizontal="right"/>
    </xf>
    <xf numFmtId="37" fontId="46" fillId="17" borderId="20">
      <alignment horizontal="right"/>
    </xf>
    <xf numFmtId="37" fontId="46" fillId="17" borderId="20">
      <alignment horizontal="right"/>
    </xf>
    <xf numFmtId="37" fontId="31" fillId="17" borderId="20">
      <alignment horizontal="right"/>
    </xf>
    <xf numFmtId="283" fontId="31" fillId="17" borderId="20">
      <alignment horizontal="right"/>
    </xf>
    <xf numFmtId="283" fontId="31" fillId="17" borderId="20">
      <alignment horizontal="right"/>
    </xf>
    <xf numFmtId="283" fontId="31" fillId="17" borderId="20">
      <alignment horizontal="right"/>
    </xf>
    <xf numFmtId="37" fontId="31" fillId="17" borderId="20">
      <alignment horizontal="right"/>
    </xf>
    <xf numFmtId="283" fontId="31" fillId="17" borderId="20">
      <alignment horizontal="right"/>
    </xf>
    <xf numFmtId="37" fontId="46" fillId="17" borderId="20">
      <alignment horizontal="right"/>
    </xf>
    <xf numFmtId="37" fontId="31" fillId="17" borderId="20">
      <alignment horizontal="right"/>
    </xf>
    <xf numFmtId="184" fontId="31" fillId="17" borderId="20">
      <alignment horizontal="right"/>
    </xf>
    <xf numFmtId="184" fontId="31" fillId="17" borderId="20">
      <alignment horizontal="right"/>
    </xf>
    <xf numFmtId="184" fontId="31" fillId="17" borderId="20">
      <alignment horizontal="right"/>
    </xf>
    <xf numFmtId="37" fontId="31" fillId="17" borderId="20">
      <alignment horizontal="right"/>
    </xf>
    <xf numFmtId="184" fontId="31" fillId="17" borderId="20">
      <alignment horizontal="right"/>
    </xf>
    <xf numFmtId="37" fontId="31" fillId="17" borderId="20">
      <alignment horizontal="right"/>
    </xf>
    <xf numFmtId="250" fontId="31" fillId="0" borderId="0" applyFont="0" applyFill="0" applyBorder="0" applyAlignment="0" applyProtection="0"/>
    <xf numFmtId="166" fontId="32" fillId="0" borderId="0"/>
    <xf numFmtId="0" fontId="49" fillId="0" borderId="0" applyFont="0" applyFill="0" applyBorder="0" applyAlignment="0" applyProtection="0"/>
    <xf numFmtId="215" fontId="32" fillId="0" borderId="0"/>
    <xf numFmtId="207" fontId="134" fillId="0" borderId="0"/>
    <xf numFmtId="205" fontId="67" fillId="0" borderId="0" applyFont="0" applyFill="0" applyBorder="0" applyAlignment="0" applyProtection="0"/>
    <xf numFmtId="14" fontId="31" fillId="0" borderId="0" applyFont="0" applyFill="0" applyBorder="0" applyAlignment="0" applyProtection="0"/>
    <xf numFmtId="15" fontId="44" fillId="0" borderId="0" applyFont="0" applyFill="0" applyBorder="0" applyAlignment="0" applyProtection="0"/>
    <xf numFmtId="17" fontId="135" fillId="0" borderId="0" applyFont="0" applyFill="0" applyBorder="0" applyAlignment="0" applyProtection="0">
      <alignment horizontal="right"/>
    </xf>
    <xf numFmtId="15" fontId="115" fillId="31" borderId="0" applyFill="0">
      <alignment horizontal="left"/>
    </xf>
    <xf numFmtId="15" fontId="115" fillId="0" borderId="0" applyFill="0" applyBorder="0" applyAlignment="0"/>
    <xf numFmtId="284" fontId="46" fillId="0" borderId="0" applyFont="0" applyFill="0" applyBorder="0" applyAlignment="0" applyProtection="0"/>
    <xf numFmtId="285" fontId="46" fillId="0" borderId="0" applyFont="0" applyFill="0" applyBorder="0" applyAlignment="0" applyProtection="0"/>
    <xf numFmtId="187" fontId="115" fillId="31" borderId="0" applyFont="0" applyFill="0" applyBorder="0" applyAlignment="0" applyProtection="0"/>
    <xf numFmtId="283" fontId="75" fillId="31" borderId="19" applyFont="0" applyFill="0" applyBorder="0" applyAlignment="0" applyProtection="0"/>
    <xf numFmtId="187" fontId="32" fillId="31" borderId="0" applyFont="0" applyFill="0" applyBorder="0" applyAlignment="0" applyProtection="0"/>
    <xf numFmtId="283" fontId="32" fillId="31" borderId="0" applyFont="0" applyFill="0" applyBorder="0" applyAlignment="0" applyProtection="0"/>
    <xf numFmtId="17" fontId="115" fillId="0" borderId="0" applyFill="0" applyBorder="0">
      <alignment horizontal="right"/>
    </xf>
    <xf numFmtId="286" fontId="115" fillId="0" borderId="1"/>
    <xf numFmtId="287" fontId="120" fillId="0" borderId="0" applyFont="0" applyFill="0" applyBorder="0" applyAlignment="0" applyProtection="0"/>
    <xf numFmtId="288" fontId="120" fillId="0" borderId="0" applyFont="0" applyFill="0" applyBorder="0" applyAlignment="0" applyProtection="0"/>
    <xf numFmtId="287" fontId="120" fillId="0" borderId="0" applyFont="0" applyFill="0" applyBorder="0" applyAlignment="0" applyProtection="0"/>
    <xf numFmtId="14" fontId="31" fillId="0" borderId="0" applyFill="0" applyBorder="0" applyProtection="0">
      <alignment horizontal="center"/>
    </xf>
    <xf numFmtId="14" fontId="32" fillId="0" borderId="0" applyFont="0" applyFill="0" applyBorder="0" applyAlignment="0" applyProtection="0"/>
    <xf numFmtId="14" fontId="110" fillId="0" borderId="0" applyFill="0" applyBorder="0" applyAlignment="0"/>
    <xf numFmtId="37" fontId="136" fillId="0" borderId="1">
      <alignment horizontal="right"/>
    </xf>
    <xf numFmtId="199" fontId="87" fillId="0" borderId="0" applyFill="0" applyBorder="0" applyProtection="0">
      <alignment horizontal="center"/>
    </xf>
    <xf numFmtId="17" fontId="137" fillId="0" borderId="17" applyFont="0" applyFill="0" applyBorder="0" applyAlignment="0" applyProtection="0"/>
    <xf numFmtId="0" fontId="138" fillId="0" borderId="0">
      <protection locked="0"/>
    </xf>
    <xf numFmtId="254" fontId="32" fillId="0" borderId="0" applyFill="0" applyBorder="0">
      <alignment horizontal="right"/>
    </xf>
    <xf numFmtId="254" fontId="32" fillId="0" borderId="38">
      <alignment horizontal="center"/>
    </xf>
    <xf numFmtId="14" fontId="82" fillId="0" borderId="0" applyFont="0" applyFill="0" applyBorder="0" applyAlignment="0" applyProtection="0">
      <alignment horizontal="center"/>
    </xf>
    <xf numFmtId="289" fontId="82" fillId="0" borderId="0" applyFont="0" applyFill="0" applyBorder="0" applyAlignment="0" applyProtection="0">
      <alignment horizontal="center"/>
    </xf>
    <xf numFmtId="180" fontId="31" fillId="0" borderId="17" applyFont="0" applyFill="0" applyBorder="0" applyAlignment="0" applyProtection="0">
      <alignment horizontal="center"/>
    </xf>
    <xf numFmtId="233" fontId="31" fillId="0" borderId="17" applyFont="0" applyFill="0" applyBorder="0" applyAlignment="0" applyProtection="0">
      <alignment horizontal="center"/>
    </xf>
    <xf numFmtId="186" fontId="46" fillId="0" borderId="0" applyFont="0" applyFill="0" applyBorder="0" applyAlignment="0" applyProtection="0">
      <alignment horizontal="center"/>
    </xf>
    <xf numFmtId="174" fontId="81" fillId="0" borderId="0"/>
    <xf numFmtId="38" fontId="53" fillId="0" borderId="39">
      <alignment vertical="center"/>
    </xf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0" fontId="49" fillId="0" borderId="0" applyNumberFormat="0" applyFill="0" applyBorder="0" applyAlignment="0" applyProtection="0"/>
    <xf numFmtId="38" fontId="47" fillId="0" borderId="0" applyNumberFormat="0"/>
    <xf numFmtId="166" fontId="47" fillId="0" borderId="0" applyFont="0" applyFill="0" applyBorder="0" applyAlignment="0" applyProtection="0"/>
    <xf numFmtId="0" fontId="32" fillId="0" borderId="0" applyFill="0" applyBorder="0" applyProtection="0"/>
    <xf numFmtId="290" fontId="41" fillId="0" borderId="0"/>
    <xf numFmtId="164" fontId="47" fillId="0" borderId="0" applyFill="0" applyBorder="0" applyProtection="0"/>
    <xf numFmtId="165" fontId="32" fillId="0" borderId="0"/>
    <xf numFmtId="0" fontId="41" fillId="0" borderId="0"/>
    <xf numFmtId="291" fontId="110" fillId="0" borderId="0" applyFont="0" applyFill="0" applyBorder="0" applyAlignment="0" applyProtection="0">
      <protection locked="0"/>
    </xf>
    <xf numFmtId="164" fontId="47" fillId="0" borderId="0" applyFont="0" applyFill="0" applyBorder="0" applyAlignment="0" applyProtection="0"/>
    <xf numFmtId="292" fontId="120" fillId="0" borderId="40" applyNumberFormat="0" applyFont="0" applyFill="0" applyAlignment="0" applyProtection="0"/>
    <xf numFmtId="38" fontId="32" fillId="17" borderId="0" applyNumberFormat="0" applyFont="0" applyBorder="0" applyAlignment="0" applyProtection="0"/>
    <xf numFmtId="0" fontId="31" fillId="0" borderId="41" applyNumberFormat="0" applyAlignment="0" applyProtection="0">
      <alignment vertical="top"/>
    </xf>
    <xf numFmtId="0" fontId="32" fillId="18" borderId="0" applyNumberFormat="0" applyFont="0" applyBorder="0" applyAlignment="0" applyProtection="0"/>
    <xf numFmtId="0" fontId="31" fillId="0" borderId="41" applyNumberFormat="0" applyAlignment="0" applyProtection="0">
      <alignment vertical="top"/>
    </xf>
    <xf numFmtId="0" fontId="53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26" applyNumberFormat="0" applyFont="0" applyFill="0" applyAlignment="0" applyProtection="0"/>
    <xf numFmtId="262" fontId="43" fillId="0" borderId="0" applyFill="0" applyBorder="0" applyAlignment="0"/>
    <xf numFmtId="213" fontId="43" fillId="0" borderId="0" applyFill="0" applyBorder="0" applyAlignment="0"/>
    <xf numFmtId="262" fontId="43" fillId="0" borderId="0" applyFill="0" applyBorder="0" applyAlignment="0"/>
    <xf numFmtId="263" fontId="43" fillId="0" borderId="0" applyFill="0" applyBorder="0" applyAlignment="0"/>
    <xf numFmtId="213" fontId="43" fillId="0" borderId="0" applyFill="0" applyBorder="0" applyAlignment="0"/>
    <xf numFmtId="0" fontId="49" fillId="0" borderId="0" applyNumberFormat="0" applyAlignment="0">
      <alignment horizontal="left"/>
    </xf>
    <xf numFmtId="0" fontId="139" fillId="0" borderId="0" applyNumberFormat="0" applyFill="0" applyBorder="0" applyAlignment="0" applyProtection="0">
      <alignment horizontal="center" vertical="center" wrapText="1"/>
    </xf>
    <xf numFmtId="293" fontId="31" fillId="0" borderId="0"/>
    <xf numFmtId="166" fontId="31" fillId="0" borderId="0">
      <protection locked="0"/>
    </xf>
    <xf numFmtId="166" fontId="43" fillId="0" borderId="0">
      <protection locked="0"/>
    </xf>
    <xf numFmtId="294" fontId="31" fillId="0" borderId="0"/>
    <xf numFmtId="295" fontId="31" fillId="0" borderId="0"/>
    <xf numFmtId="245" fontId="31" fillId="0" borderId="0"/>
    <xf numFmtId="37" fontId="46" fillId="0" borderId="0"/>
    <xf numFmtId="296" fontId="31" fillId="0" borderId="0"/>
    <xf numFmtId="181" fontId="44" fillId="0" borderId="0" applyFont="0" applyFill="0" applyBorder="0" applyProtection="0">
      <alignment horizontal="left"/>
      <protection locked="0"/>
    </xf>
    <xf numFmtId="176" fontId="31" fillId="0" borderId="0"/>
    <xf numFmtId="264" fontId="44" fillId="0" borderId="0" applyFont="0" applyFill="0" applyBorder="0" applyProtection="0">
      <alignment horizontal="left"/>
      <protection locked="0"/>
    </xf>
    <xf numFmtId="0" fontId="31" fillId="0" borderId="0"/>
    <xf numFmtId="254" fontId="32" fillId="0" borderId="0">
      <protection locked="0"/>
    </xf>
    <xf numFmtId="254" fontId="32" fillId="0" borderId="0">
      <protection locked="0"/>
    </xf>
    <xf numFmtId="254" fontId="32" fillId="0" borderId="0">
      <protection locked="0"/>
    </xf>
    <xf numFmtId="254" fontId="32" fillId="0" borderId="0">
      <protection locked="0"/>
    </xf>
    <xf numFmtId="254" fontId="32" fillId="0" borderId="0">
      <protection locked="0"/>
    </xf>
    <xf numFmtId="254" fontId="32" fillId="0" borderId="0">
      <protection locked="0"/>
    </xf>
    <xf numFmtId="254" fontId="32" fillId="0" borderId="0">
      <protection locked="0"/>
    </xf>
    <xf numFmtId="220" fontId="31" fillId="43" borderId="22">
      <alignment horizontal="left"/>
    </xf>
    <xf numFmtId="2" fontId="49" fillId="0" borderId="0" applyFill="0" applyBorder="0" applyAlignment="0" applyProtection="0"/>
    <xf numFmtId="4" fontId="49" fillId="0" borderId="0" applyFill="0" applyBorder="0" applyAlignment="0" applyProtection="0"/>
    <xf numFmtId="297" fontId="138" fillId="0" borderId="0">
      <protection locked="0"/>
    </xf>
    <xf numFmtId="298" fontId="32" fillId="0" borderId="0" applyFont="0" applyFill="0" applyBorder="0" applyAlignment="0" applyProtection="0"/>
    <xf numFmtId="2" fontId="81" fillId="0" borderId="0"/>
    <xf numFmtId="37" fontId="46" fillId="0" borderId="0">
      <protection locked="0"/>
    </xf>
    <xf numFmtId="0" fontId="140" fillId="0" borderId="0">
      <alignment horizontal="left"/>
    </xf>
    <xf numFmtId="0" fontId="141" fillId="0" borderId="0">
      <alignment horizontal="left"/>
    </xf>
    <xf numFmtId="0" fontId="142" fillId="0" borderId="0" applyFill="0" applyBorder="0" applyProtection="0">
      <alignment horizontal="left"/>
    </xf>
    <xf numFmtId="0" fontId="143" fillId="0" borderId="0" applyFill="0" applyBorder="0" applyProtection="0">
      <alignment horizontal="center" vertical="center"/>
    </xf>
    <xf numFmtId="0" fontId="142" fillId="0" borderId="0" applyNumberFormat="0" applyFill="0" applyBorder="0" applyProtection="0">
      <alignment horizontal="left"/>
    </xf>
    <xf numFmtId="0" fontId="59" fillId="0" borderId="0" applyBorder="0" applyProtection="0"/>
    <xf numFmtId="0" fontId="142" fillId="0" borderId="0">
      <alignment horizontal="left"/>
    </xf>
    <xf numFmtId="0" fontId="31" fillId="0" borderId="0" applyNumberFormat="0" applyFill="0" applyBorder="0" applyAlignment="0" applyProtection="0"/>
    <xf numFmtId="37" fontId="46" fillId="0" borderId="0">
      <alignment horizontal="right"/>
    </xf>
    <xf numFmtId="297" fontId="46" fillId="0" borderId="0" applyFont="0" applyFill="0" applyBorder="0" applyAlignment="0" applyProtection="0">
      <protection locked="0"/>
    </xf>
    <xf numFmtId="13" fontId="144" fillId="0" borderId="0" applyFont="0" applyFill="0" applyBorder="0" applyAlignment="0" applyProtection="0">
      <protection locked="0"/>
    </xf>
    <xf numFmtId="0" fontId="135" fillId="18" borderId="42"/>
    <xf numFmtId="294" fontId="31" fillId="0" borderId="43"/>
    <xf numFmtId="0" fontId="54" fillId="0" borderId="0">
      <alignment horizontal="center"/>
    </xf>
    <xf numFmtId="0" fontId="54" fillId="0" borderId="0">
      <alignment horizontal="center"/>
    </xf>
    <xf numFmtId="286" fontId="31" fillId="17" borderId="20">
      <alignment horizontal="right"/>
    </xf>
    <xf numFmtId="286" fontId="31" fillId="17" borderId="20">
      <alignment horizontal="right"/>
    </xf>
    <xf numFmtId="299" fontId="46" fillId="17" borderId="20">
      <alignment horizontal="right"/>
    </xf>
    <xf numFmtId="300" fontId="46" fillId="17" borderId="20">
      <alignment horizontal="right"/>
    </xf>
    <xf numFmtId="37" fontId="46" fillId="17" borderId="20">
      <alignment horizontal="right"/>
    </xf>
    <xf numFmtId="286" fontId="31" fillId="17" borderId="20">
      <alignment horizontal="right"/>
    </xf>
    <xf numFmtId="37" fontId="31" fillId="17" borderId="20">
      <alignment horizontal="right"/>
    </xf>
    <xf numFmtId="37" fontId="46" fillId="17" borderId="20">
      <alignment horizontal="right"/>
    </xf>
    <xf numFmtId="179" fontId="48" fillId="17" borderId="20">
      <alignment horizontal="right"/>
    </xf>
    <xf numFmtId="286" fontId="31" fillId="17" borderId="20">
      <alignment horizontal="right"/>
    </xf>
    <xf numFmtId="286" fontId="31" fillId="17" borderId="20">
      <alignment horizontal="right"/>
    </xf>
    <xf numFmtId="37" fontId="31" fillId="17" borderId="20">
      <alignment horizontal="right"/>
    </xf>
    <xf numFmtId="37" fontId="46" fillId="17" borderId="20">
      <alignment horizontal="right"/>
    </xf>
    <xf numFmtId="37" fontId="46" fillId="17" borderId="20">
      <alignment horizontal="right"/>
    </xf>
    <xf numFmtId="37" fontId="31" fillId="17" borderId="20">
      <alignment horizontal="right"/>
    </xf>
    <xf numFmtId="286" fontId="31" fillId="17" borderId="20">
      <alignment horizontal="right"/>
    </xf>
    <xf numFmtId="286" fontId="31" fillId="17" borderId="20">
      <alignment horizontal="right"/>
    </xf>
    <xf numFmtId="286" fontId="31" fillId="17" borderId="20">
      <alignment horizontal="right"/>
    </xf>
    <xf numFmtId="37" fontId="31" fillId="17" borderId="20">
      <alignment horizontal="right"/>
    </xf>
    <xf numFmtId="286" fontId="31" fillId="17" borderId="20">
      <alignment horizontal="right"/>
    </xf>
    <xf numFmtId="37" fontId="46" fillId="17" borderId="20">
      <alignment horizontal="right"/>
    </xf>
    <xf numFmtId="37" fontId="31" fillId="17" borderId="20">
      <alignment horizontal="right"/>
    </xf>
    <xf numFmtId="185" fontId="31" fillId="17" borderId="20">
      <alignment horizontal="right"/>
    </xf>
    <xf numFmtId="37" fontId="46" fillId="17" borderId="20">
      <alignment horizontal="right"/>
    </xf>
    <xf numFmtId="37" fontId="46" fillId="17" borderId="20">
      <alignment horizontal="right"/>
    </xf>
    <xf numFmtId="37" fontId="31" fillId="17" borderId="20">
      <alignment horizontal="right"/>
    </xf>
    <xf numFmtId="185" fontId="31" fillId="17" borderId="20">
      <alignment horizontal="right"/>
    </xf>
    <xf numFmtId="185" fontId="31" fillId="17" borderId="20">
      <alignment horizontal="right"/>
    </xf>
    <xf numFmtId="37" fontId="46" fillId="17" borderId="20">
      <alignment horizontal="right"/>
    </xf>
    <xf numFmtId="185" fontId="31" fillId="17" borderId="20">
      <alignment horizontal="right"/>
    </xf>
    <xf numFmtId="37" fontId="31" fillId="17" borderId="20">
      <alignment horizontal="right"/>
    </xf>
    <xf numFmtId="273" fontId="48" fillId="17" borderId="20">
      <alignment horizontal="right"/>
    </xf>
    <xf numFmtId="37" fontId="52" fillId="17" borderId="20">
      <alignment horizontal="right"/>
    </xf>
    <xf numFmtId="37" fontId="46" fillId="17" borderId="20">
      <alignment horizontal="right"/>
    </xf>
    <xf numFmtId="220" fontId="44" fillId="17" borderId="20">
      <alignment horizontal="right"/>
    </xf>
    <xf numFmtId="185" fontId="31" fillId="17" borderId="20">
      <alignment horizontal="right"/>
    </xf>
    <xf numFmtId="37" fontId="46" fillId="17" borderId="20">
      <alignment horizontal="right"/>
    </xf>
    <xf numFmtId="216" fontId="44" fillId="17" borderId="20">
      <alignment horizontal="right"/>
    </xf>
    <xf numFmtId="220" fontId="44" fillId="17" borderId="20">
      <alignment horizontal="right"/>
    </xf>
    <xf numFmtId="37" fontId="46" fillId="17" borderId="20">
      <alignment horizontal="right"/>
    </xf>
    <xf numFmtId="37" fontId="46" fillId="17" borderId="20">
      <alignment horizontal="right"/>
    </xf>
    <xf numFmtId="37" fontId="46" fillId="17" borderId="20">
      <alignment horizontal="right"/>
    </xf>
    <xf numFmtId="37" fontId="31" fillId="17" borderId="20">
      <alignment horizontal="right"/>
    </xf>
    <xf numFmtId="37" fontId="46" fillId="17" borderId="20">
      <alignment horizontal="right"/>
    </xf>
    <xf numFmtId="37" fontId="46" fillId="17" borderId="20">
      <alignment horizontal="right"/>
    </xf>
    <xf numFmtId="37" fontId="46" fillId="17" borderId="20">
      <alignment horizontal="right"/>
    </xf>
    <xf numFmtId="200" fontId="46" fillId="17" borderId="20">
      <alignment horizontal="right"/>
    </xf>
    <xf numFmtId="37" fontId="46" fillId="17" borderId="20">
      <alignment horizontal="right"/>
    </xf>
    <xf numFmtId="37" fontId="46" fillId="17" borderId="20">
      <alignment horizontal="right"/>
    </xf>
    <xf numFmtId="37" fontId="46" fillId="17" borderId="20">
      <alignment horizontal="right"/>
    </xf>
    <xf numFmtId="37" fontId="48" fillId="17" borderId="20">
      <alignment horizontal="right"/>
    </xf>
    <xf numFmtId="37" fontId="46" fillId="17" borderId="20">
      <alignment horizontal="right"/>
    </xf>
    <xf numFmtId="37" fontId="48" fillId="17" borderId="20">
      <alignment horizontal="right"/>
    </xf>
    <xf numFmtId="37" fontId="46" fillId="17" borderId="20">
      <alignment horizontal="right"/>
    </xf>
    <xf numFmtId="37" fontId="52" fillId="17" borderId="20">
      <alignment horizontal="right"/>
    </xf>
    <xf numFmtId="37" fontId="31" fillId="17" borderId="20">
      <alignment horizontal="right"/>
    </xf>
    <xf numFmtId="185" fontId="31" fillId="17" borderId="20">
      <alignment horizontal="right"/>
    </xf>
    <xf numFmtId="279" fontId="44" fillId="17" borderId="20">
      <alignment horizontal="right"/>
    </xf>
    <xf numFmtId="37" fontId="46" fillId="17" borderId="20">
      <alignment horizontal="right"/>
    </xf>
    <xf numFmtId="37" fontId="46" fillId="17" borderId="20">
      <alignment horizontal="right"/>
    </xf>
    <xf numFmtId="37" fontId="46" fillId="17" borderId="20">
      <alignment horizontal="right"/>
    </xf>
    <xf numFmtId="37" fontId="46" fillId="17" borderId="20">
      <alignment horizontal="right"/>
    </xf>
    <xf numFmtId="37" fontId="46" fillId="17" borderId="20">
      <alignment horizontal="right"/>
    </xf>
    <xf numFmtId="37" fontId="46" fillId="17" borderId="20">
      <alignment horizontal="right"/>
    </xf>
    <xf numFmtId="176" fontId="31" fillId="17" borderId="20">
      <alignment horizontal="right"/>
    </xf>
    <xf numFmtId="37" fontId="31" fillId="17" borderId="20">
      <alignment horizontal="right"/>
    </xf>
    <xf numFmtId="185" fontId="31" fillId="17" borderId="20">
      <alignment horizontal="right"/>
    </xf>
    <xf numFmtId="220" fontId="44" fillId="17" borderId="20">
      <alignment horizontal="right"/>
    </xf>
    <xf numFmtId="37" fontId="46" fillId="17" borderId="20">
      <alignment horizontal="right"/>
    </xf>
    <xf numFmtId="301" fontId="44" fillId="17" borderId="20">
      <alignment horizontal="right"/>
    </xf>
    <xf numFmtId="37" fontId="31" fillId="17" borderId="20">
      <alignment horizontal="right"/>
    </xf>
    <xf numFmtId="175" fontId="31" fillId="0" borderId="18" applyFont="0" applyFill="0" applyBorder="0" applyAlignment="0" applyProtection="0"/>
    <xf numFmtId="0" fontId="74" fillId="0" borderId="0" applyFont="0" applyFill="0" applyBorder="0" applyAlignment="0" applyProtection="0"/>
    <xf numFmtId="175" fontId="31" fillId="0" borderId="16" applyFont="0" applyFill="0" applyBorder="0" applyAlignment="0" applyProtection="0"/>
    <xf numFmtId="0" fontId="31" fillId="0" borderId="0" applyFont="0" applyFill="0" applyBorder="0" applyAlignment="0" applyProtection="0"/>
    <xf numFmtId="2" fontId="31" fillId="31" borderId="14" applyFill="0" applyBorder="0" applyProtection="0">
      <alignment horizontal="center"/>
    </xf>
    <xf numFmtId="0" fontId="145" fillId="0" borderId="0" applyNumberFormat="0" applyFill="0" applyBorder="0" applyAlignment="0" applyProtection="0"/>
    <xf numFmtId="0" fontId="32" fillId="0" borderId="0" applyNumberFormat="0" applyFill="0" applyBorder="0" applyProtection="0">
      <alignment wrapText="1"/>
    </xf>
    <xf numFmtId="0" fontId="102" fillId="0" borderId="0" applyNumberFormat="0" applyFill="0" applyBorder="0" applyProtection="0">
      <alignment wrapText="1"/>
    </xf>
    <xf numFmtId="14" fontId="146" fillId="0" borderId="0" applyNumberFormat="0" applyFill="0" applyBorder="0" applyAlignment="0" applyProtection="0"/>
    <xf numFmtId="38" fontId="32" fillId="17" borderId="0" applyNumberFormat="0" applyBorder="0" applyAlignment="0" applyProtection="0"/>
    <xf numFmtId="253" fontId="44" fillId="0" borderId="0" applyNumberFormat="0" applyAlignment="0"/>
    <xf numFmtId="0" fontId="147" fillId="0" borderId="0" applyFill="0" applyBorder="0" applyProtection="0">
      <alignment horizontal="right"/>
      <protection locked="0"/>
    </xf>
    <xf numFmtId="253" fontId="44" fillId="0" borderId="0" applyNumberFormat="0" applyAlignment="0"/>
    <xf numFmtId="217" fontId="148" fillId="0" borderId="0" applyFill="0" applyBorder="0" applyAlignment="0" applyProtection="0"/>
    <xf numFmtId="302" fontId="149" fillId="0" borderId="0" applyAlignment="0">
      <alignment horizontal="left"/>
      <protection locked="0"/>
    </xf>
    <xf numFmtId="176" fontId="46" fillId="44" borderId="1" applyNumberFormat="0"/>
    <xf numFmtId="176" fontId="46" fillId="44" borderId="1" applyNumberFormat="0"/>
    <xf numFmtId="273" fontId="150" fillId="44" borderId="1" applyNumberFormat="0"/>
    <xf numFmtId="303" fontId="46" fillId="44" borderId="1" applyNumberFormat="0"/>
    <xf numFmtId="0" fontId="41" fillId="0" borderId="0"/>
    <xf numFmtId="0" fontId="151" fillId="0" borderId="0" applyNumberFormat="0" applyFill="0" applyBorder="0" applyAlignment="0" applyProtection="0"/>
    <xf numFmtId="226" fontId="115" fillId="31" borderId="11" applyNumberFormat="0" applyFont="0" applyAlignment="0"/>
    <xf numFmtId="0" fontId="43" fillId="0" borderId="0" applyNumberFormat="0" applyFill="0" applyBorder="0" applyAlignment="0" applyProtection="0"/>
    <xf numFmtId="37" fontId="44" fillId="14" borderId="11" applyNumberFormat="0" applyFont="0" applyAlignment="0" applyProtection="0"/>
    <xf numFmtId="304" fontId="120" fillId="0" borderId="0" applyFont="0" applyFill="0" applyBorder="0" applyAlignment="0" applyProtection="0">
      <alignment horizontal="right"/>
    </xf>
    <xf numFmtId="0" fontId="151" fillId="0" borderId="0" applyNumberFormat="0" applyFill="0" applyBorder="0" applyAlignment="0" applyProtection="0"/>
    <xf numFmtId="299" fontId="46" fillId="31" borderId="44" applyProtection="0"/>
    <xf numFmtId="207" fontId="75" fillId="0" borderId="0" applyNumberFormat="0" applyFill="0" applyBorder="0" applyAlignment="0" applyProtection="0"/>
    <xf numFmtId="207" fontId="84" fillId="0" borderId="0" applyNumberFormat="0" applyFill="0" applyBorder="0" applyAlignment="0" applyProtection="0"/>
    <xf numFmtId="221" fontId="46" fillId="0" borderId="0" applyFill="0" applyBorder="0" applyProtection="0"/>
    <xf numFmtId="0" fontId="31" fillId="45" borderId="0" applyNumberFormat="0" applyBorder="0" applyProtection="0">
      <alignment horizontal="left" vertical="center"/>
    </xf>
    <xf numFmtId="0" fontId="31" fillId="1" borderId="0" applyNumberFormat="0" applyBorder="0" applyProtection="0">
      <alignment horizontal="left" vertical="center"/>
    </xf>
    <xf numFmtId="0" fontId="152" fillId="0" borderId="0" applyProtection="0">
      <alignment horizontal="right"/>
    </xf>
    <xf numFmtId="0" fontId="153" fillId="0" borderId="0">
      <alignment horizontal="left"/>
    </xf>
    <xf numFmtId="0" fontId="153" fillId="0" borderId="0">
      <alignment horizontal="left"/>
    </xf>
    <xf numFmtId="0" fontId="97" fillId="0" borderId="45" applyNumberFormat="0" applyAlignment="0" applyProtection="0">
      <alignment horizontal="left" vertical="center"/>
    </xf>
    <xf numFmtId="0" fontId="97" fillId="0" borderId="15">
      <alignment horizontal="left" vertical="center"/>
    </xf>
    <xf numFmtId="0" fontId="154" fillId="0" borderId="0">
      <alignment horizontal="center"/>
    </xf>
    <xf numFmtId="0" fontId="155" fillId="0" borderId="0" applyFill="0" applyBorder="0" applyProtection="0">
      <alignment horizontal="right"/>
    </xf>
    <xf numFmtId="0" fontId="31" fillId="0" borderId="0">
      <alignment horizontal="left"/>
    </xf>
    <xf numFmtId="0" fontId="31" fillId="0" borderId="22">
      <alignment horizontal="left" vertical="top"/>
    </xf>
    <xf numFmtId="0" fontId="31" fillId="0" borderId="0">
      <alignment horizontal="left"/>
    </xf>
    <xf numFmtId="0" fontId="31" fillId="0" borderId="22">
      <alignment horizontal="left" vertical="top"/>
    </xf>
    <xf numFmtId="0" fontId="31" fillId="0" borderId="0">
      <alignment horizontal="left"/>
    </xf>
    <xf numFmtId="0" fontId="156" fillId="0" borderId="0"/>
    <xf numFmtId="0" fontId="98" fillId="0" borderId="0" applyFill="0" applyAlignment="0" applyProtection="0">
      <protection locked="0"/>
    </xf>
    <xf numFmtId="0" fontId="98" fillId="0" borderId="1" applyFill="0" applyAlignment="0" applyProtection="0">
      <protection locked="0"/>
    </xf>
    <xf numFmtId="252" fontId="157" fillId="0" borderId="0">
      <protection locked="0"/>
    </xf>
    <xf numFmtId="252" fontId="157" fillId="0" borderId="0">
      <protection locked="0"/>
    </xf>
    <xf numFmtId="0" fontId="158" fillId="0" borderId="0"/>
    <xf numFmtId="246" fontId="44" fillId="0" borderId="0">
      <alignment horizontal="centerContinuous"/>
    </xf>
    <xf numFmtId="0" fontId="159" fillId="44" borderId="0">
      <alignment horizontal="center"/>
    </xf>
    <xf numFmtId="0" fontId="160" fillId="0" borderId="26">
      <alignment horizontal="center"/>
    </xf>
    <xf numFmtId="0" fontId="160" fillId="0" borderId="0">
      <alignment horizontal="center"/>
    </xf>
    <xf numFmtId="246" fontId="44" fillId="0" borderId="36">
      <alignment horizontal="center"/>
    </xf>
    <xf numFmtId="305" fontId="48" fillId="0" borderId="0" applyFont="0" applyFill="0" applyBorder="0" applyAlignment="0" applyProtection="0">
      <protection locked="0"/>
    </xf>
    <xf numFmtId="0" fontId="161" fillId="0" borderId="0" applyNumberFormat="0" applyFill="0" applyBorder="0" applyAlignment="0" applyProtection="0">
      <alignment horizontal="center" vertical="top" wrapText="1"/>
    </xf>
    <xf numFmtId="0" fontId="162" fillId="0" borderId="0" applyNumberFormat="0" applyFill="0" applyBorder="0" applyAlignment="0" applyProtection="0"/>
    <xf numFmtId="0" fontId="43" fillId="0" borderId="46" applyNumberFormat="0" applyFill="0" applyAlignment="0" applyProtection="0"/>
    <xf numFmtId="165" fontId="163" fillId="31" borderId="0" applyNumberFormat="0" applyBorder="0" applyAlignment="0" applyProtection="0"/>
    <xf numFmtId="0" fontId="164" fillId="0" borderId="0" applyNumberFormat="0" applyFill="0" applyBorder="0" applyAlignment="0" applyProtection="0">
      <alignment vertical="top"/>
      <protection locked="0"/>
    </xf>
    <xf numFmtId="207" fontId="75" fillId="0" borderId="0" applyNumberFormat="0" applyBorder="0" applyAlignment="0" applyProtection="0"/>
    <xf numFmtId="37" fontId="50" fillId="0" borderId="0" applyNumberFormat="0" applyFill="0" applyBorder="0" applyAlignment="0" applyProtection="0"/>
    <xf numFmtId="0" fontId="165" fillId="0" borderId="0" applyNumberFormat="0" applyFill="0" applyBorder="0" applyAlignment="0" applyProtection="0">
      <alignment vertical="top"/>
      <protection locked="0"/>
    </xf>
    <xf numFmtId="166" fontId="32" fillId="14" borderId="0" applyNumberFormat="0" applyFont="0" applyAlignment="0" applyProtection="0">
      <alignment horizontal="right"/>
      <protection locked="0"/>
    </xf>
    <xf numFmtId="256" fontId="166" fillId="0" borderId="0" applyNumberFormat="0" applyFill="0" applyBorder="0" applyAlignment="0" applyProtection="0"/>
    <xf numFmtId="37" fontId="43" fillId="0" borderId="0" applyBorder="0"/>
    <xf numFmtId="253" fontId="44" fillId="0" borderId="0" applyFont="0" applyFill="0" applyBorder="0" applyAlignment="0" applyProtection="0"/>
    <xf numFmtId="38" fontId="47" fillId="0" borderId="0" applyNumberFormat="0"/>
    <xf numFmtId="253" fontId="44" fillId="0" borderId="0" applyFont="0" applyFill="0" applyBorder="0" applyAlignment="0" applyProtection="0"/>
    <xf numFmtId="254" fontId="47" fillId="0" borderId="0" applyFill="0" applyBorder="0" applyAlignment="0" applyProtection="0">
      <alignment horizontal="right"/>
      <protection locked="0"/>
    </xf>
    <xf numFmtId="254" fontId="32" fillId="0" borderId="0" applyNumberFormat="0" applyFont="0" applyFill="0" applyBorder="0" applyProtection="0">
      <alignment horizontal="left" indent="1"/>
    </xf>
    <xf numFmtId="40" fontId="47" fillId="0" borderId="0" applyFont="0" applyFill="0" applyBorder="0" applyAlignment="0" applyProtection="0">
      <alignment horizontal="right"/>
    </xf>
    <xf numFmtId="0" fontId="43" fillId="31" borderId="0" applyBorder="0" applyAlignment="0" applyProtection="0"/>
    <xf numFmtId="188" fontId="167" fillId="0" borderId="47" applyFill="0" applyBorder="0" applyAlignment="0" applyProtection="0">
      <alignment horizontal="right"/>
    </xf>
    <xf numFmtId="200" fontId="43" fillId="31" borderId="0" applyProtection="0"/>
    <xf numFmtId="37" fontId="43" fillId="31" borderId="0" applyProtection="0"/>
    <xf numFmtId="37" fontId="46" fillId="31" borderId="0" applyProtection="0"/>
    <xf numFmtId="10" fontId="32" fillId="31" borderId="11" applyNumberFormat="0" applyBorder="0" applyAlignment="0" applyProtection="0"/>
    <xf numFmtId="13" fontId="82" fillId="0" borderId="44" applyNumberFormat="0" applyFont="0" applyFill="0" applyAlignment="0" applyProtection="0">
      <alignment horizontal="right" wrapText="1"/>
      <protection locked="0"/>
    </xf>
    <xf numFmtId="10" fontId="32" fillId="37" borderId="11" applyNumberFormat="0"/>
    <xf numFmtId="0" fontId="131" fillId="0" borderId="0" applyFill="0" applyBorder="0" applyProtection="0"/>
    <xf numFmtId="0" fontId="131" fillId="0" borderId="0" applyFill="0" applyBorder="0" applyProtection="0"/>
    <xf numFmtId="166" fontId="32" fillId="31" borderId="0" applyFont="0" applyBorder="0" applyAlignment="0" applyProtection="0">
      <protection locked="0"/>
    </xf>
    <xf numFmtId="283" fontId="32" fillId="31" borderId="0" applyFont="0" applyBorder="0" applyAlignment="0" applyProtection="0">
      <protection locked="0"/>
    </xf>
    <xf numFmtId="306" fontId="32" fillId="31" borderId="0" applyFont="0" applyBorder="0" applyAlignment="0">
      <protection locked="0"/>
    </xf>
    <xf numFmtId="0" fontId="131" fillId="0" borderId="0" applyFill="0" applyBorder="0" applyProtection="0"/>
    <xf numFmtId="254" fontId="32" fillId="31" borderId="0">
      <protection locked="0"/>
    </xf>
    <xf numFmtId="273" fontId="31" fillId="31" borderId="11" applyProtection="0"/>
    <xf numFmtId="0" fontId="131" fillId="0" borderId="0" applyFill="0" applyBorder="0" applyProtection="0"/>
    <xf numFmtId="10" fontId="32" fillId="31" borderId="0">
      <protection locked="0"/>
    </xf>
    <xf numFmtId="37" fontId="32" fillId="31" borderId="0" applyFont="0" applyBorder="0" applyAlignment="0">
      <protection locked="0"/>
    </xf>
    <xf numFmtId="0" fontId="135" fillId="31" borderId="15"/>
    <xf numFmtId="254" fontId="49" fillId="31" borderId="0" applyNumberFormat="0" applyBorder="0" applyAlignment="0">
      <protection locked="0"/>
    </xf>
    <xf numFmtId="37" fontId="46" fillId="31" borderId="11"/>
    <xf numFmtId="205" fontId="31" fillId="0" borderId="0" applyFill="0" applyBorder="0" applyProtection="0">
      <protection locked="0"/>
    </xf>
    <xf numFmtId="14" fontId="87" fillId="0" borderId="0"/>
    <xf numFmtId="38" fontId="168" fillId="31" borderId="11"/>
    <xf numFmtId="0" fontId="32" fillId="31" borderId="0" applyNumberFormat="0" applyFont="0" applyAlignment="0" applyProtection="0"/>
    <xf numFmtId="40" fontId="168" fillId="31" borderId="11"/>
    <xf numFmtId="207" fontId="169" fillId="0" borderId="0" applyNumberFormat="0" applyFill="0" applyBorder="0" applyAlignment="0">
      <protection locked="0"/>
    </xf>
    <xf numFmtId="0" fontId="31" fillId="0" borderId="0" applyFill="0" applyBorder="0" applyProtection="0">
      <alignment vertical="center"/>
    </xf>
    <xf numFmtId="0" fontId="31" fillId="0" borderId="0" applyFill="0" applyBorder="0" applyProtection="0">
      <alignment vertical="center"/>
    </xf>
    <xf numFmtId="250" fontId="170" fillId="31" borderId="11" applyAlignment="0" applyProtection="0"/>
    <xf numFmtId="0" fontId="31" fillId="0" borderId="0" applyFill="0" applyBorder="0" applyProtection="0">
      <alignment vertical="center"/>
    </xf>
    <xf numFmtId="14" fontId="87" fillId="0" borderId="0"/>
    <xf numFmtId="10" fontId="41" fillId="46" borderId="11" applyProtection="0">
      <alignment horizontal="right"/>
      <protection locked="0"/>
    </xf>
    <xf numFmtId="294" fontId="170" fillId="31" borderId="11" applyAlignment="0" applyProtection="0"/>
    <xf numFmtId="0" fontId="31" fillId="0" borderId="0" applyFill="0" applyBorder="0" applyProtection="0">
      <alignment vertical="center"/>
    </xf>
    <xf numFmtId="254" fontId="32" fillId="31" borderId="0" applyNumberFormat="0" applyFont="0" applyBorder="0" applyAlignment="0" applyProtection="0">
      <alignment horizontal="center"/>
      <protection locked="0"/>
    </xf>
    <xf numFmtId="0" fontId="31" fillId="0" borderId="0" applyFill="0" applyBorder="0">
      <alignment horizontal="right"/>
      <protection locked="0"/>
    </xf>
    <xf numFmtId="215" fontId="41" fillId="0" borderId="0"/>
    <xf numFmtId="17" fontId="171" fillId="34" borderId="0"/>
    <xf numFmtId="303" fontId="46" fillId="0" borderId="0" applyFont="0" applyFill="0" applyBorder="0" applyAlignment="0" applyProtection="0"/>
    <xf numFmtId="0" fontId="53" fillId="0" borderId="0" applyFill="0" applyBorder="0">
      <alignment horizontal="right"/>
      <protection locked="0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3" fillId="0" borderId="0" applyFill="0" applyBorder="0">
      <alignment horizontal="right"/>
      <protection locked="0"/>
    </xf>
    <xf numFmtId="0" fontId="172" fillId="47" borderId="48">
      <alignment horizontal="left" vertical="center" wrapText="1"/>
    </xf>
    <xf numFmtId="0" fontId="75" fillId="18" borderId="0"/>
    <xf numFmtId="0" fontId="59" fillId="0" borderId="49" applyNumberFormat="0" applyAlignment="0" applyProtection="0"/>
    <xf numFmtId="250" fontId="102" fillId="17" borderId="0" applyFont="0">
      <alignment horizontal="center"/>
    </xf>
    <xf numFmtId="307" fontId="31" fillId="0" borderId="0"/>
    <xf numFmtId="308" fontId="31" fillId="0" borderId="0"/>
    <xf numFmtId="0" fontId="41" fillId="0" borderId="0" applyNumberFormat="0" applyFill="0" applyBorder="0" applyAlignment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NumberFormat="0" applyFill="0" applyBorder="0" applyProtection="0">
      <alignment horizontal="left" vertical="center"/>
    </xf>
    <xf numFmtId="0" fontId="31" fillId="0" borderId="0">
      <alignment wrapText="1"/>
    </xf>
    <xf numFmtId="0" fontId="32" fillId="0" borderId="0" applyNumberFormat="0" applyFill="0" applyBorder="0" applyProtection="0">
      <alignment horizontal="left"/>
    </xf>
    <xf numFmtId="0" fontId="173" fillId="0" borderId="0" applyNumberFormat="0" applyFill="0" applyBorder="0" applyAlignment="0" applyProtection="0">
      <alignment vertical="top"/>
      <protection locked="0"/>
    </xf>
    <xf numFmtId="0" fontId="164" fillId="0" borderId="0" applyNumberFormat="0" applyFill="0" applyBorder="0" applyAlignment="0" applyProtection="0">
      <alignment vertical="top"/>
      <protection locked="0"/>
    </xf>
    <xf numFmtId="0" fontId="41" fillId="48" borderId="0" applyNumberFormat="0" applyFont="0" applyBorder="0" applyProtection="0"/>
    <xf numFmtId="254" fontId="32" fillId="0" borderId="0"/>
    <xf numFmtId="226" fontId="31" fillId="0" borderId="0" applyFont="0" applyFill="0" applyBorder="0" applyAlignment="0" applyProtection="0"/>
    <xf numFmtId="207" fontId="174" fillId="0" borderId="0" applyNumberFormat="0" applyFill="0" applyBorder="0" applyAlignment="0" applyProtection="0"/>
    <xf numFmtId="255" fontId="46" fillId="0" borderId="0"/>
    <xf numFmtId="262" fontId="31" fillId="0" borderId="0" applyFill="0" applyBorder="0" applyAlignment="0"/>
    <xf numFmtId="213" fontId="31" fillId="0" borderId="0" applyFill="0" applyBorder="0" applyAlignment="0"/>
    <xf numFmtId="262" fontId="31" fillId="0" borderId="0" applyFill="0" applyBorder="0" applyAlignment="0"/>
    <xf numFmtId="263" fontId="31" fillId="0" borderId="0" applyFill="0" applyBorder="0" applyAlignment="0"/>
    <xf numFmtId="213" fontId="31" fillId="0" borderId="0" applyFill="0" applyBorder="0" applyAlignment="0"/>
    <xf numFmtId="207" fontId="174" fillId="0" borderId="0" applyNumberFormat="0" applyFill="0" applyBorder="0" applyAlignment="0" applyProtection="0"/>
    <xf numFmtId="207" fontId="175" fillId="38" borderId="0" applyNumberFormat="0" applyFont="0" applyFill="0" applyBorder="0" applyAlignment="0">
      <alignment horizontal="centerContinuous"/>
    </xf>
    <xf numFmtId="0" fontId="31" fillId="0" borderId="0">
      <alignment horizontal="left"/>
    </xf>
    <xf numFmtId="0" fontId="47" fillId="0" borderId="0" applyFont="0" applyFill="0" applyBorder="0" applyAlignment="0" applyProtection="0">
      <alignment horizontal="right"/>
    </xf>
    <xf numFmtId="284" fontId="31" fillId="0" borderId="0">
      <alignment horizontal="right"/>
    </xf>
    <xf numFmtId="218" fontId="31" fillId="0" borderId="0">
      <alignment horizontal="right"/>
    </xf>
    <xf numFmtId="14" fontId="115" fillId="0" borderId="1" applyFont="0" applyFill="0" applyBorder="0" applyAlignment="0" applyProtection="0"/>
    <xf numFmtId="14" fontId="75" fillId="18" borderId="0" applyFont="0" applyFill="0" applyBorder="0" applyAlignment="0" applyProtection="0"/>
    <xf numFmtId="37" fontId="46" fillId="0" borderId="0">
      <alignment horizontal="right"/>
    </xf>
    <xf numFmtId="284" fontId="31" fillId="0" borderId="0">
      <alignment horizontal="right"/>
    </xf>
    <xf numFmtId="284" fontId="31" fillId="0" borderId="0">
      <alignment horizontal="right"/>
    </xf>
    <xf numFmtId="221" fontId="46" fillId="0" borderId="0">
      <alignment horizontal="right"/>
    </xf>
    <xf numFmtId="183" fontId="46" fillId="0" borderId="0">
      <alignment horizontal="right"/>
    </xf>
    <xf numFmtId="37" fontId="46" fillId="0" borderId="0">
      <alignment horizontal="right"/>
    </xf>
    <xf numFmtId="284" fontId="31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37" fontId="31" fillId="0" borderId="0">
      <alignment horizontal="right"/>
    </xf>
    <xf numFmtId="290" fontId="48" fillId="0" borderId="0">
      <alignment horizontal="right"/>
    </xf>
    <xf numFmtId="37" fontId="46" fillId="0" borderId="0">
      <alignment horizontal="right"/>
    </xf>
    <xf numFmtId="37" fontId="46" fillId="0" borderId="0">
      <alignment horizontal="right"/>
    </xf>
    <xf numFmtId="37" fontId="44" fillId="0" borderId="0" applyFont="0" applyFill="0" applyBorder="0" applyAlignment="0" applyProtection="0"/>
    <xf numFmtId="279" fontId="44" fillId="0" borderId="0">
      <alignment horizontal="right"/>
    </xf>
    <xf numFmtId="184" fontId="46" fillId="0" borderId="0">
      <alignment horizontal="right"/>
    </xf>
    <xf numFmtId="185" fontId="46" fillId="0" borderId="0">
      <alignment horizontal="right"/>
    </xf>
    <xf numFmtId="284" fontId="31" fillId="0" borderId="0">
      <alignment horizontal="right"/>
    </xf>
    <xf numFmtId="37" fontId="41" fillId="0" borderId="0">
      <alignment horizontal="right"/>
    </xf>
    <xf numFmtId="37" fontId="46" fillId="0" borderId="0">
      <alignment horizontal="right"/>
    </xf>
    <xf numFmtId="37" fontId="46" fillId="0" borderId="0">
      <alignment horizontal="right"/>
    </xf>
    <xf numFmtId="37" fontId="46" fillId="0" borderId="0">
      <alignment horizontal="right"/>
    </xf>
    <xf numFmtId="304" fontId="48" fillId="19" borderId="0" applyBorder="0" applyAlignment="0" applyProtection="0"/>
    <xf numFmtId="201" fontId="44" fillId="0" borderId="0">
      <alignment horizontal="right"/>
    </xf>
    <xf numFmtId="279" fontId="44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37" fontId="41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284" fontId="31" fillId="0" borderId="0">
      <alignment horizontal="right"/>
    </xf>
    <xf numFmtId="288" fontId="44" fillId="0" borderId="0">
      <alignment horizontal="right"/>
    </xf>
    <xf numFmtId="284" fontId="31" fillId="0" borderId="0">
      <alignment horizontal="right"/>
    </xf>
    <xf numFmtId="284" fontId="31" fillId="0" borderId="0">
      <alignment horizontal="right"/>
    </xf>
    <xf numFmtId="284" fontId="31" fillId="0" borderId="0">
      <alignment horizontal="right"/>
    </xf>
    <xf numFmtId="37" fontId="41" fillId="0" borderId="0">
      <alignment horizontal="right"/>
    </xf>
    <xf numFmtId="284" fontId="31" fillId="0" borderId="0">
      <alignment horizontal="right"/>
    </xf>
    <xf numFmtId="37" fontId="31" fillId="0" borderId="0">
      <alignment horizontal="right"/>
    </xf>
    <xf numFmtId="290" fontId="48" fillId="0" borderId="0">
      <alignment horizontal="right"/>
    </xf>
    <xf numFmtId="279" fontId="44" fillId="0" borderId="0">
      <alignment horizontal="right"/>
    </xf>
    <xf numFmtId="284" fontId="31" fillId="0" borderId="0">
      <alignment horizontal="right"/>
    </xf>
    <xf numFmtId="37" fontId="41" fillId="0" borderId="0">
      <alignment horizontal="right"/>
    </xf>
    <xf numFmtId="37" fontId="46" fillId="0" borderId="0">
      <alignment horizontal="right"/>
    </xf>
    <xf numFmtId="201" fontId="44" fillId="0" borderId="0">
      <alignment horizontal="right"/>
    </xf>
    <xf numFmtId="279" fontId="44" fillId="0" borderId="0">
      <alignment horizontal="right"/>
    </xf>
    <xf numFmtId="284" fontId="31" fillId="0" borderId="0">
      <alignment horizontal="right"/>
    </xf>
    <xf numFmtId="288" fontId="44" fillId="0" borderId="0">
      <alignment horizontal="right"/>
    </xf>
    <xf numFmtId="37" fontId="41" fillId="0" borderId="0">
      <alignment horizontal="right"/>
    </xf>
    <xf numFmtId="309" fontId="48" fillId="0" borderId="0">
      <alignment horizontal="right"/>
    </xf>
    <xf numFmtId="184" fontId="46" fillId="0" borderId="0">
      <alignment horizontal="right"/>
    </xf>
    <xf numFmtId="185" fontId="46" fillId="0" borderId="0">
      <alignment horizontal="right"/>
    </xf>
    <xf numFmtId="284" fontId="31" fillId="0" borderId="0">
      <alignment horizontal="right"/>
    </xf>
    <xf numFmtId="279" fontId="44" fillId="0" borderId="0">
      <alignment horizontal="right"/>
    </xf>
    <xf numFmtId="37" fontId="46" fillId="0" borderId="0">
      <alignment horizontal="right"/>
    </xf>
    <xf numFmtId="218" fontId="44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37" fontId="46" fillId="0" borderId="0">
      <alignment horizontal="right"/>
    </xf>
    <xf numFmtId="37" fontId="41" fillId="0" borderId="0">
      <alignment horizontal="right"/>
    </xf>
    <xf numFmtId="309" fontId="48" fillId="0" borderId="0">
      <alignment horizontal="right"/>
    </xf>
    <xf numFmtId="199" fontId="46" fillId="49" borderId="0" applyBorder="0" applyAlignment="0" applyProtection="0"/>
    <xf numFmtId="214" fontId="31" fillId="19" borderId="0" applyBorder="0" applyAlignment="0" applyProtection="0"/>
    <xf numFmtId="199" fontId="46" fillId="49" borderId="0" applyBorder="0" applyAlignment="0" applyProtection="0"/>
    <xf numFmtId="227" fontId="31" fillId="19" borderId="0" applyBorder="0" applyAlignment="0" applyProtection="0"/>
    <xf numFmtId="233" fontId="46" fillId="49" borderId="0" applyBorder="0" applyAlignment="0" applyProtection="0"/>
    <xf numFmtId="186" fontId="31" fillId="0" borderId="0">
      <alignment horizontal="right"/>
    </xf>
    <xf numFmtId="37" fontId="31" fillId="0" borderId="0">
      <alignment horizontal="right"/>
    </xf>
    <xf numFmtId="37" fontId="31" fillId="0" borderId="0">
      <alignment horizontal="right"/>
    </xf>
    <xf numFmtId="37" fontId="31" fillId="0" borderId="0">
      <alignment horizontal="right"/>
    </xf>
    <xf numFmtId="186" fontId="31" fillId="0" borderId="0">
      <alignment horizontal="right"/>
    </xf>
    <xf numFmtId="186" fontId="31" fillId="0" borderId="0">
      <alignment horizontal="right"/>
    </xf>
    <xf numFmtId="37" fontId="46" fillId="0" borderId="0">
      <alignment horizontal="right"/>
    </xf>
    <xf numFmtId="186" fontId="31" fillId="0" borderId="0">
      <alignment horizontal="right"/>
    </xf>
    <xf numFmtId="37" fontId="31" fillId="0" borderId="0">
      <alignment horizontal="right"/>
    </xf>
    <xf numFmtId="281" fontId="48" fillId="0" borderId="0">
      <alignment horizontal="right"/>
    </xf>
    <xf numFmtId="37" fontId="52" fillId="0" borderId="0">
      <alignment horizontal="right"/>
    </xf>
    <xf numFmtId="37" fontId="48" fillId="0" borderId="0">
      <alignment horizontal="right"/>
    </xf>
    <xf numFmtId="37" fontId="46" fillId="0" borderId="0">
      <alignment horizontal="right"/>
    </xf>
    <xf numFmtId="37" fontId="46" fillId="0" borderId="0">
      <alignment horizontal="right"/>
    </xf>
    <xf numFmtId="37" fontId="31" fillId="0" borderId="0">
      <alignment horizontal="right"/>
    </xf>
    <xf numFmtId="194" fontId="44" fillId="0" borderId="0">
      <alignment horizontal="right"/>
    </xf>
    <xf numFmtId="186" fontId="31" fillId="0" borderId="0">
      <alignment horizontal="right"/>
    </xf>
    <xf numFmtId="37" fontId="46" fillId="0" borderId="0">
      <alignment horizontal="right"/>
    </xf>
    <xf numFmtId="202" fontId="44" fillId="0" borderId="0">
      <alignment horizontal="right"/>
    </xf>
    <xf numFmtId="194" fontId="44" fillId="0" borderId="0">
      <alignment horizontal="right"/>
    </xf>
    <xf numFmtId="37" fontId="46" fillId="0" borderId="0">
      <alignment horizontal="right"/>
    </xf>
    <xf numFmtId="37" fontId="31" fillId="0" borderId="0">
      <alignment horizontal="right"/>
    </xf>
    <xf numFmtId="37" fontId="31" fillId="0" borderId="0">
      <alignment horizontal="right"/>
    </xf>
    <xf numFmtId="37" fontId="31" fillId="0" borderId="0">
      <alignment horizontal="right"/>
    </xf>
    <xf numFmtId="37" fontId="46" fillId="0" borderId="0">
      <alignment horizontal="right"/>
    </xf>
    <xf numFmtId="37" fontId="48" fillId="0" borderId="0">
      <alignment horizontal="right"/>
    </xf>
    <xf numFmtId="37" fontId="46" fillId="0" borderId="0">
      <alignment horizontal="right"/>
    </xf>
    <xf numFmtId="37" fontId="46" fillId="0" borderId="0">
      <alignment horizontal="right"/>
    </xf>
    <xf numFmtId="37" fontId="46" fillId="0" borderId="0">
      <alignment horizontal="right"/>
    </xf>
    <xf numFmtId="37" fontId="46" fillId="0" borderId="0">
      <alignment horizontal="right"/>
    </xf>
    <xf numFmtId="37" fontId="46" fillId="0" borderId="0">
      <alignment horizontal="right"/>
    </xf>
    <xf numFmtId="37" fontId="31" fillId="0" borderId="0">
      <alignment horizontal="right"/>
    </xf>
    <xf numFmtId="37" fontId="46" fillId="0" borderId="0">
      <alignment horizontal="right"/>
    </xf>
    <xf numFmtId="37" fontId="52" fillId="0" borderId="0">
      <alignment horizontal="right"/>
    </xf>
    <xf numFmtId="37" fontId="48" fillId="0" borderId="0">
      <alignment horizontal="right"/>
    </xf>
    <xf numFmtId="37" fontId="46" fillId="0" borderId="0">
      <alignment horizontal="right"/>
    </xf>
    <xf numFmtId="37" fontId="46" fillId="0" borderId="0">
      <alignment horizontal="right"/>
    </xf>
    <xf numFmtId="37" fontId="46" fillId="0" borderId="0">
      <alignment horizontal="right"/>
    </xf>
    <xf numFmtId="186" fontId="31" fillId="0" borderId="0">
      <alignment horizontal="right"/>
    </xf>
    <xf numFmtId="272" fontId="44" fillId="0" borderId="0">
      <alignment horizontal="right"/>
    </xf>
    <xf numFmtId="37" fontId="46" fillId="0" borderId="0">
      <alignment horizontal="right"/>
    </xf>
    <xf numFmtId="37" fontId="46" fillId="0" borderId="0">
      <alignment horizontal="right"/>
    </xf>
    <xf numFmtId="37" fontId="46" fillId="0" borderId="0">
      <alignment horizontal="right"/>
    </xf>
    <xf numFmtId="37" fontId="46" fillId="0" borderId="0">
      <alignment horizontal="right"/>
    </xf>
    <xf numFmtId="37" fontId="46" fillId="0" borderId="0">
      <alignment horizontal="right"/>
    </xf>
    <xf numFmtId="37" fontId="46" fillId="0" borderId="0">
      <alignment horizontal="right"/>
    </xf>
    <xf numFmtId="310" fontId="31" fillId="0" borderId="0">
      <alignment horizontal="right"/>
    </xf>
    <xf numFmtId="37" fontId="46" fillId="0" borderId="0">
      <alignment horizontal="right"/>
    </xf>
    <xf numFmtId="186" fontId="31" fillId="0" borderId="0">
      <alignment horizontal="right"/>
    </xf>
    <xf numFmtId="194" fontId="44" fillId="0" borderId="0">
      <alignment horizontal="right"/>
    </xf>
    <xf numFmtId="37" fontId="46" fillId="0" borderId="0">
      <alignment horizontal="right"/>
    </xf>
    <xf numFmtId="311" fontId="44" fillId="0" borderId="0">
      <alignment horizontal="right"/>
    </xf>
    <xf numFmtId="184" fontId="46" fillId="0" borderId="0">
      <alignment horizontal="right"/>
    </xf>
    <xf numFmtId="185" fontId="46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37" fontId="44" fillId="0" borderId="0" applyFont="0" applyFill="0" applyBorder="0" applyAlignment="0" applyProtection="0"/>
    <xf numFmtId="284" fontId="31" fillId="0" borderId="0">
      <alignment horizontal="right"/>
    </xf>
    <xf numFmtId="279" fontId="44" fillId="0" borderId="0">
      <alignment horizontal="right"/>
    </xf>
    <xf numFmtId="37" fontId="46" fillId="0" borderId="0">
      <alignment horizontal="right"/>
    </xf>
    <xf numFmtId="218" fontId="44" fillId="0" borderId="0">
      <alignment horizontal="right"/>
    </xf>
    <xf numFmtId="0" fontId="120" fillId="0" borderId="0"/>
    <xf numFmtId="0" fontId="176" fillId="0" borderId="18">
      <alignment horizontal="left"/>
      <protection locked="0"/>
    </xf>
    <xf numFmtId="310" fontId="31" fillId="31" borderId="1" applyFont="0" applyFill="0" applyBorder="0" applyAlignment="0" applyProtection="0">
      <alignment horizontal="right"/>
    </xf>
    <xf numFmtId="38" fontId="47" fillId="0" borderId="0" applyNumberFormat="0"/>
    <xf numFmtId="37" fontId="177" fillId="0" borderId="0" applyFill="0" applyBorder="0" applyAlignment="0" applyProtection="0">
      <alignment horizontal="right"/>
    </xf>
    <xf numFmtId="217" fontId="177" fillId="0" borderId="0" applyFill="0" applyBorder="0" applyAlignment="0" applyProtection="0"/>
    <xf numFmtId="0" fontId="31" fillId="0" borderId="0" applyFont="0" applyFill="0" applyBorder="0" applyAlignment="0" applyProtection="0"/>
    <xf numFmtId="38" fontId="53" fillId="0" borderId="0" applyFont="0" applyFill="0" applyBorder="0" applyAlignment="0" applyProtection="0"/>
    <xf numFmtId="40" fontId="53" fillId="0" borderId="0" applyFont="0" applyFill="0" applyBorder="0" applyAlignment="0" applyProtection="0"/>
    <xf numFmtId="0" fontId="178" fillId="0" borderId="0" applyBorder="0"/>
    <xf numFmtId="0" fontId="41" fillId="0" borderId="0"/>
    <xf numFmtId="37" fontId="46" fillId="0" borderId="0" applyFont="0" applyFill="0" applyBorder="0" applyAlignment="0" applyProtection="0"/>
    <xf numFmtId="4" fontId="58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233" fontId="31" fillId="0" borderId="0" applyFont="0" applyFill="0" applyBorder="0" applyAlignment="0" applyProtection="0"/>
    <xf numFmtId="207" fontId="179" fillId="0" borderId="0" applyFont="0" applyFill="0" applyBorder="0" applyAlignment="0" applyProtection="0"/>
    <xf numFmtId="37" fontId="179" fillId="0" borderId="0" applyFont="0" applyFill="0" applyBorder="0" applyAlignment="0" applyProtection="0"/>
    <xf numFmtId="312" fontId="44" fillId="0" borderId="0"/>
    <xf numFmtId="0" fontId="180" fillId="0" borderId="0"/>
    <xf numFmtId="313" fontId="31" fillId="0" borderId="0">
      <alignment horizontal="right"/>
    </xf>
    <xf numFmtId="314" fontId="32" fillId="0" borderId="0" applyFont="0" applyFill="0" applyBorder="0" applyAlignment="0" applyProtection="0"/>
    <xf numFmtId="283" fontId="75" fillId="18" borderId="0" applyFont="0" applyFill="0" applyBorder="0" applyAlignment="0" applyProtection="0"/>
    <xf numFmtId="17" fontId="75" fillId="18" borderId="0" applyFont="0" applyFill="0" applyBorder="0" applyAlignment="0" applyProtection="0"/>
    <xf numFmtId="0" fontId="181" fillId="0" borderId="26"/>
    <xf numFmtId="167" fontId="31" fillId="0" borderId="0" applyFont="0" applyFill="0" applyBorder="0" applyAlignment="0" applyProtection="0"/>
    <xf numFmtId="166" fontId="58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0" fontId="41" fillId="0" borderId="0" applyFill="0" applyBorder="0" applyAlignment="0" applyProtection="0"/>
    <xf numFmtId="165" fontId="31" fillId="19" borderId="0" applyFont="0" applyFill="0" applyBorder="0" applyAlignment="0" applyProtection="0"/>
    <xf numFmtId="39" fontId="31" fillId="19" borderId="0" applyFont="0" applyFill="0" applyBorder="0" applyAlignment="0" applyProtection="0"/>
    <xf numFmtId="209" fontId="46" fillId="19" borderId="0" applyFont="0" applyFill="0" applyBorder="0" applyAlignment="0" applyProtection="0"/>
    <xf numFmtId="207" fontId="43" fillId="0" borderId="0" applyNumberFormat="0" applyFill="0" applyBorder="0" applyAlignment="0" applyProtection="0"/>
    <xf numFmtId="291" fontId="46" fillId="0" borderId="0" applyFont="0" applyFill="0" applyBorder="0" applyAlignment="0" applyProtection="0"/>
    <xf numFmtId="37" fontId="46" fillId="0" borderId="0" applyFill="0" applyBorder="0" applyAlignment="0">
      <alignment horizontal="right"/>
    </xf>
    <xf numFmtId="315" fontId="47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/>
    <xf numFmtId="40" fontId="47" fillId="0" borderId="0" applyFill="0" applyBorder="0" applyAlignment="0" applyProtection="0">
      <alignment horizontal="left"/>
    </xf>
    <xf numFmtId="0" fontId="120" fillId="0" borderId="0" applyFill="0" applyBorder="0" applyProtection="0"/>
    <xf numFmtId="0" fontId="120" fillId="0" borderId="0" applyFill="0" applyBorder="0" applyProtection="0">
      <alignment vertical="center"/>
    </xf>
    <xf numFmtId="222" fontId="120" fillId="0" borderId="0" applyFont="0" applyFill="0" applyBorder="0" applyAlignment="0" applyProtection="0">
      <alignment horizontal="right"/>
    </xf>
    <xf numFmtId="316" fontId="46" fillId="0" borderId="0" applyFill="0" applyBorder="0" applyProtection="0"/>
    <xf numFmtId="293" fontId="46" fillId="0" borderId="0" applyFont="0" applyFill="0" applyBorder="0" applyAlignment="0" applyProtection="0"/>
    <xf numFmtId="37" fontId="46" fillId="0" borderId="0" applyFill="0" applyBorder="0" applyProtection="0"/>
    <xf numFmtId="175" fontId="31" fillId="0" borderId="0" applyAlignment="0"/>
    <xf numFmtId="0" fontId="31" fillId="0" borderId="0" applyNumberFormat="0" applyAlignment="0"/>
    <xf numFmtId="296" fontId="32" fillId="17" borderId="0" applyFont="0" applyBorder="0" applyAlignment="0" applyProtection="0">
      <alignment horizontal="right"/>
      <protection hidden="1"/>
    </xf>
    <xf numFmtId="0" fontId="31" fillId="0" borderId="0"/>
    <xf numFmtId="0" fontId="31" fillId="50" borderId="0"/>
    <xf numFmtId="0" fontId="31" fillId="19" borderId="0"/>
    <xf numFmtId="40" fontId="54" fillId="0" borderId="0" applyFont="0" applyFill="0" applyBorder="0" applyAlignment="0" applyProtection="0">
      <alignment horizontal="center"/>
    </xf>
    <xf numFmtId="210" fontId="44" fillId="0" borderId="0"/>
    <xf numFmtId="186" fontId="46" fillId="0" borderId="0" applyFont="0" applyFill="0" applyBorder="0" applyAlignment="0"/>
    <xf numFmtId="37" fontId="182" fillId="0" borderId="0"/>
    <xf numFmtId="0" fontId="41" fillId="0" borderId="0" applyNumberFormat="0" applyFont="0" applyBorder="0" applyAlignment="0"/>
    <xf numFmtId="254" fontId="31" fillId="0" borderId="0" applyNumberFormat="0" applyAlignment="0" applyProtection="0"/>
    <xf numFmtId="0" fontId="183" fillId="0" borderId="0"/>
    <xf numFmtId="0" fontId="31" fillId="0" borderId="0"/>
    <xf numFmtId="0" fontId="89" fillId="19" borderId="0" applyNumberFormat="0" applyFont="0" applyAlignment="0">
      <alignment horizontal="centerContinuous"/>
    </xf>
    <xf numFmtId="254" fontId="32" fillId="19" borderId="0" applyNumberFormat="0" applyBorder="0"/>
    <xf numFmtId="0" fontId="47" fillId="0" borderId="0"/>
    <xf numFmtId="305" fontId="48" fillId="0" borderId="0">
      <alignment horizontal="right"/>
    </xf>
    <xf numFmtId="317" fontId="32" fillId="0" borderId="0" applyFont="0" applyFill="0" applyBorder="0" applyAlignment="0" applyProtection="0">
      <alignment horizontal="right"/>
    </xf>
    <xf numFmtId="318" fontId="53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38" fontId="102" fillId="0" borderId="0"/>
    <xf numFmtId="37" fontId="46" fillId="0" borderId="0" applyFont="0" applyFill="0" applyBorder="0" applyAlignment="0" applyProtection="0"/>
    <xf numFmtId="39" fontId="31" fillId="19" borderId="0" applyFill="0" applyBorder="0" applyAlignment="0" applyProtection="0"/>
    <xf numFmtId="207" fontId="31" fillId="0" borderId="0" applyFont="0" applyFill="0" applyBorder="0" applyAlignment="0" applyProtection="0"/>
    <xf numFmtId="39" fontId="31" fillId="0" borderId="0" applyFont="0" applyFill="0" applyBorder="0" applyAlignment="0" applyProtection="0"/>
    <xf numFmtId="319" fontId="31" fillId="0" borderId="0" applyFont="0" applyFill="0" applyBorder="0" applyAlignment="0" applyProtection="0"/>
    <xf numFmtId="251" fontId="110" fillId="0" borderId="0" applyFont="0" applyFill="0" applyBorder="0" applyAlignment="0" applyProtection="0"/>
    <xf numFmtId="0" fontId="120" fillId="0" borderId="0" applyFill="0" applyBorder="0" applyProtection="0"/>
    <xf numFmtId="0" fontId="184" fillId="0" borderId="0"/>
    <xf numFmtId="38" fontId="78" fillId="0" borderId="15"/>
    <xf numFmtId="254" fontId="115" fillId="0" borderId="0" applyNumberFormat="0" applyFill="0" applyBorder="0" applyAlignment="0" applyProtection="0"/>
    <xf numFmtId="0" fontId="31" fillId="31" borderId="11"/>
    <xf numFmtId="320" fontId="32" fillId="0" borderId="0" applyFont="0" applyFill="0" applyBorder="0" applyAlignment="0" applyProtection="0"/>
    <xf numFmtId="254" fontId="32" fillId="38" borderId="0" applyFont="0" applyFill="0" applyBorder="0" applyAlignment="0"/>
    <xf numFmtId="2" fontId="31" fillId="0" borderId="0"/>
    <xf numFmtId="0" fontId="185" fillId="0" borderId="0"/>
    <xf numFmtId="317" fontId="32" fillId="0" borderId="0" applyFont="0" applyFill="0" applyBorder="0" applyAlignment="0" applyProtection="0">
      <alignment horizontal="right"/>
    </xf>
    <xf numFmtId="37" fontId="46" fillId="0" borderId="0">
      <alignment horizontal="right"/>
    </xf>
    <xf numFmtId="37" fontId="32" fillId="0" borderId="0" applyFont="0" applyFill="0" applyBorder="0" applyAlignment="0" applyProtection="0">
      <alignment horizontal="right"/>
    </xf>
    <xf numFmtId="37" fontId="46" fillId="0" borderId="0">
      <alignment horizontal="right"/>
    </xf>
    <xf numFmtId="37" fontId="32" fillId="0" borderId="0" applyFont="0" applyFill="0" applyBorder="0" applyAlignment="0" applyProtection="0">
      <alignment horizontal="right"/>
    </xf>
    <xf numFmtId="37" fontId="46" fillId="0" borderId="0">
      <alignment horizontal="right"/>
    </xf>
    <xf numFmtId="37" fontId="32" fillId="0" borderId="0" applyFont="0" applyFill="0" applyBorder="0" applyAlignment="0" applyProtection="0">
      <alignment horizontal="right"/>
    </xf>
    <xf numFmtId="37" fontId="46" fillId="0" borderId="0">
      <alignment horizontal="right"/>
    </xf>
    <xf numFmtId="0" fontId="32" fillId="0" borderId="0" applyFont="0" applyFill="0" applyBorder="0" applyAlignment="0" applyProtection="0">
      <alignment horizontal="right"/>
    </xf>
    <xf numFmtId="37" fontId="46" fillId="0" borderId="0">
      <alignment horizontal="right"/>
    </xf>
    <xf numFmtId="37" fontId="32" fillId="0" borderId="0" applyFont="0" applyFill="0" applyBorder="0" applyAlignment="0" applyProtection="0">
      <alignment horizontal="right"/>
    </xf>
    <xf numFmtId="37" fontId="46" fillId="0" borderId="0">
      <alignment horizontal="right"/>
    </xf>
    <xf numFmtId="0" fontId="32" fillId="0" borderId="0" applyFont="0" applyFill="0" applyBorder="0" applyAlignment="0" applyProtection="0">
      <alignment horizontal="right"/>
    </xf>
    <xf numFmtId="0" fontId="186" fillId="0" borderId="0"/>
    <xf numFmtId="0" fontId="186" fillId="0" borderId="0"/>
    <xf numFmtId="321" fontId="186" fillId="0" borderId="0"/>
    <xf numFmtId="207" fontId="31" fillId="0" borderId="0">
      <alignment horizontal="left"/>
      <protection locked="0"/>
    </xf>
    <xf numFmtId="40" fontId="115" fillId="0" borderId="0">
      <alignment horizontal="left"/>
    </xf>
    <xf numFmtId="0" fontId="186" fillId="0" borderId="0"/>
    <xf numFmtId="37" fontId="46" fillId="0" borderId="0" applyFill="0" applyBorder="0" applyAlignment="0" applyProtection="0"/>
    <xf numFmtId="0" fontId="187" fillId="0" borderId="0"/>
    <xf numFmtId="254" fontId="32" fillId="0" borderId="0"/>
    <xf numFmtId="37" fontId="185" fillId="0" borderId="0"/>
    <xf numFmtId="0" fontId="31" fillId="0" borderId="0"/>
    <xf numFmtId="240" fontId="66" fillId="0" borderId="50" applyFont="0" applyFill="0" applyBorder="0" applyAlignment="0" applyProtection="0"/>
    <xf numFmtId="322" fontId="32" fillId="0" borderId="0" applyFont="0" applyFill="0" applyBorder="0" applyAlignment="0" applyProtection="0"/>
    <xf numFmtId="309" fontId="32" fillId="0" borderId="0" applyFont="0" applyFill="0" applyBorder="0" applyAlignment="0" applyProtection="0"/>
    <xf numFmtId="0" fontId="53" fillId="0" borderId="0"/>
    <xf numFmtId="0" fontId="41" fillId="0" borderId="0"/>
    <xf numFmtId="0" fontId="41" fillId="0" borderId="0"/>
    <xf numFmtId="0" fontId="55" fillId="0" borderId="0" applyNumberFormat="0" applyFont="0" applyFill="0" applyBorder="0" applyAlignment="0" applyProtection="0"/>
    <xf numFmtId="0" fontId="188" fillId="0" borderId="18"/>
    <xf numFmtId="175" fontId="32" fillId="0" borderId="0" applyFont="0" applyFill="0" applyBorder="0" applyAlignment="0" applyProtection="0"/>
    <xf numFmtId="38" fontId="189" fillId="0" borderId="0"/>
    <xf numFmtId="37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39" fontId="31" fillId="0" borderId="0" applyFont="0" applyFill="0" applyBorder="0" applyAlignment="0" applyProtection="0"/>
    <xf numFmtId="311" fontId="32" fillId="0" borderId="0" applyFill="0" applyBorder="0" applyProtection="0">
      <alignment horizontal="right" wrapText="1"/>
    </xf>
    <xf numFmtId="311" fontId="32" fillId="0" borderId="0" applyFill="0" applyBorder="0" applyProtection="0">
      <alignment horizontal="right" wrapText="1"/>
    </xf>
    <xf numFmtId="301" fontId="32" fillId="0" borderId="0" applyFill="0" applyBorder="0" applyProtection="0">
      <alignment horizontal="right" wrapText="1"/>
    </xf>
    <xf numFmtId="301" fontId="32" fillId="0" borderId="0" applyFill="0" applyBorder="0" applyProtection="0">
      <alignment horizontal="right" wrapText="1"/>
    </xf>
    <xf numFmtId="207" fontId="187" fillId="0" borderId="0"/>
    <xf numFmtId="37" fontId="46" fillId="0" borderId="0" applyFont="0" applyFill="0" applyBorder="0" applyProtection="0">
      <alignment horizontal="right"/>
    </xf>
    <xf numFmtId="0" fontId="31" fillId="0" borderId="0" applyNumberFormat="0" applyFill="0" applyBorder="0" applyAlignment="0" applyProtection="0"/>
    <xf numFmtId="40" fontId="31" fillId="0" borderId="0" applyFont="0" applyFill="0" applyBorder="0" applyAlignment="0" applyProtection="0">
      <alignment horizontal="center"/>
    </xf>
    <xf numFmtId="311" fontId="32" fillId="0" borderId="0" applyFill="0" applyBorder="0" applyProtection="0">
      <alignment horizontal="right" wrapText="1"/>
    </xf>
    <xf numFmtId="311" fontId="32" fillId="0" borderId="0" applyFill="0" applyBorder="0" applyProtection="0">
      <alignment horizontal="right" wrapText="1"/>
    </xf>
    <xf numFmtId="217" fontId="32" fillId="0" borderId="0" applyFill="0" applyBorder="0" applyProtection="0">
      <alignment horizontal="right" wrapText="1"/>
    </xf>
    <xf numFmtId="217" fontId="32" fillId="0" borderId="0" applyFill="0" applyBorder="0" applyProtection="0">
      <alignment horizontal="right" wrapText="1"/>
    </xf>
    <xf numFmtId="270" fontId="46" fillId="0" borderId="0" applyFont="0" applyFill="0" applyBorder="0" applyAlignment="0" applyProtection="0"/>
    <xf numFmtId="207" fontId="144" fillId="0" borderId="0"/>
    <xf numFmtId="0" fontId="190" fillId="0" borderId="0"/>
    <xf numFmtId="0" fontId="190" fillId="0" borderId="0"/>
    <xf numFmtId="0" fontId="190" fillId="0" borderId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37" fontId="46" fillId="0" borderId="21"/>
    <xf numFmtId="199" fontId="87" fillId="0" borderId="0" applyBorder="0" applyProtection="0"/>
    <xf numFmtId="0" fontId="191" fillId="0" borderId="0">
      <alignment horizontal="left"/>
    </xf>
    <xf numFmtId="40" fontId="192" fillId="19" borderId="0">
      <alignment horizontal="right"/>
    </xf>
    <xf numFmtId="0" fontId="193" fillId="19" borderId="0">
      <alignment horizontal="right"/>
    </xf>
    <xf numFmtId="0" fontId="194" fillId="19" borderId="20"/>
    <xf numFmtId="0" fontId="195" fillId="51" borderId="0" applyBorder="0">
      <alignment horizontal="centerContinuous"/>
    </xf>
    <xf numFmtId="0" fontId="196" fillId="52" borderId="0" applyBorder="0">
      <alignment horizontal="centerContinuous"/>
    </xf>
    <xf numFmtId="294" fontId="32" fillId="0" borderId="0"/>
    <xf numFmtId="0" fontId="47" fillId="0" borderId="0" applyFont="0" applyFill="0" applyBorder="0" applyAlignment="0" applyProtection="0">
      <alignment horizontal="right"/>
    </xf>
    <xf numFmtId="294" fontId="32" fillId="0" borderId="0"/>
    <xf numFmtId="15" fontId="31" fillId="0" borderId="19">
      <alignment horizontal="right"/>
    </xf>
    <xf numFmtId="207" fontId="32" fillId="0" borderId="0"/>
    <xf numFmtId="15" fontId="31" fillId="0" borderId="19">
      <alignment horizontal="right"/>
    </xf>
    <xf numFmtId="15" fontId="31" fillId="0" borderId="19">
      <alignment horizontal="right"/>
    </xf>
    <xf numFmtId="15" fontId="31" fillId="0" borderId="19">
      <alignment horizontal="right"/>
    </xf>
    <xf numFmtId="15" fontId="31" fillId="0" borderId="19">
      <alignment horizontal="right"/>
    </xf>
    <xf numFmtId="15" fontId="31" fillId="0" borderId="19">
      <alignment horizontal="right"/>
    </xf>
    <xf numFmtId="15" fontId="31" fillId="0" borderId="19">
      <alignment horizontal="right"/>
    </xf>
    <xf numFmtId="15" fontId="31" fillId="0" borderId="19">
      <alignment horizontal="right"/>
    </xf>
    <xf numFmtId="294" fontId="32" fillId="0" borderId="0"/>
    <xf numFmtId="294" fontId="32" fillId="0" borderId="0"/>
    <xf numFmtId="173" fontId="41" fillId="0" borderId="0" applyFont="0" applyFill="0" applyBorder="0" applyAlignment="0" applyProtection="0"/>
    <xf numFmtId="0" fontId="197" fillId="0" borderId="0" applyProtection="0">
      <alignment horizontal="left"/>
    </xf>
    <xf numFmtId="0" fontId="197" fillId="0" borderId="0" applyFill="0" applyBorder="0" applyProtection="0">
      <alignment horizontal="left"/>
    </xf>
    <xf numFmtId="0" fontId="198" fillId="0" borderId="0" applyFill="0" applyBorder="0" applyProtection="0">
      <alignment horizontal="left"/>
    </xf>
    <xf numFmtId="0" fontId="78" fillId="0" borderId="0">
      <alignment horizontal="left"/>
    </xf>
    <xf numFmtId="1" fontId="199" fillId="0" borderId="0" applyProtection="0">
      <alignment horizontal="right" vertical="center"/>
    </xf>
    <xf numFmtId="0" fontId="49" fillId="0" borderId="51">
      <alignment vertical="top"/>
    </xf>
    <xf numFmtId="0" fontId="186" fillId="0" borderId="0">
      <alignment horizontal="center"/>
    </xf>
    <xf numFmtId="0" fontId="200" fillId="0" borderId="0">
      <alignment horizontal="center"/>
    </xf>
    <xf numFmtId="0" fontId="201" fillId="0" borderId="0" applyNumberFormat="0" applyFill="0" applyBorder="0" applyAlignment="0">
      <alignment horizontal="right" vertical="center" wrapText="1"/>
    </xf>
    <xf numFmtId="49" fontId="202" fillId="0" borderId="1" applyFill="0" applyProtection="0">
      <alignment vertical="center"/>
    </xf>
    <xf numFmtId="294" fontId="32" fillId="0" borderId="0"/>
    <xf numFmtId="323" fontId="32" fillId="0" borderId="0" applyFill="0" applyBorder="0"/>
    <xf numFmtId="172" fontId="31" fillId="0" borderId="0"/>
    <xf numFmtId="40" fontId="47" fillId="0" borderId="0" applyFont="0" applyFill="0" applyBorder="0" applyAlignment="0" applyProtection="0"/>
    <xf numFmtId="172" fontId="31" fillId="0" borderId="0"/>
    <xf numFmtId="10" fontId="189" fillId="0" borderId="0"/>
    <xf numFmtId="215" fontId="41" fillId="0" borderId="0"/>
    <xf numFmtId="255" fontId="31" fillId="0" borderId="0"/>
    <xf numFmtId="14" fontId="87" fillId="0" borderId="0" applyFont="0" applyFill="0" applyBorder="0" applyAlignment="0" applyProtection="0">
      <protection locked="0"/>
    </xf>
    <xf numFmtId="14" fontId="47" fillId="0" borderId="0">
      <alignment horizontal="center" wrapText="1"/>
      <protection locked="0"/>
    </xf>
    <xf numFmtId="0" fontId="53" fillId="0" borderId="0"/>
    <xf numFmtId="0" fontId="46" fillId="0" borderId="0"/>
    <xf numFmtId="0" fontId="49" fillId="0" borderId="0"/>
    <xf numFmtId="0" fontId="58" fillId="0" borderId="0"/>
    <xf numFmtId="0" fontId="203" fillId="0" borderId="0" applyFont="0" applyFill="0" applyBorder="0" applyAlignment="0" applyProtection="0"/>
    <xf numFmtId="0" fontId="204" fillId="0" borderId="0" applyFont="0" applyFill="0" applyBorder="0" applyAlignment="0" applyProtection="0"/>
    <xf numFmtId="37" fontId="31" fillId="0" borderId="0" applyFont="0" applyFill="0" applyBorder="0" applyAlignment="0" applyProtection="0"/>
    <xf numFmtId="324" fontId="44" fillId="0" borderId="0" applyFont="0" applyFill="0" applyBorder="0" applyAlignment="0" applyProtection="0">
      <alignment horizontal="right"/>
    </xf>
    <xf numFmtId="325" fontId="205" fillId="0" borderId="0" applyFill="0" applyBorder="0" applyAlignment="0" applyProtection="0">
      <alignment horizontal="right"/>
    </xf>
    <xf numFmtId="239" fontId="46" fillId="31" borderId="11" applyFont="0" applyFill="0" applyBorder="0" applyAlignment="0" applyProtection="0"/>
    <xf numFmtId="236" fontId="31" fillId="0" borderId="0" applyFont="0" applyFill="0" applyBorder="0" applyAlignment="0" applyProtection="0"/>
    <xf numFmtId="324" fontId="31" fillId="0" borderId="0" applyFont="0" applyFill="0" applyBorder="0" applyAlignment="0" applyProtection="0"/>
    <xf numFmtId="326" fontId="168" fillId="0" borderId="38" applyFill="0" applyBorder="0" applyAlignment="0" applyProtection="0">
      <alignment horizontal="center"/>
    </xf>
    <xf numFmtId="181" fontId="32" fillId="0" borderId="0" applyFill="0" applyBorder="0" applyAlignment="0" applyProtection="0"/>
    <xf numFmtId="0" fontId="168" fillId="31" borderId="11" applyFill="0" applyBorder="0" applyAlignment="0" applyProtection="0">
      <alignment horizontal="right"/>
      <protection locked="0"/>
    </xf>
    <xf numFmtId="37" fontId="168" fillId="0" borderId="38" applyFill="0" applyBorder="0" applyAlignment="0" applyProtection="0">
      <alignment horizontal="center"/>
    </xf>
    <xf numFmtId="37" fontId="168" fillId="0" borderId="0" applyFill="0" applyBorder="0" applyAlignment="0" applyProtection="0"/>
    <xf numFmtId="281" fontId="31" fillId="0" borderId="38" applyFill="0" applyBorder="0" applyAlignment="0" applyProtection="0">
      <alignment horizontal="center"/>
    </xf>
    <xf numFmtId="305" fontId="31" fillId="0" borderId="0" applyFont="0" applyFill="0" applyBorder="0" applyAlignment="0"/>
    <xf numFmtId="326" fontId="168" fillId="0" borderId="38" applyFill="0" applyBorder="0" applyAlignment="0" applyProtection="0">
      <alignment horizontal="center"/>
    </xf>
    <xf numFmtId="37" fontId="168" fillId="0" borderId="0" applyFont="0" applyFill="0" applyBorder="0" applyAlignment="0" applyProtection="0"/>
    <xf numFmtId="326" fontId="168" fillId="0" borderId="38" applyFill="0" applyBorder="0" applyAlignment="0" applyProtection="0">
      <alignment horizontal="center"/>
    </xf>
    <xf numFmtId="327" fontId="32" fillId="0" borderId="0" applyFont="0" applyFill="0" applyBorder="0" applyAlignment="0"/>
    <xf numFmtId="326" fontId="168" fillId="0" borderId="38" applyFill="0" applyBorder="0" applyAlignment="0" applyProtection="0">
      <alignment horizontal="center"/>
    </xf>
    <xf numFmtId="37" fontId="31" fillId="0" borderId="0" applyFont="0" applyFill="0" applyBorder="0" applyAlignment="0" applyProtection="0"/>
    <xf numFmtId="37" fontId="168" fillId="0" borderId="38" applyFill="0" applyBorder="0" applyAlignment="0" applyProtection="0">
      <alignment horizontal="center"/>
    </xf>
    <xf numFmtId="327" fontId="168" fillId="0" borderId="0" applyFont="0" applyFill="0" applyBorder="0" applyAlignment="0" applyProtection="0"/>
    <xf numFmtId="275" fontId="48" fillId="0" borderId="38" applyFill="0" applyBorder="0" applyAlignment="0" applyProtection="0">
      <alignment horizontal="center"/>
    </xf>
    <xf numFmtId="327" fontId="32" fillId="0" borderId="0" applyFont="0" applyFill="0" applyBorder="0" applyAlignment="0"/>
    <xf numFmtId="326" fontId="168" fillId="0" borderId="38" applyFill="0" applyBorder="0" applyAlignment="0" applyProtection="0">
      <alignment horizontal="center"/>
    </xf>
    <xf numFmtId="195" fontId="44" fillId="0" borderId="0" applyFont="0" applyFill="0" applyBorder="0" applyAlignment="0" applyProtection="0"/>
    <xf numFmtId="326" fontId="168" fillId="0" borderId="38" applyFill="0" applyBorder="0" applyAlignment="0" applyProtection="0">
      <alignment horizontal="center"/>
    </xf>
    <xf numFmtId="327" fontId="168" fillId="0" borderId="0" applyFont="0" applyFill="0" applyBorder="0" applyAlignment="0" applyProtection="0"/>
    <xf numFmtId="281" fontId="31" fillId="0" borderId="38" applyFill="0" applyBorder="0" applyAlignment="0" applyProtection="0">
      <alignment horizontal="center"/>
    </xf>
    <xf numFmtId="294" fontId="94" fillId="0" borderId="0" applyFont="0" applyFill="0" applyBorder="0" applyAlignment="0" applyProtection="0"/>
    <xf numFmtId="281" fontId="31" fillId="0" borderId="38" applyFill="0" applyBorder="0" applyAlignment="0" applyProtection="0">
      <alignment horizontal="center"/>
    </xf>
    <xf numFmtId="294" fontId="94" fillId="0" borderId="0" applyFont="0" applyFill="0" applyBorder="0" applyAlignment="0" applyProtection="0"/>
    <xf numFmtId="37" fontId="46" fillId="0" borderId="38" applyFill="0" applyBorder="0" applyAlignment="0" applyProtection="0">
      <alignment horizontal="center"/>
    </xf>
    <xf numFmtId="324" fontId="31" fillId="0" borderId="0" applyFont="0" applyFill="0" applyBorder="0" applyAlignment="0" applyProtection="0"/>
    <xf numFmtId="328" fontId="31" fillId="0" borderId="38" applyFill="0" applyBorder="0" applyAlignment="0" applyProtection="0">
      <alignment horizontal="center"/>
    </xf>
    <xf numFmtId="311" fontId="46" fillId="31" borderId="11" applyFill="0" applyBorder="0" applyAlignment="0" applyProtection="0">
      <alignment horizontal="right"/>
      <protection locked="0"/>
    </xf>
    <xf numFmtId="328" fontId="31" fillId="0" borderId="38" applyFill="0" applyBorder="0" applyAlignment="0" applyProtection="0">
      <alignment horizontal="center"/>
    </xf>
    <xf numFmtId="311" fontId="46" fillId="31" borderId="11" applyFill="0" applyBorder="0" applyAlignment="0" applyProtection="0">
      <alignment horizontal="right"/>
      <protection locked="0"/>
    </xf>
    <xf numFmtId="328" fontId="31" fillId="0" borderId="38" applyFill="0" applyBorder="0" applyAlignment="0" applyProtection="0">
      <alignment horizontal="center"/>
    </xf>
    <xf numFmtId="269" fontId="48" fillId="0" borderId="0" applyFont="0" applyFill="0" applyBorder="0" applyAlignment="0" applyProtection="0"/>
    <xf numFmtId="326" fontId="168" fillId="0" borderId="38" applyFill="0" applyBorder="0" applyAlignment="0" applyProtection="0">
      <alignment horizontal="center"/>
    </xf>
    <xf numFmtId="324" fontId="31" fillId="0" borderId="0" applyFont="0" applyFill="0" applyBorder="0" applyAlignment="0" applyProtection="0"/>
    <xf numFmtId="326" fontId="168" fillId="0" borderId="38" applyFill="0" applyBorder="0" applyAlignment="0" applyProtection="0">
      <alignment horizontal="center"/>
    </xf>
    <xf numFmtId="294" fontId="94" fillId="0" borderId="0" applyFont="0" applyFill="0" applyBorder="0" applyAlignment="0" applyProtection="0"/>
    <xf numFmtId="275" fontId="48" fillId="0" borderId="38" applyFill="0" applyBorder="0" applyAlignment="0" applyProtection="0">
      <alignment horizontal="center"/>
    </xf>
    <xf numFmtId="294" fontId="94" fillId="0" borderId="0" applyFont="0" applyFill="0" applyBorder="0" applyAlignment="0" applyProtection="0"/>
    <xf numFmtId="281" fontId="31" fillId="0" borderId="38" applyFill="0" applyBorder="0" applyAlignment="0" applyProtection="0">
      <alignment horizontal="center"/>
    </xf>
    <xf numFmtId="324" fontId="31" fillId="0" borderId="0" applyFont="0" applyFill="0" applyBorder="0" applyAlignment="0" applyProtection="0"/>
    <xf numFmtId="326" fontId="168" fillId="0" borderId="38" applyFill="0" applyBorder="0" applyAlignment="0" applyProtection="0">
      <alignment horizontal="center"/>
    </xf>
    <xf numFmtId="327" fontId="168" fillId="0" borderId="0" applyFill="0" applyBorder="0" applyAlignment="0" applyProtection="0"/>
    <xf numFmtId="325" fontId="31" fillId="0" borderId="0" applyFont="0" applyFill="0" applyBorder="0" applyAlignment="0" applyProtection="0"/>
    <xf numFmtId="329" fontId="168" fillId="0" borderId="0" applyFill="0" applyBorder="0" applyAlignment="0" applyProtection="0"/>
    <xf numFmtId="330" fontId="168" fillId="20" borderId="0" applyFont="0" applyFill="0" applyBorder="0" applyAlignment="0" applyProtection="0"/>
    <xf numFmtId="37" fontId="168" fillId="0" borderId="0" applyFill="0" applyBorder="0" applyAlignment="0" applyProtection="0"/>
    <xf numFmtId="37" fontId="168" fillId="20" borderId="0" applyFont="0" applyFill="0" applyBorder="0" applyAlignment="0" applyProtection="0"/>
    <xf numFmtId="256" fontId="168" fillId="0" borderId="0" applyFill="0" applyBorder="0" applyAlignment="0" applyProtection="0"/>
    <xf numFmtId="256" fontId="46" fillId="20" borderId="0" applyFont="0" applyFill="0" applyBorder="0" applyAlignment="0" applyProtection="0"/>
    <xf numFmtId="256" fontId="168" fillId="0" borderId="0" applyFill="0" applyBorder="0" applyAlignment="0" applyProtection="0"/>
    <xf numFmtId="256" fontId="46" fillId="20" borderId="0" applyFont="0" applyFill="0" applyBorder="0" applyAlignment="0" applyProtection="0"/>
    <xf numFmtId="37" fontId="168" fillId="0" borderId="0" applyFill="0" applyBorder="0" applyAlignment="0" applyProtection="0"/>
    <xf numFmtId="37" fontId="46" fillId="20" borderId="0" applyFont="0" applyFill="0" applyBorder="0" applyAlignment="0" applyProtection="0"/>
    <xf numFmtId="37" fontId="168" fillId="0" borderId="0" applyFill="0" applyBorder="0" applyAlignment="0" applyProtection="0"/>
    <xf numFmtId="37" fontId="46" fillId="20" borderId="0" applyFont="0" applyFill="0" applyBorder="0" applyAlignment="0" applyProtection="0"/>
    <xf numFmtId="256" fontId="168" fillId="0" borderId="0" applyFill="0" applyBorder="0" applyAlignment="0" applyProtection="0"/>
    <xf numFmtId="256" fontId="46" fillId="20" borderId="0" applyFont="0" applyFill="0" applyBorder="0" applyAlignment="0" applyProtection="0"/>
    <xf numFmtId="329" fontId="168" fillId="0" borderId="0" applyFill="0" applyBorder="0" applyAlignment="0" applyProtection="0"/>
    <xf numFmtId="330" fontId="168" fillId="20" borderId="0" applyFont="0" applyFill="0" applyBorder="0" applyAlignment="0" applyProtection="0"/>
    <xf numFmtId="176" fontId="31" fillId="0" borderId="0" applyFill="0" applyBorder="0" applyAlignment="0" applyProtection="0"/>
    <xf numFmtId="180" fontId="31" fillId="20" borderId="0" applyFont="0" applyFill="0" applyBorder="0" applyAlignment="0" applyProtection="0"/>
    <xf numFmtId="176" fontId="31" fillId="0" borderId="0" applyFill="0" applyBorder="0" applyAlignment="0" applyProtection="0"/>
    <xf numFmtId="180" fontId="31" fillId="20" borderId="0" applyFont="0" applyFill="0" applyBorder="0" applyAlignment="0" applyProtection="0"/>
    <xf numFmtId="37" fontId="31" fillId="0" borderId="0" applyFill="0" applyBorder="0" applyAlignment="0" applyProtection="0"/>
    <xf numFmtId="37" fontId="31" fillId="20" borderId="0" applyFont="0" applyFill="0" applyBorder="0" applyAlignment="0" applyProtection="0"/>
    <xf numFmtId="176" fontId="31" fillId="0" borderId="0" applyFill="0" applyBorder="0" applyAlignment="0" applyProtection="0"/>
    <xf numFmtId="180" fontId="31" fillId="20" borderId="0" applyFont="0" applyFill="0" applyBorder="0" applyAlignment="0" applyProtection="0"/>
    <xf numFmtId="329" fontId="168" fillId="0" borderId="0" applyFill="0" applyBorder="0" applyAlignment="0" applyProtection="0"/>
    <xf numFmtId="330" fontId="168" fillId="20" borderId="0" applyFont="0" applyFill="0" applyBorder="0" applyAlignment="0" applyProtection="0"/>
    <xf numFmtId="329" fontId="168" fillId="0" borderId="0" applyFill="0" applyBorder="0" applyAlignment="0" applyProtection="0"/>
    <xf numFmtId="330" fontId="168" fillId="20" borderId="0" applyFont="0" applyFill="0" applyBorder="0" applyAlignment="0" applyProtection="0"/>
    <xf numFmtId="37" fontId="168" fillId="0" borderId="0" applyFill="0" applyBorder="0" applyAlignment="0" applyProtection="0"/>
    <xf numFmtId="37" fontId="168" fillId="20" borderId="0" applyFont="0" applyFill="0" applyBorder="0" applyAlignment="0" applyProtection="0"/>
    <xf numFmtId="329" fontId="168" fillId="0" borderId="0" applyFill="0" applyBorder="0" applyAlignment="0" applyProtection="0"/>
    <xf numFmtId="330" fontId="168" fillId="20" borderId="0" applyFont="0" applyFill="0" applyBorder="0" applyAlignment="0" applyProtection="0"/>
    <xf numFmtId="321" fontId="31" fillId="0" borderId="0" applyFill="0" applyBorder="0" applyAlignment="0" applyProtection="0"/>
    <xf numFmtId="178" fontId="31" fillId="20" borderId="0" applyFont="0" applyFill="0" applyBorder="0" applyAlignment="0" applyProtection="0"/>
    <xf numFmtId="321" fontId="31" fillId="0" borderId="0" applyFill="0" applyBorder="0" applyAlignment="0" applyProtection="0"/>
    <xf numFmtId="178" fontId="31" fillId="20" borderId="0" applyFont="0" applyFill="0" applyBorder="0" applyAlignment="0" applyProtection="0"/>
    <xf numFmtId="37" fontId="31" fillId="0" borderId="0" applyFill="0" applyBorder="0" applyAlignment="0" applyProtection="0"/>
    <xf numFmtId="37" fontId="31" fillId="20" borderId="0" applyFont="0" applyFill="0" applyBorder="0" applyAlignment="0" applyProtection="0"/>
    <xf numFmtId="37" fontId="46" fillId="0" borderId="0" applyFill="0" applyBorder="0" applyAlignment="0" applyProtection="0"/>
    <xf numFmtId="178" fontId="31" fillId="20" borderId="0" applyFont="0" applyFill="0" applyBorder="0" applyAlignment="0" applyProtection="0"/>
    <xf numFmtId="37" fontId="168" fillId="0" borderId="0" applyFill="0" applyBorder="0" applyAlignment="0" applyProtection="0"/>
    <xf numFmtId="37" fontId="168" fillId="20" borderId="0" applyFont="0" applyFill="0" applyBorder="0" applyAlignment="0" applyProtection="0"/>
    <xf numFmtId="0" fontId="168" fillId="0" borderId="0" applyFill="0" applyBorder="0" applyAlignment="0" applyProtection="0"/>
    <xf numFmtId="37" fontId="168" fillId="20" borderId="0" applyFont="0" applyFill="0" applyBorder="0" applyAlignment="0" applyProtection="0"/>
    <xf numFmtId="254" fontId="46" fillId="0" borderId="0" applyFill="0" applyBorder="0" applyAlignment="0" applyProtection="0"/>
    <xf numFmtId="37" fontId="168" fillId="20" borderId="0" applyFont="0" applyFill="0" applyBorder="0" applyAlignment="0" applyProtection="0"/>
    <xf numFmtId="0" fontId="168" fillId="0" borderId="0" applyFill="0" applyBorder="0" applyAlignment="0" applyProtection="0"/>
    <xf numFmtId="254" fontId="168" fillId="20" borderId="0" applyFont="0" applyFill="0" applyBorder="0" applyAlignment="0" applyProtection="0"/>
    <xf numFmtId="256" fontId="168" fillId="0" borderId="0" applyFill="0" applyBorder="0" applyAlignment="0" applyProtection="0"/>
    <xf numFmtId="256" fontId="46" fillId="20" borderId="0" applyFont="0" applyFill="0" applyBorder="0" applyAlignment="0" applyProtection="0"/>
    <xf numFmtId="256" fontId="168" fillId="0" borderId="0" applyFill="0" applyBorder="0" applyAlignment="0" applyProtection="0"/>
    <xf numFmtId="256" fontId="46" fillId="20" borderId="0" applyFont="0" applyFill="0" applyBorder="0" applyAlignment="0" applyProtection="0"/>
    <xf numFmtId="37" fontId="168" fillId="0" borderId="0" applyFill="0" applyBorder="0" applyAlignment="0" applyProtection="0"/>
    <xf numFmtId="37" fontId="46" fillId="20" borderId="0" applyFont="0" applyFill="0" applyBorder="0" applyAlignment="0" applyProtection="0"/>
    <xf numFmtId="37" fontId="168" fillId="0" borderId="0" applyFill="0" applyBorder="0" applyAlignment="0" applyProtection="0"/>
    <xf numFmtId="37" fontId="46" fillId="20" borderId="0" applyFont="0" applyFill="0" applyBorder="0" applyAlignment="0" applyProtection="0"/>
    <xf numFmtId="282" fontId="31" fillId="0" borderId="0" applyFill="0" applyBorder="0" applyAlignment="0" applyProtection="0"/>
    <xf numFmtId="330" fontId="168" fillId="20" borderId="0" applyFont="0" applyFill="0" applyBorder="0" applyAlignment="0" applyProtection="0"/>
    <xf numFmtId="254" fontId="46" fillId="0" borderId="0" applyFill="0" applyBorder="0" applyAlignment="0" applyProtection="0"/>
    <xf numFmtId="0" fontId="46" fillId="20" borderId="0" applyFont="0" applyFill="0" applyBorder="0" applyAlignment="0" applyProtection="0"/>
    <xf numFmtId="254" fontId="46" fillId="0" borderId="0" applyFill="0" applyBorder="0" applyAlignment="0" applyProtection="0"/>
    <xf numFmtId="0" fontId="46" fillId="20" borderId="0" applyFont="0" applyFill="0" applyBorder="0" applyAlignment="0" applyProtection="0"/>
    <xf numFmtId="254" fontId="46" fillId="0" borderId="0" applyFill="0" applyBorder="0" applyAlignment="0" applyProtection="0"/>
    <xf numFmtId="0" fontId="46" fillId="20" borderId="0" applyFont="0" applyFill="0" applyBorder="0" applyAlignment="0" applyProtection="0"/>
    <xf numFmtId="174" fontId="46" fillId="0" borderId="0" applyFill="0" applyBorder="0" applyAlignment="0" applyProtection="0"/>
    <xf numFmtId="330" fontId="168" fillId="20" borderId="0" applyFont="0" applyFill="0" applyBorder="0" applyAlignment="0" applyProtection="0"/>
    <xf numFmtId="329" fontId="168" fillId="0" borderId="0" applyFill="0" applyBorder="0" applyAlignment="0" applyProtection="0"/>
    <xf numFmtId="330" fontId="168" fillId="20" borderId="0" applyFont="0" applyFill="0" applyBorder="0" applyAlignment="0" applyProtection="0"/>
    <xf numFmtId="0" fontId="168" fillId="0" borderId="0" applyFill="0" applyBorder="0" applyAlignment="0" applyProtection="0"/>
    <xf numFmtId="37" fontId="168" fillId="20" borderId="0" applyFont="0" applyFill="0" applyBorder="0" applyAlignment="0" applyProtection="0"/>
    <xf numFmtId="329" fontId="168" fillId="0" borderId="0" applyFill="0" applyBorder="0" applyAlignment="0" applyProtection="0"/>
    <xf numFmtId="330" fontId="168" fillId="20" borderId="0" applyFont="0" applyFill="0" applyBorder="0" applyAlignment="0" applyProtection="0"/>
    <xf numFmtId="329" fontId="168" fillId="0" borderId="0" applyFill="0" applyBorder="0" applyAlignment="0" applyProtection="0"/>
    <xf numFmtId="330" fontId="168" fillId="20" borderId="0" applyFont="0" applyFill="0" applyBorder="0" applyAlignment="0" applyProtection="0"/>
    <xf numFmtId="329" fontId="168" fillId="0" borderId="0" applyFill="0" applyBorder="0" applyAlignment="0" applyProtection="0"/>
    <xf numFmtId="330" fontId="168" fillId="20" borderId="0" applyFont="0" applyFill="0" applyBorder="0" applyAlignment="0" applyProtection="0"/>
    <xf numFmtId="37" fontId="168" fillId="0" borderId="0" applyFill="0" applyBorder="0" applyAlignment="0" applyProtection="0"/>
    <xf numFmtId="37" fontId="168" fillId="20" borderId="0" applyFont="0" applyFill="0" applyBorder="0" applyAlignment="0" applyProtection="0"/>
    <xf numFmtId="37" fontId="168" fillId="0" borderId="0" applyFill="0" applyBorder="0" applyAlignment="0" applyProtection="0"/>
    <xf numFmtId="37" fontId="168" fillId="20" borderId="0" applyFont="0" applyFill="0" applyBorder="0" applyAlignment="0" applyProtection="0"/>
    <xf numFmtId="178" fontId="44" fillId="0" borderId="0" applyFill="0" applyBorder="0" applyAlignment="0" applyProtection="0"/>
    <xf numFmtId="9" fontId="41" fillId="0" borderId="0"/>
    <xf numFmtId="0" fontId="102" fillId="0" borderId="0" applyFont="0" applyFill="0" applyBorder="0" applyAlignment="0" applyProtection="0"/>
    <xf numFmtId="37" fontId="46" fillId="0" borderId="0" applyFont="0" applyFill="0" applyBorder="0" applyAlignment="0" applyProtection="0"/>
    <xf numFmtId="0" fontId="204" fillId="0" borderId="0" applyFont="0" applyFill="0" applyBorder="0" applyAlignment="0" applyProtection="0"/>
    <xf numFmtId="37" fontId="31" fillId="0" borderId="0" applyFont="0" applyFill="0" applyBorder="0" applyAlignment="0" applyProtection="0"/>
    <xf numFmtId="10" fontId="41" fillId="0" borderId="0"/>
    <xf numFmtId="0" fontId="203" fillId="0" borderId="0" applyFont="0" applyFill="0" applyBorder="0" applyAlignment="0" applyProtection="0"/>
    <xf numFmtId="0" fontId="204" fillId="0" borderId="0" applyFont="0" applyFill="0" applyBorder="0" applyAlignment="0" applyProtection="0"/>
    <xf numFmtId="0" fontId="203" fillId="0" borderId="0" applyFont="0" applyFill="0" applyBorder="0" applyAlignment="0" applyProtection="0"/>
    <xf numFmtId="0" fontId="204" fillId="0" borderId="0" applyFont="0" applyFill="0" applyBorder="0" applyAlignment="0" applyProtection="0"/>
    <xf numFmtId="9" fontId="41" fillId="0" borderId="0"/>
    <xf numFmtId="331" fontId="31" fillId="0" borderId="0" applyFont="0" applyFill="0" applyBorder="0" applyProtection="0">
      <alignment horizontal="right"/>
    </xf>
    <xf numFmtId="332" fontId="31" fillId="0" borderId="0" applyFont="0" applyFill="0" applyBorder="0" applyProtection="0">
      <alignment horizontal="right"/>
    </xf>
    <xf numFmtId="188" fontId="32" fillId="0" borderId="0" applyFont="0" applyFill="0" applyBorder="0" applyAlignment="0" applyProtection="0"/>
    <xf numFmtId="323" fontId="32" fillId="0" borderId="0" applyFont="0" applyFill="0" applyBorder="0" applyAlignment="0" applyProtection="0"/>
    <xf numFmtId="333" fontId="131" fillId="0" borderId="0" applyFont="0" applyFill="0" applyBorder="0" applyAlignment="0" applyProtection="0"/>
    <xf numFmtId="0" fontId="46" fillId="0" borderId="0" applyFont="0" applyFill="0" applyBorder="0"/>
    <xf numFmtId="330" fontId="94" fillId="18" borderId="52" applyFont="0" applyFill="0" applyBorder="0" applyAlignment="0" applyProtection="0"/>
    <xf numFmtId="197" fontId="46" fillId="0" borderId="0" applyFont="0" applyFill="0" applyBorder="0" applyAlignment="0" applyProtection="0"/>
    <xf numFmtId="0" fontId="186" fillId="0" borderId="0"/>
    <xf numFmtId="218" fontId="46" fillId="0" borderId="0" applyFont="0" applyFill="0" applyBorder="0" applyAlignment="0" applyProtection="0"/>
    <xf numFmtId="334" fontId="31" fillId="0" borderId="0"/>
    <xf numFmtId="176" fontId="46" fillId="19" borderId="0" applyFont="0" applyFill="0" applyBorder="0" applyAlignment="0" applyProtection="0"/>
    <xf numFmtId="0" fontId="53" fillId="0" borderId="0" applyFill="0" applyBorder="0">
      <alignment horizontal="right"/>
      <protection locked="0"/>
    </xf>
    <xf numFmtId="302" fontId="47" fillId="0" borderId="0" applyFont="0" applyFill="0" applyBorder="0" applyAlignment="0" applyProtection="0"/>
    <xf numFmtId="335" fontId="32" fillId="0" borderId="0" applyFont="0" applyFill="0" applyBorder="0" applyAlignment="0" applyProtection="0"/>
    <xf numFmtId="37" fontId="206" fillId="0" borderId="0">
      <alignment horizontal="right"/>
    </xf>
    <xf numFmtId="316" fontId="31" fillId="0" borderId="0" applyFill="0" applyBorder="0" applyProtection="0"/>
    <xf numFmtId="166" fontId="47" fillId="0" borderId="0" applyFont="0" applyFill="0" applyBorder="0" applyAlignment="0" applyProtection="0"/>
    <xf numFmtId="0" fontId="31" fillId="0" borderId="0"/>
    <xf numFmtId="49" fontId="31" fillId="34" borderId="0"/>
    <xf numFmtId="0" fontId="31" fillId="0" borderId="0"/>
    <xf numFmtId="0" fontId="207" fillId="0" borderId="0" applyFont="0"/>
    <xf numFmtId="254" fontId="47" fillId="0" borderId="0" applyFont="0" applyFill="0" applyBorder="0" applyAlignment="0" applyProtection="0">
      <protection locked="0"/>
    </xf>
    <xf numFmtId="10" fontId="49" fillId="0" borderId="0" applyFill="0" applyBorder="0" applyAlignment="0" applyProtection="0"/>
    <xf numFmtId="0" fontId="31" fillId="0" borderId="0"/>
    <xf numFmtId="262" fontId="208" fillId="0" borderId="0" applyFill="0" applyBorder="0" applyAlignment="0"/>
    <xf numFmtId="213" fontId="208" fillId="0" borderId="0" applyFill="0" applyBorder="0" applyAlignment="0"/>
    <xf numFmtId="262" fontId="208" fillId="0" borderId="0" applyFill="0" applyBorder="0" applyAlignment="0"/>
    <xf numFmtId="263" fontId="208" fillId="0" borderId="0" applyFill="0" applyBorder="0" applyAlignment="0"/>
    <xf numFmtId="213" fontId="208" fillId="0" borderId="0" applyFill="0" applyBorder="0" applyAlignment="0"/>
    <xf numFmtId="254" fontId="47" fillId="0" borderId="0" applyFill="0" applyBorder="0" applyAlignment="0" applyProtection="0"/>
    <xf numFmtId="189" fontId="44" fillId="0" borderId="0" applyFill="0" applyBorder="0" applyAlignment="0" applyProtection="0">
      <protection locked="0"/>
    </xf>
    <xf numFmtId="215" fontId="31" fillId="0" borderId="0" applyFill="0" applyBorder="0" applyAlignment="0" applyProtection="0"/>
    <xf numFmtId="38" fontId="47" fillId="0" borderId="0" applyFont="0" applyFill="0" applyBorder="0" applyAlignment="0" applyProtection="0"/>
    <xf numFmtId="166" fontId="209" fillId="0" borderId="25">
      <alignment horizontal="right"/>
    </xf>
    <xf numFmtId="253" fontId="44" fillId="0" borderId="0" applyFont="0" applyFill="0" applyBorder="0" applyAlignment="0" applyProtection="0">
      <alignment horizontal="right"/>
    </xf>
    <xf numFmtId="0" fontId="31" fillId="0" borderId="0"/>
    <xf numFmtId="37" fontId="102" fillId="51" borderId="0" applyNumberFormat="0" applyFont="0" applyFill="0" applyBorder="0" applyAlignment="0" applyProtection="0"/>
    <xf numFmtId="226" fontId="210" fillId="53" borderId="0" applyNumberFormat="0" applyBorder="0" applyAlignment="0" applyProtection="0"/>
    <xf numFmtId="9" fontId="32" fillId="0" borderId="0" applyFont="0" applyFill="0" applyBorder="0" applyAlignment="0" applyProtection="0"/>
    <xf numFmtId="37" fontId="97" fillId="0" borderId="15">
      <alignment horizontal="left"/>
    </xf>
    <xf numFmtId="336" fontId="32" fillId="0" borderId="0" applyFill="0" applyBorder="0" applyProtection="0">
      <alignment horizontal="right"/>
    </xf>
    <xf numFmtId="0" fontId="211" fillId="0" borderId="0"/>
    <xf numFmtId="0" fontId="211" fillId="0" borderId="53">
      <alignment horizontal="right"/>
    </xf>
    <xf numFmtId="37" fontId="31" fillId="0" borderId="0" applyNumberFormat="0" applyFill="0" applyBorder="0" applyAlignment="0"/>
    <xf numFmtId="0" fontId="53" fillId="0" borderId="0" applyNumberFormat="0" applyFont="0" applyFill="0" applyBorder="0" applyAlignment="0" applyProtection="0">
      <alignment horizontal="left"/>
    </xf>
    <xf numFmtId="15" fontId="53" fillId="0" borderId="0" applyFont="0" applyFill="0" applyBorder="0" applyAlignment="0" applyProtection="0"/>
    <xf numFmtId="4" fontId="53" fillId="0" borderId="0" applyFont="0" applyFill="0" applyBorder="0" applyAlignment="0" applyProtection="0"/>
    <xf numFmtId="0" fontId="172" fillId="0" borderId="26">
      <alignment horizontal="center"/>
    </xf>
    <xf numFmtId="3" fontId="53" fillId="0" borderId="0" applyFont="0" applyFill="0" applyBorder="0" applyAlignment="0" applyProtection="0"/>
    <xf numFmtId="0" fontId="53" fillId="54" borderId="0" applyNumberFormat="0" applyFont="0" applyBorder="0" applyAlignment="0" applyProtection="0"/>
    <xf numFmtId="298" fontId="31" fillId="17" borderId="0"/>
    <xf numFmtId="298" fontId="31" fillId="17" borderId="0"/>
    <xf numFmtId="298" fontId="31" fillId="17" borderId="0"/>
    <xf numFmtId="37" fontId="46" fillId="17" borderId="0"/>
    <xf numFmtId="298" fontId="31" fillId="17" borderId="0"/>
    <xf numFmtId="37" fontId="31" fillId="17" borderId="0"/>
    <xf numFmtId="37" fontId="31" fillId="17" borderId="0"/>
    <xf numFmtId="37" fontId="46" fillId="17" borderId="0"/>
    <xf numFmtId="37" fontId="46" fillId="17" borderId="0"/>
    <xf numFmtId="37" fontId="31" fillId="17" borderId="0"/>
    <xf numFmtId="274" fontId="31" fillId="17" borderId="0"/>
    <xf numFmtId="245" fontId="31" fillId="17" borderId="0"/>
    <xf numFmtId="245" fontId="31" fillId="17" borderId="0"/>
    <xf numFmtId="37" fontId="46" fillId="17" borderId="0"/>
    <xf numFmtId="37" fontId="46" fillId="17" borderId="0"/>
    <xf numFmtId="37" fontId="46" fillId="17" borderId="0"/>
    <xf numFmtId="37" fontId="46" fillId="17" borderId="0"/>
    <xf numFmtId="37" fontId="46" fillId="17" borderId="0"/>
    <xf numFmtId="37" fontId="46" fillId="17" borderId="0"/>
    <xf numFmtId="274" fontId="31" fillId="17" borderId="0"/>
    <xf numFmtId="37" fontId="31" fillId="17" borderId="0"/>
    <xf numFmtId="298" fontId="31" fillId="17" borderId="0"/>
    <xf numFmtId="298" fontId="31" fillId="17" borderId="0"/>
    <xf numFmtId="37" fontId="31" fillId="17" borderId="0"/>
    <xf numFmtId="37" fontId="46" fillId="17" borderId="0"/>
    <xf numFmtId="37" fontId="46" fillId="17" borderId="0"/>
    <xf numFmtId="37" fontId="31" fillId="17" borderId="0"/>
    <xf numFmtId="298" fontId="31" fillId="17" borderId="0"/>
    <xf numFmtId="298" fontId="31" fillId="17" borderId="0"/>
    <xf numFmtId="298" fontId="31" fillId="17" borderId="0"/>
    <xf numFmtId="37" fontId="31" fillId="17" borderId="0"/>
    <xf numFmtId="37" fontId="31" fillId="17" borderId="0"/>
    <xf numFmtId="37" fontId="31" fillId="17" borderId="0"/>
    <xf numFmtId="298" fontId="31" fillId="17" borderId="0"/>
    <xf numFmtId="37" fontId="46" fillId="17" borderId="0"/>
    <xf numFmtId="37" fontId="31" fillId="17" borderId="0"/>
    <xf numFmtId="187" fontId="31" fillId="17" borderId="0"/>
    <xf numFmtId="187" fontId="31" fillId="17" borderId="0"/>
    <xf numFmtId="187" fontId="31" fillId="17" borderId="0"/>
    <xf numFmtId="37" fontId="31" fillId="17" borderId="0"/>
    <xf numFmtId="187" fontId="31" fillId="17" borderId="0"/>
    <xf numFmtId="37" fontId="31" fillId="17" borderId="0"/>
    <xf numFmtId="0" fontId="212" fillId="0" borderId="0">
      <alignment horizontal="center"/>
    </xf>
    <xf numFmtId="0" fontId="42" fillId="0" borderId="1">
      <alignment horizontal="centerContinuous"/>
    </xf>
    <xf numFmtId="1" fontId="31" fillId="0" borderId="18" applyNumberFormat="0" applyFill="0" applyAlignment="0" applyProtection="0">
      <alignment horizontal="center" vertical="center"/>
    </xf>
    <xf numFmtId="37" fontId="46" fillId="17" borderId="0" applyFill="0"/>
    <xf numFmtId="0" fontId="66" fillId="0" borderId="0">
      <alignment horizontal="left"/>
      <protection locked="0"/>
    </xf>
    <xf numFmtId="0" fontId="66" fillId="0" borderId="0" applyFill="0">
      <alignment horizontal="left"/>
    </xf>
    <xf numFmtId="165" fontId="98" fillId="0" borderId="1" applyFill="0">
      <alignment horizontal="right"/>
    </xf>
    <xf numFmtId="0" fontId="54" fillId="0" borderId="11" applyNumberFormat="0" applyFont="0" applyBorder="0">
      <alignment horizontal="right"/>
    </xf>
    <xf numFmtId="0" fontId="213" fillId="0" borderId="0" applyFill="0"/>
    <xf numFmtId="0" fontId="97" fillId="0" borderId="0" applyFill="0"/>
    <xf numFmtId="39" fontId="214" fillId="0" borderId="1" applyFill="0"/>
    <xf numFmtId="0" fontId="31" fillId="0" borderId="0" applyNumberFormat="0" applyFont="0" applyBorder="0" applyAlignment="0"/>
    <xf numFmtId="0" fontId="100" fillId="0" borderId="0" applyFill="0">
      <alignment horizontal="left"/>
    </xf>
    <xf numFmtId="0" fontId="215" fillId="0" borderId="0" applyFill="0">
      <alignment horizontal="left" indent="1"/>
    </xf>
    <xf numFmtId="37" fontId="46" fillId="0" borderId="0" applyFill="0"/>
    <xf numFmtId="0" fontId="31" fillId="0" borderId="0" applyNumberFormat="0" applyFont="0" applyFill="0" applyBorder="0" applyAlignment="0"/>
    <xf numFmtId="0" fontId="100" fillId="0" borderId="0" applyFill="0">
      <alignment horizontal="left"/>
    </xf>
    <xf numFmtId="0" fontId="97" fillId="0" borderId="0" applyFill="0">
      <alignment horizontal="left" vertical="center"/>
    </xf>
    <xf numFmtId="37" fontId="46" fillId="0" borderId="0" applyFill="0"/>
    <xf numFmtId="0" fontId="31" fillId="0" borderId="0" applyNumberFormat="0" applyFont="0" applyBorder="0" applyAlignment="0"/>
    <xf numFmtId="0" fontId="216" fillId="0" borderId="0">
      <alignment horizontal="left"/>
    </xf>
    <xf numFmtId="0" fontId="52" fillId="0" borderId="0" applyFill="0">
      <alignment horizontal="left" vertical="center"/>
    </xf>
    <xf numFmtId="37" fontId="46" fillId="0" borderId="0" applyFill="0"/>
    <xf numFmtId="0" fontId="31" fillId="0" borderId="0" applyNumberFormat="0" applyFont="0" applyBorder="0" applyAlignment="0"/>
    <xf numFmtId="0" fontId="103" fillId="0" borderId="0">
      <alignment horizontal="left"/>
    </xf>
    <xf numFmtId="0" fontId="31" fillId="0" borderId="0" applyFill="0">
      <alignment horizontal="left" vertical="center"/>
    </xf>
    <xf numFmtId="37" fontId="46" fillId="0" borderId="0" applyFill="0"/>
    <xf numFmtId="0" fontId="31" fillId="0" borderId="0" applyNumberFormat="0" applyFont="0" applyBorder="0" applyAlignment="0"/>
    <xf numFmtId="0" fontId="105" fillId="0" borderId="0">
      <alignment horizontal="left"/>
    </xf>
    <xf numFmtId="0" fontId="106" fillId="0" borderId="0" applyFill="0">
      <alignment horizontal="left" vertical="center"/>
    </xf>
    <xf numFmtId="37" fontId="46" fillId="0" borderId="0" applyFill="0">
      <alignment vertical="center"/>
    </xf>
    <xf numFmtId="0" fontId="31" fillId="0" borderId="0" applyNumberFormat="0" applyFont="0" applyFill="0" applyBorder="0" applyAlignment="0"/>
    <xf numFmtId="0" fontId="108" fillId="0" borderId="0" applyFill="0">
      <alignment horizontal="left"/>
    </xf>
    <xf numFmtId="0" fontId="104" fillId="0" borderId="0" applyFill="0">
      <alignment horizontal="left" vertical="center"/>
    </xf>
    <xf numFmtId="254" fontId="31" fillId="17" borderId="20">
      <alignment horizontal="right"/>
    </xf>
    <xf numFmtId="250" fontId="217" fillId="0" borderId="0"/>
    <xf numFmtId="337" fontId="31" fillId="0" borderId="0" applyFont="0" applyFill="0" applyBorder="0" applyProtection="0">
      <alignment horizontal="right"/>
    </xf>
    <xf numFmtId="338" fontId="31" fillId="0" borderId="0" applyFont="0" applyFill="0" applyBorder="0" applyProtection="0">
      <alignment horizontal="right"/>
    </xf>
    <xf numFmtId="337" fontId="31" fillId="0" borderId="0" applyFont="0" applyFill="0" applyBorder="0" applyProtection="0">
      <alignment horizontal="right"/>
    </xf>
    <xf numFmtId="2" fontId="189" fillId="0" borderId="0"/>
    <xf numFmtId="228" fontId="41" fillId="0" borderId="0">
      <alignment horizontal="right"/>
      <protection locked="0"/>
    </xf>
    <xf numFmtId="14" fontId="84" fillId="18" borderId="22"/>
    <xf numFmtId="254" fontId="218" fillId="0" borderId="0" applyNumberFormat="0" applyFill="0" applyBorder="0" applyAlignment="0" applyProtection="0"/>
    <xf numFmtId="0" fontId="219" fillId="0" borderId="0" applyNumberFormat="0" applyFill="0" applyBorder="0" applyAlignment="0" applyProtection="0">
      <protection locked="0"/>
    </xf>
    <xf numFmtId="0" fontId="208" fillId="0" borderId="20" applyNumberFormat="0" applyBorder="0" applyAlignment="0">
      <alignment horizontal="left"/>
    </xf>
    <xf numFmtId="49" fontId="66" fillId="0" borderId="0">
      <alignment horizontal="right"/>
    </xf>
    <xf numFmtId="1" fontId="82" fillId="0" borderId="45">
      <alignment horizontal="right"/>
    </xf>
    <xf numFmtId="37" fontId="97" fillId="0" borderId="15">
      <alignment horizontal="left"/>
    </xf>
    <xf numFmtId="0" fontId="220" fillId="55" borderId="0" applyNumberFormat="0" applyFont="0" applyBorder="0" applyAlignment="0">
      <alignment horizontal="center"/>
    </xf>
    <xf numFmtId="254" fontId="82" fillId="0" borderId="0" applyFont="0" applyFill="0" applyBorder="0" applyAlignment="0" applyProtection="0"/>
    <xf numFmtId="250" fontId="79" fillId="34" borderId="0" applyNumberFormat="0" applyBorder="0" applyAlignment="0" applyProtection="0"/>
    <xf numFmtId="14" fontId="49" fillId="0" borderId="0" applyNumberFormat="0" applyFill="0" applyBorder="0" applyAlignment="0" applyProtection="0">
      <alignment horizontal="left"/>
    </xf>
    <xf numFmtId="0" fontId="31" fillId="0" borderId="0" applyNumberFormat="0" applyFill="0" applyBorder="0" applyProtection="0">
      <alignment horizontal="right" vertical="center"/>
    </xf>
    <xf numFmtId="0" fontId="32" fillId="0" borderId="0">
      <alignment horizontal="right"/>
    </xf>
    <xf numFmtId="0" fontId="206" fillId="0" borderId="36">
      <alignment horizontal="centerContinuous"/>
    </xf>
    <xf numFmtId="207" fontId="206" fillId="0" borderId="0"/>
    <xf numFmtId="0" fontId="206" fillId="0" borderId="36">
      <protection locked="0"/>
    </xf>
    <xf numFmtId="0" fontId="141" fillId="0" borderId="54">
      <alignment vertical="center"/>
    </xf>
    <xf numFmtId="4" fontId="221" fillId="18" borderId="55" applyNumberFormat="0" applyProtection="0">
      <alignment vertical="center"/>
    </xf>
    <xf numFmtId="4" fontId="222" fillId="18" borderId="55" applyNumberFormat="0" applyProtection="0">
      <alignment vertical="center"/>
    </xf>
    <xf numFmtId="4" fontId="223" fillId="18" borderId="55" applyNumberFormat="0" applyProtection="0">
      <alignment horizontal="left" vertical="center" indent="1"/>
    </xf>
    <xf numFmtId="4" fontId="223" fillId="56" borderId="0" applyNumberFormat="0" applyProtection="0">
      <alignment horizontal="left" vertical="center" indent="1"/>
    </xf>
    <xf numFmtId="4" fontId="223" fillId="53" borderId="55" applyNumberFormat="0" applyProtection="0">
      <alignment horizontal="right" vertical="center"/>
    </xf>
    <xf numFmtId="4" fontId="223" fillId="57" borderId="55" applyNumberFormat="0" applyProtection="0">
      <alignment horizontal="right" vertical="center"/>
    </xf>
    <xf numFmtId="4" fontId="223" fillId="58" borderId="55" applyNumberFormat="0" applyProtection="0">
      <alignment horizontal="right" vertical="center"/>
    </xf>
    <xf numFmtId="4" fontId="223" fillId="38" borderId="55" applyNumberFormat="0" applyProtection="0">
      <alignment horizontal="right" vertical="center"/>
    </xf>
    <xf numFmtId="4" fontId="223" fillId="59" borderId="55" applyNumberFormat="0" applyProtection="0">
      <alignment horizontal="right" vertical="center"/>
    </xf>
    <xf numFmtId="4" fontId="223" fillId="20" borderId="55" applyNumberFormat="0" applyProtection="0">
      <alignment horizontal="right" vertical="center"/>
    </xf>
    <xf numFmtId="4" fontId="223" fillId="60" borderId="55" applyNumberFormat="0" applyProtection="0">
      <alignment horizontal="right" vertical="center"/>
    </xf>
    <xf numFmtId="4" fontId="223" fillId="61" borderId="55" applyNumberFormat="0" applyProtection="0">
      <alignment horizontal="right" vertical="center"/>
    </xf>
    <xf numFmtId="4" fontId="223" fillId="62" borderId="55" applyNumberFormat="0" applyProtection="0">
      <alignment horizontal="right" vertical="center"/>
    </xf>
    <xf numFmtId="4" fontId="221" fillId="63" borderId="56" applyNumberFormat="0" applyProtection="0">
      <alignment horizontal="left" vertical="center" indent="1"/>
    </xf>
    <xf numFmtId="4" fontId="221" fillId="30" borderId="0" applyNumberFormat="0" applyProtection="0">
      <alignment horizontal="left" vertical="center" indent="1"/>
    </xf>
    <xf numFmtId="4" fontId="221" fillId="56" borderId="0" applyNumberFormat="0" applyProtection="0">
      <alignment horizontal="left" vertical="center" indent="1"/>
    </xf>
    <xf numFmtId="4" fontId="223" fillId="30" borderId="55" applyNumberFormat="0" applyProtection="0">
      <alignment horizontal="right" vertical="center"/>
    </xf>
    <xf numFmtId="4" fontId="110" fillId="30" borderId="0" applyNumberFormat="0" applyProtection="0">
      <alignment horizontal="left" vertical="center" indent="1"/>
    </xf>
    <xf numFmtId="4" fontId="110" fillId="56" borderId="0" applyNumberFormat="0" applyProtection="0">
      <alignment horizontal="left" vertical="center" indent="1"/>
    </xf>
    <xf numFmtId="4" fontId="223" fillId="37" borderId="55" applyNumberFormat="0" applyProtection="0">
      <alignment vertical="center"/>
    </xf>
    <xf numFmtId="4" fontId="224" fillId="37" borderId="55" applyNumberFormat="0" applyProtection="0">
      <alignment vertical="center"/>
    </xf>
    <xf numFmtId="4" fontId="221" fillId="30" borderId="57" applyNumberFormat="0" applyProtection="0">
      <alignment horizontal="left" vertical="center" indent="1"/>
    </xf>
    <xf numFmtId="4" fontId="223" fillId="37" borderId="55" applyNumberFormat="0" applyProtection="0">
      <alignment horizontal="right" vertical="center"/>
    </xf>
    <xf numFmtId="4" fontId="224" fillId="37" borderId="55" applyNumberFormat="0" applyProtection="0">
      <alignment horizontal="right" vertical="center"/>
    </xf>
    <xf numFmtId="4" fontId="221" fillId="30" borderId="55" applyNumberFormat="0" applyProtection="0">
      <alignment horizontal="left" vertical="center" indent="1"/>
    </xf>
    <xf numFmtId="4" fontId="225" fillId="64" borderId="57" applyNumberFormat="0" applyProtection="0">
      <alignment horizontal="left" vertical="center" indent="1"/>
    </xf>
    <xf numFmtId="4" fontId="226" fillId="37" borderId="55" applyNumberFormat="0" applyProtection="0">
      <alignment horizontal="right" vertical="center"/>
    </xf>
    <xf numFmtId="0" fontId="227" fillId="0" borderId="0" applyFill="0" applyBorder="0">
      <alignment horizontal="right"/>
      <protection hidden="1"/>
    </xf>
    <xf numFmtId="0" fontId="97" fillId="0" borderId="0" applyFill="0" applyBorder="0" applyProtection="0">
      <alignment horizontal="left"/>
    </xf>
    <xf numFmtId="0" fontId="228" fillId="39" borderId="11">
      <alignment horizontal="center" vertical="center" wrapText="1"/>
      <protection hidden="1"/>
    </xf>
    <xf numFmtId="0" fontId="41" fillId="65" borderId="0" applyNumberFormat="0" applyFont="0" applyBorder="0" applyAlignment="0" applyProtection="0"/>
    <xf numFmtId="207" fontId="229" fillId="44" borderId="0" applyNumberFormat="0" applyBorder="0" applyAlignment="0" applyProtection="0"/>
    <xf numFmtId="0" fontId="41" fillId="65" borderId="0" applyNumberFormat="0" applyFont="0" applyBorder="0" applyAlignment="0" applyProtection="0"/>
    <xf numFmtId="0" fontId="220" fillId="1" borderId="15" applyNumberFormat="0" applyFont="0" applyAlignment="0">
      <alignment horizontal="center"/>
    </xf>
    <xf numFmtId="255" fontId="46" fillId="66" borderId="0" applyNumberFormat="0" applyFont="0" applyBorder="0" applyAlignment="0" applyProtection="0">
      <protection locked="0"/>
    </xf>
    <xf numFmtId="254" fontId="47" fillId="0" borderId="0" applyFont="0" applyFill="0" applyBorder="0" applyAlignment="0" applyProtection="0"/>
    <xf numFmtId="0" fontId="54" fillId="0" borderId="0" applyNumberFormat="0" applyFill="0" applyBorder="0" applyAlignment="0">
      <alignment horizontal="centerContinuous"/>
    </xf>
    <xf numFmtId="0" fontId="230" fillId="0" borderId="0" applyNumberFormat="0" applyFill="0" applyBorder="0" applyAlignment="0" applyProtection="0">
      <alignment vertical="top"/>
      <protection locked="0"/>
    </xf>
    <xf numFmtId="0" fontId="231" fillId="0" borderId="0" applyNumberFormat="0">
      <alignment horizontal="left"/>
    </xf>
    <xf numFmtId="37" fontId="46" fillId="0" borderId="0" applyFont="0" applyFill="0" applyBorder="0" applyAlignment="0" applyProtection="0"/>
    <xf numFmtId="3" fontId="32" fillId="0" borderId="0"/>
    <xf numFmtId="174" fontId="47" fillId="0" borderId="0"/>
    <xf numFmtId="0" fontId="232" fillId="5" borderId="11" applyNumberFormat="0" applyAlignment="0" applyProtection="0">
      <protection locked="0"/>
    </xf>
    <xf numFmtId="0" fontId="233" fillId="0" borderId="0" applyNumberFormat="0" applyFill="0" applyBorder="0" applyAlignment="0">
      <alignment horizontal="center"/>
    </xf>
    <xf numFmtId="1" fontId="41" fillId="0" borderId="0" applyBorder="0">
      <alignment horizontal="left" vertical="top" wrapText="1"/>
    </xf>
    <xf numFmtId="0" fontId="31" fillId="0" borderId="0">
      <alignment horizontal="center"/>
    </xf>
    <xf numFmtId="0" fontId="234" fillId="0" borderId="58" applyBorder="0" applyAlignment="0">
      <alignment horizontal="center"/>
    </xf>
    <xf numFmtId="3" fontId="32" fillId="0" borderId="0"/>
    <xf numFmtId="0" fontId="235" fillId="0" borderId="0"/>
    <xf numFmtId="37" fontId="236" fillId="67" borderId="59" applyNumberFormat="0">
      <alignment horizontal="center"/>
    </xf>
    <xf numFmtId="0" fontId="237" fillId="67" borderId="0">
      <alignment horizontal="centerContinuous" vertical="center"/>
    </xf>
    <xf numFmtId="0" fontId="79" fillId="68" borderId="60">
      <alignment horizontal="center" wrapText="1"/>
    </xf>
    <xf numFmtId="0" fontId="238" fillId="0" borderId="53"/>
    <xf numFmtId="0" fontId="239" fillId="0" borderId="58" applyBorder="0" applyAlignment="0">
      <alignment horizontal="center"/>
    </xf>
    <xf numFmtId="12" fontId="31" fillId="0" borderId="0" applyFont="0" applyFill="0" applyBorder="0" applyProtection="0">
      <alignment horizontal="right"/>
    </xf>
    <xf numFmtId="339" fontId="31" fillId="69" borderId="0" applyFont="0" applyFill="0" applyBorder="0" applyProtection="0">
      <alignment horizontal="right"/>
    </xf>
    <xf numFmtId="233" fontId="31" fillId="0" borderId="0" applyFont="0" applyFill="0" applyBorder="0" applyAlignment="0" applyProtection="0">
      <alignment horizontal="right"/>
    </xf>
    <xf numFmtId="254" fontId="32" fillId="38" borderId="0" applyNumberFormat="0" applyFont="0" applyBorder="0" applyAlignment="0">
      <protection hidden="1"/>
    </xf>
    <xf numFmtId="0" fontId="49" fillId="0" borderId="0"/>
    <xf numFmtId="38" fontId="53" fillId="0" borderId="0" applyFont="0" applyFill="0" applyBorder="0" applyAlignment="0" applyProtection="0"/>
    <xf numFmtId="38" fontId="31" fillId="0" borderId="0" applyFont="0" applyFill="0" applyBorder="0" applyAlignment="0" applyProtection="0"/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68" fontId="31" fillId="0" borderId="0" applyFont="0" applyFill="0" applyBorder="0" applyAlignment="0" applyProtection="0"/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68" fontId="31" fillId="0" borderId="0" applyFont="0" applyFill="0" applyBorder="0" applyAlignment="0" applyProtection="0"/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68" fontId="31" fillId="0" borderId="0" applyFont="0" applyFill="0" applyBorder="0" applyAlignment="0" applyProtection="0"/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38" fontId="31" fillId="0" borderId="0" applyFont="0" applyFill="0" applyBorder="0" applyAlignment="0" applyProtection="0"/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38" fontId="31" fillId="0" borderId="0" applyFont="0" applyFill="0" applyBorder="0" applyAlignment="0" applyProtection="0"/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38" fontId="31" fillId="0" borderId="0" applyFont="0" applyFill="0" applyBorder="0" applyAlignment="0" applyProtection="0"/>
    <xf numFmtId="17" fontId="240" fillId="19" borderId="0" applyProtection="0">
      <alignment horizontal="center" vertical="center"/>
    </xf>
    <xf numFmtId="3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3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0" fontId="66" fillId="0" borderId="0">
      <alignment vertical="top"/>
    </xf>
    <xf numFmtId="0" fontId="32" fillId="0" borderId="0" applyNumberFormat="0" applyFill="0" applyBorder="0" applyProtection="0">
      <alignment horizontal="left" vertical="top" wrapText="1"/>
    </xf>
    <xf numFmtId="0" fontId="32" fillId="0" borderId="0" applyNumberFormat="0" applyFill="0" applyBorder="0" applyProtection="0">
      <alignment horizontal="right" vertical="top" wrapText="1"/>
    </xf>
    <xf numFmtId="0" fontId="241" fillId="65" borderId="0" applyNumberFormat="0" applyBorder="0" applyAlignment="0" applyProtection="0"/>
    <xf numFmtId="1" fontId="32" fillId="0" borderId="0" applyFill="0" applyBorder="0" applyProtection="0">
      <alignment horizontal="left" vertical="top" wrapText="1"/>
    </xf>
    <xf numFmtId="0" fontId="54" fillId="0" borderId="0" applyNumberFormat="0" applyFill="0" applyBorder="0" applyAlignment="0" applyProtection="0"/>
    <xf numFmtId="0" fontId="79" fillId="34" borderId="0" applyNumberFormat="0" applyBorder="0" applyAlignment="0" applyProtection="0"/>
    <xf numFmtId="310" fontId="32" fillId="0" borderId="0" applyFill="0" applyBorder="0" applyProtection="0">
      <alignment horizontal="center" wrapText="1"/>
    </xf>
    <xf numFmtId="0" fontId="31" fillId="0" borderId="0" applyNumberFormat="0" applyFont="0" applyFill="0" applyBorder="0" applyProtection="0">
      <alignment horizontal="right"/>
    </xf>
    <xf numFmtId="0" fontId="31" fillId="0" borderId="0" applyNumberFormat="0" applyFont="0" applyFill="0" applyBorder="0" applyProtection="0">
      <alignment horizontal="left"/>
    </xf>
    <xf numFmtId="38" fontId="31" fillId="0" borderId="0" applyFont="0" applyFill="0" applyBorder="0" applyAlignment="0" applyProtection="0"/>
    <xf numFmtId="0" fontId="32" fillId="0" borderId="0" applyNumberFormat="0" applyFill="0" applyBorder="0" applyProtection="0">
      <alignment horizontal="left" vertical="top" wrapText="1"/>
    </xf>
    <xf numFmtId="0" fontId="115" fillId="0" borderId="0" applyNumberFormat="0" applyFill="0" applyBorder="0" applyAlignment="0" applyProtection="0"/>
    <xf numFmtId="4" fontId="242" fillId="0" borderId="0" applyFill="0" applyBorder="0" applyProtection="0">
      <alignment horizontal="center" wrapText="1"/>
    </xf>
    <xf numFmtId="199" fontId="31" fillId="0" borderId="0" applyFont="0" applyFill="0" applyBorder="0" applyAlignment="0" applyProtection="0"/>
    <xf numFmtId="2" fontId="31" fillId="0" borderId="0" applyFont="0" applyFill="0" applyBorder="0" applyAlignment="0" applyProtection="0"/>
    <xf numFmtId="0" fontId="115" fillId="0" borderId="0" applyNumberFormat="0" applyFill="0" applyBorder="0" applyProtection="0">
      <alignment wrapText="1"/>
    </xf>
    <xf numFmtId="0" fontId="32" fillId="0" borderId="0" applyNumberFormat="0" applyFill="0" applyBorder="0" applyProtection="0">
      <alignment wrapText="1"/>
    </xf>
    <xf numFmtId="0" fontId="32" fillId="0" borderId="0" applyNumberFormat="0" applyFill="0" applyBorder="0" applyProtection="0">
      <alignment horizontal="right" wrapText="1"/>
    </xf>
    <xf numFmtId="0" fontId="32" fillId="0" borderId="0" applyNumberFormat="0" applyFill="0" applyBorder="0" applyProtection="0">
      <alignment horizontal="left" vertical="top" wrapText="1"/>
    </xf>
    <xf numFmtId="0" fontId="155" fillId="0" borderId="53" applyNumberFormat="0" applyFill="0" applyProtection="0">
      <alignment horizontal="left" wrapText="1"/>
    </xf>
    <xf numFmtId="38" fontId="31" fillId="0" borderId="0" applyFont="0" applyFill="0" applyBorder="0" applyAlignment="0" applyProtection="0"/>
    <xf numFmtId="0" fontId="155" fillId="0" borderId="0" applyNumberFormat="0" applyFill="0" applyBorder="0" applyProtection="0">
      <alignment horizontal="right" wrapText="1"/>
    </xf>
    <xf numFmtId="340" fontId="32" fillId="0" borderId="0" applyFill="0" applyBorder="0" applyProtection="0">
      <alignment horizontal="right" wrapText="1"/>
    </xf>
    <xf numFmtId="328" fontId="32" fillId="0" borderId="0" applyFill="0" applyBorder="0" applyProtection="0">
      <alignment horizontal="right" wrapText="1"/>
    </xf>
    <xf numFmtId="4" fontId="32" fillId="0" borderId="0" applyFill="0" applyBorder="0" applyProtection="0">
      <alignment horizontal="right" wrapText="1"/>
    </xf>
    <xf numFmtId="328" fontId="32" fillId="0" borderId="0" applyFill="0" applyBorder="0" applyProtection="0">
      <alignment horizontal="right" wrapText="1"/>
    </xf>
    <xf numFmtId="3" fontId="32" fillId="0" borderId="0" applyFill="0" applyBorder="0" applyProtection="0">
      <alignment horizontal="right" wrapText="1"/>
    </xf>
    <xf numFmtId="169" fontId="32" fillId="0" borderId="0" applyFill="0" applyBorder="0" applyProtection="0">
      <alignment horizontal="right" wrapText="1"/>
    </xf>
    <xf numFmtId="169" fontId="115" fillId="0" borderId="0" applyFill="0" applyBorder="0" applyProtection="0">
      <alignment horizontal="right" wrapText="1"/>
    </xf>
    <xf numFmtId="192" fontId="32" fillId="0" borderId="0" applyFill="0" applyBorder="0" applyProtection="0">
      <alignment horizontal="right" wrapText="1"/>
    </xf>
    <xf numFmtId="192" fontId="32" fillId="0" borderId="0" applyFill="0" applyBorder="0" applyProtection="0">
      <alignment horizontal="right" wrapText="1"/>
    </xf>
    <xf numFmtId="38" fontId="31" fillId="0" borderId="0" applyFont="0" applyFill="0" applyBorder="0" applyAlignment="0" applyProtection="0"/>
    <xf numFmtId="169" fontId="243" fillId="0" borderId="0" applyFill="0" applyBorder="0" applyProtection="0">
      <alignment horizontal="right" wrapText="1"/>
    </xf>
    <xf numFmtId="337" fontId="32" fillId="0" borderId="0" applyFill="0" applyBorder="0" applyProtection="0">
      <alignment horizontal="right" wrapText="1"/>
    </xf>
    <xf numFmtId="0" fontId="168" fillId="0" borderId="0" applyNumberFormat="0" applyFill="0" applyBorder="0" applyProtection="0">
      <alignment horizontal="left" wrapText="1"/>
    </xf>
    <xf numFmtId="0" fontId="168" fillId="0" borderId="0" applyNumberFormat="0" applyFill="0" applyBorder="0" applyProtection="0">
      <alignment horizontal="right" vertical="top" wrapText="1"/>
    </xf>
    <xf numFmtId="0" fontId="168" fillId="0" borderId="0" applyNumberFormat="0" applyFill="0" applyBorder="0" applyProtection="0">
      <alignment horizontal="right" wrapText="1"/>
    </xf>
    <xf numFmtId="0" fontId="168" fillId="0" borderId="0" applyNumberFormat="0" applyFill="0" applyBorder="0" applyProtection="0">
      <alignment horizontal="center" vertical="top" wrapText="1"/>
    </xf>
    <xf numFmtId="0" fontId="244" fillId="19" borderId="0" applyNumberFormat="0" applyProtection="0">
      <alignment horizontal="center" vertical="center" wrapText="1"/>
    </xf>
    <xf numFmtId="4" fontId="63" fillId="19" borderId="0" applyProtection="0">
      <alignment horizontal="center" vertical="center"/>
    </xf>
    <xf numFmtId="0" fontId="245" fillId="19" borderId="0" applyNumberFormat="0" applyProtection="0">
      <alignment horizontal="center" vertical="center" wrapText="1"/>
    </xf>
    <xf numFmtId="0" fontId="150" fillId="44" borderId="0" applyNumberFormat="0" applyBorder="0" applyProtection="0">
      <alignment horizontal="left" wrapText="1"/>
    </xf>
    <xf numFmtId="38" fontId="31" fillId="0" borderId="0" applyFont="0" applyFill="0" applyBorder="0" applyAlignment="0" applyProtection="0"/>
    <xf numFmtId="0" fontId="234" fillId="65" borderId="0" applyNumberFormat="0" applyProtection="0">
      <alignment horizontal="center" vertical="center" wrapText="1"/>
    </xf>
    <xf numFmtId="4" fontId="246" fillId="65" borderId="0" applyProtection="0">
      <alignment horizontal="center" vertical="center"/>
    </xf>
    <xf numFmtId="0" fontId="247" fillId="19" borderId="0" applyNumberFormat="0" applyProtection="0">
      <alignment horizontal="center" vertical="center"/>
    </xf>
    <xf numFmtId="4" fontId="248" fillId="19" borderId="0" applyProtection="0">
      <alignment horizontal="center" vertical="center"/>
    </xf>
    <xf numFmtId="4" fontId="63" fillId="19" borderId="0" applyProtection="0">
      <alignment horizontal="center" vertical="top" wrapText="1"/>
    </xf>
    <xf numFmtId="4" fontId="249" fillId="34" borderId="0" applyProtection="0">
      <alignment horizontal="center" vertical="center"/>
    </xf>
    <xf numFmtId="4" fontId="250" fillId="19" borderId="0" applyProtection="0">
      <alignment horizontal="center" vertical="top" wrapText="1"/>
    </xf>
    <xf numFmtId="0" fontId="234" fillId="65" borderId="0" applyNumberFormat="0" applyProtection="0">
      <alignment horizontal="center" vertical="center" wrapText="1"/>
    </xf>
    <xf numFmtId="4" fontId="246" fillId="65" borderId="0" applyProtection="0">
      <alignment horizontal="center" vertical="top" wrapText="1"/>
    </xf>
    <xf numFmtId="0" fontId="251" fillId="19" borderId="0" applyNumberFormat="0" applyProtection="0">
      <alignment horizontal="center" vertical="center" wrapText="1"/>
    </xf>
    <xf numFmtId="0" fontId="66" fillId="0" borderId="0">
      <alignment vertical="top"/>
    </xf>
    <xf numFmtId="4" fontId="248" fillId="19" borderId="0" applyProtection="0">
      <alignment horizontal="center" vertical="top" wrapText="1"/>
    </xf>
    <xf numFmtId="0" fontId="79" fillId="34" borderId="0" applyNumberFormat="0" applyProtection="0">
      <alignment horizontal="center" vertical="center" wrapText="1"/>
    </xf>
    <xf numFmtId="4" fontId="249" fillId="34" borderId="0" applyProtection="0">
      <alignment horizontal="center" vertical="top" wrapText="1"/>
    </xf>
    <xf numFmtId="0" fontId="244" fillId="53" borderId="0" applyNumberFormat="0" applyProtection="0">
      <alignment horizontal="center" vertical="center" wrapText="1"/>
    </xf>
    <xf numFmtId="4" fontId="63" fillId="53" borderId="0" applyProtection="0">
      <alignment horizontal="center" vertical="top" wrapText="1"/>
    </xf>
    <xf numFmtId="14" fontId="32" fillId="0" borderId="0" applyFill="0" applyBorder="0" applyProtection="0">
      <alignment horizontal="right" vertical="top" wrapText="1"/>
    </xf>
    <xf numFmtId="175" fontId="32" fillId="0" borderId="0" applyFill="0" applyBorder="0" applyProtection="0">
      <alignment horizontal="right"/>
    </xf>
    <xf numFmtId="4" fontId="32" fillId="0" borderId="0" applyFill="0" applyBorder="0" applyProtection="0">
      <alignment horizontal="center"/>
    </xf>
    <xf numFmtId="328" fontId="32" fillId="0" borderId="0" applyFill="0" applyBorder="0" applyProtection="0">
      <alignment horizontal="center"/>
    </xf>
    <xf numFmtId="0" fontId="32" fillId="0" borderId="0" applyNumberFormat="0" applyFill="0" applyBorder="0" applyProtection="0">
      <alignment horizontal="left" vertical="top" wrapText="1"/>
    </xf>
    <xf numFmtId="38" fontId="31" fillId="0" borderId="0" applyFont="0" applyFill="0" applyBorder="0" applyAlignment="0" applyProtection="0"/>
    <xf numFmtId="264" fontId="46" fillId="0" borderId="0" applyFill="0" applyBorder="0" applyProtection="0">
      <alignment horizontal="right"/>
    </xf>
    <xf numFmtId="335" fontId="46" fillId="0" borderId="0" applyFill="0" applyBorder="0" applyProtection="0">
      <alignment horizontal="right"/>
    </xf>
    <xf numFmtId="319" fontId="44" fillId="0" borderId="0" applyFill="0" applyBorder="0" applyProtection="0">
      <alignment horizontal="right"/>
    </xf>
    <xf numFmtId="17" fontId="240" fillId="19" borderId="0" applyProtection="0">
      <alignment horizontal="center" vertical="center"/>
    </xf>
    <xf numFmtId="0" fontId="252" fillId="0" borderId="0" applyNumberFormat="0" applyFill="0" applyBorder="0" applyProtection="0">
      <alignment horizontal="left"/>
    </xf>
    <xf numFmtId="17" fontId="240" fillId="19" borderId="0" applyProtection="0">
      <alignment horizontal="center" vertical="center"/>
    </xf>
    <xf numFmtId="0" fontId="54" fillId="0" borderId="0" applyNumberFormat="0" applyFill="0" applyBorder="0" applyProtection="0"/>
    <xf numFmtId="17" fontId="240" fillId="19" borderId="0" applyProtection="0">
      <alignment horizontal="center" vertical="center"/>
    </xf>
    <xf numFmtId="0" fontId="115" fillId="0" borderId="0" applyNumberFormat="0" applyFill="0" applyBorder="0" applyProtection="0">
      <alignment horizontal="center"/>
    </xf>
    <xf numFmtId="17" fontId="240" fillId="19" borderId="0" applyProtection="0">
      <alignment horizontal="center" vertical="center"/>
    </xf>
    <xf numFmtId="38" fontId="31" fillId="0" borderId="0" applyFont="0" applyFill="0" applyBorder="0" applyAlignment="0" applyProtection="0"/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17" fontId="240" fillId="19" borderId="0" applyProtection="0">
      <alignment horizontal="center" vertical="center"/>
    </xf>
    <xf numFmtId="0" fontId="31" fillId="0" borderId="0"/>
    <xf numFmtId="0" fontId="253" fillId="0" borderId="0"/>
    <xf numFmtId="179" fontId="31" fillId="0" borderId="0" applyFill="0" applyBorder="0" applyAlignment="0" applyProtection="0"/>
    <xf numFmtId="14" fontId="87" fillId="0" borderId="0" applyFill="0" applyBorder="0" applyAlignment="0" applyProtection="0">
      <alignment horizontal="left"/>
      <protection locked="0"/>
    </xf>
    <xf numFmtId="14" fontId="87" fillId="0" borderId="0" applyFill="0" applyBorder="0" applyAlignment="0" applyProtection="0"/>
    <xf numFmtId="0" fontId="31" fillId="0" borderId="0" applyNumberFormat="0" applyFill="0" applyBorder="0" applyProtection="0">
      <alignment horizontal="left" vertical="center"/>
    </xf>
    <xf numFmtId="14" fontId="87" fillId="0" borderId="0" applyFill="0" applyBorder="0" applyAlignment="0" applyProtection="0">
      <alignment horizontal="left"/>
      <protection locked="0"/>
    </xf>
    <xf numFmtId="14" fontId="87" fillId="0" borderId="0" applyFill="0" applyBorder="0" applyAlignment="0" applyProtection="0">
      <protection locked="0"/>
    </xf>
    <xf numFmtId="38" fontId="47" fillId="0" borderId="0" applyFont="0" applyFill="0" applyBorder="0" applyAlignment="0" applyProtection="0">
      <protection locked="0"/>
    </xf>
    <xf numFmtId="207" fontId="254" fillId="0" borderId="0" applyNumberFormat="0" applyFill="0" applyBorder="0" applyAlignment="0" applyProtection="0"/>
    <xf numFmtId="40" fontId="49" fillId="0" borderId="0" applyBorder="0">
      <alignment horizontal="right"/>
    </xf>
    <xf numFmtId="215" fontId="49" fillId="0" borderId="0" applyFill="0" applyBorder="0" applyAlignment="0" applyProtection="0"/>
    <xf numFmtId="0" fontId="31" fillId="0" borderId="1" applyNumberFormat="0" applyFont="0" applyFill="0" applyAlignment="0" applyProtection="0"/>
    <xf numFmtId="0" fontId="31" fillId="0" borderId="0"/>
    <xf numFmtId="0" fontId="31" fillId="0" borderId="0"/>
    <xf numFmtId="193" fontId="44" fillId="0" borderId="0"/>
    <xf numFmtId="0" fontId="31" fillId="0" borderId="0"/>
    <xf numFmtId="37" fontId="46" fillId="0" borderId="0"/>
    <xf numFmtId="229" fontId="120" fillId="0" borderId="0"/>
    <xf numFmtId="229" fontId="120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0" fontId="31" fillId="0" borderId="0"/>
    <xf numFmtId="0" fontId="31" fillId="0" borderId="0"/>
    <xf numFmtId="0" fontId="31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305" fontId="44" fillId="0" borderId="0"/>
    <xf numFmtId="305" fontId="44" fillId="0" borderId="0"/>
    <xf numFmtId="273" fontId="48" fillId="0" borderId="0"/>
    <xf numFmtId="321" fontId="48" fillId="0" borderId="0"/>
    <xf numFmtId="282" fontId="48" fillId="0" borderId="0"/>
    <xf numFmtId="282" fontId="48" fillId="0" borderId="0"/>
    <xf numFmtId="0" fontId="32" fillId="0" borderId="0"/>
    <xf numFmtId="0" fontId="32" fillId="0" borderId="0"/>
    <xf numFmtId="229" fontId="120" fillId="0" borderId="0"/>
    <xf numFmtId="229" fontId="120" fillId="0" borderId="0"/>
    <xf numFmtId="37" fontId="46" fillId="0" borderId="0"/>
    <xf numFmtId="37" fontId="46" fillId="0" borderId="0"/>
    <xf numFmtId="0" fontId="31" fillId="0" borderId="0"/>
    <xf numFmtId="37" fontId="46" fillId="0" borderId="0"/>
    <xf numFmtId="37" fontId="46" fillId="0" borderId="0"/>
    <xf numFmtId="37" fontId="46" fillId="0" borderId="0"/>
    <xf numFmtId="0" fontId="31" fillId="0" borderId="0"/>
    <xf numFmtId="37" fontId="46" fillId="0" borderId="0"/>
    <xf numFmtId="193" fontId="44" fillId="0" borderId="0"/>
    <xf numFmtId="0" fontId="47" fillId="0" borderId="0"/>
    <xf numFmtId="37" fontId="31" fillId="0" borderId="0">
      <alignment horizontal="right"/>
    </xf>
    <xf numFmtId="0" fontId="31" fillId="0" borderId="0">
      <alignment horizontal="left" indent="5"/>
    </xf>
    <xf numFmtId="0" fontId="31" fillId="0" borderId="0">
      <alignment horizontal="left" indent="1"/>
    </xf>
    <xf numFmtId="215" fontId="41" fillId="0" borderId="0"/>
    <xf numFmtId="215" fontId="41" fillId="0" borderId="0"/>
    <xf numFmtId="0" fontId="155" fillId="0" borderId="0" applyFill="0" applyBorder="0" applyProtection="0">
      <alignment horizontal="center" vertical="center"/>
    </xf>
    <xf numFmtId="215" fontId="41" fillId="0" borderId="0"/>
    <xf numFmtId="215" fontId="132" fillId="0" borderId="0"/>
    <xf numFmtId="0" fontId="49" fillId="0" borderId="0"/>
    <xf numFmtId="0" fontId="255" fillId="0" borderId="0" applyBorder="0" applyProtection="0">
      <alignment vertical="center"/>
    </xf>
    <xf numFmtId="292" fontId="255" fillId="0" borderId="1" applyBorder="0" applyProtection="0">
      <alignment horizontal="right" vertical="center"/>
    </xf>
    <xf numFmtId="0" fontId="256" fillId="70" borderId="0" applyBorder="0" applyProtection="0">
      <alignment horizontal="centerContinuous" vertical="center"/>
    </xf>
    <xf numFmtId="0" fontId="256" fillId="34" borderId="1" applyBorder="0" applyProtection="0">
      <alignment horizontal="centerContinuous" vertical="center"/>
    </xf>
    <xf numFmtId="0" fontId="49" fillId="0" borderId="0" applyNumberFormat="0" applyFill="0" applyBorder="0" applyProtection="0">
      <alignment horizontal="left"/>
    </xf>
    <xf numFmtId="3" fontId="155" fillId="0" borderId="0" applyNumberFormat="0"/>
    <xf numFmtId="0" fontId="142" fillId="0" borderId="0" applyNumberFormat="0" applyFill="0" applyBorder="0" applyProtection="0">
      <alignment horizontal="left"/>
    </xf>
    <xf numFmtId="0" fontId="155" fillId="0" borderId="0" applyFill="0" applyBorder="0" applyProtection="0"/>
    <xf numFmtId="215" fontId="41" fillId="0" borderId="0"/>
    <xf numFmtId="0" fontId="257" fillId="0" borderId="0" applyNumberFormat="0">
      <alignment horizontal="left"/>
    </xf>
    <xf numFmtId="0" fontId="187" fillId="0" borderId="0"/>
    <xf numFmtId="0" fontId="31" fillId="0" borderId="0">
      <alignment horizontal="left"/>
    </xf>
    <xf numFmtId="0" fontId="31" fillId="0" borderId="0"/>
    <xf numFmtId="0" fontId="258" fillId="0" borderId="0" applyFill="0" applyBorder="0" applyProtection="0">
      <alignment horizontal="left"/>
    </xf>
    <xf numFmtId="215" fontId="41" fillId="0" borderId="0"/>
    <xf numFmtId="0" fontId="142" fillId="0" borderId="22" applyFill="0" applyBorder="0" applyProtection="0">
      <alignment horizontal="left" vertical="top"/>
    </xf>
    <xf numFmtId="0" fontId="31" fillId="0" borderId="0">
      <alignment horizontal="centerContinuous"/>
    </xf>
    <xf numFmtId="0" fontId="31" fillId="0" borderId="0" applyNumberFormat="0" applyFill="0" applyBorder="0">
      <alignment horizontal="left"/>
    </xf>
    <xf numFmtId="215" fontId="49" fillId="0" borderId="0" applyNumberFormat="0" applyFill="0" applyBorder="0">
      <alignment horizontal="right"/>
    </xf>
    <xf numFmtId="0" fontId="31" fillId="0" borderId="0" applyNumberFormat="0" applyFill="0" applyBorder="0">
      <alignment horizontal="right"/>
    </xf>
    <xf numFmtId="0" fontId="259" fillId="0" borderId="0" applyFill="0" applyBorder="0" applyProtection="0">
      <alignment horizontal="center" vertical="center"/>
    </xf>
    <xf numFmtId="0" fontId="47" fillId="0" borderId="0"/>
    <xf numFmtId="0" fontId="260" fillId="0" borderId="0" applyFill="0" applyBorder="0" applyProtection="0">
      <alignment vertical="top"/>
    </xf>
    <xf numFmtId="0" fontId="261" fillId="0" borderId="0" applyFill="0" applyBorder="0" applyProtection="0">
      <alignment vertical="center"/>
    </xf>
    <xf numFmtId="0" fontId="89" fillId="0" borderId="0" applyFill="0" applyBorder="0" applyProtection="0"/>
    <xf numFmtId="0" fontId="262" fillId="0" borderId="0">
      <alignment horizontal="centerContinuous"/>
    </xf>
    <xf numFmtId="1" fontId="263" fillId="0" borderId="0"/>
    <xf numFmtId="49" fontId="264" fillId="0" borderId="0"/>
    <xf numFmtId="0" fontId="32" fillId="0" borderId="0"/>
    <xf numFmtId="254" fontId="31" fillId="71" borderId="0" applyNumberFormat="0" applyFont="0" applyBorder="0" applyAlignment="0" applyProtection="0"/>
    <xf numFmtId="207" fontId="110" fillId="0" borderId="0" applyAlignment="0" applyProtection="0"/>
    <xf numFmtId="255" fontId="46" fillId="69" borderId="0">
      <alignment horizontal="right"/>
      <protection locked="0"/>
    </xf>
    <xf numFmtId="0" fontId="49" fillId="0" borderId="22" applyFill="0" applyBorder="0" applyProtection="0"/>
    <xf numFmtId="0" fontId="265" fillId="0" borderId="0"/>
    <xf numFmtId="0" fontId="49" fillId="0" borderId="0" applyNumberFormat="0" applyFill="0" applyBorder="0" applyProtection="0"/>
    <xf numFmtId="0" fontId="49" fillId="0" borderId="0">
      <alignment vertical="center"/>
    </xf>
    <xf numFmtId="0" fontId="266" fillId="0" borderId="0"/>
    <xf numFmtId="0" fontId="49" fillId="0" borderId="0" applyNumberFormat="0" applyFill="0" applyBorder="0" applyProtection="0"/>
    <xf numFmtId="0" fontId="49" fillId="0" borderId="0" applyFill="0" applyBorder="0" applyProtection="0"/>
    <xf numFmtId="0" fontId="49" fillId="0" borderId="0" applyNumberFormat="0" applyFill="0" applyBorder="0" applyProtection="0"/>
    <xf numFmtId="0" fontId="49" fillId="0" borderId="0"/>
    <xf numFmtId="49" fontId="110" fillId="0" borderId="0" applyFill="0" applyBorder="0" applyAlignment="0"/>
    <xf numFmtId="209" fontId="110" fillId="0" borderId="0" applyFill="0" applyBorder="0" applyAlignment="0"/>
    <xf numFmtId="219" fontId="110" fillId="0" borderId="0" applyFill="0" applyBorder="0" applyAlignment="0"/>
    <xf numFmtId="0" fontId="265" fillId="0" borderId="22" applyFill="0" applyBorder="0" applyProtection="0"/>
    <xf numFmtId="0" fontId="189" fillId="0" borderId="0"/>
    <xf numFmtId="285" fontId="46" fillId="0" borderId="0" applyFill="0" applyBorder="0" applyAlignment="0" applyProtection="0">
      <alignment horizontal="right"/>
    </xf>
    <xf numFmtId="39" fontId="31" fillId="31" borderId="11" applyFont="0" applyFill="0" applyBorder="0" applyAlignment="0" applyProtection="0">
      <alignment horizontal="center"/>
      <protection locked="0"/>
    </xf>
    <xf numFmtId="179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11" fontId="47" fillId="0" borderId="0" applyFont="0" applyFill="0" applyBorder="0" applyAlignment="0" applyProtection="0"/>
    <xf numFmtId="0" fontId="234" fillId="0" borderId="0" applyFill="0" applyBorder="0" applyProtection="0">
      <alignment horizontal="left" vertical="top"/>
    </xf>
    <xf numFmtId="18" fontId="31" fillId="0" borderId="0"/>
    <xf numFmtId="1" fontId="31" fillId="0" borderId="15" applyFill="0" applyBorder="0" applyProtection="0">
      <alignment horizontal="right"/>
    </xf>
    <xf numFmtId="254" fontId="32" fillId="0" borderId="0"/>
    <xf numFmtId="341" fontId="46" fillId="31" borderId="11" applyFont="0" applyFill="0" applyBorder="0" applyAlignment="0" applyProtection="0"/>
    <xf numFmtId="251" fontId="31" fillId="0" borderId="0" applyFont="0" applyFill="0" applyBorder="0" applyAlignment="0" applyProtection="0"/>
    <xf numFmtId="342" fontId="31" fillId="0" borderId="0" applyFont="0" applyFill="0" applyBorder="0" applyAlignment="0" applyProtection="0"/>
    <xf numFmtId="254" fontId="3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215" fontId="31" fillId="0" borderId="0" applyFill="0" applyBorder="0" applyProtection="0"/>
    <xf numFmtId="3" fontId="267" fillId="0" borderId="0"/>
    <xf numFmtId="0" fontId="31" fillId="0" borderId="61"/>
    <xf numFmtId="254" fontId="268" fillId="0" borderId="62"/>
    <xf numFmtId="254" fontId="209" fillId="0" borderId="0" applyNumberFormat="0" applyFill="0" applyBorder="0" applyAlignment="0" applyProtection="0"/>
    <xf numFmtId="0" fontId="53" fillId="0" borderId="0" applyBorder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Border="0"/>
    <xf numFmtId="38" fontId="31" fillId="0" borderId="0" applyFill="0" applyBorder="0" applyAlignment="0" applyProtection="0">
      <alignment horizontal="left"/>
    </xf>
    <xf numFmtId="1" fontId="41" fillId="72" borderId="0" applyNumberFormat="0" applyFont="0" applyBorder="0" applyProtection="0">
      <alignment horizontal="left"/>
    </xf>
    <xf numFmtId="0" fontId="269" fillId="0" borderId="0"/>
    <xf numFmtId="0" fontId="49" fillId="0" borderId="0"/>
    <xf numFmtId="0" fontId="49" fillId="0" borderId="0"/>
    <xf numFmtId="37" fontId="31" fillId="18" borderId="11"/>
    <xf numFmtId="0" fontId="31" fillId="0" borderId="0" applyNumberFormat="0" applyFont="0" applyFill="0" applyBorder="0" applyAlignment="0">
      <alignment horizontal="left" vertical="center"/>
    </xf>
    <xf numFmtId="0" fontId="32" fillId="0" borderId="0" applyNumberFormat="0" applyFont="0" applyFill="0" applyBorder="0" applyProtection="0">
      <alignment vertical="top"/>
    </xf>
    <xf numFmtId="0" fontId="270" fillId="0" borderId="0" applyFill="0" applyBorder="0" applyAlignment="0" applyProtection="0"/>
    <xf numFmtId="0" fontId="155" fillId="0" borderId="15">
      <alignment horizontal="right" wrapText="1"/>
    </xf>
    <xf numFmtId="37" fontId="115" fillId="0" borderId="0"/>
    <xf numFmtId="0" fontId="32" fillId="0" borderId="0" applyFont="0" applyFill="0" applyBorder="0">
      <alignment horizontal="left"/>
    </xf>
    <xf numFmtId="0" fontId="133" fillId="12" borderId="18"/>
    <xf numFmtId="37" fontId="43" fillId="0" borderId="17" applyNumberFormat="0" applyFont="0" applyFill="0" applyAlignment="0"/>
    <xf numFmtId="0" fontId="49" fillId="0" borderId="0" applyFill="0" applyBorder="0" applyProtection="0"/>
    <xf numFmtId="0" fontId="49" fillId="0" borderId="0" applyFill="0" applyBorder="0" applyProtection="0"/>
    <xf numFmtId="3" fontId="155" fillId="0" borderId="1" applyNumberFormat="0"/>
    <xf numFmtId="0" fontId="58" fillId="0" borderId="63"/>
    <xf numFmtId="0" fontId="49" fillId="0" borderId="40" applyFill="0" applyBorder="0" applyProtection="0">
      <alignment vertical="center"/>
    </xf>
    <xf numFmtId="40" fontId="47" fillId="0" borderId="0" applyFont="0" applyFill="0" applyBorder="0" applyAlignment="0" applyProtection="0">
      <protection locked="0"/>
    </xf>
    <xf numFmtId="37" fontId="46" fillId="0" borderId="0" applyFont="0" applyFill="0" applyBorder="0" applyAlignment="0" applyProtection="0"/>
    <xf numFmtId="215" fontId="271" fillId="0" borderId="0">
      <alignment horizontal="left"/>
      <protection locked="0"/>
    </xf>
    <xf numFmtId="0" fontId="31" fillId="0" borderId="64">
      <alignment horizontal="center"/>
      <protection locked="0"/>
    </xf>
    <xf numFmtId="44" fontId="272" fillId="0" borderId="0"/>
    <xf numFmtId="164" fontId="47" fillId="0" borderId="0" applyFont="0" applyFill="0" applyBorder="0" applyAlignment="0" applyProtection="0">
      <protection locked="0"/>
    </xf>
    <xf numFmtId="253" fontId="44" fillId="0" borderId="0" applyFill="0" applyBorder="0" applyAlignment="0" applyProtection="0"/>
    <xf numFmtId="37" fontId="32" fillId="18" borderId="0" applyNumberFormat="0" applyBorder="0" applyAlignment="0" applyProtection="0"/>
    <xf numFmtId="37" fontId="32" fillId="0" borderId="0"/>
    <xf numFmtId="38" fontId="177" fillId="0" borderId="0" applyNumberFormat="0" applyBorder="0" applyAlignment="0">
      <protection locked="0"/>
    </xf>
    <xf numFmtId="38" fontId="273" fillId="0" borderId="0" applyNumberFormat="0" applyFill="0" applyBorder="0" applyAlignment="0">
      <protection locked="0"/>
    </xf>
    <xf numFmtId="0" fontId="47" fillId="0" borderId="0" applyNumberFormat="0"/>
    <xf numFmtId="207" fontId="76" fillId="18" borderId="0"/>
    <xf numFmtId="0" fontId="59" fillId="0" borderId="0"/>
    <xf numFmtId="38" fontId="47" fillId="0" borderId="0" applyFill="0" applyBorder="0" applyAlignment="0" applyProtection="0"/>
    <xf numFmtId="38" fontId="31" fillId="0" borderId="0" applyFill="0" applyBorder="0" applyAlignment="0" applyProtection="0">
      <alignment horizontal="left"/>
    </xf>
    <xf numFmtId="38" fontId="49" fillId="0" borderId="0" applyFill="0" applyBorder="0" applyAlignment="0" applyProtection="0"/>
    <xf numFmtId="37" fontId="46" fillId="0" borderId="0" applyFont="0" applyFill="0" applyBorder="0" applyAlignment="0" applyProtection="0"/>
    <xf numFmtId="0" fontId="32" fillId="0" borderId="0" applyFont="0" applyFill="0" applyBorder="0" applyAlignment="0" applyProtection="0"/>
    <xf numFmtId="37" fontId="46" fillId="0" borderId="0" applyFont="0" applyFill="0" applyBorder="0" applyAlignment="0" applyProtection="0"/>
    <xf numFmtId="343" fontId="40" fillId="0" borderId="0" applyNumberFormat="0"/>
    <xf numFmtId="167" fontId="31" fillId="0" borderId="0" applyFont="0" applyFill="0" applyBorder="0" applyAlignment="0" applyProtection="0"/>
    <xf numFmtId="169" fontId="31" fillId="0" borderId="0" applyFont="0" applyFill="0" applyBorder="0" applyAlignment="0" applyProtection="0"/>
    <xf numFmtId="164" fontId="53" fillId="0" borderId="0" applyFont="0" applyFill="0" applyBorder="0" applyAlignment="0" applyProtection="0"/>
    <xf numFmtId="166" fontId="53" fillId="0" borderId="0" applyFont="0" applyFill="0" applyBorder="0" applyAlignment="0" applyProtection="0"/>
    <xf numFmtId="254" fontId="49" fillId="0" borderId="0" applyNumberFormat="0" applyFill="0" applyBorder="0" applyAlignment="0" applyProtection="0"/>
    <xf numFmtId="0" fontId="49" fillId="0" borderId="15"/>
    <xf numFmtId="254" fontId="49" fillId="0" borderId="0" applyNumberFormat="0" applyFill="0" applyBorder="0" applyAlignment="0" applyProtection="0"/>
    <xf numFmtId="37" fontId="46" fillId="0" borderId="0"/>
    <xf numFmtId="1" fontId="47" fillId="0" borderId="0" applyFont="0" applyFill="0" applyBorder="0" applyAlignment="0" applyProtection="0"/>
    <xf numFmtId="0" fontId="274" fillId="17" borderId="0">
      <alignment horizontal="center"/>
    </xf>
    <xf numFmtId="37" fontId="32" fillId="0" borderId="0"/>
    <xf numFmtId="1" fontId="92" fillId="0" borderId="0">
      <alignment horizontal="right"/>
    </xf>
    <xf numFmtId="0" fontId="31" fillId="0" borderId="0" applyNumberFormat="0" applyFont="0" applyFill="0" applyBorder="0" applyProtection="0">
      <alignment wrapText="1"/>
    </xf>
    <xf numFmtId="40" fontId="115" fillId="0" borderId="0">
      <alignment horizontal="left" wrapText="1"/>
    </xf>
    <xf numFmtId="251" fontId="32" fillId="0" borderId="0" applyFont="0" applyFill="0" applyBorder="0" applyAlignment="0" applyProtection="0">
      <alignment horizontal="right"/>
    </xf>
    <xf numFmtId="344" fontId="117" fillId="0" borderId="0" applyFont="0" applyFill="0" applyBorder="0" applyAlignment="0" applyProtection="0"/>
    <xf numFmtId="257" fontId="46" fillId="0" borderId="0" applyFont="0" applyFill="0" applyBorder="0" applyAlignment="0" applyProtection="0">
      <alignment horizontal="right"/>
    </xf>
    <xf numFmtId="0" fontId="41" fillId="0" borderId="0"/>
    <xf numFmtId="37" fontId="31" fillId="21" borderId="0" applyFont="0" applyFill="0" applyBorder="0" applyAlignment="0" applyProtection="0"/>
    <xf numFmtId="37" fontId="31" fillId="21" borderId="0" applyFont="0" applyFill="0" applyBorder="0" applyAlignment="0" applyProtection="0"/>
    <xf numFmtId="175" fontId="31" fillId="21" borderId="0" applyFont="0" applyFill="0" applyBorder="0" applyAlignment="0" applyProtection="0"/>
    <xf numFmtId="175" fontId="31" fillId="21" borderId="0" applyFont="0" applyFill="0" applyBorder="0" applyAlignment="0" applyProtection="0"/>
    <xf numFmtId="37" fontId="31" fillId="21" borderId="0" applyFont="0" applyFill="0" applyBorder="0" applyAlignment="0" applyProtection="0"/>
    <xf numFmtId="175" fontId="31" fillId="21" borderId="0" applyFont="0" applyFill="0" applyBorder="0" applyAlignment="0" applyProtection="0"/>
    <xf numFmtId="251" fontId="32" fillId="0" borderId="0" applyFont="0" applyFill="0" applyBorder="0" applyAlignment="0" applyProtection="0">
      <alignment horizontal="right"/>
    </xf>
    <xf numFmtId="175" fontId="31" fillId="21" borderId="0" applyFont="0" applyFill="0" applyBorder="0" applyAlignment="0" applyProtection="0"/>
    <xf numFmtId="172" fontId="46" fillId="0" borderId="0" applyFont="0" applyFill="0" applyBorder="0" applyAlignment="0" applyProtection="0"/>
    <xf numFmtId="218" fontId="46" fillId="0" borderId="0" applyFont="0" applyFill="0" applyBorder="0" applyAlignment="0" applyProtection="0"/>
    <xf numFmtId="37" fontId="31" fillId="0" borderId="0" applyFont="0" applyFill="0" applyBorder="0" applyAlignment="0" applyProtection="0"/>
    <xf numFmtId="234" fontId="46" fillId="0" borderId="0" applyFont="0" applyFill="0" applyBorder="0" applyAlignment="0" applyProtection="0"/>
    <xf numFmtId="238" fontId="46" fillId="0" borderId="0" applyFont="0" applyFill="0" applyBorder="0" applyAlignment="0" applyProtection="0"/>
    <xf numFmtId="238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247" fontId="46" fillId="0" borderId="0" applyFont="0" applyFill="0" applyBorder="0" applyAlignment="0" applyProtection="0"/>
    <xf numFmtId="234" fontId="46" fillId="0" borderId="0" applyFont="0" applyFill="0" applyBorder="0" applyAlignment="0" applyProtection="0"/>
    <xf numFmtId="37" fontId="32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52" fillId="0" borderId="0" applyFont="0" applyFill="0" applyBorder="0" applyAlignment="0" applyProtection="0"/>
    <xf numFmtId="37" fontId="46" fillId="0" borderId="0" applyFont="0" applyFill="0" applyBorder="0" applyAlignment="0" applyProtection="0"/>
    <xf numFmtId="294" fontId="32" fillId="0" borderId="0" applyFont="0" applyFill="0" applyBorder="0" applyAlignment="0" applyProtection="0"/>
    <xf numFmtId="254" fontId="32" fillId="0" borderId="0" applyFont="0" applyFill="0" applyBorder="0" applyAlignment="0" applyProtection="0"/>
    <xf numFmtId="37" fontId="32" fillId="0" borderId="0" applyFont="0" applyFill="0" applyBorder="0" applyAlignment="0" applyProtection="0"/>
    <xf numFmtId="37" fontId="32" fillId="0" borderId="0" applyFont="0" applyFill="0" applyBorder="0" applyAlignment="0" applyProtection="0"/>
    <xf numFmtId="340" fontId="31" fillId="0" borderId="0" applyFont="0" applyFill="0" applyBorder="0" applyAlignment="0" applyProtection="0"/>
    <xf numFmtId="340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238" fontId="46" fillId="0" borderId="0" applyFont="0" applyFill="0" applyBorder="0" applyAlignment="0" applyProtection="0"/>
    <xf numFmtId="175" fontId="31" fillId="21" borderId="0" applyFont="0" applyFill="0" applyBorder="0" applyAlignment="0" applyProtection="0"/>
    <xf numFmtId="37" fontId="31" fillId="21" borderId="0" applyFont="0" applyFill="0" applyBorder="0" applyAlignment="0" applyProtection="0"/>
    <xf numFmtId="37" fontId="32" fillId="0" borderId="0" applyFont="0" applyFill="0" applyBorder="0" applyAlignment="0" applyProtection="0">
      <alignment horizontal="right"/>
    </xf>
    <xf numFmtId="37" fontId="31" fillId="0" borderId="0" applyFont="0" applyFill="0" applyBorder="0" applyAlignment="0" applyProtection="0"/>
    <xf numFmtId="175" fontId="31" fillId="21" borderId="0" applyFont="0" applyFill="0" applyBorder="0" applyAlignment="0" applyProtection="0"/>
    <xf numFmtId="175" fontId="31" fillId="21" borderId="0" applyFont="0" applyFill="0" applyBorder="0" applyAlignment="0" applyProtection="0"/>
    <xf numFmtId="37" fontId="31" fillId="21" borderId="0" applyFont="0" applyFill="0" applyBorder="0" applyAlignment="0" applyProtection="0"/>
    <xf numFmtId="327" fontId="46" fillId="0" borderId="0" applyFont="0" applyFill="0" applyBorder="0" applyAlignment="0" applyProtection="0"/>
    <xf numFmtId="32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31" fillId="21" borderId="0" applyFont="0" applyFill="0" applyBorder="0" applyAlignment="0" applyProtection="0"/>
    <xf numFmtId="37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175" fontId="31" fillId="21" borderId="0" applyFont="0" applyFill="0" applyBorder="0" applyAlignment="0" applyProtection="0"/>
    <xf numFmtId="175" fontId="31" fillId="21" borderId="0" applyFont="0" applyFill="0" applyBorder="0" applyAlignment="0" applyProtection="0"/>
    <xf numFmtId="37" fontId="31" fillId="21" borderId="0" applyFont="0" applyFill="0" applyBorder="0" applyAlignment="0" applyProtection="0"/>
    <xf numFmtId="327" fontId="46" fillId="0" borderId="0" applyFont="0" applyFill="0" applyBorder="0" applyAlignment="0" applyProtection="0"/>
    <xf numFmtId="32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202" fontId="46" fillId="0" borderId="0" applyFont="0" applyFill="0" applyBorder="0" applyAlignment="0" applyProtection="0"/>
    <xf numFmtId="203" fontId="31" fillId="0" borderId="0" applyFont="0" applyFill="0" applyBorder="0" applyAlignment="0" applyProtection="0"/>
    <xf numFmtId="204" fontId="48" fillId="0" borderId="0" applyFont="0" applyFill="0" applyBorder="0" applyAlignment="0" applyProtection="0"/>
    <xf numFmtId="202" fontId="46" fillId="0" borderId="0" applyFont="0" applyFill="0" applyBorder="0" applyAlignment="0" applyProtection="0"/>
    <xf numFmtId="202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203" fontId="31" fillId="0" borderId="0" applyFont="0" applyFill="0" applyBorder="0" applyAlignment="0" applyProtection="0"/>
    <xf numFmtId="204" fontId="48" fillId="0" borderId="0" applyFont="0" applyFill="0" applyBorder="0" applyAlignment="0" applyProtection="0"/>
    <xf numFmtId="202" fontId="46" fillId="0" borderId="0" applyFont="0" applyFill="0" applyBorder="0" applyAlignment="0" applyProtection="0"/>
    <xf numFmtId="202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203" fontId="31" fillId="0" borderId="0" applyFont="0" applyFill="0" applyBorder="0" applyAlignment="0" applyProtection="0"/>
    <xf numFmtId="204" fontId="48" fillId="0" borderId="0" applyFont="0" applyFill="0" applyBorder="0" applyAlignment="0" applyProtection="0"/>
    <xf numFmtId="254" fontId="46" fillId="0" borderId="0" applyFont="0" applyFill="0" applyBorder="0" applyAlignment="0" applyProtection="0"/>
    <xf numFmtId="254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256" fontId="31" fillId="0" borderId="0" applyFont="0" applyFill="0" applyBorder="0" applyAlignment="0" applyProtection="0"/>
    <xf numFmtId="315" fontId="48" fillId="0" borderId="0" applyFont="0" applyFill="0" applyBorder="0" applyAlignment="0" applyProtection="0"/>
    <xf numFmtId="215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31" fillId="0" borderId="0" applyFont="0" applyFill="0" applyBorder="0" applyAlignment="0" applyProtection="0"/>
    <xf numFmtId="254" fontId="31" fillId="0" borderId="0" applyFont="0" applyFill="0" applyBorder="0" applyAlignment="0" applyProtection="0"/>
    <xf numFmtId="37" fontId="31" fillId="21" borderId="0" applyFont="0" applyFill="0" applyBorder="0" applyAlignment="0" applyProtection="0"/>
    <xf numFmtId="251" fontId="32" fillId="0" borderId="0" applyFont="0" applyFill="0" applyBorder="0" applyAlignment="0" applyProtection="0">
      <alignment horizontal="right"/>
    </xf>
    <xf numFmtId="175" fontId="31" fillId="21" borderId="0" applyFont="0" applyFill="0" applyBorder="0" applyAlignment="0" applyProtection="0"/>
    <xf numFmtId="37" fontId="31" fillId="21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8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48" fillId="0" borderId="0" applyFont="0" applyFill="0" applyBorder="0" applyAlignment="0" applyProtection="0"/>
    <xf numFmtId="172" fontId="46" fillId="0" borderId="0" applyFont="0" applyFill="0" applyBorder="0" applyAlignment="0" applyProtection="0"/>
    <xf numFmtId="218" fontId="46" fillId="0" borderId="0" applyFont="0" applyFill="0" applyBorder="0" applyAlignment="0" applyProtection="0"/>
    <xf numFmtId="175" fontId="31" fillId="21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8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8" fillId="0" borderId="0" applyFont="0" applyFill="0" applyBorder="0" applyAlignment="0" applyProtection="0"/>
    <xf numFmtId="37" fontId="31" fillId="0" borderId="0" applyFont="0" applyFill="0" applyBorder="0" applyAlignment="0" applyProtection="0"/>
    <xf numFmtId="175" fontId="31" fillId="21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52" fillId="0" borderId="0" applyFont="0" applyFill="0" applyBorder="0" applyAlignment="0" applyProtection="0"/>
    <xf numFmtId="254" fontId="32" fillId="0" borderId="0" applyFont="0" applyFill="0" applyBorder="0" applyAlignment="0" applyProtection="0"/>
    <xf numFmtId="254" fontId="32" fillId="0" borderId="0" applyFont="0" applyFill="0" applyBorder="0" applyAlignment="0" applyProtection="0"/>
    <xf numFmtId="37" fontId="32" fillId="0" borderId="0" applyFont="0" applyFill="0" applyBorder="0" applyAlignment="0" applyProtection="0"/>
    <xf numFmtId="37" fontId="31" fillId="0" borderId="0" applyFont="0" applyFill="0" applyBorder="0" applyAlignment="0" applyProtection="0"/>
    <xf numFmtId="37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240" fontId="46" fillId="0" borderId="0" applyFont="0" applyFill="0" applyBorder="0" applyAlignment="0" applyProtection="0"/>
    <xf numFmtId="240" fontId="46" fillId="0" borderId="0" applyFont="0" applyFill="0" applyBorder="0" applyAlignment="0" applyProtection="0"/>
    <xf numFmtId="282" fontId="44" fillId="0" borderId="0" applyFont="0" applyFill="0" applyBorder="0" applyAlignment="0" applyProtection="0"/>
    <xf numFmtId="189" fontId="46" fillId="0" borderId="0" applyFont="0" applyFill="0" applyBorder="0" applyAlignment="0" applyProtection="0"/>
    <xf numFmtId="37" fontId="31" fillId="0" borderId="0" applyFont="0" applyFill="0" applyBorder="0" applyAlignment="0" applyProtection="0"/>
    <xf numFmtId="214" fontId="46" fillId="0" borderId="0" applyFont="0" applyFill="0" applyBorder="0" applyAlignment="0" applyProtection="0"/>
    <xf numFmtId="214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231" fontId="32" fillId="0" borderId="0" applyFont="0" applyFill="0" applyBorder="0" applyAlignment="0" applyProtection="0"/>
    <xf numFmtId="232" fontId="48" fillId="0" borderId="0" applyFont="0" applyFill="0" applyBorder="0" applyAlignment="0" applyProtection="0"/>
    <xf numFmtId="214" fontId="46" fillId="0" borderId="0" applyFont="0" applyFill="0" applyBorder="0" applyAlignment="0" applyProtection="0"/>
    <xf numFmtId="214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231" fontId="32" fillId="0" borderId="0" applyFont="0" applyFill="0" applyBorder="0" applyAlignment="0" applyProtection="0"/>
    <xf numFmtId="232" fontId="48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7" fontId="46" fillId="0" borderId="0" applyFont="0" applyFill="0" applyBorder="0" applyAlignment="0" applyProtection="0"/>
    <xf numFmtId="340" fontId="44" fillId="0" borderId="0" applyFont="0" applyFill="0" applyBorder="0" applyAlignment="0" applyProtection="0"/>
    <xf numFmtId="340" fontId="44" fillId="0" borderId="0" applyFont="0" applyFill="0" applyBorder="0" applyAlignment="0" applyProtection="0"/>
    <xf numFmtId="278" fontId="44" fillId="0" borderId="0" applyFont="0" applyFill="0" applyBorder="0" applyAlignment="0" applyProtection="0"/>
    <xf numFmtId="218" fontId="31" fillId="0" borderId="0" applyFont="0" applyFill="0" applyBorder="0" applyAlignment="0" applyProtection="0"/>
    <xf numFmtId="218" fontId="31" fillId="0" borderId="0" applyFont="0" applyFill="0" applyBorder="0" applyAlignment="0" applyProtection="0"/>
    <xf numFmtId="222" fontId="44" fillId="0" borderId="0" applyFont="0" applyFill="0" applyBorder="0" applyAlignment="0" applyProtection="0"/>
    <xf numFmtId="37" fontId="31" fillId="21" borderId="0" applyFont="0" applyFill="0" applyBorder="0" applyAlignment="0" applyProtection="0"/>
    <xf numFmtId="254" fontId="31" fillId="0" borderId="0" applyFont="0"/>
    <xf numFmtId="254" fontId="31" fillId="0" borderId="0" applyFont="0"/>
    <xf numFmtId="37" fontId="31" fillId="0" borderId="0" applyFont="0"/>
    <xf numFmtId="37" fontId="31" fillId="0" borderId="0" applyFont="0"/>
    <xf numFmtId="37" fontId="31" fillId="0" borderId="0" applyFont="0"/>
    <xf numFmtId="178" fontId="31" fillId="0" borderId="0" applyFont="0"/>
    <xf numFmtId="0" fontId="31" fillId="0" borderId="0" applyFont="0" applyFill="0" applyBorder="0" applyAlignment="0" applyProtection="0"/>
    <xf numFmtId="37" fontId="31" fillId="21" borderId="0" applyFont="0" applyFill="0" applyBorder="0" applyAlignment="0" applyProtection="0"/>
    <xf numFmtId="37" fontId="46" fillId="0" borderId="0" applyFont="0" applyFill="0" applyBorder="0" applyAlignment="0" applyProtection="0"/>
    <xf numFmtId="210" fontId="31" fillId="0" borderId="0" applyFont="0" applyFill="0" applyBorder="0" applyAlignment="0" applyProtection="0"/>
    <xf numFmtId="305" fontId="46" fillId="0" borderId="0" applyFont="0" applyFill="0" applyBorder="0" applyAlignment="0" applyProtection="0"/>
    <xf numFmtId="0" fontId="14" fillId="0" borderId="0"/>
    <xf numFmtId="170" fontId="31" fillId="0" borderId="0" applyFont="0" applyFill="0" applyBorder="0" applyAlignment="0" applyProtection="0"/>
    <xf numFmtId="169" fontId="31" fillId="0" borderId="0" applyFont="0" applyFill="0" applyBorder="0" applyAlignment="0" applyProtection="0"/>
    <xf numFmtId="0" fontId="13" fillId="0" borderId="0"/>
    <xf numFmtId="0" fontId="14" fillId="0" borderId="0"/>
    <xf numFmtId="0" fontId="18" fillId="0" borderId="67" applyNumberFormat="0" applyFont="0" applyFill="0" applyAlignment="0" applyProtection="0"/>
    <xf numFmtId="242" fontId="32" fillId="0" borderId="67" applyFont="0" applyFill="0" applyBorder="0" applyAlignment="0" applyProtection="0">
      <alignment horizontal="right"/>
    </xf>
    <xf numFmtId="242" fontId="31" fillId="0" borderId="67">
      <alignment horizontal="centerContinuous"/>
    </xf>
    <xf numFmtId="218" fontId="46" fillId="0" borderId="67"/>
    <xf numFmtId="0" fontId="89" fillId="0" borderId="67" applyNumberFormat="0" applyFill="0" applyAlignment="0" applyProtection="0"/>
    <xf numFmtId="0" fontId="31" fillId="0" borderId="67" applyNumberFormat="0" applyFont="0" applyFill="0" applyAlignment="0" applyProtection="0"/>
    <xf numFmtId="0" fontId="93" fillId="0" borderId="67" applyNumberFormat="0" applyFont="0" applyFill="0" applyAlignment="0" applyProtection="0"/>
    <xf numFmtId="0" fontId="31" fillId="0" borderId="67" applyNumberFormat="0" applyFill="0" applyBorder="0" applyProtection="0">
      <alignment horizontal="right" vertical="center"/>
    </xf>
    <xf numFmtId="0" fontId="115" fillId="0" borderId="67" applyNumberFormat="0" applyFill="0" applyProtection="0">
      <alignment horizontal="right" wrapText="1"/>
    </xf>
    <xf numFmtId="286" fontId="115" fillId="0" borderId="67"/>
    <xf numFmtId="37" fontId="136" fillId="0" borderId="67">
      <alignment horizontal="right"/>
    </xf>
    <xf numFmtId="176" fontId="46" fillId="44" borderId="67" applyNumberFormat="0"/>
    <xf numFmtId="176" fontId="46" fillId="44" borderId="67" applyNumberFormat="0"/>
    <xf numFmtId="273" fontId="150" fillId="44" borderId="67" applyNumberFormat="0"/>
    <xf numFmtId="303" fontId="46" fillId="44" borderId="67" applyNumberFormat="0"/>
    <xf numFmtId="0" fontId="98" fillId="0" borderId="67" applyFill="0" applyAlignment="0" applyProtection="0">
      <protection locked="0"/>
    </xf>
    <xf numFmtId="14" fontId="115" fillId="0" borderId="67" applyFont="0" applyFill="0" applyBorder="0" applyAlignment="0" applyProtection="0"/>
    <xf numFmtId="310" fontId="31" fillId="31" borderId="67" applyFont="0" applyFill="0" applyBorder="0" applyAlignment="0" applyProtection="0">
      <alignment horizontal="right"/>
    </xf>
    <xf numFmtId="0" fontId="12" fillId="0" borderId="0"/>
    <xf numFmtId="0" fontId="42" fillId="0" borderId="67">
      <alignment horizontal="centerContinuous"/>
    </xf>
    <xf numFmtId="165" fontId="98" fillId="0" borderId="67" applyFill="0">
      <alignment horizontal="right"/>
    </xf>
    <xf numFmtId="39" fontId="214" fillId="0" borderId="67" applyFill="0"/>
    <xf numFmtId="0" fontId="31" fillId="0" borderId="67" applyNumberFormat="0" applyFont="0" applyFill="0" applyAlignment="0" applyProtection="0"/>
    <xf numFmtId="292" fontId="255" fillId="0" borderId="67" applyBorder="0" applyProtection="0">
      <alignment horizontal="right" vertical="center"/>
    </xf>
    <xf numFmtId="0" fontId="256" fillId="34" borderId="67" applyBorder="0" applyProtection="0">
      <alignment horizontal="centerContinuous" vertical="center"/>
    </xf>
    <xf numFmtId="3" fontId="155" fillId="0" borderId="67" applyNumberFormat="0"/>
    <xf numFmtId="169" fontId="14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3" fillId="0" borderId="0"/>
    <xf numFmtId="43" fontId="11" fillId="0" borderId="0" applyFont="0" applyFill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7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7" fillId="26" borderId="0" applyNumberFormat="0" applyBorder="0" applyAlignment="0" applyProtection="0"/>
    <xf numFmtId="0" fontId="16" fillId="24" borderId="0" applyNumberFormat="0" applyBorder="0" applyAlignment="0" applyProtection="0"/>
    <xf numFmtId="0" fontId="16" fillId="27" borderId="0" applyNumberFormat="0" applyBorder="0" applyAlignment="0" applyProtection="0"/>
    <xf numFmtId="0" fontId="17" fillId="25" borderId="0" applyNumberFormat="0" applyBorder="0" applyAlignment="0" applyProtection="0"/>
    <xf numFmtId="0" fontId="16" fillId="22" borderId="0" applyNumberFormat="0" applyBorder="0" applyAlignment="0" applyProtection="0"/>
    <xf numFmtId="0" fontId="16" fillId="25" borderId="0" applyNumberFormat="0" applyBorder="0" applyAlignment="0" applyProtection="0"/>
    <xf numFmtId="0" fontId="17" fillId="25" borderId="0" applyNumberFormat="0" applyBorder="0" applyAlignment="0" applyProtection="0"/>
    <xf numFmtId="0" fontId="16" fillId="28" borderId="0" applyNumberFormat="0" applyBorder="0" applyAlignment="0" applyProtection="0"/>
    <xf numFmtId="0" fontId="16" fillId="22" borderId="0" applyNumberFormat="0" applyBorder="0" applyAlignment="0" applyProtection="0"/>
    <xf numFmtId="0" fontId="17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9" borderId="0" applyNumberFormat="0" applyBorder="0" applyAlignment="0" applyProtection="0"/>
    <xf numFmtId="0" fontId="17" fillId="29" borderId="0" applyNumberFormat="0" applyBorder="0" applyAlignment="0" applyProtection="0"/>
    <xf numFmtId="3" fontId="78" fillId="32" borderId="66" applyNumberFormat="0" applyBorder="0" applyAlignment="0">
      <alignment vertical="center"/>
    </xf>
    <xf numFmtId="250" fontId="47" fillId="0" borderId="65"/>
    <xf numFmtId="207" fontId="31" fillId="0" borderId="65" applyNumberFormat="0" applyFont="0" applyFill="0" applyAlignment="0" applyProtection="0"/>
    <xf numFmtId="0" fontId="92" fillId="0" borderId="34" applyFill="0" applyProtection="0">
      <alignment horizontal="right"/>
    </xf>
    <xf numFmtId="0" fontId="92" fillId="0" borderId="34" applyFill="0" applyProtection="0">
      <alignment horizontal="right"/>
    </xf>
    <xf numFmtId="37" fontId="97" fillId="0" borderId="17" applyFill="0"/>
    <xf numFmtId="0" fontId="20" fillId="12" borderId="2" applyNumberFormat="0" applyAlignment="0" applyProtection="0"/>
    <xf numFmtId="0" fontId="20" fillId="12" borderId="2" applyNumberFormat="0" applyAlignment="0" applyProtection="0"/>
    <xf numFmtId="170" fontId="31" fillId="0" borderId="0" applyFont="0" applyFill="0" applyBorder="0" applyAlignment="0" applyProtection="0"/>
    <xf numFmtId="166" fontId="22" fillId="0" borderId="4">
      <protection locked="0"/>
    </xf>
    <xf numFmtId="166" fontId="22" fillId="0" borderId="4">
      <protection locked="0"/>
    </xf>
    <xf numFmtId="17" fontId="137" fillId="0" borderId="17" applyFont="0" applyFill="0" applyBorder="0" applyAlignment="0" applyProtection="0"/>
    <xf numFmtId="180" fontId="31" fillId="0" borderId="17" applyFont="0" applyFill="0" applyBorder="0" applyAlignment="0" applyProtection="0">
      <alignment horizontal="center"/>
    </xf>
    <xf numFmtId="233" fontId="31" fillId="0" borderId="17" applyFont="0" applyFill="0" applyBorder="0" applyAlignment="0" applyProtection="0">
      <alignment horizontal="center"/>
    </xf>
    <xf numFmtId="220" fontId="31" fillId="43" borderId="70">
      <alignment horizontal="left"/>
    </xf>
    <xf numFmtId="0" fontId="135" fillId="18" borderId="42"/>
    <xf numFmtId="175" fontId="31" fillId="0" borderId="16" applyFont="0" applyFill="0" applyBorder="0" applyAlignment="0" applyProtection="0"/>
    <xf numFmtId="0" fontId="97" fillId="0" borderId="15">
      <alignment horizontal="left" vertical="center"/>
    </xf>
    <xf numFmtId="0" fontId="31" fillId="0" borderId="70">
      <alignment horizontal="left" vertical="top"/>
    </xf>
    <xf numFmtId="0" fontId="31" fillId="0" borderId="70">
      <alignment horizontal="left" vertical="top"/>
    </xf>
    <xf numFmtId="0" fontId="28" fillId="4" borderId="2" applyNumberFormat="0" applyAlignment="0" applyProtection="0"/>
    <xf numFmtId="0" fontId="28" fillId="4" borderId="2" applyNumberFormat="0" applyAlignment="0" applyProtection="0"/>
    <xf numFmtId="0" fontId="28" fillId="4" borderId="2" applyNumberFormat="0" applyAlignment="0" applyProtection="0"/>
    <xf numFmtId="346" fontId="135" fillId="31" borderId="69"/>
    <xf numFmtId="0" fontId="172" fillId="47" borderId="48">
      <alignment horizontal="left" vertical="center" wrapText="1"/>
    </xf>
    <xf numFmtId="0" fontId="172" fillId="47" borderId="48">
      <alignment horizontal="left" vertical="center" wrapText="1"/>
    </xf>
    <xf numFmtId="0" fontId="11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38" fontId="78" fillId="0" borderId="69"/>
    <xf numFmtId="0" fontId="31" fillId="15" borderId="10" applyNumberFormat="0" applyFont="0" applyAlignment="0" applyProtection="0"/>
    <xf numFmtId="0" fontId="31" fillId="15" borderId="10" applyNumberFormat="0" applyFont="0" applyAlignment="0" applyProtection="0"/>
    <xf numFmtId="37" fontId="46" fillId="0" borderId="66"/>
    <xf numFmtId="0" fontId="34" fillId="12" borderId="12" applyNumberFormat="0" applyAlignment="0" applyProtection="0"/>
    <xf numFmtId="37" fontId="97" fillId="0" borderId="69">
      <alignment horizontal="left"/>
    </xf>
    <xf numFmtId="14" fontId="84" fillId="18" borderId="70"/>
    <xf numFmtId="37" fontId="97" fillId="0" borderId="69">
      <alignment horizontal="left"/>
    </xf>
    <xf numFmtId="4" fontId="221" fillId="18" borderId="55" applyNumberFormat="0" applyProtection="0">
      <alignment vertical="center"/>
    </xf>
    <xf numFmtId="4" fontId="222" fillId="18" borderId="55" applyNumberFormat="0" applyProtection="0">
      <alignment vertical="center"/>
    </xf>
    <xf numFmtId="4" fontId="223" fillId="18" borderId="55" applyNumberFormat="0" applyProtection="0">
      <alignment horizontal="left" vertical="center" indent="1"/>
    </xf>
    <xf numFmtId="4" fontId="223" fillId="53" borderId="55" applyNumberFormat="0" applyProtection="0">
      <alignment horizontal="right" vertical="center"/>
    </xf>
    <xf numFmtId="4" fontId="223" fillId="57" borderId="55" applyNumberFormat="0" applyProtection="0">
      <alignment horizontal="right" vertical="center"/>
    </xf>
    <xf numFmtId="4" fontId="223" fillId="58" borderId="55" applyNumberFormat="0" applyProtection="0">
      <alignment horizontal="right" vertical="center"/>
    </xf>
    <xf numFmtId="4" fontId="223" fillId="38" borderId="55" applyNumberFormat="0" applyProtection="0">
      <alignment horizontal="right" vertical="center"/>
    </xf>
    <xf numFmtId="4" fontId="223" fillId="59" borderId="55" applyNumberFormat="0" applyProtection="0">
      <alignment horizontal="right" vertical="center"/>
    </xf>
    <xf numFmtId="4" fontId="223" fillId="20" borderId="55" applyNumberFormat="0" applyProtection="0">
      <alignment horizontal="right" vertical="center"/>
    </xf>
    <xf numFmtId="4" fontId="223" fillId="60" borderId="55" applyNumberFormat="0" applyProtection="0">
      <alignment horizontal="right" vertical="center"/>
    </xf>
    <xf numFmtId="4" fontId="223" fillId="61" borderId="55" applyNumberFormat="0" applyProtection="0">
      <alignment horizontal="right" vertical="center"/>
    </xf>
    <xf numFmtId="4" fontId="223" fillId="62" borderId="55" applyNumberFormat="0" applyProtection="0">
      <alignment horizontal="right" vertical="center"/>
    </xf>
    <xf numFmtId="4" fontId="223" fillId="30" borderId="55" applyNumberFormat="0" applyProtection="0">
      <alignment horizontal="right" vertical="center"/>
    </xf>
    <xf numFmtId="4" fontId="223" fillId="37" borderId="55" applyNumberFormat="0" applyProtection="0">
      <alignment vertical="center"/>
    </xf>
    <xf numFmtId="4" fontId="224" fillId="37" borderId="55" applyNumberFormat="0" applyProtection="0">
      <alignment vertical="center"/>
    </xf>
    <xf numFmtId="4" fontId="221" fillId="30" borderId="57" applyNumberFormat="0" applyProtection="0">
      <alignment horizontal="left" vertical="center" indent="1"/>
    </xf>
    <xf numFmtId="4" fontId="223" fillId="37" borderId="55" applyNumberFormat="0" applyProtection="0">
      <alignment horizontal="right" vertical="center"/>
    </xf>
    <xf numFmtId="4" fontId="224" fillId="37" borderId="55" applyNumberFormat="0" applyProtection="0">
      <alignment horizontal="right" vertical="center"/>
    </xf>
    <xf numFmtId="4" fontId="221" fillId="30" borderId="55" applyNumberFormat="0" applyProtection="0">
      <alignment horizontal="left" vertical="center" indent="1"/>
    </xf>
    <xf numFmtId="4" fontId="225" fillId="64" borderId="57" applyNumberFormat="0" applyProtection="0">
      <alignment horizontal="left" vertical="center" indent="1"/>
    </xf>
    <xf numFmtId="4" fontId="226" fillId="37" borderId="55" applyNumberFormat="0" applyProtection="0">
      <alignment horizontal="right" vertical="center"/>
    </xf>
    <xf numFmtId="0" fontId="220" fillId="1" borderId="69" applyNumberFormat="0" applyFont="0" applyAlignment="0">
      <alignment horizontal="center"/>
    </xf>
    <xf numFmtId="0" fontId="142" fillId="0" borderId="70" applyFill="0" applyBorder="0" applyProtection="0">
      <alignment horizontal="left" vertical="top"/>
    </xf>
    <xf numFmtId="0" fontId="281" fillId="0" borderId="70" applyFill="0" applyBorder="0" applyProtection="0"/>
    <xf numFmtId="1" fontId="31" fillId="0" borderId="69" applyFill="0" applyBorder="0" applyProtection="0">
      <alignment horizontal="right"/>
    </xf>
    <xf numFmtId="0" fontId="155" fillId="0" borderId="69">
      <alignment horizontal="right" wrapText="1"/>
    </xf>
    <xf numFmtId="37" fontId="43" fillId="0" borderId="65" applyNumberFormat="0" applyFont="0" applyFill="0" applyAlignment="0"/>
    <xf numFmtId="0" fontId="36" fillId="0" borderId="13" applyNumberFormat="0" applyFill="0" applyAlignment="0" applyProtection="0"/>
    <xf numFmtId="0" fontId="281" fillId="0" borderId="69"/>
    <xf numFmtId="0" fontId="10" fillId="0" borderId="0"/>
    <xf numFmtId="170" fontId="10" fillId="0" borderId="0" applyFont="0" applyFill="0" applyBorder="0" applyAlignment="0" applyProtection="0"/>
    <xf numFmtId="0" fontId="291" fillId="0" borderId="0"/>
    <xf numFmtId="0" fontId="31" fillId="0" borderId="0"/>
    <xf numFmtId="0" fontId="9" fillId="0" borderId="0"/>
    <xf numFmtId="170" fontId="9" fillId="0" borderId="0" applyFont="0" applyFill="0" applyBorder="0" applyAlignment="0" applyProtection="0"/>
    <xf numFmtId="0" fontId="292" fillId="0" borderId="0"/>
    <xf numFmtId="0" fontId="31" fillId="0" borderId="0"/>
    <xf numFmtId="0" fontId="8" fillId="0" borderId="0"/>
    <xf numFmtId="0" fontId="7" fillId="0" borderId="0"/>
    <xf numFmtId="0" fontId="31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9" fontId="301" fillId="0" borderId="0" applyFont="0" applyFill="0" applyBorder="0" applyAlignment="0" applyProtection="0"/>
    <xf numFmtId="0" fontId="6" fillId="0" borderId="0"/>
    <xf numFmtId="16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4" fillId="0" borderId="0"/>
    <xf numFmtId="17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5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435">
    <xf numFmtId="0" fontId="0" fillId="0" borderId="0" xfId="0"/>
    <xf numFmtId="0" fontId="0" fillId="0" borderId="0" xfId="0" applyAlignment="1">
      <alignment vertical="center"/>
    </xf>
    <xf numFmtId="0" fontId="14" fillId="0" borderId="0" xfId="0" applyFont="1"/>
    <xf numFmtId="173" fontId="0" fillId="0" borderId="0" xfId="13" applyNumberFormat="1" applyFont="1"/>
    <xf numFmtId="173" fontId="38" fillId="0" borderId="0" xfId="13" applyNumberFormat="1" applyFont="1"/>
    <xf numFmtId="173" fontId="0" fillId="0" borderId="0" xfId="13" applyNumberFormat="1" applyFont="1" applyAlignment="1">
      <alignment vertical="center"/>
    </xf>
    <xf numFmtId="0" fontId="14" fillId="73" borderId="0" xfId="2468" applyFill="1" applyAlignment="1">
      <alignment vertical="center"/>
    </xf>
    <xf numFmtId="0" fontId="14" fillId="73" borderId="0" xfId="2468" applyFill="1" applyAlignment="1">
      <alignment horizontal="center" vertical="center"/>
    </xf>
    <xf numFmtId="0" fontId="38" fillId="73" borderId="0" xfId="2468" applyFont="1" applyFill="1" applyAlignment="1">
      <alignment vertical="center"/>
    </xf>
    <xf numFmtId="173" fontId="14" fillId="0" borderId="0" xfId="13" applyNumberFormat="1" applyAlignment="1">
      <alignment vertical="center"/>
    </xf>
    <xf numFmtId="173" fontId="14" fillId="0" borderId="0" xfId="13" applyNumberFormat="1"/>
    <xf numFmtId="173" fontId="39" fillId="0" borderId="0" xfId="13" applyNumberFormat="1" applyFont="1" applyAlignment="1">
      <alignment vertical="center"/>
    </xf>
    <xf numFmtId="170" fontId="277" fillId="0" borderId="0" xfId="13" applyFont="1" applyAlignment="1">
      <alignment vertical="center"/>
    </xf>
    <xf numFmtId="0" fontId="276" fillId="0" borderId="0" xfId="0" applyFont="1" applyAlignment="1">
      <alignment vertical="center"/>
    </xf>
    <xf numFmtId="0" fontId="277" fillId="0" borderId="0" xfId="0" applyFont="1"/>
    <xf numFmtId="170" fontId="276" fillId="0" borderId="0" xfId="0" applyNumberFormat="1" applyFont="1" applyAlignment="1">
      <alignment vertical="center"/>
    </xf>
    <xf numFmtId="49" fontId="276" fillId="17" borderId="0" xfId="0" applyNumberFormat="1" applyFont="1" applyFill="1" applyAlignment="1">
      <alignment horizontal="center" vertical="center"/>
    </xf>
    <xf numFmtId="49" fontId="276" fillId="0" borderId="0" xfId="0" applyNumberFormat="1" applyFont="1" applyAlignment="1">
      <alignment horizontal="center" vertical="center"/>
    </xf>
    <xf numFmtId="0" fontId="278" fillId="0" borderId="0" xfId="0" applyFont="1" applyAlignment="1">
      <alignment horizontal="left" vertical="center"/>
    </xf>
    <xf numFmtId="0" fontId="276" fillId="17" borderId="0" xfId="0" applyFont="1" applyFill="1" applyAlignment="1">
      <alignment horizontal="center" vertical="center"/>
    </xf>
    <xf numFmtId="0" fontId="276" fillId="0" borderId="0" xfId="0" applyFont="1" applyAlignment="1">
      <alignment horizontal="center" vertical="center"/>
    </xf>
    <xf numFmtId="0" fontId="276" fillId="16" borderId="14" xfId="0" applyFont="1" applyFill="1" applyBorder="1" applyAlignment="1">
      <alignment vertical="center"/>
    </xf>
    <xf numFmtId="0" fontId="276" fillId="16" borderId="15" xfId="0" applyFont="1" applyFill="1" applyBorder="1" applyAlignment="1">
      <alignment horizontal="center" vertical="center"/>
    </xf>
    <xf numFmtId="0" fontId="277" fillId="0" borderId="0" xfId="0" applyFont="1" applyAlignment="1">
      <alignment horizontal="center" vertical="center"/>
    </xf>
    <xf numFmtId="173" fontId="277" fillId="0" borderId="0" xfId="13" applyNumberFormat="1" applyFont="1" applyAlignment="1">
      <alignment vertical="center"/>
    </xf>
    <xf numFmtId="9" fontId="277" fillId="0" borderId="0" xfId="31" applyFont="1" applyAlignment="1">
      <alignment vertical="center"/>
    </xf>
    <xf numFmtId="173" fontId="276" fillId="0" borderId="0" xfId="13" applyNumberFormat="1" applyFont="1" applyAlignment="1">
      <alignment vertical="center"/>
    </xf>
    <xf numFmtId="173" fontId="277" fillId="0" borderId="0" xfId="13" applyNumberFormat="1" applyFont="1"/>
    <xf numFmtId="0" fontId="277" fillId="0" borderId="0" xfId="0" applyFont="1" applyAlignment="1">
      <alignment horizontal="left" vertical="center" indent="1"/>
    </xf>
    <xf numFmtId="173" fontId="277" fillId="0" borderId="1" xfId="13" applyNumberFormat="1" applyFont="1" applyBorder="1" applyAlignment="1">
      <alignment vertical="center"/>
    </xf>
    <xf numFmtId="0" fontId="277" fillId="0" borderId="0" xfId="0" applyFont="1" applyAlignment="1">
      <alignment horizontal="left" vertical="center" indent="2"/>
    </xf>
    <xf numFmtId="170" fontId="276" fillId="0" borderId="0" xfId="13" applyFont="1" applyAlignment="1">
      <alignment vertical="center"/>
    </xf>
    <xf numFmtId="0" fontId="277" fillId="0" borderId="0" xfId="0" applyFont="1" applyAlignment="1">
      <alignment vertical="center"/>
    </xf>
    <xf numFmtId="0" fontId="276" fillId="0" borderId="0" xfId="0" applyFont="1" applyAlignment="1">
      <alignment horizontal="left" vertical="center"/>
    </xf>
    <xf numFmtId="0" fontId="276" fillId="0" borderId="24" xfId="0" applyFont="1" applyBorder="1" applyAlignment="1">
      <alignment horizontal="left" vertical="center" indent="1"/>
    </xf>
    <xf numFmtId="0" fontId="276" fillId="0" borderId="24" xfId="0" applyFont="1" applyBorder="1" applyAlignment="1">
      <alignment horizontal="center" vertical="center"/>
    </xf>
    <xf numFmtId="173" fontId="277" fillId="0" borderId="24" xfId="13" applyNumberFormat="1" applyFont="1" applyBorder="1" applyAlignment="1">
      <alignment vertical="center"/>
    </xf>
    <xf numFmtId="173" fontId="276" fillId="0" borderId="27" xfId="13" applyNumberFormat="1" applyFont="1" applyBorder="1" applyAlignment="1">
      <alignment vertical="center"/>
    </xf>
    <xf numFmtId="173" fontId="276" fillId="0" borderId="0" xfId="13" applyNumberFormat="1" applyFont="1"/>
    <xf numFmtId="173" fontId="276" fillId="0" borderId="17" xfId="13" applyNumberFormat="1" applyFont="1" applyBorder="1" applyAlignment="1">
      <alignment vertical="center"/>
    </xf>
    <xf numFmtId="173" fontId="276" fillId="0" borderId="65" xfId="13" applyNumberFormat="1" applyFont="1" applyBorder="1" applyAlignment="1">
      <alignment vertical="center"/>
    </xf>
    <xf numFmtId="0" fontId="276" fillId="0" borderId="0" xfId="0" applyFont="1" applyAlignment="1">
      <alignment horizontal="left" vertical="center" indent="1"/>
    </xf>
    <xf numFmtId="173" fontId="279" fillId="0" borderId="0" xfId="13" applyNumberFormat="1" applyFont="1" applyAlignment="1">
      <alignment vertical="center"/>
    </xf>
    <xf numFmtId="173" fontId="277" fillId="0" borderId="65" xfId="13" applyNumberFormat="1" applyFont="1" applyBorder="1" applyAlignment="1">
      <alignment vertical="center"/>
    </xf>
    <xf numFmtId="0" fontId="277" fillId="0" borderId="0" xfId="0" applyFont="1" applyAlignment="1">
      <alignment horizontal="left" vertical="center" indent="3"/>
    </xf>
    <xf numFmtId="0" fontId="277" fillId="73" borderId="0" xfId="2468" applyFont="1" applyFill="1" applyAlignment="1">
      <alignment vertical="center"/>
    </xf>
    <xf numFmtId="0" fontId="277" fillId="73" borderId="0" xfId="2468" applyFont="1" applyFill="1" applyAlignment="1">
      <alignment horizontal="center" vertical="center"/>
    </xf>
    <xf numFmtId="0" fontId="276" fillId="73" borderId="0" xfId="2468" applyFont="1" applyFill="1" applyAlignment="1">
      <alignment vertical="center"/>
    </xf>
    <xf numFmtId="0" fontId="276" fillId="73" borderId="0" xfId="2468" applyFont="1" applyFill="1" applyAlignment="1">
      <alignment horizontal="center" vertical="center"/>
    </xf>
    <xf numFmtId="173" fontId="280" fillId="0" borderId="0" xfId="13" applyNumberFormat="1" applyFont="1" applyAlignment="1">
      <alignment vertical="center"/>
    </xf>
    <xf numFmtId="173" fontId="282" fillId="0" borderId="0" xfId="13" applyNumberFormat="1" applyFont="1" applyAlignment="1">
      <alignment vertical="center"/>
    </xf>
    <xf numFmtId="9" fontId="276" fillId="0" borderId="67" xfId="0" applyNumberFormat="1" applyFont="1" applyBorder="1" applyAlignment="1">
      <alignment horizontal="center" vertical="center"/>
    </xf>
    <xf numFmtId="173" fontId="285" fillId="0" borderId="0" xfId="13" applyNumberFormat="1" applyFont="1" applyAlignment="1">
      <alignment vertical="center"/>
    </xf>
    <xf numFmtId="173" fontId="286" fillId="0" borderId="0" xfId="13" applyNumberFormat="1" applyFont="1" applyAlignment="1">
      <alignment vertical="center"/>
    </xf>
    <xf numFmtId="9" fontId="0" fillId="0" borderId="0" xfId="0" applyNumberFormat="1"/>
    <xf numFmtId="15" fontId="0" fillId="0" borderId="0" xfId="0" applyNumberFormat="1"/>
    <xf numFmtId="0" fontId="287" fillId="73" borderId="65" xfId="0" applyFont="1" applyFill="1" applyBorder="1"/>
    <xf numFmtId="0" fontId="287" fillId="73" borderId="70" xfId="0" applyFont="1" applyFill="1" applyBorder="1"/>
    <xf numFmtId="0" fontId="287" fillId="73" borderId="0" xfId="0" applyFont="1" applyFill="1"/>
    <xf numFmtId="0" fontId="288" fillId="0" borderId="0" xfId="0" applyFont="1"/>
    <xf numFmtId="0" fontId="276" fillId="76" borderId="14" xfId="0" applyFont="1" applyFill="1" applyBorder="1" applyAlignment="1">
      <alignment vertical="center"/>
    </xf>
    <xf numFmtId="0" fontId="276" fillId="76" borderId="15" xfId="0" applyFont="1" applyFill="1" applyBorder="1" applyAlignment="1">
      <alignment horizontal="center" vertical="center"/>
    </xf>
    <xf numFmtId="170" fontId="276" fillId="0" borderId="17" xfId="13" applyFont="1" applyBorder="1" applyAlignment="1">
      <alignment vertical="center"/>
    </xf>
    <xf numFmtId="173" fontId="277" fillId="0" borderId="67" xfId="13" applyNumberFormat="1" applyFont="1" applyBorder="1" applyAlignment="1">
      <alignment vertical="center"/>
    </xf>
    <xf numFmtId="0" fontId="279" fillId="0" borderId="0" xfId="0" applyFont="1" applyAlignment="1">
      <alignment horizontal="center" vertical="center"/>
    </xf>
    <xf numFmtId="170" fontId="280" fillId="0" borderId="0" xfId="13" applyFont="1" applyAlignment="1">
      <alignment vertical="center"/>
    </xf>
    <xf numFmtId="0" fontId="276" fillId="76" borderId="17" xfId="0" applyFont="1" applyFill="1" applyBorder="1" applyAlignment="1">
      <alignment horizontal="center" vertical="center"/>
    </xf>
    <xf numFmtId="0" fontId="279" fillId="0" borderId="0" xfId="0" applyFont="1" applyAlignment="1">
      <alignment horizontal="left" vertical="center" indent="1"/>
    </xf>
    <xf numFmtId="0" fontId="38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2"/>
    </xf>
    <xf numFmtId="0" fontId="38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indent="2"/>
    </xf>
    <xf numFmtId="0" fontId="277" fillId="0" borderId="71" xfId="0" applyFont="1" applyBorder="1" applyAlignment="1">
      <alignment horizontal="center" vertical="center"/>
    </xf>
    <xf numFmtId="173" fontId="277" fillId="0" borderId="71" xfId="13" applyNumberFormat="1" applyFont="1" applyBorder="1" applyAlignment="1">
      <alignment vertical="center"/>
    </xf>
    <xf numFmtId="0" fontId="289" fillId="73" borderId="72" xfId="0" applyFont="1" applyFill="1" applyBorder="1" applyAlignment="1">
      <alignment vertical="center"/>
    </xf>
    <xf numFmtId="0" fontId="289" fillId="73" borderId="69" xfId="0" applyFont="1" applyFill="1" applyBorder="1" applyAlignment="1">
      <alignment vertical="center"/>
    </xf>
    <xf numFmtId="0" fontId="287" fillId="73" borderId="70" xfId="0" applyFont="1" applyFill="1" applyBorder="1" applyAlignment="1">
      <alignment vertical="center"/>
    </xf>
    <xf numFmtId="177" fontId="287" fillId="73" borderId="70" xfId="0" applyNumberFormat="1" applyFont="1" applyFill="1" applyBorder="1" applyAlignment="1">
      <alignment vertical="center"/>
    </xf>
    <xf numFmtId="0" fontId="287" fillId="75" borderId="70" xfId="0" applyFont="1" applyFill="1" applyBorder="1"/>
    <xf numFmtId="0" fontId="287" fillId="75" borderId="0" xfId="0" applyFont="1" applyFill="1"/>
    <xf numFmtId="175" fontId="287" fillId="75" borderId="20" xfId="0" applyNumberFormat="1" applyFont="1" applyFill="1" applyBorder="1" applyAlignment="1">
      <alignment horizontal="right"/>
    </xf>
    <xf numFmtId="180" fontId="0" fillId="0" borderId="0" xfId="0" applyNumberFormat="1"/>
    <xf numFmtId="0" fontId="289" fillId="73" borderId="65" xfId="0" applyFont="1" applyFill="1" applyBorder="1" applyAlignment="1">
      <alignment horizontal="right"/>
    </xf>
    <xf numFmtId="9" fontId="0" fillId="0" borderId="0" xfId="31" applyFont="1"/>
    <xf numFmtId="0" fontId="0" fillId="0" borderId="0" xfId="0" quotePrefix="1"/>
    <xf numFmtId="179" fontId="0" fillId="0" borderId="0" xfId="0" applyNumberFormat="1"/>
    <xf numFmtId="2" fontId="0" fillId="0" borderId="0" xfId="31" applyNumberFormat="1" applyFont="1"/>
    <xf numFmtId="0" fontId="276" fillId="74" borderId="0" xfId="2468" applyFont="1" applyFill="1" applyAlignment="1">
      <alignment horizontal="center" vertical="center"/>
    </xf>
    <xf numFmtId="4" fontId="14" fillId="73" borderId="0" xfId="0" applyNumberFormat="1" applyFont="1" applyFill="1"/>
    <xf numFmtId="3" fontId="14" fillId="73" borderId="0" xfId="0" applyNumberFormat="1" applyFont="1" applyFill="1"/>
    <xf numFmtId="0" fontId="277" fillId="0" borderId="71" xfId="0" applyFont="1" applyBorder="1" applyAlignment="1">
      <alignment vertical="center"/>
    </xf>
    <xf numFmtId="170" fontId="285" fillId="0" borderId="0" xfId="13" applyFont="1" applyAlignment="1">
      <alignment vertical="center"/>
    </xf>
    <xf numFmtId="0" fontId="78" fillId="0" borderId="0" xfId="2600" applyFont="1"/>
    <xf numFmtId="0" fontId="31" fillId="0" borderId="0" xfId="2600"/>
    <xf numFmtId="0" fontId="293" fillId="0" borderId="0" xfId="2600" applyFont="1"/>
    <xf numFmtId="179" fontId="31" fillId="0" borderId="0" xfId="2600" applyNumberFormat="1"/>
    <xf numFmtId="0" fontId="31" fillId="30" borderId="0" xfId="2600" applyFill="1"/>
    <xf numFmtId="0" fontId="54" fillId="0" borderId="0" xfId="2600" applyFont="1"/>
    <xf numFmtId="0" fontId="54" fillId="0" borderId="0" xfId="2600" applyFont="1" applyAlignment="1">
      <alignment horizontal="right"/>
    </xf>
    <xf numFmtId="183" fontId="294" fillId="0" borderId="0" xfId="2600" applyNumberFormat="1" applyFont="1"/>
    <xf numFmtId="2" fontId="294" fillId="0" borderId="0" xfId="2600" applyNumberFormat="1" applyFont="1"/>
    <xf numFmtId="4" fontId="294" fillId="0" borderId="0" xfId="2600" applyNumberFormat="1" applyFont="1"/>
    <xf numFmtId="2" fontId="110" fillId="0" borderId="0" xfId="2600" applyNumberFormat="1" applyFont="1"/>
    <xf numFmtId="178" fontId="110" fillId="0" borderId="0" xfId="2600" applyNumberFormat="1" applyFont="1"/>
    <xf numFmtId="2" fontId="31" fillId="0" borderId="0" xfId="2600" applyNumberFormat="1"/>
    <xf numFmtId="178" fontId="294" fillId="0" borderId="0" xfId="2600" applyNumberFormat="1" applyFont="1"/>
    <xf numFmtId="4" fontId="297" fillId="0" borderId="0" xfId="2596" applyNumberFormat="1" applyFont="1"/>
    <xf numFmtId="2" fontId="295" fillId="0" borderId="0" xfId="2600" applyNumberFormat="1" applyFont="1"/>
    <xf numFmtId="4" fontId="295" fillId="0" borderId="0" xfId="2600" applyNumberFormat="1" applyFont="1"/>
    <xf numFmtId="2" fontId="296" fillId="0" borderId="0" xfId="2600" applyNumberFormat="1" applyFont="1"/>
    <xf numFmtId="4" fontId="296" fillId="0" borderId="0" xfId="2600" applyNumberFormat="1" applyFont="1"/>
    <xf numFmtId="1" fontId="294" fillId="0" borderId="0" xfId="2600" applyNumberFormat="1" applyFont="1"/>
    <xf numFmtId="2" fontId="298" fillId="0" borderId="0" xfId="2600" applyNumberFormat="1" applyFont="1"/>
    <xf numFmtId="2" fontId="299" fillId="0" borderId="0" xfId="2600" applyNumberFormat="1" applyFont="1"/>
    <xf numFmtId="2" fontId="174" fillId="0" borderId="0" xfId="2600" applyNumberFormat="1" applyFont="1"/>
    <xf numFmtId="348" fontId="294" fillId="0" borderId="0" xfId="2600" applyNumberFormat="1" applyFont="1"/>
    <xf numFmtId="178" fontId="244" fillId="0" borderId="0" xfId="2600" applyNumberFormat="1" applyFont="1"/>
    <xf numFmtId="178" fontId="31" fillId="0" borderId="0" xfId="2600" applyNumberFormat="1"/>
    <xf numFmtId="10" fontId="294" fillId="0" borderId="0" xfId="32" applyNumberFormat="1" applyFont="1"/>
    <xf numFmtId="10" fontId="31" fillId="0" borderId="0" xfId="32" applyNumberFormat="1"/>
    <xf numFmtId="0" fontId="31" fillId="0" borderId="0" xfId="2600" applyAlignment="1">
      <alignment wrapText="1"/>
    </xf>
    <xf numFmtId="0" fontId="54" fillId="0" borderId="0" xfId="2600" applyFont="1" applyAlignment="1">
      <alignment wrapText="1"/>
    </xf>
    <xf numFmtId="9" fontId="54" fillId="0" borderId="0" xfId="2600" applyNumberFormat="1" applyFont="1" applyAlignment="1">
      <alignment wrapText="1"/>
    </xf>
    <xf numFmtId="9" fontId="0" fillId="0" borderId="0" xfId="32" applyFont="1" applyAlignment="1">
      <alignment wrapText="1"/>
    </xf>
    <xf numFmtId="9" fontId="208" fillId="0" borderId="0" xfId="32" applyFont="1" applyAlignment="1">
      <alignment wrapText="1"/>
    </xf>
    <xf numFmtId="180" fontId="208" fillId="0" borderId="0" xfId="2600" applyNumberFormat="1" applyFont="1" applyAlignment="1">
      <alignment wrapText="1"/>
    </xf>
    <xf numFmtId="179" fontId="208" fillId="0" borderId="0" xfId="2600" applyNumberFormat="1" applyFont="1" applyAlignment="1">
      <alignment wrapText="1"/>
    </xf>
    <xf numFmtId="2" fontId="208" fillId="0" borderId="0" xfId="2600" applyNumberFormat="1" applyFont="1" applyAlignment="1">
      <alignment wrapText="1"/>
    </xf>
    <xf numFmtId="10" fontId="208" fillId="0" borderId="0" xfId="32" applyNumberFormat="1" applyFont="1" applyAlignment="1">
      <alignment wrapText="1"/>
    </xf>
    <xf numFmtId="0" fontId="115" fillId="0" borderId="0" xfId="2600" applyFont="1" applyAlignment="1">
      <alignment horizontal="right" wrapText="1"/>
    </xf>
    <xf numFmtId="199" fontId="31" fillId="0" borderId="0" xfId="2600" applyNumberFormat="1" applyAlignment="1">
      <alignment wrapText="1"/>
    </xf>
    <xf numFmtId="169" fontId="208" fillId="0" borderId="0" xfId="2470" applyFont="1" applyAlignment="1">
      <alignment wrapText="1"/>
    </xf>
    <xf numFmtId="180" fontId="300" fillId="0" borderId="38" xfId="2600" applyNumberFormat="1" applyFont="1" applyBorder="1" applyAlignment="1">
      <alignment horizontal="right"/>
    </xf>
    <xf numFmtId="178" fontId="208" fillId="0" borderId="0" xfId="2600" applyNumberFormat="1" applyFont="1"/>
    <xf numFmtId="179" fontId="300" fillId="0" borderId="0" xfId="2600" applyNumberFormat="1" applyFont="1"/>
    <xf numFmtId="345" fontId="285" fillId="73" borderId="0" xfId="0" applyNumberFormat="1" applyFont="1" applyFill="1"/>
    <xf numFmtId="4" fontId="285" fillId="73" borderId="0" xfId="0" applyNumberFormat="1" applyFont="1" applyFill="1"/>
    <xf numFmtId="2" fontId="285" fillId="73" borderId="0" xfId="2468" applyNumberFormat="1" applyFont="1" applyFill="1" applyAlignment="1">
      <alignment vertical="center"/>
    </xf>
    <xf numFmtId="9" fontId="285" fillId="0" borderId="0" xfId="31" applyFont="1" applyAlignment="1">
      <alignment vertical="center"/>
    </xf>
    <xf numFmtId="177" fontId="287" fillId="73" borderId="68" xfId="0" applyNumberFormat="1" applyFont="1" applyFill="1" applyBorder="1" applyAlignment="1">
      <alignment vertical="center"/>
    </xf>
    <xf numFmtId="0" fontId="289" fillId="73" borderId="69" xfId="0" applyFont="1" applyFill="1" applyBorder="1" applyAlignment="1">
      <alignment horizontal="right"/>
    </xf>
    <xf numFmtId="0" fontId="290" fillId="73" borderId="66" xfId="0" applyFont="1" applyFill="1" applyBorder="1" applyAlignment="1">
      <alignment vertical="center"/>
    </xf>
    <xf numFmtId="175" fontId="287" fillId="75" borderId="0" xfId="0" applyNumberFormat="1" applyFont="1" applyFill="1" applyAlignment="1">
      <alignment horizontal="right"/>
    </xf>
    <xf numFmtId="9" fontId="276" fillId="0" borderId="0" xfId="0" applyNumberFormat="1" applyFont="1" applyAlignment="1">
      <alignment horizontal="center" vertical="center"/>
    </xf>
    <xf numFmtId="0" fontId="276" fillId="76" borderId="65" xfId="0" applyFont="1" applyFill="1" applyBorder="1" applyAlignment="1">
      <alignment horizontal="center" vertical="center"/>
    </xf>
    <xf numFmtId="0" fontId="276" fillId="76" borderId="69" xfId="0" applyFont="1" applyFill="1" applyBorder="1" applyAlignment="1">
      <alignment horizontal="center" vertical="center"/>
    </xf>
    <xf numFmtId="0" fontId="276" fillId="16" borderId="69" xfId="0" applyFont="1" applyFill="1" applyBorder="1" applyAlignment="1">
      <alignment horizontal="center" vertical="center"/>
    </xf>
    <xf numFmtId="0" fontId="31" fillId="73" borderId="0" xfId="2596" applyFill="1" applyAlignment="1">
      <alignment horizontal="left"/>
    </xf>
    <xf numFmtId="172" fontId="277" fillId="0" borderId="0" xfId="13" applyNumberFormat="1" applyFont="1" applyAlignment="1">
      <alignment vertical="center"/>
    </xf>
    <xf numFmtId="181" fontId="277" fillId="0" borderId="0" xfId="13" applyNumberFormat="1" applyFont="1" applyAlignment="1">
      <alignment vertical="center"/>
    </xf>
    <xf numFmtId="170" fontId="277" fillId="73" borderId="0" xfId="13" applyFont="1" applyFill="1" applyAlignment="1">
      <alignment vertical="center"/>
    </xf>
    <xf numFmtId="170" fontId="276" fillId="73" borderId="65" xfId="13" applyFont="1" applyFill="1" applyBorder="1" applyAlignment="1">
      <alignment vertical="center"/>
    </xf>
    <xf numFmtId="9" fontId="14" fillId="0" borderId="0" xfId="31" applyAlignment="1">
      <alignment vertical="center"/>
    </xf>
    <xf numFmtId="173" fontId="277" fillId="75" borderId="65" xfId="13" applyNumberFormat="1" applyFont="1" applyFill="1" applyBorder="1" applyAlignment="1">
      <alignment vertical="center"/>
    </xf>
    <xf numFmtId="173" fontId="277" fillId="75" borderId="0" xfId="13" applyNumberFormat="1" applyFont="1" applyFill="1" applyAlignment="1">
      <alignment vertical="center"/>
    </xf>
    <xf numFmtId="173" fontId="14" fillId="0" borderId="65" xfId="13" applyNumberFormat="1" applyBorder="1" applyAlignment="1">
      <alignment vertical="center"/>
    </xf>
    <xf numFmtId="173" fontId="14" fillId="0" borderId="0" xfId="31" applyNumberFormat="1" applyAlignment="1">
      <alignment vertical="center"/>
    </xf>
    <xf numFmtId="173" fontId="38" fillId="0" borderId="0" xfId="13" applyNumberFormat="1" applyFont="1" applyAlignment="1">
      <alignment vertical="center"/>
    </xf>
    <xf numFmtId="173" fontId="276" fillId="75" borderId="0" xfId="13" applyNumberFormat="1" applyFont="1" applyFill="1" applyAlignment="1">
      <alignment vertical="center"/>
    </xf>
    <xf numFmtId="170" fontId="276" fillId="75" borderId="0" xfId="13" applyFont="1" applyFill="1" applyAlignment="1">
      <alignment vertical="center"/>
    </xf>
    <xf numFmtId="0" fontId="277" fillId="0" borderId="0" xfId="0" applyFont="1" applyAlignment="1">
      <alignment horizontal="left" vertical="center"/>
    </xf>
    <xf numFmtId="43" fontId="277" fillId="0" borderId="0" xfId="13" applyNumberFormat="1" applyFont="1" applyAlignment="1">
      <alignment vertical="center"/>
    </xf>
    <xf numFmtId="0" fontId="0" fillId="75" borderId="0" xfId="0" applyFill="1"/>
    <xf numFmtId="173" fontId="0" fillId="75" borderId="0" xfId="13" applyNumberFormat="1" applyFont="1" applyFill="1"/>
    <xf numFmtId="180" fontId="31" fillId="0" borderId="0" xfId="2600" applyNumberFormat="1"/>
    <xf numFmtId="0" fontId="287" fillId="0" borderId="0" xfId="0" applyFont="1"/>
    <xf numFmtId="264" fontId="277" fillId="0" borderId="0" xfId="13" applyNumberFormat="1" applyFont="1" applyAlignment="1">
      <alignment vertical="center"/>
    </xf>
    <xf numFmtId="9" fontId="286" fillId="0" borderId="0" xfId="31" applyFont="1" applyAlignment="1">
      <alignment vertical="center"/>
    </xf>
    <xf numFmtId="0" fontId="302" fillId="0" borderId="0" xfId="0" applyFont="1"/>
    <xf numFmtId="173" fontId="302" fillId="0" borderId="0" xfId="13" applyNumberFormat="1" applyFont="1"/>
    <xf numFmtId="173" fontId="302" fillId="0" borderId="0" xfId="13" applyNumberFormat="1" applyFont="1" applyAlignment="1">
      <alignment horizontal="center"/>
    </xf>
    <xf numFmtId="173" fontId="303" fillId="0" borderId="0" xfId="13" applyNumberFormat="1" applyFont="1" applyAlignment="1">
      <alignment horizontal="center"/>
    </xf>
    <xf numFmtId="0" fontId="277" fillId="0" borderId="67" xfId="0" applyFont="1" applyBorder="1" applyAlignment="1">
      <alignment horizontal="center" vertical="center"/>
    </xf>
    <xf numFmtId="0" fontId="276" fillId="74" borderId="0" xfId="0" applyFont="1" applyFill="1" applyAlignment="1">
      <alignment horizontal="center" vertical="center"/>
    </xf>
    <xf numFmtId="0" fontId="276" fillId="73" borderId="0" xfId="0" applyFont="1" applyFill="1" applyAlignment="1">
      <alignment vertical="center"/>
    </xf>
    <xf numFmtId="0" fontId="277" fillId="73" borderId="0" xfId="0" applyFont="1" applyFill="1" applyAlignment="1">
      <alignment vertical="center"/>
    </xf>
    <xf numFmtId="173" fontId="284" fillId="73" borderId="75" xfId="13" applyNumberFormat="1" applyFont="1" applyFill="1" applyBorder="1" applyAlignment="1">
      <alignment vertical="center"/>
    </xf>
    <xf numFmtId="0" fontId="276" fillId="73" borderId="75" xfId="0" applyFont="1" applyFill="1" applyBorder="1" applyAlignment="1">
      <alignment vertical="center"/>
    </xf>
    <xf numFmtId="0" fontId="277" fillId="73" borderId="76" xfId="0" applyFont="1" applyFill="1" applyBorder="1" applyAlignment="1">
      <alignment vertical="center"/>
    </xf>
    <xf numFmtId="0" fontId="277" fillId="73" borderId="75" xfId="0" applyFont="1" applyFill="1" applyBorder="1" applyAlignment="1">
      <alignment horizontal="left" vertical="center" indent="1"/>
    </xf>
    <xf numFmtId="173" fontId="0" fillId="0" borderId="75" xfId="13" applyNumberFormat="1" applyFont="1" applyBorder="1" applyAlignment="1">
      <alignment vertical="center"/>
    </xf>
    <xf numFmtId="173" fontId="277" fillId="0" borderId="75" xfId="13" applyNumberFormat="1" applyFont="1" applyBorder="1"/>
    <xf numFmtId="173" fontId="0" fillId="0" borderId="75" xfId="13" applyNumberFormat="1" applyFont="1" applyBorder="1"/>
    <xf numFmtId="172" fontId="14" fillId="0" borderId="65" xfId="13" applyNumberFormat="1" applyBorder="1" applyAlignment="1">
      <alignment vertical="center"/>
    </xf>
    <xf numFmtId="349" fontId="286" fillId="0" borderId="0" xfId="31" applyNumberFormat="1" applyFont="1" applyAlignment="1">
      <alignment vertical="center"/>
    </xf>
    <xf numFmtId="172" fontId="286" fillId="0" borderId="0" xfId="13" applyNumberFormat="1" applyFont="1" applyAlignment="1">
      <alignment vertical="center"/>
    </xf>
    <xf numFmtId="350" fontId="286" fillId="0" borderId="0" xfId="13" applyNumberFormat="1" applyFont="1" applyAlignment="1">
      <alignment vertical="center"/>
    </xf>
    <xf numFmtId="171" fontId="277" fillId="0" borderId="0" xfId="13" applyNumberFormat="1" applyFont="1" applyAlignment="1">
      <alignment vertical="center"/>
    </xf>
    <xf numFmtId="173" fontId="14" fillId="0" borderId="17" xfId="13" applyNumberForma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76" fillId="79" borderId="0" xfId="0" applyFont="1" applyFill="1" applyAlignment="1">
      <alignment horizontal="center" vertical="center"/>
    </xf>
    <xf numFmtId="0" fontId="277" fillId="78" borderId="0" xfId="0" applyFont="1" applyFill="1" applyAlignment="1">
      <alignment vertical="center"/>
    </xf>
    <xf numFmtId="170" fontId="277" fillId="78" borderId="0" xfId="13" applyFont="1" applyFill="1" applyAlignment="1">
      <alignment vertical="center"/>
    </xf>
    <xf numFmtId="170" fontId="276" fillId="78" borderId="0" xfId="13" applyFont="1" applyFill="1" applyAlignment="1">
      <alignment vertical="center"/>
    </xf>
    <xf numFmtId="173" fontId="277" fillId="78" borderId="0" xfId="13" applyNumberFormat="1" applyFont="1" applyFill="1" applyAlignment="1">
      <alignment vertical="center"/>
    </xf>
    <xf numFmtId="173" fontId="276" fillId="75" borderId="65" xfId="13" applyNumberFormat="1" applyFont="1" applyFill="1" applyBorder="1" applyAlignment="1">
      <alignment vertical="center"/>
    </xf>
    <xf numFmtId="0" fontId="304" fillId="73" borderId="0" xfId="0" applyFont="1" applyFill="1"/>
    <xf numFmtId="0" fontId="305" fillId="73" borderId="0" xfId="2596" applyFont="1" applyFill="1" applyAlignment="1">
      <alignment horizontal="left"/>
    </xf>
    <xf numFmtId="0" fontId="306" fillId="73" borderId="0" xfId="2596" applyFont="1" applyFill="1" applyAlignment="1">
      <alignment horizontal="left"/>
    </xf>
    <xf numFmtId="0" fontId="305" fillId="73" borderId="0" xfId="2596" applyFont="1" applyFill="1" applyAlignment="1">
      <alignment horizontal="left" indent="1"/>
    </xf>
    <xf numFmtId="0" fontId="304" fillId="78" borderId="0" xfId="0" applyFont="1" applyFill="1"/>
    <xf numFmtId="0" fontId="13" fillId="73" borderId="0" xfId="0" applyFont="1" applyFill="1" applyAlignment="1">
      <alignment horizontal="left" indent="1"/>
    </xf>
    <xf numFmtId="0" fontId="308" fillId="0" borderId="0" xfId="0" applyFont="1" applyAlignment="1">
      <alignment vertical="center"/>
    </xf>
    <xf numFmtId="0" fontId="308" fillId="0" borderId="0" xfId="0" applyFont="1" applyAlignment="1">
      <alignment horizontal="right" vertical="center"/>
    </xf>
    <xf numFmtId="0" fontId="308" fillId="78" borderId="0" xfId="0" applyFont="1" applyFill="1" applyAlignment="1">
      <alignment vertical="center"/>
    </xf>
    <xf numFmtId="0" fontId="307" fillId="0" borderId="0" xfId="0" applyFont="1" applyAlignment="1">
      <alignment horizontal="right" vertical="center"/>
    </xf>
    <xf numFmtId="173" fontId="305" fillId="0" borderId="0" xfId="13" applyNumberFormat="1" applyFont="1" applyAlignment="1">
      <alignment horizontal="right"/>
    </xf>
    <xf numFmtId="171" fontId="276" fillId="0" borderId="0" xfId="13" applyNumberFormat="1" applyFont="1" applyAlignment="1">
      <alignment vertical="center"/>
    </xf>
    <xf numFmtId="173" fontId="38" fillId="75" borderId="65" xfId="13" applyNumberFormat="1" applyFont="1" applyFill="1" applyBorder="1" applyAlignment="1">
      <alignment vertical="center"/>
    </xf>
    <xf numFmtId="0" fontId="276" fillId="0" borderId="17" xfId="0" applyFont="1" applyBorder="1" applyAlignment="1">
      <alignment horizontal="center" vertical="center"/>
    </xf>
    <xf numFmtId="170" fontId="276" fillId="73" borderId="0" xfId="13" applyFont="1" applyFill="1" applyAlignment="1">
      <alignment vertical="center"/>
    </xf>
    <xf numFmtId="0" fontId="276" fillId="75" borderId="0" xfId="0" applyFont="1" applyFill="1" applyAlignment="1">
      <alignment horizontal="left" vertical="center" indent="1"/>
    </xf>
    <xf numFmtId="0" fontId="277" fillId="75" borderId="0" xfId="0" applyFont="1" applyFill="1" applyAlignment="1">
      <alignment horizontal="center" vertical="center"/>
    </xf>
    <xf numFmtId="173" fontId="0" fillId="75" borderId="0" xfId="13" applyNumberFormat="1" applyFont="1" applyFill="1" applyAlignment="1">
      <alignment vertical="center"/>
    </xf>
    <xf numFmtId="43" fontId="14" fillId="0" borderId="0" xfId="13" applyNumberFormat="1" applyAlignment="1">
      <alignment vertical="center"/>
    </xf>
    <xf numFmtId="3" fontId="14" fillId="0" borderId="0" xfId="13" applyNumberFormat="1" applyAlignment="1">
      <alignment vertical="center"/>
    </xf>
    <xf numFmtId="171" fontId="285" fillId="0" borderId="0" xfId="13" applyNumberFormat="1" applyFont="1" applyAlignment="1">
      <alignment vertical="center"/>
    </xf>
    <xf numFmtId="171" fontId="38" fillId="0" borderId="0" xfId="13" applyNumberFormat="1" applyFont="1" applyAlignment="1">
      <alignment vertical="center"/>
    </xf>
    <xf numFmtId="170" fontId="14" fillId="0" borderId="0" xfId="13" applyAlignment="1">
      <alignment vertical="center"/>
    </xf>
    <xf numFmtId="171" fontId="14" fillId="0" borderId="17" xfId="13" applyNumberFormat="1" applyBorder="1" applyAlignment="1">
      <alignment vertical="center"/>
    </xf>
    <xf numFmtId="9" fontId="14" fillId="0" borderId="67" xfId="31" applyBorder="1" applyAlignment="1">
      <alignment vertical="center"/>
    </xf>
    <xf numFmtId="179" fontId="300" fillId="0" borderId="38" xfId="2600" applyNumberFormat="1" applyFont="1" applyBorder="1" applyAlignment="1">
      <alignment horizontal="right"/>
    </xf>
    <xf numFmtId="351" fontId="276" fillId="80" borderId="11" xfId="2606" applyNumberFormat="1" applyFont="1" applyFill="1" applyBorder="1" applyAlignment="1">
      <alignment vertical="center"/>
    </xf>
    <xf numFmtId="171" fontId="14" fillId="0" borderId="0" xfId="13" applyNumberFormat="1" applyAlignment="1">
      <alignment vertical="center"/>
    </xf>
    <xf numFmtId="170" fontId="286" fillId="0" borderId="0" xfId="13" applyFont="1" applyAlignment="1">
      <alignment vertical="center"/>
    </xf>
    <xf numFmtId="43" fontId="38" fillId="0" borderId="0" xfId="13" applyNumberFormat="1" applyFont="1" applyAlignment="1">
      <alignment vertical="center"/>
    </xf>
    <xf numFmtId="170" fontId="277" fillId="0" borderId="67" xfId="13" applyFont="1" applyBorder="1" applyAlignment="1">
      <alignment vertical="center"/>
    </xf>
    <xf numFmtId="173" fontId="0" fillId="0" borderId="0" xfId="0" applyNumberFormat="1"/>
    <xf numFmtId="175" fontId="287" fillId="73" borderId="0" xfId="0" applyNumberFormat="1" applyFont="1" applyFill="1" applyAlignment="1">
      <alignment horizontal="right"/>
    </xf>
    <xf numFmtId="175" fontId="287" fillId="73" borderId="20" xfId="0" applyNumberFormat="1" applyFont="1" applyFill="1" applyBorder="1" applyAlignment="1">
      <alignment horizontal="right"/>
    </xf>
    <xf numFmtId="0" fontId="287" fillId="73" borderId="67" xfId="0" applyFont="1" applyFill="1" applyBorder="1" applyAlignment="1">
      <alignment horizontal="left"/>
    </xf>
    <xf numFmtId="175" fontId="287" fillId="73" borderId="67" xfId="0" applyNumberFormat="1" applyFont="1" applyFill="1" applyBorder="1" applyAlignment="1">
      <alignment horizontal="right"/>
    </xf>
    <xf numFmtId="181" fontId="284" fillId="0" borderId="0" xfId="13" applyNumberFormat="1" applyFont="1" applyAlignment="1">
      <alignment vertical="center"/>
    </xf>
    <xf numFmtId="9" fontId="277" fillId="0" borderId="17" xfId="31" applyFont="1" applyBorder="1" applyAlignment="1">
      <alignment vertical="center"/>
    </xf>
    <xf numFmtId="49" fontId="276" fillId="73" borderId="0" xfId="0" applyNumberFormat="1" applyFont="1" applyFill="1" applyAlignment="1">
      <alignment horizontal="center" vertical="center"/>
    </xf>
    <xf numFmtId="0" fontId="276" fillId="73" borderId="0" xfId="0" applyFont="1" applyFill="1" applyAlignment="1">
      <alignment horizontal="center" vertical="center"/>
    </xf>
    <xf numFmtId="171" fontId="286" fillId="0" borderId="0" xfId="13" applyNumberFormat="1" applyFont="1" applyAlignment="1">
      <alignment vertical="center"/>
    </xf>
    <xf numFmtId="171" fontId="276" fillId="75" borderId="0" xfId="13" applyNumberFormat="1" applyFont="1" applyFill="1" applyAlignment="1">
      <alignment vertical="center"/>
    </xf>
    <xf numFmtId="180" fontId="285" fillId="0" borderId="0" xfId="13" applyNumberFormat="1" applyFont="1" applyAlignment="1">
      <alignment vertical="center"/>
    </xf>
    <xf numFmtId="180" fontId="14" fillId="0" borderId="65" xfId="13" applyNumberFormat="1" applyBorder="1" applyAlignment="1">
      <alignment vertical="center"/>
    </xf>
    <xf numFmtId="173" fontId="277" fillId="0" borderId="0" xfId="0" applyNumberFormat="1" applyFont="1" applyAlignment="1">
      <alignment horizontal="left" vertical="center" indent="2"/>
    </xf>
    <xf numFmtId="3" fontId="287" fillId="73" borderId="65" xfId="13" applyNumberFormat="1" applyFont="1" applyFill="1" applyBorder="1" applyAlignment="1">
      <alignment horizontal="right" vertical="center"/>
    </xf>
    <xf numFmtId="0" fontId="38" fillId="0" borderId="0" xfId="0" applyFont="1"/>
    <xf numFmtId="180" fontId="0" fillId="0" borderId="0" xfId="13" applyNumberFormat="1" applyFont="1"/>
    <xf numFmtId="173" fontId="286" fillId="0" borderId="0" xfId="13" applyNumberFormat="1" applyFont="1" applyAlignment="1">
      <alignment horizontal="left" vertical="center" indent="3"/>
    </xf>
    <xf numFmtId="0" fontId="0" fillId="0" borderId="0" xfId="0" applyAlignment="1">
      <alignment horizontal="left" indent="1"/>
    </xf>
    <xf numFmtId="173" fontId="284" fillId="81" borderId="75" xfId="13" applyNumberFormat="1" applyFont="1" applyFill="1" applyBorder="1" applyAlignment="1">
      <alignment vertical="center"/>
    </xf>
    <xf numFmtId="0" fontId="38" fillId="75" borderId="0" xfId="0" applyFont="1" applyFill="1"/>
    <xf numFmtId="0" fontId="276" fillId="73" borderId="0" xfId="0" applyFont="1" applyFill="1" applyAlignment="1">
      <alignment horizontal="center" vertical="center"/>
    </xf>
    <xf numFmtId="180" fontId="309" fillId="75" borderId="0" xfId="0" applyNumberFormat="1" applyFont="1" applyFill="1"/>
    <xf numFmtId="180" fontId="309" fillId="77" borderId="0" xfId="0" applyNumberFormat="1" applyFont="1" applyFill="1"/>
    <xf numFmtId="0" fontId="280" fillId="0" borderId="0" xfId="0" applyFont="1"/>
    <xf numFmtId="179" fontId="309" fillId="75" borderId="0" xfId="0" applyNumberFormat="1" applyFont="1" applyFill="1"/>
    <xf numFmtId="173" fontId="284" fillId="0" borderId="75" xfId="13" applyNumberFormat="1" applyFont="1" applyFill="1" applyBorder="1" applyAlignment="1">
      <alignment vertical="center"/>
    </xf>
    <xf numFmtId="173" fontId="277" fillId="0" borderId="0" xfId="13" applyNumberFormat="1" applyFont="1" applyFill="1" applyAlignment="1">
      <alignment vertical="center"/>
    </xf>
    <xf numFmtId="173" fontId="276" fillId="0" borderId="0" xfId="13" applyNumberFormat="1" applyFont="1" applyFill="1" applyAlignment="1">
      <alignment vertical="center"/>
    </xf>
    <xf numFmtId="0" fontId="0" fillId="0" borderId="0" xfId="0" applyAlignment="1">
      <alignment vertical="center"/>
    </xf>
    <xf numFmtId="173" fontId="0" fillId="0" borderId="65" xfId="13" applyNumberFormat="1" applyFont="1" applyBorder="1" applyAlignment="1">
      <alignment vertical="center"/>
    </xf>
    <xf numFmtId="170" fontId="0" fillId="0" borderId="0" xfId="13" applyNumberFormat="1" applyFont="1" applyAlignment="1">
      <alignment vertical="center"/>
    </xf>
    <xf numFmtId="173" fontId="14" fillId="0" borderId="0" xfId="13" applyNumberFormat="1" applyFont="1" applyAlignment="1">
      <alignment vertical="center"/>
    </xf>
    <xf numFmtId="349" fontId="283" fillId="0" borderId="0" xfId="31" applyNumberFormat="1" applyFont="1" applyAlignment="1">
      <alignment vertical="center"/>
    </xf>
    <xf numFmtId="350" fontId="283" fillId="0" borderId="0" xfId="13" applyNumberFormat="1" applyFont="1" applyAlignment="1">
      <alignment vertical="center"/>
    </xf>
    <xf numFmtId="179" fontId="31" fillId="0" borderId="0" xfId="2600" applyNumberFormat="1" applyFont="1"/>
    <xf numFmtId="171" fontId="277" fillId="0" borderId="0" xfId="13" applyNumberFormat="1" applyFont="1" applyBorder="1" applyAlignment="1">
      <alignment vertical="center"/>
    </xf>
    <xf numFmtId="0" fontId="0" fillId="0" borderId="0" xfId="0" applyAlignment="1">
      <alignment horizontal="left" indent="1"/>
    </xf>
    <xf numFmtId="0" fontId="276" fillId="0" borderId="0" xfId="0" applyFont="1" applyAlignment="1">
      <alignment horizontal="center" vertical="center"/>
    </xf>
    <xf numFmtId="173" fontId="276" fillId="0" borderId="0" xfId="13" applyNumberFormat="1" applyFont="1" applyBorder="1" applyAlignment="1">
      <alignment vertical="center"/>
    </xf>
    <xf numFmtId="0" fontId="276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3" fontId="286" fillId="0" borderId="73" xfId="13" applyNumberFormat="1" applyFont="1" applyBorder="1" applyAlignment="1">
      <alignment vertical="center"/>
    </xf>
    <xf numFmtId="173" fontId="38" fillId="75" borderId="0" xfId="0" applyNumberFormat="1" applyFont="1" applyFill="1"/>
    <xf numFmtId="173" fontId="14" fillId="0" borderId="0" xfId="13" applyNumberFormat="1" applyBorder="1" applyAlignment="1">
      <alignment vertical="center"/>
    </xf>
    <xf numFmtId="171" fontId="14" fillId="0" borderId="0" xfId="13" applyNumberFormat="1" applyBorder="1" applyAlignment="1">
      <alignment vertical="center"/>
    </xf>
    <xf numFmtId="9" fontId="286" fillId="0" borderId="0" xfId="31" applyFont="1" applyBorder="1" applyAlignment="1">
      <alignment vertical="center"/>
    </xf>
    <xf numFmtId="9" fontId="14" fillId="0" borderId="0" xfId="31" applyBorder="1" applyAlignment="1">
      <alignment vertical="center"/>
    </xf>
    <xf numFmtId="0" fontId="276" fillId="0" borderId="0" xfId="0" applyFont="1" applyAlignment="1">
      <alignment horizontal="center" vertical="center"/>
    </xf>
    <xf numFmtId="0" fontId="276" fillId="0" borderId="0" xfId="0" applyFont="1" applyAlignment="1">
      <alignment horizontal="center" vertical="center"/>
    </xf>
    <xf numFmtId="173" fontId="283" fillId="0" borderId="0" xfId="13" applyNumberFormat="1" applyFont="1" applyAlignment="1">
      <alignment horizontal="left" vertical="center" indent="3"/>
    </xf>
    <xf numFmtId="172" fontId="283" fillId="0" borderId="0" xfId="13" applyNumberFormat="1" applyFont="1" applyAlignment="1">
      <alignment vertical="center"/>
    </xf>
    <xf numFmtId="173" fontId="283" fillId="0" borderId="0" xfId="13" applyNumberFormat="1" applyFont="1" applyAlignment="1">
      <alignment vertical="center"/>
    </xf>
    <xf numFmtId="9" fontId="283" fillId="0" borderId="0" xfId="31" applyFont="1"/>
    <xf numFmtId="173" fontId="285" fillId="78" borderId="0" xfId="13" applyNumberFormat="1" applyFont="1" applyFill="1" applyAlignment="1">
      <alignment vertical="center"/>
    </xf>
    <xf numFmtId="0" fontId="276" fillId="0" borderId="0" xfId="0" applyFont="1" applyAlignment="1">
      <alignment horizontal="center" vertical="center"/>
    </xf>
    <xf numFmtId="0" fontId="0" fillId="0" borderId="0" xfId="0" applyFill="1"/>
    <xf numFmtId="0" fontId="38" fillId="0" borderId="0" xfId="0" applyFont="1" applyFill="1"/>
    <xf numFmtId="347" fontId="289" fillId="73" borderId="69" xfId="0" applyNumberFormat="1" applyFont="1" applyFill="1" applyBorder="1" applyAlignment="1">
      <alignment horizontal="right" vertical="center"/>
    </xf>
    <xf numFmtId="0" fontId="289" fillId="0" borderId="77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173" fontId="277" fillId="0" borderId="0" xfId="13" applyNumberFormat="1" applyFont="1" applyBorder="1" applyAlignment="1">
      <alignment vertical="center"/>
    </xf>
    <xf numFmtId="3" fontId="287" fillId="73" borderId="0" xfId="13" applyNumberFormat="1" applyFont="1" applyFill="1" applyBorder="1" applyAlignment="1">
      <alignment horizontal="right" vertical="center"/>
    </xf>
    <xf numFmtId="0" fontId="276" fillId="74" borderId="0" xfId="2468" applyFont="1" applyFill="1" applyAlignment="1">
      <alignment horizontal="center" vertical="center"/>
    </xf>
    <xf numFmtId="0" fontId="276" fillId="73" borderId="0" xfId="2468" applyFont="1" applyFill="1" applyAlignment="1">
      <alignment horizontal="center" vertical="center"/>
    </xf>
    <xf numFmtId="177" fontId="287" fillId="73" borderId="0" xfId="2469" applyNumberFormat="1" applyFont="1" applyFill="1" applyBorder="1" applyAlignment="1">
      <alignment vertical="center"/>
    </xf>
    <xf numFmtId="0" fontId="302" fillId="0" borderId="0" xfId="0" applyFont="1" applyFill="1" applyAlignment="1">
      <alignment horizontal="center"/>
    </xf>
    <xf numFmtId="173" fontId="302" fillId="0" borderId="0" xfId="13" applyNumberFormat="1" applyFont="1" applyFill="1" applyAlignment="1">
      <alignment horizontal="center"/>
    </xf>
    <xf numFmtId="173" fontId="303" fillId="0" borderId="0" xfId="13" applyNumberFormat="1" applyFont="1" applyFill="1" applyAlignment="1">
      <alignment horizontal="center"/>
    </xf>
    <xf numFmtId="0" fontId="287" fillId="0" borderId="0" xfId="0" applyFont="1" applyFill="1"/>
    <xf numFmtId="171" fontId="38" fillId="0" borderId="17" xfId="13" applyNumberFormat="1" applyFont="1" applyBorder="1" applyAlignment="1">
      <alignment vertical="center"/>
    </xf>
    <xf numFmtId="0" fontId="306" fillId="73" borderId="0" xfId="2596" applyFont="1" applyFill="1" applyAlignment="1">
      <alignment horizontal="left" indent="1"/>
    </xf>
    <xf numFmtId="0" fontId="276" fillId="0" borderId="0" xfId="0" applyFont="1" applyAlignment="1">
      <alignment horizontal="center" vertical="center"/>
    </xf>
    <xf numFmtId="0" fontId="276" fillId="73" borderId="0" xfId="2468" applyFont="1" applyFill="1" applyAlignment="1">
      <alignment horizontal="center" vertical="center"/>
    </xf>
    <xf numFmtId="170" fontId="276" fillId="75" borderId="67" xfId="13" applyFont="1" applyFill="1" applyBorder="1" applyAlignment="1">
      <alignment vertical="center"/>
    </xf>
    <xf numFmtId="170" fontId="276" fillId="73" borderId="0" xfId="13" applyFont="1" applyFill="1" applyBorder="1" applyAlignment="1">
      <alignment vertical="center"/>
    </xf>
    <xf numFmtId="179" fontId="0" fillId="0" borderId="0" xfId="0" applyNumberFormat="1" applyFill="1"/>
    <xf numFmtId="0" fontId="0" fillId="0" borderId="0" xfId="0" quotePrefix="1" applyFill="1"/>
    <xf numFmtId="9" fontId="0" fillId="0" borderId="0" xfId="31" applyFont="1" applyFill="1"/>
    <xf numFmtId="177" fontId="287" fillId="0" borderId="0" xfId="2469" applyNumberFormat="1" applyFont="1" applyFill="1" applyAlignment="1">
      <alignment vertical="center"/>
    </xf>
    <xf numFmtId="9" fontId="0" fillId="0" borderId="0" xfId="0" applyNumberFormat="1" applyFill="1"/>
    <xf numFmtId="0" fontId="276" fillId="0" borderId="0" xfId="0" applyFont="1" applyAlignment="1">
      <alignment horizontal="center" vertical="center"/>
    </xf>
    <xf numFmtId="0" fontId="276" fillId="73" borderId="0" xfId="2468" applyFont="1" applyFill="1" applyAlignment="1">
      <alignment horizontal="center" vertical="center"/>
    </xf>
    <xf numFmtId="9" fontId="277" fillId="0" borderId="65" xfId="31" applyFont="1" applyBorder="1" applyAlignment="1">
      <alignment vertical="center"/>
    </xf>
    <xf numFmtId="9" fontId="276" fillId="0" borderId="0" xfId="0" applyNumberFormat="1" applyFont="1" applyAlignment="1">
      <alignment horizontal="center" vertical="center"/>
    </xf>
    <xf numFmtId="0" fontId="276" fillId="0" borderId="0" xfId="0" applyFont="1" applyAlignment="1">
      <alignment horizontal="center" vertical="center"/>
    </xf>
    <xf numFmtId="0" fontId="276" fillId="0" borderId="0" xfId="0" applyFont="1" applyAlignment="1">
      <alignment horizontal="center" vertical="center"/>
    </xf>
    <xf numFmtId="0" fontId="276" fillId="73" borderId="0" xfId="2468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276" fillId="0" borderId="0" xfId="0" applyFont="1" applyAlignment="1">
      <alignment horizontal="center" vertical="center"/>
    </xf>
    <xf numFmtId="0" fontId="0" fillId="0" borderId="0" xfId="0" applyFill="1" applyAlignment="1">
      <alignment horizontal="left" vertical="center" indent="2"/>
    </xf>
    <xf numFmtId="0" fontId="0" fillId="0" borderId="0" xfId="0" applyFill="1" applyAlignment="1">
      <alignment horizontal="center" vertical="center"/>
    </xf>
    <xf numFmtId="0" fontId="38" fillId="0" borderId="0" xfId="0" applyFont="1" applyFill="1" applyAlignment="1">
      <alignment horizontal="left" vertical="center" indent="1"/>
    </xf>
    <xf numFmtId="0" fontId="38" fillId="0" borderId="0" xfId="0" applyFont="1" applyFill="1" applyAlignment="1">
      <alignment horizontal="center" vertical="center"/>
    </xf>
    <xf numFmtId="173" fontId="284" fillId="0" borderId="0" xfId="13" applyNumberFormat="1" applyFont="1" applyFill="1" applyAlignment="1">
      <alignment vertical="center"/>
    </xf>
    <xf numFmtId="173" fontId="14" fillId="0" borderId="0" xfId="13" applyNumberFormat="1" applyFill="1" applyBorder="1" applyAlignment="1">
      <alignment vertical="center"/>
    </xf>
    <xf numFmtId="173" fontId="14" fillId="0" borderId="65" xfId="13" applyNumberFormat="1" applyFont="1" applyFill="1" applyBorder="1" applyAlignment="1">
      <alignment vertical="center"/>
    </xf>
    <xf numFmtId="170" fontId="276" fillId="0" borderId="0" xfId="13" applyFont="1" applyFill="1" applyAlignment="1">
      <alignment vertical="center"/>
    </xf>
    <xf numFmtId="170" fontId="277" fillId="0" borderId="67" xfId="13" applyFont="1" applyFill="1" applyBorder="1" applyAlignment="1">
      <alignment vertical="center"/>
    </xf>
    <xf numFmtId="170" fontId="276" fillId="0" borderId="0" xfId="13" applyFont="1" applyFill="1" applyBorder="1" applyAlignment="1">
      <alignment vertical="center"/>
    </xf>
    <xf numFmtId="180" fontId="38" fillId="75" borderId="0" xfId="0" applyNumberFormat="1" applyFont="1" applyFill="1"/>
    <xf numFmtId="173" fontId="0" fillId="0" borderId="0" xfId="13" applyNumberFormat="1" applyFont="1" applyBorder="1"/>
    <xf numFmtId="6" fontId="31" fillId="0" borderId="0" xfId="2600" applyNumberFormat="1"/>
    <xf numFmtId="173" fontId="38" fillId="0" borderId="75" xfId="13" applyNumberFormat="1" applyFont="1" applyBorder="1" applyAlignment="1">
      <alignment vertical="center"/>
    </xf>
    <xf numFmtId="0" fontId="276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276" fillId="0" borderId="0" xfId="0" applyFont="1" applyAlignment="1">
      <alignment horizontal="center" vertical="center"/>
    </xf>
    <xf numFmtId="0" fontId="289" fillId="73" borderId="74" xfId="0" applyFont="1" applyFill="1" applyBorder="1" applyAlignment="1">
      <alignment horizontal="right"/>
    </xf>
    <xf numFmtId="175" fontId="287" fillId="73" borderId="78" xfId="0" applyNumberFormat="1" applyFont="1" applyFill="1" applyBorder="1" applyAlignment="1">
      <alignment horizontal="right"/>
    </xf>
    <xf numFmtId="0" fontId="287" fillId="73" borderId="0" xfId="0" applyFont="1" applyFill="1" applyBorder="1" applyAlignment="1">
      <alignment vertical="center"/>
    </xf>
    <xf numFmtId="0" fontId="287" fillId="73" borderId="67" xfId="0" applyFont="1" applyFill="1" applyBorder="1" applyAlignment="1">
      <alignment vertical="center"/>
    </xf>
    <xf numFmtId="0" fontId="289" fillId="75" borderId="69" xfId="0" applyFont="1" applyFill="1" applyBorder="1" applyAlignment="1">
      <alignment horizontal="right"/>
    </xf>
    <xf numFmtId="3" fontId="287" fillId="75" borderId="65" xfId="13" applyNumberFormat="1" applyFont="1" applyFill="1" applyBorder="1" applyAlignment="1">
      <alignment horizontal="right" vertical="center"/>
    </xf>
    <xf numFmtId="3" fontId="287" fillId="75" borderId="0" xfId="13" applyNumberFormat="1" applyFont="1" applyFill="1" applyBorder="1" applyAlignment="1">
      <alignment horizontal="right" vertical="center"/>
    </xf>
    <xf numFmtId="177" fontId="287" fillId="75" borderId="0" xfId="2469" applyNumberFormat="1" applyFont="1" applyFill="1" applyBorder="1" applyAlignment="1">
      <alignment vertical="center"/>
    </xf>
    <xf numFmtId="0" fontId="289" fillId="75" borderId="77" xfId="0" applyFont="1" applyFill="1" applyBorder="1" applyAlignment="1">
      <alignment horizontal="right"/>
    </xf>
    <xf numFmtId="3" fontId="287" fillId="75" borderId="74" xfId="13" applyNumberFormat="1" applyFont="1" applyFill="1" applyBorder="1" applyAlignment="1">
      <alignment horizontal="right" vertical="center"/>
    </xf>
    <xf numFmtId="3" fontId="287" fillId="75" borderId="20" xfId="13" applyNumberFormat="1" applyFont="1" applyFill="1" applyBorder="1" applyAlignment="1">
      <alignment horizontal="right" vertical="center"/>
    </xf>
    <xf numFmtId="177" fontId="287" fillId="75" borderId="20" xfId="2469" applyNumberFormat="1" applyFont="1" applyFill="1" applyBorder="1" applyAlignment="1">
      <alignment vertical="center"/>
    </xf>
    <xf numFmtId="0" fontId="276" fillId="0" borderId="0" xfId="0" applyFont="1" applyAlignment="1">
      <alignment horizontal="center" vertical="center"/>
    </xf>
    <xf numFmtId="0" fontId="276" fillId="0" borderId="0" xfId="0" applyFont="1" applyFill="1" applyAlignment="1">
      <alignment horizontal="left" vertical="center" indent="1"/>
    </xf>
    <xf numFmtId="0" fontId="277" fillId="0" borderId="0" xfId="0" applyFont="1" applyFill="1" applyAlignment="1">
      <alignment horizontal="center" vertical="center"/>
    </xf>
    <xf numFmtId="173" fontId="0" fillId="0" borderId="0" xfId="13" applyNumberFormat="1" applyFont="1" applyFill="1" applyAlignment="1">
      <alignment vertical="center"/>
    </xf>
    <xf numFmtId="173" fontId="38" fillId="0" borderId="0" xfId="13" applyNumberFormat="1" applyFont="1" applyFill="1"/>
    <xf numFmtId="173" fontId="285" fillId="0" borderId="0" xfId="13" applyNumberFormat="1" applyFont="1" applyFill="1" applyAlignment="1">
      <alignment vertical="center"/>
    </xf>
    <xf numFmtId="170" fontId="14" fillId="0" borderId="0" xfId="13" applyFill="1" applyAlignment="1">
      <alignment vertical="center"/>
    </xf>
    <xf numFmtId="173" fontId="286" fillId="0" borderId="0" xfId="13" applyNumberFormat="1" applyFont="1" applyFill="1" applyAlignment="1">
      <alignment vertical="center"/>
    </xf>
    <xf numFmtId="173" fontId="284" fillId="73" borderId="0" xfId="13" applyNumberFormat="1" applyFont="1" applyFill="1" applyBorder="1" applyAlignment="1">
      <alignment vertical="center"/>
    </xf>
    <xf numFmtId="173" fontId="284" fillId="0" borderId="0" xfId="13" applyNumberFormat="1" applyFont="1" applyFill="1" applyBorder="1" applyAlignment="1">
      <alignment vertical="center"/>
    </xf>
    <xf numFmtId="173" fontId="277" fillId="0" borderId="0" xfId="13" applyNumberFormat="1" applyFont="1" applyBorder="1"/>
    <xf numFmtId="173" fontId="310" fillId="0" borderId="0" xfId="13" applyNumberFormat="1" applyFont="1" applyAlignment="1">
      <alignment vertical="center"/>
    </xf>
    <xf numFmtId="0" fontId="305" fillId="73" borderId="0" xfId="0" applyFont="1" applyFill="1"/>
    <xf numFmtId="0" fontId="305" fillId="0" borderId="0" xfId="0" applyFont="1" applyFill="1" applyBorder="1"/>
    <xf numFmtId="9" fontId="307" fillId="0" borderId="0" xfId="0" applyNumberFormat="1" applyFont="1" applyAlignment="1">
      <alignment horizontal="center" vertical="center"/>
    </xf>
    <xf numFmtId="173" fontId="308" fillId="0" borderId="0" xfId="13" applyNumberFormat="1" applyFont="1" applyAlignment="1">
      <alignment vertical="center"/>
    </xf>
    <xf numFmtId="0" fontId="306" fillId="73" borderId="0" xfId="0" applyFont="1" applyFill="1"/>
    <xf numFmtId="0" fontId="306" fillId="0" borderId="0" xfId="0" applyFont="1" applyFill="1" applyBorder="1"/>
    <xf numFmtId="0" fontId="305" fillId="0" borderId="0" xfId="0" applyFont="1" applyAlignment="1">
      <alignment horizontal="left" vertical="center" indent="2"/>
    </xf>
    <xf numFmtId="0" fontId="305" fillId="0" borderId="0" xfId="0" applyFont="1" applyFill="1" applyBorder="1" applyAlignment="1">
      <alignment horizontal="left" indent="1"/>
    </xf>
    <xf numFmtId="0" fontId="306" fillId="0" borderId="0" xfId="0" applyFont="1" applyFill="1" applyBorder="1" applyAlignment="1">
      <alignment horizontal="left"/>
    </xf>
    <xf numFmtId="0" fontId="307" fillId="16" borderId="14" xfId="0" applyFont="1" applyFill="1" applyBorder="1" applyAlignment="1">
      <alignment vertical="center"/>
    </xf>
    <xf numFmtId="0" fontId="307" fillId="76" borderId="17" xfId="0" applyFont="1" applyFill="1" applyBorder="1" applyAlignment="1">
      <alignment horizontal="center" vertical="center"/>
    </xf>
    <xf numFmtId="0" fontId="307" fillId="76" borderId="65" xfId="0" applyFont="1" applyFill="1" applyBorder="1" applyAlignment="1">
      <alignment horizontal="center" vertical="center"/>
    </xf>
    <xf numFmtId="0" fontId="305" fillId="73" borderId="0" xfId="0" applyFont="1" applyFill="1" applyAlignment="1">
      <alignment horizontal="left" indent="1"/>
    </xf>
    <xf numFmtId="0" fontId="307" fillId="0" borderId="0" xfId="0" applyFont="1" applyFill="1" applyBorder="1" applyAlignment="1">
      <alignment horizontal="center" vertical="center"/>
    </xf>
    <xf numFmtId="0" fontId="307" fillId="0" borderId="0" xfId="0" applyFont="1" applyFill="1" applyAlignment="1">
      <alignment horizontal="center" vertical="center"/>
    </xf>
    <xf numFmtId="0" fontId="307" fillId="76" borderId="72" xfId="0" applyFont="1" applyFill="1" applyBorder="1" applyAlignment="1">
      <alignment vertical="center"/>
    </xf>
    <xf numFmtId="0" fontId="307" fillId="76" borderId="69" xfId="0" applyFont="1" applyFill="1" applyBorder="1" applyAlignment="1">
      <alignment horizontal="center" vertical="center"/>
    </xf>
    <xf numFmtId="169" fontId="0" fillId="0" borderId="0" xfId="2606" applyNumberFormat="1" applyFont="1"/>
    <xf numFmtId="177" fontId="0" fillId="0" borderId="0" xfId="13" applyNumberFormat="1" applyFont="1"/>
    <xf numFmtId="0" fontId="287" fillId="73" borderId="23" xfId="0" applyFont="1" applyFill="1" applyBorder="1"/>
    <xf numFmtId="0" fontId="276" fillId="0" borderId="0" xfId="0" applyFont="1" applyAlignment="1">
      <alignment horizontal="center" vertical="center"/>
    </xf>
    <xf numFmtId="0" fontId="276" fillId="0" borderId="0" xfId="0" applyFont="1" applyAlignment="1">
      <alignment horizontal="center" vertical="center"/>
    </xf>
    <xf numFmtId="0" fontId="302" fillId="0" borderId="0" xfId="0" applyFont="1" applyAlignment="1">
      <alignment horizontal="center"/>
    </xf>
    <xf numFmtId="0" fontId="276" fillId="76" borderId="72" xfId="0" applyFont="1" applyFill="1" applyBorder="1" applyAlignment="1">
      <alignment vertical="center"/>
    </xf>
    <xf numFmtId="0" fontId="311" fillId="0" borderId="0" xfId="0" applyFont="1" applyAlignment="1">
      <alignment horizontal="center" vertical="center"/>
    </xf>
    <xf numFmtId="0" fontId="312" fillId="0" borderId="0" xfId="0" applyFont="1" applyAlignment="1">
      <alignment horizontal="center" vertical="center"/>
    </xf>
    <xf numFmtId="173" fontId="276" fillId="75" borderId="0" xfId="13" applyNumberFormat="1" applyFont="1" applyFill="1"/>
    <xf numFmtId="173" fontId="38" fillId="75" borderId="0" xfId="13" applyNumberFormat="1" applyFont="1" applyFill="1"/>
    <xf numFmtId="173" fontId="277" fillId="75" borderId="0" xfId="13" applyNumberFormat="1" applyFont="1" applyFill="1"/>
    <xf numFmtId="173" fontId="14" fillId="75" borderId="0" xfId="13" applyNumberFormat="1" applyFont="1" applyFill="1"/>
    <xf numFmtId="0" fontId="276" fillId="82" borderId="0" xfId="0" applyFont="1" applyFill="1" applyAlignment="1">
      <alignment vertical="center"/>
    </xf>
    <xf numFmtId="0" fontId="276" fillId="0" borderId="73" xfId="0" applyFont="1" applyBorder="1" applyAlignment="1">
      <alignment horizontal="center" vertical="center"/>
    </xf>
    <xf numFmtId="9" fontId="277" fillId="0" borderId="0" xfId="31" applyFont="1" applyFill="1" applyAlignment="1">
      <alignment vertical="center"/>
    </xf>
    <xf numFmtId="173" fontId="311" fillId="0" borderId="0" xfId="0" applyNumberFormat="1" applyFont="1" applyAlignment="1">
      <alignment horizontal="center" vertical="center"/>
    </xf>
    <xf numFmtId="172" fontId="285" fillId="0" borderId="0" xfId="13" applyNumberFormat="1" applyFont="1" applyAlignment="1">
      <alignment vertical="center"/>
    </xf>
    <xf numFmtId="173" fontId="38" fillId="0" borderId="65" xfId="13" applyNumberFormat="1" applyFont="1" applyBorder="1" applyAlignment="1">
      <alignment vertical="center"/>
    </xf>
    <xf numFmtId="0" fontId="14" fillId="0" borderId="0" xfId="0" applyFont="1" applyAlignment="1">
      <alignment horizontal="left" indent="1"/>
    </xf>
    <xf numFmtId="0" fontId="38" fillId="0" borderId="0" xfId="0" applyFont="1" applyAlignment="1">
      <alignment horizontal="left" indent="1"/>
    </xf>
    <xf numFmtId="170" fontId="277" fillId="0" borderId="65" xfId="13" applyFont="1" applyBorder="1" applyAlignment="1">
      <alignment vertical="center"/>
    </xf>
    <xf numFmtId="170" fontId="277" fillId="75" borderId="65" xfId="13" applyFont="1" applyFill="1" applyBorder="1" applyAlignment="1">
      <alignment vertical="center"/>
    </xf>
    <xf numFmtId="173" fontId="0" fillId="0" borderId="0" xfId="13" applyNumberFormat="1" applyFont="1" applyAlignment="1">
      <alignment horizontal="center"/>
    </xf>
    <xf numFmtId="172" fontId="286" fillId="0" borderId="65" xfId="13" applyNumberFormat="1" applyFont="1" applyBorder="1" applyAlignment="1">
      <alignment vertical="center"/>
    </xf>
    <xf numFmtId="172" fontId="276" fillId="0" borderId="65" xfId="13" applyNumberFormat="1" applyFont="1" applyBorder="1" applyAlignment="1">
      <alignment vertical="center"/>
    </xf>
    <xf numFmtId="172" fontId="286" fillId="0" borderId="0" xfId="13" applyNumberFormat="1" applyFont="1" applyBorder="1" applyAlignment="1">
      <alignment vertical="center"/>
    </xf>
    <xf numFmtId="172" fontId="276" fillId="0" borderId="0" xfId="13" applyNumberFormat="1" applyFont="1" applyBorder="1" applyAlignment="1">
      <alignment vertical="center"/>
    </xf>
    <xf numFmtId="181" fontId="276" fillId="0" borderId="0" xfId="13" applyNumberFormat="1" applyFont="1" applyBorder="1" applyAlignment="1">
      <alignment vertical="center"/>
    </xf>
    <xf numFmtId="172" fontId="276" fillId="0" borderId="0" xfId="13" applyNumberFormat="1" applyFont="1" applyAlignment="1">
      <alignment vertical="center"/>
    </xf>
    <xf numFmtId="170" fontId="277" fillId="0" borderId="24" xfId="13" applyFont="1" applyBorder="1" applyAlignment="1">
      <alignment vertical="center"/>
    </xf>
    <xf numFmtId="173" fontId="38" fillId="82" borderId="0" xfId="13" applyNumberFormat="1" applyFont="1" applyFill="1"/>
    <xf numFmtId="0" fontId="276" fillId="82" borderId="0" xfId="0" applyFont="1" applyFill="1" applyAlignment="1">
      <alignment horizontal="center" vertical="center"/>
    </xf>
    <xf numFmtId="173" fontId="38" fillId="82" borderId="65" xfId="13" applyNumberFormat="1" applyFont="1" applyFill="1" applyBorder="1" applyAlignment="1">
      <alignment vertical="center"/>
    </xf>
    <xf numFmtId="173" fontId="38" fillId="82" borderId="0" xfId="13" applyNumberFormat="1" applyFont="1" applyFill="1" applyBorder="1" applyAlignment="1">
      <alignment vertical="center"/>
    </xf>
    <xf numFmtId="172" fontId="38" fillId="82" borderId="0" xfId="13" applyNumberFormat="1" applyFont="1" applyFill="1" applyBorder="1" applyAlignment="1">
      <alignment vertical="center"/>
    </xf>
    <xf numFmtId="173" fontId="277" fillId="0" borderId="0" xfId="13" applyNumberFormat="1" applyFont="1" applyFill="1"/>
    <xf numFmtId="9" fontId="38" fillId="0" borderId="0" xfId="31" applyFont="1" applyAlignment="1">
      <alignment vertical="center"/>
    </xf>
    <xf numFmtId="173" fontId="38" fillId="82" borderId="0" xfId="13" applyNumberFormat="1" applyFont="1" applyFill="1" applyAlignment="1">
      <alignment vertical="center"/>
    </xf>
    <xf numFmtId="171" fontId="38" fillId="82" borderId="0" xfId="13" applyNumberFormat="1" applyFont="1" applyFill="1" applyAlignment="1">
      <alignment vertical="center"/>
    </xf>
    <xf numFmtId="173" fontId="277" fillId="83" borderId="65" xfId="13" applyNumberFormat="1" applyFont="1" applyFill="1" applyBorder="1" applyAlignment="1">
      <alignment vertical="center"/>
    </xf>
    <xf numFmtId="173" fontId="277" fillId="83" borderId="0" xfId="13" applyNumberFormat="1" applyFont="1" applyFill="1" applyBorder="1" applyAlignment="1">
      <alignment vertical="center"/>
    </xf>
    <xf numFmtId="0" fontId="276" fillId="0" borderId="0" xfId="0" applyFont="1" applyAlignment="1">
      <alignment horizontal="center" vertical="center"/>
    </xf>
    <xf numFmtId="173" fontId="14" fillId="0" borderId="0" xfId="31" applyNumberFormat="1" applyBorder="1" applyAlignment="1">
      <alignment vertical="center"/>
    </xf>
    <xf numFmtId="180" fontId="286" fillId="0" borderId="0" xfId="13" applyNumberFormat="1" applyFont="1" applyAlignment="1">
      <alignment vertical="center"/>
    </xf>
    <xf numFmtId="180" fontId="14" fillId="0" borderId="0" xfId="13" applyNumberFormat="1" applyFont="1" applyAlignment="1">
      <alignment vertical="center"/>
    </xf>
    <xf numFmtId="9" fontId="14" fillId="0" borderId="0" xfId="31" applyFont="1"/>
    <xf numFmtId="0" fontId="38" fillId="75" borderId="0" xfId="0" applyFont="1" applyFill="1" applyAlignment="1"/>
    <xf numFmtId="0" fontId="0" fillId="0" borderId="0" xfId="0" applyAlignment="1"/>
    <xf numFmtId="180" fontId="38" fillId="75" borderId="0" xfId="0" applyNumberFormat="1" applyFont="1" applyFill="1" applyAlignment="1">
      <alignment horizontal="center"/>
    </xf>
    <xf numFmtId="0" fontId="0" fillId="75" borderId="0" xfId="0" applyFill="1" applyAlignment="1">
      <alignment horizontal="center"/>
    </xf>
    <xf numFmtId="9" fontId="276" fillId="0" borderId="0" xfId="0" applyNumberFormat="1" applyFont="1" applyAlignment="1">
      <alignment horizontal="center" vertical="center"/>
    </xf>
    <xf numFmtId="9" fontId="276" fillId="0" borderId="1" xfId="0" applyNumberFormat="1" applyFont="1" applyBorder="1" applyAlignment="1">
      <alignment horizontal="center" vertical="center"/>
    </xf>
    <xf numFmtId="0" fontId="276" fillId="17" borderId="0" xfId="0" applyFont="1" applyFill="1" applyAlignment="1">
      <alignment horizontal="center" vertical="center"/>
    </xf>
    <xf numFmtId="0" fontId="276" fillId="73" borderId="0" xfId="0" applyFont="1" applyFill="1" applyAlignment="1">
      <alignment horizontal="center" vertical="center"/>
    </xf>
    <xf numFmtId="0" fontId="276" fillId="0" borderId="0" xfId="0" applyFont="1" applyAlignment="1">
      <alignment horizontal="center" vertical="center"/>
    </xf>
    <xf numFmtId="0" fontId="276" fillId="73" borderId="0" xfId="2468" applyFont="1" applyFill="1" applyAlignment="1">
      <alignment horizontal="center" vertical="center"/>
    </xf>
    <xf numFmtId="0" fontId="276" fillId="74" borderId="0" xfId="2468" applyFont="1" applyFill="1" applyAlignment="1">
      <alignment horizontal="center" vertical="center"/>
    </xf>
  </cellXfs>
  <cellStyles count="2623">
    <cellStyle name="_x0010_" xfId="38" xr:uid="{00000000-0005-0000-0000-000000000000}"/>
    <cellStyle name=" " xfId="39" xr:uid="{00000000-0005-0000-0000-000001000000}"/>
    <cellStyle name="&quot;X&quot; MEN" xfId="40" xr:uid="{00000000-0005-0000-0000-000002000000}"/>
    <cellStyle name="$" xfId="41" xr:uid="{00000000-0005-0000-0000-000003000000}"/>
    <cellStyle name="$ Forecast" xfId="42" xr:uid="{00000000-0005-0000-0000-000004000000}"/>
    <cellStyle name="$ History" xfId="43" xr:uid="{00000000-0005-0000-0000-000005000000}"/>
    <cellStyle name="$10d0" xfId="44" xr:uid="{00000000-0005-0000-0000-000006000000}"/>
    <cellStyle name="$m" xfId="45" xr:uid="{00000000-0005-0000-0000-000007000000}"/>
    <cellStyle name="$q" xfId="46" xr:uid="{00000000-0005-0000-0000-000008000000}"/>
    <cellStyle name="$q*" xfId="47" xr:uid="{00000000-0005-0000-0000-000009000000}"/>
    <cellStyle name="$q_Andina Model v1" xfId="48" xr:uid="{00000000-0005-0000-0000-00000A000000}"/>
    <cellStyle name="$qA" xfId="49" xr:uid="{00000000-0005-0000-0000-00000B000000}"/>
    <cellStyle name="$qRange" xfId="50" xr:uid="{00000000-0005-0000-0000-00000C000000}"/>
    <cellStyle name="%" xfId="51" xr:uid="{00000000-0005-0000-0000-00000D000000}"/>
    <cellStyle name="% Forecast" xfId="52" xr:uid="{00000000-0005-0000-0000-00000E000000}"/>
    <cellStyle name="% History" xfId="53" xr:uid="{00000000-0005-0000-0000-00000F000000}"/>
    <cellStyle name="%_ads" xfId="54" xr:uid="{00000000-0005-0000-0000-000010000000}"/>
    <cellStyle name="%_ads_model" xfId="55" xr:uid="{00000000-0005-0000-0000-000011000000}"/>
    <cellStyle name="%_ads_model_Andina Model v1" xfId="56" xr:uid="{00000000-0005-0000-0000-000012000000}"/>
    <cellStyle name="%_ads_model_Comps 9 24 2009 v2" xfId="57" xr:uid="{00000000-0005-0000-0000-000013000000}"/>
    <cellStyle name="%_ads_model_DET model v0.1" xfId="58" xr:uid="{00000000-0005-0000-0000-000014000000}"/>
    <cellStyle name="%_ads_model_GE Plastics — DET model v13.0" xfId="59" xr:uid="{00000000-0005-0000-0000-000015000000}"/>
    <cellStyle name="%_ads_model_Yaman profile backup" xfId="60" xr:uid="{00000000-0005-0000-0000-000016000000}"/>
    <cellStyle name="%_Andina Model v1" xfId="61" xr:uid="{00000000-0005-0000-0000-000017000000}"/>
    <cellStyle name="%_Book4" xfId="62" xr:uid="{00000000-0005-0000-0000-000018000000}"/>
    <cellStyle name="%_Book4_Yaman profile backup" xfId="63" xr:uid="{00000000-0005-0000-0000-000019000000}"/>
    <cellStyle name="%_BRP Comp v7" xfId="64" xr:uid="{00000000-0005-0000-0000-00001A000000}"/>
    <cellStyle name="%_ceft" xfId="65" xr:uid="{00000000-0005-0000-0000-00001B000000}"/>
    <cellStyle name="%_ceft_model" xfId="66" xr:uid="{00000000-0005-0000-0000-00001C000000}"/>
    <cellStyle name="%_ceft_model_Andina Model v1" xfId="67" xr:uid="{00000000-0005-0000-0000-00001D000000}"/>
    <cellStyle name="%_ceft_model_Comps 9 24 2009 v2" xfId="68" xr:uid="{00000000-0005-0000-0000-00001E000000}"/>
    <cellStyle name="%_ceft_model_DET model v0.1" xfId="69" xr:uid="{00000000-0005-0000-0000-00001F000000}"/>
    <cellStyle name="%_ceft_model_GE Plastics — DET model v13.0" xfId="70" xr:uid="{00000000-0005-0000-0000-000020000000}"/>
    <cellStyle name="%_ceft_model_Yaman profile backup" xfId="71" xr:uid="{00000000-0005-0000-0000-000021000000}"/>
    <cellStyle name="%_Comps - metals and mining (3-02-07)" xfId="72" xr:uid="{00000000-0005-0000-0000-000022000000}"/>
    <cellStyle name="%_Comps 9 24 2009 v2" xfId="73" xr:uid="{00000000-0005-0000-0000-000023000000}"/>
    <cellStyle name="%_DET model v0.1" xfId="74" xr:uid="{00000000-0005-0000-0000-000024000000}"/>
    <cellStyle name="%_fdc" xfId="75" xr:uid="{00000000-0005-0000-0000-000025000000}"/>
    <cellStyle name="%_fdc_model" xfId="76" xr:uid="{00000000-0005-0000-0000-000026000000}"/>
    <cellStyle name="%_fdc_model_Andina Model v1" xfId="77" xr:uid="{00000000-0005-0000-0000-000027000000}"/>
    <cellStyle name="%_fdc_model_Comps 9 24 2009 v2" xfId="78" xr:uid="{00000000-0005-0000-0000-000028000000}"/>
    <cellStyle name="%_fdc_model_DET model v0.1" xfId="79" xr:uid="{00000000-0005-0000-0000-000029000000}"/>
    <cellStyle name="%_fdc_model_GE Plastics — DET model v13.0" xfId="80" xr:uid="{00000000-0005-0000-0000-00002A000000}"/>
    <cellStyle name="%_fdc_model_Yaman profile backup" xfId="81" xr:uid="{00000000-0005-0000-0000-00002B000000}"/>
    <cellStyle name="%_Fortress LBO v1" xfId="82" xr:uid="{00000000-0005-0000-0000-00002C000000}"/>
    <cellStyle name="%_GE Plastics — DET model v13.0" xfId="83" xr:uid="{00000000-0005-0000-0000-00002D000000}"/>
    <cellStyle name="%_HUN projections v1.2" xfId="84" xr:uid="{00000000-0005-0000-0000-00002E000000}"/>
    <cellStyle name="%_Large Cap Industrial Comps 08.16.06 with kaiser vcg" xfId="85" xr:uid="{00000000-0005-0000-0000-00002F000000}"/>
    <cellStyle name="%_Metals comps v8" xfId="86" xr:uid="{00000000-0005-0000-0000-000030000000}"/>
    <cellStyle name="%_Rebuilt Mountaineer model v41" xfId="87" xr:uid="{00000000-0005-0000-0000-000031000000}"/>
    <cellStyle name="******************************************" xfId="88" xr:uid="{00000000-0005-0000-0000-000032000000}"/>
    <cellStyle name="." xfId="89" xr:uid="{00000000-0005-0000-0000-000033000000}"/>
    <cellStyle name=";;;" xfId="90" xr:uid="{00000000-0005-0000-0000-000034000000}"/>
    <cellStyle name=";ome" xfId="91" xr:uid="{00000000-0005-0000-0000-000035000000}"/>
    <cellStyle name="[StdExit()]" xfId="92" xr:uid="{00000000-0005-0000-0000-000036000000}"/>
    <cellStyle name="\" xfId="93" xr:uid="{00000000-0005-0000-0000-000037000000}"/>
    <cellStyle name="_%(SignOnly)" xfId="94" xr:uid="{00000000-0005-0000-0000-000038000000}"/>
    <cellStyle name="_%(SignOnly)_Andina Model v1" xfId="95" xr:uid="{00000000-0005-0000-0000-000039000000}"/>
    <cellStyle name="_%(SignOnly)_Black Hawk Down redux" xfId="96" xr:uid="{00000000-0005-0000-0000-00003A000000}"/>
    <cellStyle name="_%(SignOnly)_blank" xfId="97" xr:uid="{00000000-0005-0000-0000-00003B000000}"/>
    <cellStyle name="_%(SignOnly)_Comps 9 24 2009 v2" xfId="98" xr:uid="{00000000-0005-0000-0000-00003C000000}"/>
    <cellStyle name="_%(SignOnly)_CR v2" xfId="99" xr:uid="{00000000-0005-0000-0000-00003D000000}"/>
    <cellStyle name="_%(SignOnly)_HUN projections v1.2" xfId="100" xr:uid="{00000000-0005-0000-0000-00003E000000}"/>
    <cellStyle name="_%(SignOnly)_JPM Vulcan v34" xfId="101" xr:uid="{00000000-0005-0000-0000-00003F000000}"/>
    <cellStyle name="_%(SignOnly)_LBO analysis" xfId="102" xr:uid="{00000000-0005-0000-0000-000040000000}"/>
    <cellStyle name="_%(SignOnly)_Lincoln model v5" xfId="103" xr:uid="{00000000-0005-0000-0000-000041000000}"/>
    <cellStyle name="_%(SignOnly)_Lincoln model v5_~6801188" xfId="104" xr:uid="{00000000-0005-0000-0000-000042000000}"/>
    <cellStyle name="_%(SignOnly)_Lincoln model v5_1" xfId="105" xr:uid="{00000000-0005-0000-0000-000043000000}"/>
    <cellStyle name="_%(SignOnly)_Lincoln model v5_CRG Jr Assoc_valuation model v4" xfId="106" xr:uid="{00000000-0005-0000-0000-000044000000}"/>
    <cellStyle name="_%(SignOnly)_Lincoln model v5_Summary of financial projections v6" xfId="107" xr:uid="{00000000-0005-0000-0000-000045000000}"/>
    <cellStyle name="_%(SignOnly)_Ownership" xfId="108" xr:uid="{00000000-0005-0000-0000-000046000000}"/>
    <cellStyle name="_%(SignOnly)_Ownership_Andina Model v1" xfId="109" xr:uid="{00000000-0005-0000-0000-000047000000}"/>
    <cellStyle name="_%(SignOnly)_Ownership_Comps 9 24 2009 v2" xfId="110" xr:uid="{00000000-0005-0000-0000-000048000000}"/>
    <cellStyle name="_%(SignOnly)_PLL_model v30" xfId="111" xr:uid="{00000000-0005-0000-0000-000049000000}"/>
    <cellStyle name="_%(SignOnly)_Power project" xfId="112" xr:uid="{00000000-0005-0000-0000-00004A000000}"/>
    <cellStyle name="_%(SignOnly)_Power project_~6801188" xfId="113" xr:uid="{00000000-0005-0000-0000-00004B000000}"/>
    <cellStyle name="_%(SignOnly)_Power project_~6801188_Summary of financial projections v6" xfId="114" xr:uid="{00000000-0005-0000-0000-00004C000000}"/>
    <cellStyle name="_%(SignOnly)_Power project_CRG Jr Assoc_valuation model v4" xfId="115" xr:uid="{00000000-0005-0000-0000-00004D000000}"/>
    <cellStyle name="_%(SignOnly)_Power project_PLL_model v30" xfId="116" xr:uid="{00000000-0005-0000-0000-00004E000000}"/>
    <cellStyle name="_%(SignOnly)_Power project_Summary of financial projections v6" xfId="117" xr:uid="{00000000-0005-0000-0000-00004F000000}"/>
    <cellStyle name="_%(SignOnly)_Project Palmetto model v26.0" xfId="118" xr:uid="{00000000-0005-0000-0000-000050000000}"/>
    <cellStyle name="_%(SignOnly)_Project Palmetto model v26.0_Andina Model v1" xfId="119" xr:uid="{00000000-0005-0000-0000-000051000000}"/>
    <cellStyle name="_%(SignOnly)_Project Palmetto model v26.0_Comps 9 24 2009 v2" xfId="120" xr:uid="{00000000-0005-0000-0000-000052000000}"/>
    <cellStyle name="_%(SignOnly)_Project Palmetto model v26.0_Yaman profile backup" xfId="121" xr:uid="{00000000-0005-0000-0000-000053000000}"/>
    <cellStyle name="_%(SignOnly)_Project Palmetto model v26.0_Yaman profile backup_Comps 9 24 2009 v2" xfId="122" xr:uid="{00000000-0005-0000-0000-000054000000}"/>
    <cellStyle name="_%(SignOnly)_Silver Trading Comps (09-30-06) vAutomated" xfId="123" xr:uid="{00000000-0005-0000-0000-000055000000}"/>
    <cellStyle name="_%(SignOnly)_Silver Trading Comps (09-30-06) vAutomated_Yaman profile backup" xfId="124" xr:uid="{00000000-0005-0000-0000-000056000000}"/>
    <cellStyle name="_%(SignOnly)_Vulcan v10" xfId="125" xr:uid="{00000000-0005-0000-0000-000057000000}"/>
    <cellStyle name="_%(SignOnly)_Yaman profile backup" xfId="126" xr:uid="{00000000-0005-0000-0000-000058000000}"/>
    <cellStyle name="_%(SignSpaceOnly)" xfId="127" xr:uid="{00000000-0005-0000-0000-000059000000}"/>
    <cellStyle name="_%(SignSpaceOnly)_~6801188" xfId="128" xr:uid="{00000000-0005-0000-0000-00005A000000}"/>
    <cellStyle name="_%(SignSpaceOnly)_~6801188_Summary of financial projections v6" xfId="129" xr:uid="{00000000-0005-0000-0000-00005B000000}"/>
    <cellStyle name="_%(SignSpaceOnly)_Andina Model v1" xfId="130" xr:uid="{00000000-0005-0000-0000-00005C000000}"/>
    <cellStyle name="_%(SignSpaceOnly)_Black Hawk Down redux" xfId="131" xr:uid="{00000000-0005-0000-0000-00005D000000}"/>
    <cellStyle name="_%(SignSpaceOnly)_blank" xfId="132" xr:uid="{00000000-0005-0000-0000-00005E000000}"/>
    <cellStyle name="_%(SignSpaceOnly)_Comps 9 24 2009 v2" xfId="133" xr:uid="{00000000-0005-0000-0000-00005F000000}"/>
    <cellStyle name="_%(SignSpaceOnly)_CR v2" xfId="134" xr:uid="{00000000-0005-0000-0000-000060000000}"/>
    <cellStyle name="_%(SignSpaceOnly)_CRG Jr Assoc_valuation model v4" xfId="135" xr:uid="{00000000-0005-0000-0000-000061000000}"/>
    <cellStyle name="_%(SignSpaceOnly)_HUN projections v1.2" xfId="136" xr:uid="{00000000-0005-0000-0000-000062000000}"/>
    <cellStyle name="_%(SignSpaceOnly)_JPM Vulcan v34" xfId="137" xr:uid="{00000000-0005-0000-0000-000063000000}"/>
    <cellStyle name="_%(SignSpaceOnly)_Lincoln model v5" xfId="138" xr:uid="{00000000-0005-0000-0000-000064000000}"/>
    <cellStyle name="_%(SignSpaceOnly)_Lincoln model v5_~6801188" xfId="139" xr:uid="{00000000-0005-0000-0000-000065000000}"/>
    <cellStyle name="_%(SignSpaceOnly)_Lincoln model v5_1" xfId="140" xr:uid="{00000000-0005-0000-0000-000066000000}"/>
    <cellStyle name="_%(SignSpaceOnly)_Lincoln model v5_CRG Jr Assoc_valuation model v4" xfId="141" xr:uid="{00000000-0005-0000-0000-000067000000}"/>
    <cellStyle name="_%(SignSpaceOnly)_Lincoln model v5_Summary of financial projections v6" xfId="142" xr:uid="{00000000-0005-0000-0000-000068000000}"/>
    <cellStyle name="_%(SignSpaceOnly)_PLL_model v30" xfId="143" xr:uid="{00000000-0005-0000-0000-000069000000}"/>
    <cellStyle name="_%(SignSpaceOnly)_Power project" xfId="144" xr:uid="{00000000-0005-0000-0000-00006A000000}"/>
    <cellStyle name="_%(SignSpaceOnly)_Power project_PLL_model v30" xfId="145" xr:uid="{00000000-0005-0000-0000-00006B000000}"/>
    <cellStyle name="_%(SignSpaceOnly)_Silver Trading Comps (09-30-06) vAutomated" xfId="146" xr:uid="{00000000-0005-0000-0000-00006C000000}"/>
    <cellStyle name="_%(SignSpaceOnly)_Silver Trading Comps (09-30-06) vAutomated_Yaman profile backup" xfId="147" xr:uid="{00000000-0005-0000-0000-00006D000000}"/>
    <cellStyle name="_%(SignSpaceOnly)_Silver Trading Comps (09-30-06) vAutomated_Yaman profile backup_Comps 9 24 2009 v2" xfId="148" xr:uid="{00000000-0005-0000-0000-00006E000000}"/>
    <cellStyle name="_%(SignSpaceOnly)_Summary of financial projections v6" xfId="149" xr:uid="{00000000-0005-0000-0000-00006F000000}"/>
    <cellStyle name="_%(SignSpaceOnly)_Vulcan v10" xfId="150" xr:uid="{00000000-0005-0000-0000-000070000000}"/>
    <cellStyle name="_%(SignSpaceOnly)_Yaman profile backup" xfId="151" xr:uid="{00000000-0005-0000-0000-000071000000}"/>
    <cellStyle name="_~6801188" xfId="152" xr:uid="{00000000-0005-0000-0000-000072000000}"/>
    <cellStyle name="_270 LBO and DCF as of 12-06 v02" xfId="153" xr:uid="{00000000-0005-0000-0000-000073000000}"/>
    <cellStyle name="_8th Continent v04.0" xfId="154" xr:uid="{00000000-0005-0000-0000-000074000000}"/>
    <cellStyle name="_AccDil Example" xfId="155" xr:uid="{00000000-0005-0000-0000-000075000000}"/>
    <cellStyle name="_AccDil v.24" xfId="156" xr:uid="{00000000-0005-0000-0000-000076000000}"/>
    <cellStyle name="_Accretion Dilution" xfId="157" xr:uid="{00000000-0005-0000-0000-000077000000}"/>
    <cellStyle name="_ACI MEE Combo Model v1.18" xfId="158" xr:uid="{00000000-0005-0000-0000-000078000000}"/>
    <cellStyle name="_Areva October Compcos v6" xfId="159" xr:uid="{00000000-0005-0000-0000-000079000000}"/>
    <cellStyle name="_Assets_cap" xfId="160" xr:uid="{00000000-0005-0000-0000-00007A000000}"/>
    <cellStyle name="_Backup v 4" xfId="161" xr:uid="{00000000-0005-0000-0000-00007B000000}"/>
    <cellStyle name="_BBA projections v02.0" xfId="162" xr:uid="{00000000-0005-0000-0000-00007C000000}"/>
    <cellStyle name="_Beam model v4.0" xfId="163" xr:uid="{00000000-0005-0000-0000-00007D000000}"/>
    <cellStyle name="_Beam model v7.0b" xfId="164" xr:uid="{00000000-0005-0000-0000-00007E000000}"/>
    <cellStyle name="_Berry trading comps (10-2005).v02" xfId="165" xr:uid="{00000000-0005-0000-0000-00007F000000}"/>
    <cellStyle name="_Berry valuation (10-19-05).v15" xfId="166" xr:uid="{00000000-0005-0000-0000-000080000000}"/>
    <cellStyle name="_Bilancie FD" xfId="167" xr:uid="{00000000-0005-0000-0000-000081000000}"/>
    <cellStyle name="_Black Hawk Down redux" xfId="168" xr:uid="{00000000-0005-0000-0000-000082000000}"/>
    <cellStyle name="_Blank comps file (03-27-06)" xfId="169" xr:uid="{00000000-0005-0000-0000-000083000000}"/>
    <cellStyle name="_Book2" xfId="170" xr:uid="{00000000-0005-0000-0000-000084000000}"/>
    <cellStyle name="_Book4" xfId="171" xr:uid="{00000000-0005-0000-0000-000085000000}"/>
    <cellStyle name="_Book8" xfId="172" xr:uid="{00000000-0005-0000-0000-000086000000}"/>
    <cellStyle name="_BRP Comp v7" xfId="173" xr:uid="{00000000-0005-0000-0000-000087000000}"/>
    <cellStyle name="_Burnes Sales Draft" xfId="174" xr:uid="{00000000-0005-0000-0000-000088000000}"/>
    <cellStyle name="_Buyers Page" xfId="175" xr:uid="{00000000-0005-0000-0000-000089000000}"/>
    <cellStyle name="_Cash flow model-VCST_7" xfId="176" xr:uid="{00000000-0005-0000-0000-00008A000000}"/>
    <cellStyle name="_Cellon comps 5-31 v16" xfId="177" xr:uid="{00000000-0005-0000-0000-00008B000000}"/>
    <cellStyle name="_Clean_AccDil" xfId="178" xr:uid="{00000000-0005-0000-0000-00008C000000}"/>
    <cellStyle name="_Closing_cash" xfId="179" xr:uid="{00000000-0005-0000-0000-00008D000000}"/>
    <cellStyle name="_Comma" xfId="180" xr:uid="{00000000-0005-0000-0000-00008E000000}"/>
    <cellStyle name="_Comma_Andina Model v1" xfId="181" xr:uid="{00000000-0005-0000-0000-00008F000000}"/>
    <cellStyle name="_Comma_Black Hawk Down redux" xfId="182" xr:uid="{00000000-0005-0000-0000-000090000000}"/>
    <cellStyle name="_Comma_blank" xfId="183" xr:uid="{00000000-0005-0000-0000-000091000000}"/>
    <cellStyle name="_Comma_Comps 9 24 2009 v2" xfId="184" xr:uid="{00000000-0005-0000-0000-000092000000}"/>
    <cellStyle name="_Comma_HUN projections v1.2" xfId="185" xr:uid="{00000000-0005-0000-0000-000093000000}"/>
    <cellStyle name="_Comma_JPM Vulcan v34" xfId="186" xr:uid="{00000000-0005-0000-0000-000094000000}"/>
    <cellStyle name="_Comma_LBO Template MP v1" xfId="187" xr:uid="{00000000-0005-0000-0000-000095000000}"/>
    <cellStyle name="_Comma_Multi_industry_comps v5" xfId="188" xr:uid="{00000000-0005-0000-0000-000096000000}"/>
    <cellStyle name="_Comma_PLL_model v30" xfId="189" xr:uid="{00000000-0005-0000-0000-000097000000}"/>
    <cellStyle name="_Comma_Vulcan v10" xfId="190" xr:uid="{00000000-0005-0000-0000-000098000000}"/>
    <cellStyle name="_Commercial comps 65e8ce4da" xfId="191" xr:uid="{00000000-0005-0000-0000-000099000000}"/>
    <cellStyle name="_Comps - GK.v2" xfId="192" xr:uid="{00000000-0005-0000-0000-00009A000000}"/>
    <cellStyle name="_Comps - Main File" xfId="193" xr:uid="{00000000-0005-0000-0000-00009B000000}"/>
    <cellStyle name="_Comps - Master_metals and mining" xfId="194" xr:uid="{00000000-0005-0000-0000-00009C000000}"/>
    <cellStyle name="_Comps - metals and mining (3-02-07)" xfId="195" xr:uid="{00000000-0005-0000-0000-00009D000000}"/>
    <cellStyle name="_Comps Standardized Output - Section3" xfId="196" xr:uid="{00000000-0005-0000-0000-00009E000000}"/>
    <cellStyle name="_Copy of Beam model v7.0c" xfId="197" xr:uid="{00000000-0005-0000-0000-00009F000000}"/>
    <cellStyle name="_CR v2" xfId="198" xr:uid="{00000000-0005-0000-0000-0000A0000000}"/>
    <cellStyle name="_CRG Jr Assoc_valuation model v4" xfId="199" xr:uid="{00000000-0005-0000-0000-0000A1000000}"/>
    <cellStyle name="_Currency" xfId="200" xr:uid="{00000000-0005-0000-0000-0000A2000000}"/>
    <cellStyle name="_Currency_~6801188" xfId="201" xr:uid="{00000000-0005-0000-0000-0000A3000000}"/>
    <cellStyle name="_Currency_Andina Model v1" xfId="202" xr:uid="{00000000-0005-0000-0000-0000A4000000}"/>
    <cellStyle name="_Currency_Black Hawk Down redux" xfId="203" xr:uid="{00000000-0005-0000-0000-0000A5000000}"/>
    <cellStyle name="_Currency_blank" xfId="204" xr:uid="{00000000-0005-0000-0000-0000A6000000}"/>
    <cellStyle name="_Currency_Book2" xfId="205" xr:uid="{00000000-0005-0000-0000-0000A7000000}"/>
    <cellStyle name="_Currency_Comps 9 24 2009 v2" xfId="206" xr:uid="{00000000-0005-0000-0000-0000A8000000}"/>
    <cellStyle name="_Currency_CRG Jr Assoc_valuation model v4" xfId="207" xr:uid="{00000000-0005-0000-0000-0000A9000000}"/>
    <cellStyle name="_Currency_DD model v38" xfId="208" xr:uid="{00000000-0005-0000-0000-0000AA000000}"/>
    <cellStyle name="_Currency_HUN projections v1.2" xfId="209" xr:uid="{00000000-0005-0000-0000-0000AB000000}"/>
    <cellStyle name="_Currency_IAP_Barracks_merger_model_v53_lenders" xfId="210" xr:uid="{00000000-0005-0000-0000-0000AC000000}"/>
    <cellStyle name="_Currency_IAP_Barracks_merger_model_v53_lenders_Black Hawk Down redux" xfId="211" xr:uid="{00000000-0005-0000-0000-0000AD000000}"/>
    <cellStyle name="_Currency_IAP_Barracks_merger_model_v53_lenders_PLL_model v30" xfId="212" xr:uid="{00000000-0005-0000-0000-0000AE000000}"/>
    <cellStyle name="_Currency_IAP_Barracks_merger_model_v53_lenders_PLL_PEs" xfId="213" xr:uid="{00000000-0005-0000-0000-0000AF000000}"/>
    <cellStyle name="_Currency_IAP_Barracks_merger_model_v53_lenders_PLL_PEs_Trading Comps vBlank" xfId="214" xr:uid="{00000000-0005-0000-0000-0000B0000000}"/>
    <cellStyle name="_Currency_JPM Vulcan v34" xfId="215" xr:uid="{00000000-0005-0000-0000-0000B1000000}"/>
    <cellStyle name="_Currency_JPM Vulcan v34_~6801188" xfId="216" xr:uid="{00000000-0005-0000-0000-0000B2000000}"/>
    <cellStyle name="_Currency_JPM Vulcan v34_1" xfId="217" xr:uid="{00000000-0005-0000-0000-0000B3000000}"/>
    <cellStyle name="_Currency_JPM Vulcan v34_CRG Jr Assoc_valuation model v4" xfId="218" xr:uid="{00000000-0005-0000-0000-0000B4000000}"/>
    <cellStyle name="_Currency_JPM Vulcan v34_Summary of financial projections v6" xfId="219" xr:uid="{00000000-0005-0000-0000-0000B5000000}"/>
    <cellStyle name="_Currency_LBO Template MP v1" xfId="220" xr:uid="{00000000-0005-0000-0000-0000B6000000}"/>
    <cellStyle name="_Currency_LBO Template MP v1_Andina Model v1" xfId="221" xr:uid="{00000000-0005-0000-0000-0000B7000000}"/>
    <cellStyle name="_Currency_LBO Template MP v1_Comps 9 24 2009 v2" xfId="222" xr:uid="{00000000-0005-0000-0000-0000B8000000}"/>
    <cellStyle name="_Currency_LBO Template MP v1_Rebuilt Mountaineer model v41" xfId="223" xr:uid="{00000000-0005-0000-0000-0000B9000000}"/>
    <cellStyle name="_Currency_LBO Template MP v1_Rebuilt Mountaineer model v41_Andina Model v1" xfId="224" xr:uid="{00000000-0005-0000-0000-0000BA000000}"/>
    <cellStyle name="_Currency_LBO Template MP v1_Rebuilt Mountaineer model v41_Comps 9 24 2009 v2" xfId="225" xr:uid="{00000000-0005-0000-0000-0000BB000000}"/>
    <cellStyle name="_Currency_LBO Template MP v1_Yaman profile backup" xfId="226" xr:uid="{00000000-0005-0000-0000-0000BC000000}"/>
    <cellStyle name="_Currency_Multi_industry_comps v5" xfId="227" xr:uid="{00000000-0005-0000-0000-0000BD000000}"/>
    <cellStyle name="_Currency_Multi_industry_comps v5_~6801188" xfId="228" xr:uid="{00000000-0005-0000-0000-0000BE000000}"/>
    <cellStyle name="_Currency_Multi_industry_comps v5_CRG Jr Assoc_valuation model v4" xfId="229" xr:uid="{00000000-0005-0000-0000-0000BF000000}"/>
    <cellStyle name="_Currency_Multi_industry_comps v5_Summary of financial projections v6" xfId="230" xr:uid="{00000000-0005-0000-0000-0000C0000000}"/>
    <cellStyle name="_Currency_PLL_model v30" xfId="231" xr:uid="{00000000-0005-0000-0000-0000C1000000}"/>
    <cellStyle name="_Currency_pro_forma_model_paris" xfId="232" xr:uid="{00000000-0005-0000-0000-0000C2000000}"/>
    <cellStyle name="_Currency_pro_forma_model_paris_~6801188" xfId="233" xr:uid="{00000000-0005-0000-0000-0000C3000000}"/>
    <cellStyle name="_Currency_pro_forma_model_paris_Andina Model v1" xfId="234" xr:uid="{00000000-0005-0000-0000-0000C4000000}"/>
    <cellStyle name="_Currency_pro_forma_model_paris_Comps 9 24 2009 v2" xfId="235" xr:uid="{00000000-0005-0000-0000-0000C5000000}"/>
    <cellStyle name="_Currency_pro_forma_model_paris_CRG Jr Assoc_valuation model v4" xfId="236" xr:uid="{00000000-0005-0000-0000-0000C6000000}"/>
    <cellStyle name="_Currency_pro_forma_model_paris_HUN projections v1.2" xfId="237" xr:uid="{00000000-0005-0000-0000-0000C7000000}"/>
    <cellStyle name="_Currency_pro_forma_model_paris_PLL_model v30" xfId="238" xr:uid="{00000000-0005-0000-0000-0000C8000000}"/>
    <cellStyle name="_Currency_pro_forma_model_paris_Rebuilt Mountaineer model v41" xfId="239" xr:uid="{00000000-0005-0000-0000-0000C9000000}"/>
    <cellStyle name="_Currency_pro_forma_model_paris_Rebuilt Mountaineer model v41_Andina Model v1" xfId="240" xr:uid="{00000000-0005-0000-0000-0000CA000000}"/>
    <cellStyle name="_Currency_pro_forma_model_paris_Rebuilt Mountaineer model v41_Comps 9 24 2009 v2" xfId="241" xr:uid="{00000000-0005-0000-0000-0000CB000000}"/>
    <cellStyle name="_Currency_pro_forma_model_paris_Summary of financial projections v6" xfId="242" xr:uid="{00000000-0005-0000-0000-0000CC000000}"/>
    <cellStyle name="_Currency_Summary of financial projections v6" xfId="243" xr:uid="{00000000-0005-0000-0000-0000CD000000}"/>
    <cellStyle name="_Currency_Vulcan v10" xfId="244" xr:uid="{00000000-0005-0000-0000-0000CE000000}"/>
    <cellStyle name="_CurrencySpace" xfId="245" xr:uid="{00000000-0005-0000-0000-0000CF000000}"/>
    <cellStyle name="_CurrencySpace_Andina Model v1" xfId="246" xr:uid="{00000000-0005-0000-0000-0000D0000000}"/>
    <cellStyle name="_CurrencySpace_Black Hawk Down redux" xfId="247" xr:uid="{00000000-0005-0000-0000-0000D1000000}"/>
    <cellStyle name="_CurrencySpace_blank" xfId="248" xr:uid="{00000000-0005-0000-0000-0000D2000000}"/>
    <cellStyle name="_CurrencySpace_Comps 9 24 2009 v2" xfId="249" xr:uid="{00000000-0005-0000-0000-0000D3000000}"/>
    <cellStyle name="_CurrencySpace_HUN projections v1.2" xfId="250" xr:uid="{00000000-0005-0000-0000-0000D4000000}"/>
    <cellStyle name="_CurrencySpace_JPM Vulcan v34" xfId="251" xr:uid="{00000000-0005-0000-0000-0000D5000000}"/>
    <cellStyle name="_CurrencySpace_JPM Vulcan v34_1" xfId="252" xr:uid="{00000000-0005-0000-0000-0000D6000000}"/>
    <cellStyle name="_CurrencySpace_JPM Vulcan v34_CR v2" xfId="253" xr:uid="{00000000-0005-0000-0000-0000D7000000}"/>
    <cellStyle name="_CurrencySpace_JPM Vulcan v34_Lincoln model v5" xfId="254" xr:uid="{00000000-0005-0000-0000-0000D8000000}"/>
    <cellStyle name="_CurrencySpace_JPM Vulcan v34_Lincoln model v5_1" xfId="255" xr:uid="{00000000-0005-0000-0000-0000D9000000}"/>
    <cellStyle name="_CurrencySpace_JPM Vulcan v34_Lincoln model v5_1_~6801188" xfId="256" xr:uid="{00000000-0005-0000-0000-0000DA000000}"/>
    <cellStyle name="_CurrencySpace_JPM Vulcan v34_Lincoln model v5_1_~6801188_Summary of financial projections v6" xfId="257" xr:uid="{00000000-0005-0000-0000-0000DB000000}"/>
    <cellStyle name="_CurrencySpace_JPM Vulcan v34_Lincoln model v5_1_CRG Jr Assoc_valuation model v4" xfId="258" xr:uid="{00000000-0005-0000-0000-0000DC000000}"/>
    <cellStyle name="_CurrencySpace_JPM Vulcan v34_Lincoln model v5_1_Summary of financial projections v6" xfId="259" xr:uid="{00000000-0005-0000-0000-0000DD000000}"/>
    <cellStyle name="_CurrencySpace_JPM Vulcan v34_Lincoln model v5_PLL_model v30" xfId="260" xr:uid="{00000000-0005-0000-0000-0000DE000000}"/>
    <cellStyle name="_CurrencySpace_JPM Vulcan v34_Power project" xfId="261" xr:uid="{00000000-0005-0000-0000-0000DF000000}"/>
    <cellStyle name="_CurrencySpace_JPM Vulcan v34_Power project_~6801188" xfId="262" xr:uid="{00000000-0005-0000-0000-0000E0000000}"/>
    <cellStyle name="_CurrencySpace_JPM Vulcan v34_Power project_~6801188_Summary of financial projections v6" xfId="263" xr:uid="{00000000-0005-0000-0000-0000E1000000}"/>
    <cellStyle name="_CurrencySpace_JPM Vulcan v34_Power project_CRG Jr Assoc_valuation model v4" xfId="264" xr:uid="{00000000-0005-0000-0000-0000E2000000}"/>
    <cellStyle name="_CurrencySpace_JPM Vulcan v34_Power project_Summary of financial projections v6" xfId="265" xr:uid="{00000000-0005-0000-0000-0000E3000000}"/>
    <cellStyle name="_CurrencySpace_LBO Template MP v1" xfId="266" xr:uid="{00000000-0005-0000-0000-0000E4000000}"/>
    <cellStyle name="_CurrencySpace_Multi_industry_comps v8" xfId="267" xr:uid="{00000000-0005-0000-0000-0000E5000000}"/>
    <cellStyle name="_CurrencySpace_PLL_model v30" xfId="268" xr:uid="{00000000-0005-0000-0000-0000E6000000}"/>
    <cellStyle name="_CurrencySpace_PLL_PEs" xfId="269" xr:uid="{00000000-0005-0000-0000-0000E7000000}"/>
    <cellStyle name="_CurrencySpace_Silver Trading Comps (09-30-06) vAutomated" xfId="270" xr:uid="{00000000-0005-0000-0000-0000E8000000}"/>
    <cellStyle name="_CurrencySpace_Silver Trading Comps (09-30-06) vAutomated_Comps 9 24 2009 v2" xfId="271" xr:uid="{00000000-0005-0000-0000-0000E9000000}"/>
    <cellStyle name="_CurrencySpace_Vulcan v10" xfId="272" xr:uid="{00000000-0005-0000-0000-0000EA000000}"/>
    <cellStyle name="_CurrencySpace_Yaman profile backup" xfId="273" xr:uid="{00000000-0005-0000-0000-0000EB000000}"/>
    <cellStyle name="_Euro" xfId="274" xr:uid="{00000000-0005-0000-0000-0000EC000000}"/>
    <cellStyle name="_Euro_Andina Model v1" xfId="275" xr:uid="{00000000-0005-0000-0000-0000ED000000}"/>
    <cellStyle name="_Euro_ASH model v2.8" xfId="276" xr:uid="{00000000-0005-0000-0000-0000EE000000}"/>
    <cellStyle name="_Euro_ASH model v2.8_Andina Model v1" xfId="277" xr:uid="{00000000-0005-0000-0000-0000EF000000}"/>
    <cellStyle name="_Euro_ASH model v2.8_Comps 9 24 2009 v2" xfId="278" xr:uid="{00000000-0005-0000-0000-0000F0000000}"/>
    <cellStyle name="_Euro_Berry valuation (10-19-05).v15" xfId="279" xr:uid="{00000000-0005-0000-0000-0000F1000000}"/>
    <cellStyle name="_Euro_Berry valuation (10-19-05).v15_Andina Model v1" xfId="280" xr:uid="{00000000-0005-0000-0000-0000F2000000}"/>
    <cellStyle name="_Euro_Berry valuation (10-19-05).v15_Comps 9 24 2009 v2" xfId="281" xr:uid="{00000000-0005-0000-0000-0000F3000000}"/>
    <cellStyle name="_Euro_Black Hawk Down redux" xfId="282" xr:uid="{00000000-0005-0000-0000-0000F4000000}"/>
    <cellStyle name="_Euro_blank" xfId="283" xr:uid="{00000000-0005-0000-0000-0000F5000000}"/>
    <cellStyle name="_Euro_CE model v19" xfId="284" xr:uid="{00000000-0005-0000-0000-0000F6000000}"/>
    <cellStyle name="_Euro_Comps 9 24 2009 v2" xfId="285" xr:uid="{00000000-0005-0000-0000-0000F7000000}"/>
    <cellStyle name="_Euro_CR v2" xfId="286" xr:uid="{00000000-0005-0000-0000-0000F8000000}"/>
    <cellStyle name="_Euro_DET model v0.1" xfId="287" xr:uid="{00000000-0005-0000-0000-0000F9000000}"/>
    <cellStyle name="_Euro_GE model v0.5" xfId="288" xr:uid="{00000000-0005-0000-0000-0000FA000000}"/>
    <cellStyle name="_Euro_Historarical trading comps vFACTSET" xfId="289" xr:uid="{00000000-0005-0000-0000-0000FB000000}"/>
    <cellStyle name="_Euro_HUN projections v1.2" xfId="290" xr:uid="{00000000-0005-0000-0000-0000FC000000}"/>
    <cellStyle name="_Euro_Inorganics model v10.0" xfId="291" xr:uid="{00000000-0005-0000-0000-0000FD000000}"/>
    <cellStyle name="_Euro_JPM Vulcan v34" xfId="292" xr:uid="{00000000-0005-0000-0000-0000FE000000}"/>
    <cellStyle name="_Euro_Kraton model vFINAL" xfId="293" xr:uid="{00000000-0005-0000-0000-0000FF000000}"/>
    <cellStyle name="_Euro_LBO analysis" xfId="294" xr:uid="{00000000-0005-0000-0000-000000010000}"/>
    <cellStyle name="_Euro_LBO analysis_Andina Model v1" xfId="295" xr:uid="{00000000-0005-0000-0000-000001010000}"/>
    <cellStyle name="_Euro_LBO analysis_Comps 9 24 2009 v2" xfId="296" xr:uid="{00000000-0005-0000-0000-000002010000}"/>
    <cellStyle name="_Euro_Lincoln model v5" xfId="297" xr:uid="{00000000-0005-0000-0000-000003010000}"/>
    <cellStyle name="_Euro_Lincoln model v5_~6801188" xfId="298" xr:uid="{00000000-0005-0000-0000-000004010000}"/>
    <cellStyle name="_Euro_Lincoln model v5_~6801188_Summary of financial projections v6" xfId="299" xr:uid="{00000000-0005-0000-0000-000005010000}"/>
    <cellStyle name="_Euro_Lincoln model v5_1" xfId="300" xr:uid="{00000000-0005-0000-0000-000006010000}"/>
    <cellStyle name="_Euro_Lincoln model v5_1_~6801188" xfId="301" xr:uid="{00000000-0005-0000-0000-000007010000}"/>
    <cellStyle name="_Euro_Lincoln model v5_1_CRG Jr Assoc_valuation model v4" xfId="302" xr:uid="{00000000-0005-0000-0000-000008010000}"/>
    <cellStyle name="_Euro_Lincoln model v5_1_Summary of financial projections v6" xfId="303" xr:uid="{00000000-0005-0000-0000-000009010000}"/>
    <cellStyle name="_Euro_Lincoln model v5_CRG Jr Assoc_valuation model v4" xfId="304" xr:uid="{00000000-0005-0000-0000-00000A010000}"/>
    <cellStyle name="_Euro_Lincoln model v5_Summary of financial projections v6" xfId="305" xr:uid="{00000000-0005-0000-0000-00000B010000}"/>
    <cellStyle name="_Euro_MHK model v2" xfId="306" xr:uid="{00000000-0005-0000-0000-00000C010000}"/>
    <cellStyle name="_Euro_Model v15" xfId="307" xr:uid="{00000000-0005-0000-0000-00000D010000}"/>
    <cellStyle name="_Euro_Ownership" xfId="308" xr:uid="{00000000-0005-0000-0000-00000E010000}"/>
    <cellStyle name="_Euro_Ownership_Andina Model v1" xfId="309" xr:uid="{00000000-0005-0000-0000-00000F010000}"/>
    <cellStyle name="_Euro_Ownership_Comps 9 24 2009 v2" xfId="310" xr:uid="{00000000-0005-0000-0000-000010010000}"/>
    <cellStyle name="_Euro_PLL_model v30" xfId="311" xr:uid="{00000000-0005-0000-0000-000011010000}"/>
    <cellStyle name="_Euro_Power project" xfId="312" xr:uid="{00000000-0005-0000-0000-000012010000}"/>
    <cellStyle name="_Euro_Power project_~6801188" xfId="313" xr:uid="{00000000-0005-0000-0000-000013010000}"/>
    <cellStyle name="_Euro_Power project_~6801188_Summary of financial projections v6" xfId="314" xr:uid="{00000000-0005-0000-0000-000014010000}"/>
    <cellStyle name="_Euro_Power project_CRG Jr Assoc_valuation model v4" xfId="315" xr:uid="{00000000-0005-0000-0000-000015010000}"/>
    <cellStyle name="_Euro_Power project_Summary of financial projections v6" xfId="316" xr:uid="{00000000-0005-0000-0000-000016010000}"/>
    <cellStyle name="_Euro_Project Palmetto model v24.0" xfId="317" xr:uid="{00000000-0005-0000-0000-000017010000}"/>
    <cellStyle name="_Euro_Project Palmetto model v24.0_Andina Model v1" xfId="318" xr:uid="{00000000-0005-0000-0000-000018010000}"/>
    <cellStyle name="_Euro_Project Palmetto model v24.0_Comps 9 24 2009 v2" xfId="319" xr:uid="{00000000-0005-0000-0000-000019010000}"/>
    <cellStyle name="_Euro_Project Palmetto model v26.0" xfId="320" xr:uid="{00000000-0005-0000-0000-00001A010000}"/>
    <cellStyle name="_Euro_Project Palmetto model v26.0_Andina Model v1" xfId="321" xr:uid="{00000000-0005-0000-0000-00001B010000}"/>
    <cellStyle name="_Euro_Project Palmetto model v26.0_Comps 9 24 2009 v2" xfId="322" xr:uid="{00000000-0005-0000-0000-00001C010000}"/>
    <cellStyle name="_Euro_Rebuilt Mountaineer model v41" xfId="323" xr:uid="{00000000-0005-0000-0000-00001D010000}"/>
    <cellStyle name="_Euro_Rebuilt Mountaineer model v41_1" xfId="324" xr:uid="{00000000-0005-0000-0000-00001E010000}"/>
    <cellStyle name="_Euro_Rebuilt Mountaineer model v41_1_Andina Model v1" xfId="325" xr:uid="{00000000-0005-0000-0000-00001F010000}"/>
    <cellStyle name="_Euro_Rebuilt Mountaineer model v41_1_Comps 9 24 2009 v2" xfId="326" xr:uid="{00000000-0005-0000-0000-000020010000}"/>
    <cellStyle name="_Euro_Rebuilt Mountaineer model v41_1_Yaman profile backup" xfId="327" xr:uid="{00000000-0005-0000-0000-000021010000}"/>
    <cellStyle name="_Euro_Rebuilt Mountaineer model v41_Andina Model v1" xfId="328" xr:uid="{00000000-0005-0000-0000-000022010000}"/>
    <cellStyle name="_Euro_Rebuilt Mountaineer model v41_Comps 9 24 2009 v2" xfId="329" xr:uid="{00000000-0005-0000-0000-000023010000}"/>
    <cellStyle name="_Euro_Silver Trading Comps (09-30-06) vAutomated" xfId="330" xr:uid="{00000000-0005-0000-0000-000024010000}"/>
    <cellStyle name="_Euro_Silver Trading Comps (09-30-06) vAutomated_Yaman profile backup" xfId="331" xr:uid="{00000000-0005-0000-0000-000025010000}"/>
    <cellStyle name="_Euro_Silver Trading Comps (09-30-06) vAutomated_Yaman profile backup_Comps 9 24 2009 v2" xfId="332" xr:uid="{00000000-0005-0000-0000-000026010000}"/>
    <cellStyle name="_Euro_Trading comps, PMO, AVP and acc dil model" xfId="333" xr:uid="{00000000-0005-0000-0000-000027010000}"/>
    <cellStyle name="_Euro_Viper LBO model template 2" xfId="334" xr:uid="{00000000-0005-0000-0000-000028010000}"/>
    <cellStyle name="_Euro_Viper LBO model template 2_Andina Model v1" xfId="335" xr:uid="{00000000-0005-0000-0000-000029010000}"/>
    <cellStyle name="_Euro_Viper LBO model template 2_Comps 9 24 2009 v2" xfId="336" xr:uid="{00000000-0005-0000-0000-00002A010000}"/>
    <cellStyle name="_Euro_Viper LBO model template 2_HUN projections v1.2" xfId="337" xr:uid="{00000000-0005-0000-0000-00002B010000}"/>
    <cellStyle name="_Euro_Viper valuation model.v18" xfId="338" xr:uid="{00000000-0005-0000-0000-00002C010000}"/>
    <cellStyle name="_Euro_Vulcan v10" xfId="339" xr:uid="{00000000-0005-0000-0000-00002D010000}"/>
    <cellStyle name="_Euro_Yaman profile backup" xfId="340" xr:uid="{00000000-0005-0000-0000-00002E010000}"/>
    <cellStyle name="_EXLT Briefing memo backupsheet v3" xfId="341" xr:uid="{00000000-0005-0000-0000-00002F010000}"/>
    <cellStyle name="_Fortress LBO v1" xfId="342" xr:uid="{00000000-0005-0000-0000-000030010000}"/>
    <cellStyle name="_Gatefold backup v3" xfId="343" xr:uid="{00000000-0005-0000-0000-000031010000}"/>
    <cellStyle name="_Heading" xfId="344" xr:uid="{00000000-0005-0000-0000-000032010000}"/>
    <cellStyle name="_Highlight" xfId="345" xr:uid="{00000000-0005-0000-0000-000033010000}"/>
    <cellStyle name="_Historical rolling forward PE multiples - updated v3.0" xfId="346" xr:uid="{00000000-0005-0000-0000-000034010000}"/>
    <cellStyle name="_HUN projections v1.2" xfId="347" xr:uid="{00000000-0005-0000-0000-000035010000}"/>
    <cellStyle name="_HW1-DCF solution" xfId="348" xr:uid="{00000000-0005-0000-0000-000036010000}"/>
    <cellStyle name="_I.Q" xfId="349" xr:uid="{00000000-0005-0000-0000-000037010000}"/>
    <cellStyle name="_Idle Facilities Reserve" xfId="350" xr:uid="{00000000-0005-0000-0000-000038010000}"/>
    <cellStyle name="_IKE Manangement Forecast and Valuation_March 2004" xfId="351" xr:uid="{00000000-0005-0000-0000-000039010000}"/>
    <cellStyle name="_IKE Manangement Forecast and Valuation_March 2004428147fa" xfId="352" xr:uid="{00000000-0005-0000-0000-00003A010000}"/>
    <cellStyle name="_IKE Manangement Forecast and Valuation_March 200472caad90" xfId="353" xr:uid="{00000000-0005-0000-0000-00003B010000}"/>
    <cellStyle name="_Infoconsult" xfId="354" xr:uid="{00000000-0005-0000-0000-00003C010000}"/>
    <cellStyle name="_Informatika" xfId="355" xr:uid="{00000000-0005-0000-0000-00003D010000}"/>
    <cellStyle name="_INF-VZaS" xfId="356" xr:uid="{00000000-0005-0000-0000-00003E010000}"/>
    <cellStyle name="_INF-VZaS_IKE Manangement Forecast and Valuation_March 2004" xfId="357" xr:uid="{00000000-0005-0000-0000-00003F010000}"/>
    <cellStyle name="_Inorganics model v10.0" xfId="358" xr:uid="{00000000-0005-0000-0000-000040010000}"/>
    <cellStyle name="_Integrated comps 4-18-03 (2002 FYE)" xfId="359" xr:uid="{00000000-0005-0000-0000-000041010000}"/>
    <cellStyle name="_JPM Vulcan v34" xfId="360" xr:uid="{00000000-0005-0000-0000-000042010000}"/>
    <cellStyle name="_KMT M&amp;A vs peers v6" xfId="361" xr:uid="{00000000-0005-0000-0000-000043010000}"/>
    <cellStyle name="_KMT M&amp;A vs peers v7" xfId="362" xr:uid="{00000000-0005-0000-0000-000044010000}"/>
    <cellStyle name="_Large Cap Industrial Comps 08.16.06 with kaiser vcg" xfId="363" xr:uid="{00000000-0005-0000-0000-000045010000}"/>
    <cellStyle name="_LBO analysis" xfId="364" xr:uid="{00000000-0005-0000-0000-000046010000}"/>
    <cellStyle name="_lbo model" xfId="365" xr:uid="{00000000-0005-0000-0000-000047010000}"/>
    <cellStyle name="_LBO model v01.0" xfId="366" xr:uid="{00000000-0005-0000-0000-000048010000}"/>
    <cellStyle name="_LBO_MetVCST_11-25" xfId="367" xr:uid="{00000000-0005-0000-0000-000049010000}"/>
    <cellStyle name="_Lincoln model v5" xfId="368" xr:uid="{00000000-0005-0000-0000-00004A010000}"/>
    <cellStyle name="_LSI comps 3-28-03" xfId="369" xr:uid="{00000000-0005-0000-0000-00004B010000}"/>
    <cellStyle name="_Mar-03_SrNtIssuance" xfId="370" xr:uid="{00000000-0005-0000-0000-00004C010000}"/>
    <cellStyle name="_MascoTech Base Case LBO 073000" xfId="371" xr:uid="{00000000-0005-0000-0000-00004D010000}"/>
    <cellStyle name="_Merger model v01.0" xfId="372" xr:uid="{00000000-0005-0000-0000-00004E010000}"/>
    <cellStyle name="_Metaldyne_11-19_VCSTi" xfId="373" xr:uid="{00000000-0005-0000-0000-00004F010000}"/>
    <cellStyle name="_Metaldyne+NewCastleSansVCST_2-26" xfId="374" xr:uid="{00000000-0005-0000-0000-000050010000}"/>
    <cellStyle name="_Metals comps v8" xfId="375" xr:uid="{00000000-0005-0000-0000-000051010000}"/>
    <cellStyle name="_MHK model v2" xfId="376" xr:uid="{00000000-0005-0000-0000-000052010000}"/>
    <cellStyle name="_Model" xfId="377" xr:uid="{00000000-0005-0000-0000-000053010000}"/>
    <cellStyle name="_Model v6" xfId="378" xr:uid="{00000000-0005-0000-0000-000054010000}"/>
    <cellStyle name="_Multi_industry_comps v5" xfId="379" xr:uid="{00000000-0005-0000-0000-000055010000}"/>
    <cellStyle name="_Multi_industry_comps v8" xfId="380" xr:uid="{00000000-0005-0000-0000-000056010000}"/>
    <cellStyle name="_Multiple" xfId="381" xr:uid="{00000000-0005-0000-0000-000057010000}"/>
    <cellStyle name="_Multiple_Andina Model v1" xfId="382" xr:uid="{00000000-0005-0000-0000-000058010000}"/>
    <cellStyle name="_Multiple_Black Hawk Down redux" xfId="383" xr:uid="{00000000-0005-0000-0000-000059010000}"/>
    <cellStyle name="_Multiple_blank" xfId="384" xr:uid="{00000000-0005-0000-0000-00005A010000}"/>
    <cellStyle name="_Multiple_Book2" xfId="385" xr:uid="{00000000-0005-0000-0000-00005B010000}"/>
    <cellStyle name="_Multiple_Comps 9 24 2009 v2" xfId="386" xr:uid="{00000000-0005-0000-0000-00005C010000}"/>
    <cellStyle name="_Multiple_consulting_comp_27" xfId="387" xr:uid="{00000000-0005-0000-0000-00005D010000}"/>
    <cellStyle name="_Multiple_consulting_comp_27_~6801188" xfId="388" xr:uid="{00000000-0005-0000-0000-00005E010000}"/>
    <cellStyle name="_Multiple_consulting_comp_27_Andina Model v1" xfId="389" xr:uid="{00000000-0005-0000-0000-00005F010000}"/>
    <cellStyle name="_Multiple_consulting_comp_27_Comps 9 24 2009 v2" xfId="390" xr:uid="{00000000-0005-0000-0000-000060010000}"/>
    <cellStyle name="_Multiple_consulting_comp_27_CRG Jr Assoc_valuation model v4" xfId="391" xr:uid="{00000000-0005-0000-0000-000061010000}"/>
    <cellStyle name="_Multiple_consulting_comp_27_HUN projections v1.2" xfId="392" xr:uid="{00000000-0005-0000-0000-000062010000}"/>
    <cellStyle name="_Multiple_consulting_comp_27_PLL_model v30" xfId="393" xr:uid="{00000000-0005-0000-0000-000063010000}"/>
    <cellStyle name="_Multiple_consulting_comp_27_Rebuilt Mountaineer model v41" xfId="394" xr:uid="{00000000-0005-0000-0000-000064010000}"/>
    <cellStyle name="_Multiple_consulting_comp_27_Rebuilt Mountaineer model v41_Andina Model v1" xfId="395" xr:uid="{00000000-0005-0000-0000-000065010000}"/>
    <cellStyle name="_Multiple_consulting_comp_27_Rebuilt Mountaineer model v41_Comps 9 24 2009 v2" xfId="396" xr:uid="{00000000-0005-0000-0000-000066010000}"/>
    <cellStyle name="_Multiple_consulting_comp_27_Rebuilt Mountaineer model v41_DET model v0.1" xfId="397" xr:uid="{00000000-0005-0000-0000-000067010000}"/>
    <cellStyle name="_Multiple_consulting_comp_27_Rebuilt Mountaineer model v41_GE Plastics — DET model v13.0" xfId="398" xr:uid="{00000000-0005-0000-0000-000068010000}"/>
    <cellStyle name="_Multiple_consulting_comp_27_Rebuilt Mountaineer model v41_Yaman profile backup" xfId="399" xr:uid="{00000000-0005-0000-0000-000069010000}"/>
    <cellStyle name="_Multiple_consulting_comp_27_Summary of financial projections v6" xfId="400" xr:uid="{00000000-0005-0000-0000-00006A010000}"/>
    <cellStyle name="_Multiple_DD model v38" xfId="401" xr:uid="{00000000-0005-0000-0000-00006B010000}"/>
    <cellStyle name="_Multiple_HUN projections v1.2" xfId="402" xr:uid="{00000000-0005-0000-0000-00006C010000}"/>
    <cellStyle name="_Multiple_JPM Vulcan v34" xfId="403" xr:uid="{00000000-0005-0000-0000-00006D010000}"/>
    <cellStyle name="_Multiple_JPM Vulcan v34_~6801188" xfId="404" xr:uid="{00000000-0005-0000-0000-00006E010000}"/>
    <cellStyle name="_Multiple_JPM Vulcan v34_1" xfId="405" xr:uid="{00000000-0005-0000-0000-00006F010000}"/>
    <cellStyle name="_Multiple_JPM Vulcan v34_CRG Jr Assoc_valuation model v4" xfId="406" xr:uid="{00000000-0005-0000-0000-000070010000}"/>
    <cellStyle name="_Multiple_JPM Vulcan v34_Summary of financial projections v6" xfId="407" xr:uid="{00000000-0005-0000-0000-000071010000}"/>
    <cellStyle name="_Multiple_LBO Template MP v1" xfId="408" xr:uid="{00000000-0005-0000-0000-000072010000}"/>
    <cellStyle name="_Multiple_Multi_industry_comps v5" xfId="409" xr:uid="{00000000-0005-0000-0000-000073010000}"/>
    <cellStyle name="_Multiple_Multi_industry_comps v5_~6801188" xfId="410" xr:uid="{00000000-0005-0000-0000-000074010000}"/>
    <cellStyle name="_Multiple_Multi_industry_comps v5_CRG Jr Assoc_valuation model v4" xfId="411" xr:uid="{00000000-0005-0000-0000-000075010000}"/>
    <cellStyle name="_Multiple_Multi_industry_comps v5_Summary of financial projections v6" xfId="412" xr:uid="{00000000-0005-0000-0000-000076010000}"/>
    <cellStyle name="_Multiple_PLL_model v30" xfId="413" xr:uid="{00000000-0005-0000-0000-000077010000}"/>
    <cellStyle name="_Multiple_pro_forma_model_paris" xfId="414" xr:uid="{00000000-0005-0000-0000-000078010000}"/>
    <cellStyle name="_Multiple_pro_forma_model_paris_~6801188" xfId="415" xr:uid="{00000000-0005-0000-0000-000079010000}"/>
    <cellStyle name="_Multiple_pro_forma_model_paris_Andina Model v1" xfId="416" xr:uid="{00000000-0005-0000-0000-00007A010000}"/>
    <cellStyle name="_Multiple_pro_forma_model_paris_Comps 9 24 2009 v2" xfId="417" xr:uid="{00000000-0005-0000-0000-00007B010000}"/>
    <cellStyle name="_Multiple_pro_forma_model_paris_CRG Jr Assoc_valuation model v4" xfId="418" xr:uid="{00000000-0005-0000-0000-00007C010000}"/>
    <cellStyle name="_Multiple_pro_forma_model_paris_DET model v0.1" xfId="419" xr:uid="{00000000-0005-0000-0000-00007D010000}"/>
    <cellStyle name="_Multiple_pro_forma_model_paris_GE Plastics — DET model v13.0" xfId="420" xr:uid="{00000000-0005-0000-0000-00007E010000}"/>
    <cellStyle name="_Multiple_pro_forma_model_paris_HUN projections v1.2" xfId="421" xr:uid="{00000000-0005-0000-0000-00007F010000}"/>
    <cellStyle name="_Multiple_pro_forma_model_paris_PLL_model v30" xfId="422" xr:uid="{00000000-0005-0000-0000-000080010000}"/>
    <cellStyle name="_Multiple_pro_forma_model_paris_Rebuilt Mountaineer model v41" xfId="423" xr:uid="{00000000-0005-0000-0000-000081010000}"/>
    <cellStyle name="_Multiple_pro_forma_model_paris_Summary of financial projections v6" xfId="424" xr:uid="{00000000-0005-0000-0000-000082010000}"/>
    <cellStyle name="_Multiple_pro_forma_model_paris_Yaman profile backup" xfId="425" xr:uid="{00000000-0005-0000-0000-000083010000}"/>
    <cellStyle name="_Multiple_Vulcan v10" xfId="426" xr:uid="{00000000-0005-0000-0000-000084010000}"/>
    <cellStyle name="_MultipleSpace" xfId="427" xr:uid="{00000000-0005-0000-0000-000085010000}"/>
    <cellStyle name="_MultipleSpace_~6801188" xfId="428" xr:uid="{00000000-0005-0000-0000-000086010000}"/>
    <cellStyle name="_MultipleSpace_Andina Model v1" xfId="429" xr:uid="{00000000-0005-0000-0000-000087010000}"/>
    <cellStyle name="_MultipleSpace_Black Hawk Down redux" xfId="430" xr:uid="{00000000-0005-0000-0000-000088010000}"/>
    <cellStyle name="_MultipleSpace_blank" xfId="431" xr:uid="{00000000-0005-0000-0000-000089010000}"/>
    <cellStyle name="_MultipleSpace_Comps 9 24 2009 v2" xfId="432" xr:uid="{00000000-0005-0000-0000-00008A010000}"/>
    <cellStyle name="_MultipleSpace_CRG Jr Assoc_valuation model v4" xfId="433" xr:uid="{00000000-0005-0000-0000-00008B010000}"/>
    <cellStyle name="_MultipleSpace_HUN projections v1.2" xfId="434" xr:uid="{00000000-0005-0000-0000-00008C010000}"/>
    <cellStyle name="_MultipleSpace_JPM Vulcan v34" xfId="435" xr:uid="{00000000-0005-0000-0000-00008D010000}"/>
    <cellStyle name="_MultipleSpace_JPM Vulcan v34_~6801188" xfId="436" xr:uid="{00000000-0005-0000-0000-00008E010000}"/>
    <cellStyle name="_MultipleSpace_JPM Vulcan v34_~6801188_Summary of financial projections v6" xfId="437" xr:uid="{00000000-0005-0000-0000-00008F010000}"/>
    <cellStyle name="_MultipleSpace_JPM Vulcan v34_1" xfId="438" xr:uid="{00000000-0005-0000-0000-000090010000}"/>
    <cellStyle name="_MultipleSpace_JPM Vulcan v34_CR v2" xfId="439" xr:uid="{00000000-0005-0000-0000-000091010000}"/>
    <cellStyle name="_MultipleSpace_JPM Vulcan v34_CRG Jr Assoc_valuation model v4" xfId="440" xr:uid="{00000000-0005-0000-0000-000092010000}"/>
    <cellStyle name="_MultipleSpace_JPM Vulcan v34_Lincoln model v5" xfId="441" xr:uid="{00000000-0005-0000-0000-000093010000}"/>
    <cellStyle name="_MultipleSpace_JPM Vulcan v34_Lincoln model v5_~6801188" xfId="442" xr:uid="{00000000-0005-0000-0000-000094010000}"/>
    <cellStyle name="_MultipleSpace_JPM Vulcan v34_Lincoln model v5_1" xfId="443" xr:uid="{00000000-0005-0000-0000-000095010000}"/>
    <cellStyle name="_MultipleSpace_JPM Vulcan v34_Lincoln model v5_1_PLL_model v30" xfId="444" xr:uid="{00000000-0005-0000-0000-000096010000}"/>
    <cellStyle name="_MultipleSpace_JPM Vulcan v34_Lincoln model v5_CRG Jr Assoc_valuation model v4" xfId="445" xr:uid="{00000000-0005-0000-0000-000097010000}"/>
    <cellStyle name="_MultipleSpace_JPM Vulcan v34_Lincoln model v5_PLL_model v30" xfId="446" xr:uid="{00000000-0005-0000-0000-000098010000}"/>
    <cellStyle name="_MultipleSpace_JPM Vulcan v34_Lincoln model v5_Summary of financial projections v6" xfId="447" xr:uid="{00000000-0005-0000-0000-000099010000}"/>
    <cellStyle name="_MultipleSpace_JPM Vulcan v34_PLL_model v30" xfId="448" xr:uid="{00000000-0005-0000-0000-00009A010000}"/>
    <cellStyle name="_MultipleSpace_JPM Vulcan v34_Power project" xfId="449" xr:uid="{00000000-0005-0000-0000-00009B010000}"/>
    <cellStyle name="_MultipleSpace_JPM Vulcan v34_Power project_~6801188" xfId="450" xr:uid="{00000000-0005-0000-0000-00009C010000}"/>
    <cellStyle name="_MultipleSpace_JPM Vulcan v34_Power project_~6801188_Summary of financial projections v6" xfId="451" xr:uid="{00000000-0005-0000-0000-00009D010000}"/>
    <cellStyle name="_MultipleSpace_JPM Vulcan v34_Power project_CRG Jr Assoc_valuation model v4" xfId="452" xr:uid="{00000000-0005-0000-0000-00009E010000}"/>
    <cellStyle name="_MultipleSpace_JPM Vulcan v34_Power project_Summary of financial projections v6" xfId="453" xr:uid="{00000000-0005-0000-0000-00009F010000}"/>
    <cellStyle name="_MultipleSpace_JPM Vulcan v34_Summary of financial projections v6" xfId="454" xr:uid="{00000000-0005-0000-0000-0000A0010000}"/>
    <cellStyle name="_MultipleSpace_LBO Template MP v1" xfId="455" xr:uid="{00000000-0005-0000-0000-0000A1010000}"/>
    <cellStyle name="_MultipleSpace_LBO Template MP v1_Rebuilt Mountaineer model v41" xfId="456" xr:uid="{00000000-0005-0000-0000-0000A2010000}"/>
    <cellStyle name="_MultipleSpace_LBO Template MP v1_Rebuilt Mountaineer model v41_Andina Model v1" xfId="457" xr:uid="{00000000-0005-0000-0000-0000A3010000}"/>
    <cellStyle name="_MultipleSpace_LBO Template MP v1_Rebuilt Mountaineer model v41_Comps 9 24 2009 v2" xfId="458" xr:uid="{00000000-0005-0000-0000-0000A4010000}"/>
    <cellStyle name="_MultipleSpace_LBO Template MP v1_Rebuilt Mountaineer model v41_Yaman profile backup" xfId="459" xr:uid="{00000000-0005-0000-0000-0000A5010000}"/>
    <cellStyle name="_MultipleSpace_PLL_model v30" xfId="460" xr:uid="{00000000-0005-0000-0000-0000A6010000}"/>
    <cellStyle name="_MultipleSpace_pro_forma_model_paris" xfId="461" xr:uid="{00000000-0005-0000-0000-0000A7010000}"/>
    <cellStyle name="_MultipleSpace_pro_forma_model_paris_~6801188" xfId="462" xr:uid="{00000000-0005-0000-0000-0000A8010000}"/>
    <cellStyle name="_MultipleSpace_pro_forma_model_paris_Andina Model v1" xfId="463" xr:uid="{00000000-0005-0000-0000-0000A9010000}"/>
    <cellStyle name="_MultipleSpace_pro_forma_model_paris_Comps 9 24 2009 v2" xfId="464" xr:uid="{00000000-0005-0000-0000-0000AA010000}"/>
    <cellStyle name="_MultipleSpace_pro_forma_model_paris_CRG Jr Assoc_valuation model v4" xfId="465" xr:uid="{00000000-0005-0000-0000-0000AB010000}"/>
    <cellStyle name="_MultipleSpace_pro_forma_model_paris_HUN projections v1.2" xfId="466" xr:uid="{00000000-0005-0000-0000-0000AC010000}"/>
    <cellStyle name="_MultipleSpace_pro_forma_model_paris_Summary of financial projections v6" xfId="467" xr:uid="{00000000-0005-0000-0000-0000AD010000}"/>
    <cellStyle name="_MultipleSpace_Silver Trading Comps (09-30-06) vAutomated" xfId="468" xr:uid="{00000000-0005-0000-0000-0000AE010000}"/>
    <cellStyle name="_MultipleSpace_Silver Trading Comps (09-30-06) vAutomated_Yaman profile backup" xfId="469" xr:uid="{00000000-0005-0000-0000-0000AF010000}"/>
    <cellStyle name="_MultipleSpace_Silver Trading Comps (09-30-06) vAutomated_Yaman profile backup_Comps 9 24 2009 v2" xfId="470" xr:uid="{00000000-0005-0000-0000-0000B0010000}"/>
    <cellStyle name="_MultipleSpace_Summary of financial projections v6" xfId="471" xr:uid="{00000000-0005-0000-0000-0000B1010000}"/>
    <cellStyle name="_MultipleSpace_Vulcan v10" xfId="472" xr:uid="{00000000-0005-0000-0000-0000B2010000}"/>
    <cellStyle name="_MultipleSpace_Yaman profile backup" xfId="473" xr:uid="{00000000-0005-0000-0000-0000B3010000}"/>
    <cellStyle name="_MultipleSpace_Yaman profile backup_1" xfId="474" xr:uid="{00000000-0005-0000-0000-0000B4010000}"/>
    <cellStyle name="_MUR analysis" xfId="475" xr:uid="{00000000-0005-0000-0000-0000B5010000}"/>
    <cellStyle name="_NDD Model Final 6.13" xfId="476" xr:uid="{00000000-0005-0000-0000-0000B6010000}"/>
    <cellStyle name="_Ned's LBO Model" xfId="477" xr:uid="{00000000-0005-0000-0000-0000B7010000}"/>
    <cellStyle name="_OSK projections" xfId="478" xr:uid="{00000000-0005-0000-0000-0000B8010000}"/>
    <cellStyle name="_PBI Comps and Market" xfId="479" xr:uid="{00000000-0005-0000-0000-0000B9010000}"/>
    <cellStyle name="_PD Buyer Seller Comps v1" xfId="480" xr:uid="{00000000-0005-0000-0000-0000BA010000}"/>
    <cellStyle name="_Percent" xfId="481" xr:uid="{00000000-0005-0000-0000-0000BB010000}"/>
    <cellStyle name="_Percent_~6801188" xfId="482" xr:uid="{00000000-0005-0000-0000-0000BC010000}"/>
    <cellStyle name="_Percent_Andina Model v1" xfId="483" xr:uid="{00000000-0005-0000-0000-0000BD010000}"/>
    <cellStyle name="_Percent_Comps 9 24 2009 v2" xfId="484" xr:uid="{00000000-0005-0000-0000-0000BE010000}"/>
    <cellStyle name="_Percent_CRG Jr Assoc_valuation model v4" xfId="485" xr:uid="{00000000-0005-0000-0000-0000BF010000}"/>
    <cellStyle name="_Percent_HUN projections v1.2" xfId="486" xr:uid="{00000000-0005-0000-0000-0000C0010000}"/>
    <cellStyle name="_Percent_PLL_model v30" xfId="487" xr:uid="{00000000-0005-0000-0000-0000C1010000}"/>
    <cellStyle name="_Percent_pro_forma_model_paris" xfId="488" xr:uid="{00000000-0005-0000-0000-0000C2010000}"/>
    <cellStyle name="_Percent_pro_forma_model_paris_~6801188" xfId="489" xr:uid="{00000000-0005-0000-0000-0000C3010000}"/>
    <cellStyle name="_Percent_pro_forma_model_paris_Andina Model v1" xfId="490" xr:uid="{00000000-0005-0000-0000-0000C4010000}"/>
    <cellStyle name="_Percent_pro_forma_model_paris_Comps 9 24 2009 v2" xfId="491" xr:uid="{00000000-0005-0000-0000-0000C5010000}"/>
    <cellStyle name="_Percent_pro_forma_model_paris_CRG Jr Assoc_valuation model v4" xfId="492" xr:uid="{00000000-0005-0000-0000-0000C6010000}"/>
    <cellStyle name="_Percent_pro_forma_model_paris_HUN projections v1.2" xfId="493" xr:uid="{00000000-0005-0000-0000-0000C7010000}"/>
    <cellStyle name="_Percent_pro_forma_model_paris_PLL_model v30" xfId="494" xr:uid="{00000000-0005-0000-0000-0000C8010000}"/>
    <cellStyle name="_Percent_pro_forma_model_paris_Rebuilt Mountaineer model v41" xfId="495" xr:uid="{00000000-0005-0000-0000-0000C9010000}"/>
    <cellStyle name="_Percent_pro_forma_model_paris_Summary of financial projections v6" xfId="496" xr:uid="{00000000-0005-0000-0000-0000CA010000}"/>
    <cellStyle name="_Percent_pro_forma_model_paris_Yaman profile backup" xfId="497" xr:uid="{00000000-0005-0000-0000-0000CB010000}"/>
    <cellStyle name="_Percent_Rebuilt Mountaineer model v41" xfId="498" xr:uid="{00000000-0005-0000-0000-0000CC010000}"/>
    <cellStyle name="_Percent_Rebuilt Mountaineer model v41_Andina Model v1" xfId="499" xr:uid="{00000000-0005-0000-0000-0000CD010000}"/>
    <cellStyle name="_Percent_Rebuilt Mountaineer model v41_Comps 9 24 2009 v2" xfId="500" xr:uid="{00000000-0005-0000-0000-0000CE010000}"/>
    <cellStyle name="_Percent_Rebuilt Mountaineer model v41_Yaman profile backup" xfId="501" xr:uid="{00000000-0005-0000-0000-0000CF010000}"/>
    <cellStyle name="_Percent_Summary of financial projections v6" xfId="502" xr:uid="{00000000-0005-0000-0000-0000D0010000}"/>
    <cellStyle name="_PercentSpace" xfId="503" xr:uid="{00000000-0005-0000-0000-0000D1010000}"/>
    <cellStyle name="_PercentSpace_~6801188" xfId="504" xr:uid="{00000000-0005-0000-0000-0000D2010000}"/>
    <cellStyle name="_PercentSpace_Andina Model v1" xfId="505" xr:uid="{00000000-0005-0000-0000-0000D3010000}"/>
    <cellStyle name="_PercentSpace_Comps 9 24 2009 v2" xfId="506" xr:uid="{00000000-0005-0000-0000-0000D4010000}"/>
    <cellStyle name="_PercentSpace_CRG Jr Assoc_valuation model v4" xfId="507" xr:uid="{00000000-0005-0000-0000-0000D5010000}"/>
    <cellStyle name="_PercentSpace_HUN projections v1.2" xfId="508" xr:uid="{00000000-0005-0000-0000-0000D6010000}"/>
    <cellStyle name="_PercentSpace_PLL_model v30" xfId="509" xr:uid="{00000000-0005-0000-0000-0000D7010000}"/>
    <cellStyle name="_PercentSpace_pro_forma_model_paris" xfId="510" xr:uid="{00000000-0005-0000-0000-0000D8010000}"/>
    <cellStyle name="_PercentSpace_pro_forma_model_paris_~6801188" xfId="511" xr:uid="{00000000-0005-0000-0000-0000D9010000}"/>
    <cellStyle name="_PercentSpace_pro_forma_model_paris_Andina Model v1" xfId="512" xr:uid="{00000000-0005-0000-0000-0000DA010000}"/>
    <cellStyle name="_PercentSpace_pro_forma_model_paris_Comps 9 24 2009 v2" xfId="513" xr:uid="{00000000-0005-0000-0000-0000DB010000}"/>
    <cellStyle name="_PercentSpace_pro_forma_model_paris_CRG Jr Assoc_valuation model v4" xfId="514" xr:uid="{00000000-0005-0000-0000-0000DC010000}"/>
    <cellStyle name="_PercentSpace_pro_forma_model_paris_HUN projections v1.2" xfId="515" xr:uid="{00000000-0005-0000-0000-0000DD010000}"/>
    <cellStyle name="_PercentSpace_pro_forma_model_paris_PLL_model v30" xfId="516" xr:uid="{00000000-0005-0000-0000-0000DE010000}"/>
    <cellStyle name="_PercentSpace_pro_forma_model_paris_Rebuilt Mountaineer model v41" xfId="517" xr:uid="{00000000-0005-0000-0000-0000DF010000}"/>
    <cellStyle name="_PercentSpace_pro_forma_model_paris_Rebuilt Mountaineer model v41_Andina Model v1" xfId="518" xr:uid="{00000000-0005-0000-0000-0000E0010000}"/>
    <cellStyle name="_PercentSpace_pro_forma_model_paris_Rebuilt Mountaineer model v41_Comps 9 24 2009 v2" xfId="519" xr:uid="{00000000-0005-0000-0000-0000E1010000}"/>
    <cellStyle name="_PercentSpace_pro_forma_model_paris_Summary of financial projections v6" xfId="520" xr:uid="{00000000-0005-0000-0000-0000E2010000}"/>
    <cellStyle name="_PercentSpace_pro_forma_model_paris_Yaman profile backup" xfId="521" xr:uid="{00000000-0005-0000-0000-0000E3010000}"/>
    <cellStyle name="_PercentSpace_Rebuilt Mountaineer model v41" xfId="522" xr:uid="{00000000-0005-0000-0000-0000E4010000}"/>
    <cellStyle name="_PercentSpace_Summary of financial projections v6" xfId="523" xr:uid="{00000000-0005-0000-0000-0000E5010000}"/>
    <cellStyle name="_PercentSpace_Yaman profile backup" xfId="524" xr:uid="{00000000-0005-0000-0000-0000E6010000}"/>
    <cellStyle name="_PLL_model v30" xfId="525" xr:uid="{00000000-0005-0000-0000-0000E7010000}"/>
    <cellStyle name="_PLL_PEs" xfId="526" xr:uid="{00000000-0005-0000-0000-0000E8010000}"/>
    <cellStyle name="_Polymer LBO model v04.2" xfId="527" xr:uid="{00000000-0005-0000-0000-0000E9010000}"/>
    <cellStyle name="_Polymer merger model v12.0" xfId="528" xr:uid="{00000000-0005-0000-0000-0000EA010000}"/>
    <cellStyle name="_Power project" xfId="529" xr:uid="{00000000-0005-0000-0000-0000EB010000}"/>
    <cellStyle name="_Prima Buyers analysis" xfId="530" xr:uid="{00000000-0005-0000-0000-0000EC010000}"/>
    <cellStyle name="_Project Beam - Valuation model RL v0.1" xfId="531" xr:uid="{00000000-0005-0000-0000-0000ED010000}"/>
    <cellStyle name="_Project Echo main model1cf2447f" xfId="532" xr:uid="{00000000-0005-0000-0000-0000EE010000}"/>
    <cellStyle name="_Project Palmetto model v24.0" xfId="533" xr:uid="{00000000-0005-0000-0000-0000EF010000}"/>
    <cellStyle name="_Project Palmetto model v26.0" xfId="534" xr:uid="{00000000-0005-0000-0000-0000F0010000}"/>
    <cellStyle name="_Rebuilt Mountaineer model v41" xfId="535" xr:uid="{00000000-0005-0000-0000-0000F1010000}"/>
    <cellStyle name="_rel1[0.00]_１０月ＳＨＯＰ" xfId="536" xr:uid="{00000000-0005-0000-0000-0000F2010000}"/>
    <cellStyle name="_ROCK LBO 1.2" xfId="537" xr:uid="{00000000-0005-0000-0000-0000F3010000}"/>
    <cellStyle name="_RS-JOR Acc-Dil Nov 05 v1.5" xfId="538" xr:uid="{00000000-0005-0000-0000-0000F4010000}"/>
    <cellStyle name="_SHLM master data v07" xfId="539" xr:uid="{00000000-0005-0000-0000-0000F5010000}"/>
    <cellStyle name="_Silver Trading Comps (09-30-06) vAutomated" xfId="540" xr:uid="{00000000-0005-0000-0000-0000F6010000}"/>
    <cellStyle name="_Snake chart EPS v3" xfId="541" xr:uid="{00000000-0005-0000-0000-0000F7010000}"/>
    <cellStyle name="_Steel Comps - Master" xfId="542" xr:uid="{00000000-0005-0000-0000-0000F8010000}"/>
    <cellStyle name="_Stock and PE Charts v3" xfId="543" xr:uid="{00000000-0005-0000-0000-0000F9010000}"/>
    <cellStyle name="_Stock Data Template V2" xfId="544" xr:uid="{00000000-0005-0000-0000-0000FA010000}"/>
    <cellStyle name="_Stock Graphs v1.0" xfId="545" xr:uid="{00000000-0005-0000-0000-0000FB010000}"/>
    <cellStyle name="_SubHeading" xfId="546" xr:uid="{00000000-0005-0000-0000-0000FC010000}"/>
    <cellStyle name="_Summary Model 2003-2005 with cashflow (no roll)" xfId="547" xr:uid="{00000000-0005-0000-0000-0000FD010000}"/>
    <cellStyle name="_Summary of financial projections v6" xfId="548" xr:uid="{00000000-0005-0000-0000-0000FE010000}"/>
    <cellStyle name="_Table" xfId="549" xr:uid="{00000000-0005-0000-0000-0000FF010000}"/>
    <cellStyle name="_TableHead" xfId="550" xr:uid="{00000000-0005-0000-0000-000000020000}"/>
    <cellStyle name="_TableRowHead" xfId="551" xr:uid="{00000000-0005-0000-0000-000001020000}"/>
    <cellStyle name="_TableSuperHead" xfId="552" xr:uid="{00000000-0005-0000-0000-000002020000}"/>
    <cellStyle name="_Telekomunikácie" xfId="553" xr:uid="{00000000-0005-0000-0000-000003020000}"/>
    <cellStyle name="_Telekomunikácie_IKE Manangement Forecast and Valuation_March 2004" xfId="554" xr:uid="{00000000-0005-0000-0000-000004020000}"/>
    <cellStyle name="_Telekomunikácie-99" xfId="555" xr:uid="{00000000-0005-0000-0000-000005020000}"/>
    <cellStyle name="_Telekomunikácie-b" xfId="556" xr:uid="{00000000-0005-0000-0000-000006020000}"/>
    <cellStyle name="_Telekomunikácie-b_IKE Manangement Forecast and Valuation_March 2004" xfId="557" xr:uid="{00000000-0005-0000-0000-000007020000}"/>
    <cellStyle name="_Telekomunikácie-Q" xfId="558" xr:uid="{00000000-0005-0000-0000-000008020000}"/>
    <cellStyle name="_Telekomunikácie-Q_IKE Manangement Forecast and Valuation_March 2004" xfId="559" xr:uid="{00000000-0005-0000-0000-000009020000}"/>
    <cellStyle name="_TiO2 model v03.0" xfId="560" xr:uid="{00000000-0005-0000-0000-00000A020000}"/>
    <cellStyle name="_Trading Comps (11-11-05) v1" xfId="561" xr:uid="{00000000-0005-0000-0000-00000B020000}"/>
    <cellStyle name="_Transaction alalysis" xfId="562" xr:uid="{00000000-0005-0000-0000-00000C020000}"/>
    <cellStyle name="_TSEM Comps" xfId="563" xr:uid="{00000000-0005-0000-0000-00000D020000}"/>
    <cellStyle name="_USA_EMI August 4 2004a" xfId="564" xr:uid="{00000000-0005-0000-0000-00000E020000}"/>
    <cellStyle name="_Utah valuation v01.6" xfId="565" xr:uid="{00000000-0005-0000-0000-00000F020000}"/>
    <cellStyle name="_Verizon Vodafone Put v16" xfId="566" xr:uid="{00000000-0005-0000-0000-000010020000}"/>
    <cellStyle name="_Version 159.2" xfId="567" xr:uid="{00000000-0005-0000-0000-000011020000}"/>
    <cellStyle name="_Viper valuation model.v13" xfId="568" xr:uid="{00000000-0005-0000-0000-000012020000}"/>
    <cellStyle name="_Vulcan v10" xfId="569" xr:uid="{00000000-0005-0000-0000-000013020000}"/>
    <cellStyle name="_VZaS" xfId="570" xr:uid="{00000000-0005-0000-0000-000014020000}"/>
    <cellStyle name="_Yaman profile backup" xfId="571" xr:uid="{00000000-0005-0000-0000-000015020000}"/>
    <cellStyle name="£ BP" xfId="572" xr:uid="{00000000-0005-0000-0000-000016020000}"/>
    <cellStyle name="¥ JY" xfId="573" xr:uid="{00000000-0005-0000-0000-000017020000}"/>
    <cellStyle name="=C:\WINNT\SYSTEM32\COMMAND.COM" xfId="574" xr:uid="{00000000-0005-0000-0000-000018020000}"/>
    <cellStyle name="•W€_GE 3 MINIMUM" xfId="575" xr:uid="{00000000-0005-0000-0000-000019020000}"/>
    <cellStyle name="•W_GE 3 MINIMUM" xfId="576" xr:uid="{00000000-0005-0000-0000-00001A020000}"/>
    <cellStyle name="0" xfId="577" xr:uid="{00000000-0005-0000-0000-00001B020000}"/>
    <cellStyle name="0%" xfId="578" xr:uid="{00000000-0005-0000-0000-00001C020000}"/>
    <cellStyle name="0,0_x000d__x000a_NA_x000d__x000a_" xfId="579" xr:uid="{00000000-0005-0000-0000-00001D020000}"/>
    <cellStyle name="0.0" xfId="580" xr:uid="{00000000-0005-0000-0000-00001E020000}"/>
    <cellStyle name="0.0%" xfId="581" xr:uid="{00000000-0005-0000-0000-00001F020000}"/>
    <cellStyle name="0.00" xfId="582" xr:uid="{00000000-0005-0000-0000-000020020000}"/>
    <cellStyle name="0.00%" xfId="583" xr:uid="{00000000-0005-0000-0000-000021020000}"/>
    <cellStyle name="0_APOL model (09.07.07)v21.0" xfId="584" xr:uid="{00000000-0005-0000-0000-000022020000}"/>
    <cellStyle name="0_Backup v 4" xfId="585" xr:uid="{00000000-0005-0000-0000-000023020000}"/>
    <cellStyle name="0_Black Hawk Down redux" xfId="586" xr:uid="{00000000-0005-0000-0000-000024020000}"/>
    <cellStyle name="0_Book4" xfId="587" xr:uid="{00000000-0005-0000-0000-000025020000}"/>
    <cellStyle name="0_CR v2" xfId="588" xr:uid="{00000000-0005-0000-0000-000026020000}"/>
    <cellStyle name="0_HYNI Trading Comps v28" xfId="589" xr:uid="{00000000-0005-0000-0000-000027020000}"/>
    <cellStyle name="0_JPM Vulcan v34" xfId="590" xr:uid="{00000000-0005-0000-0000-000028020000}"/>
    <cellStyle name="0_Kaiser 270 v41" xfId="591" xr:uid="{00000000-0005-0000-0000-000029020000}"/>
    <cellStyle name="0_Lincoln model v5" xfId="592" xr:uid="{00000000-0005-0000-0000-00002A020000}"/>
    <cellStyle name="0_Multi_industry_comps v5" xfId="593" xr:uid="{00000000-0005-0000-0000-00002B020000}"/>
    <cellStyle name="0_PBI Comps and Market" xfId="594" xr:uid="{00000000-0005-0000-0000-00002C020000}"/>
    <cellStyle name="0_PLL_model v30" xfId="595" xr:uid="{00000000-0005-0000-0000-00002D020000}"/>
    <cellStyle name="0_Power project" xfId="596" xr:uid="{00000000-0005-0000-0000-00002E020000}"/>
    <cellStyle name="0_Silver Trading Comps (09-30-06) vAutomated" xfId="597" xr:uid="{00000000-0005-0000-0000-00002F020000}"/>
    <cellStyle name="0_Trading comps, PMO, AVP and acc dil model" xfId="598" xr:uid="{00000000-0005-0000-0000-000030020000}"/>
    <cellStyle name="0_Vulcan v10" xfId="599" xr:uid="{00000000-0005-0000-0000-000031020000}"/>
    <cellStyle name="0_Yaman profile backup" xfId="600" xr:uid="{00000000-0005-0000-0000-000032020000}"/>
    <cellStyle name="0IsBlank" xfId="601" xr:uid="{00000000-0005-0000-0000-000033020000}"/>
    <cellStyle name="1,comma" xfId="602" xr:uid="{00000000-0005-0000-0000-000034020000}"/>
    <cellStyle name="10d0_SGNAYTD" xfId="603" xr:uid="{00000000-0005-0000-0000-000035020000}"/>
    <cellStyle name="10Q" xfId="604" xr:uid="{00000000-0005-0000-0000-000036020000}"/>
    <cellStyle name="10Q 2" xfId="2474" xr:uid="{00000000-0005-0000-0000-000037020000}"/>
    <cellStyle name="1dec" xfId="605" xr:uid="{00000000-0005-0000-0000-000038020000}"/>
    <cellStyle name="2 Decimal Places" xfId="606" xr:uid="{00000000-0005-0000-0000-000039020000}"/>
    <cellStyle name="20% - Accent1" xfId="608" builtinId="30" customBuiltin="1"/>
    <cellStyle name="20% - Accent2" xfId="611" builtinId="34" customBuiltin="1"/>
    <cellStyle name="20% - Accent3" xfId="614" builtinId="38" customBuiltin="1"/>
    <cellStyle name="20% - Accent4" xfId="617" builtinId="42" customBuiltin="1"/>
    <cellStyle name="20% - Accent5" xfId="620" builtinId="46" customBuiltin="1"/>
    <cellStyle name="20% - Accent6" xfId="623" builtinId="50" customBuiltin="1"/>
    <cellStyle name="40% - Accent1" xfId="609" builtinId="31" customBuiltin="1"/>
    <cellStyle name="40% - Accent2" xfId="612" builtinId="35" customBuiltin="1"/>
    <cellStyle name="40% - Accent3" xfId="615" builtinId="39" customBuiltin="1"/>
    <cellStyle name="40% - Accent4" xfId="618" builtinId="43" customBuiltin="1"/>
    <cellStyle name="40% - Accent5" xfId="621" builtinId="47" customBuiltin="1"/>
    <cellStyle name="40% - Accent6" xfId="624" builtinId="51" customBuiltin="1"/>
    <cellStyle name="60% - Accent1" xfId="610" builtinId="32" customBuiltin="1"/>
    <cellStyle name="60% - Accent2" xfId="613" builtinId="36" customBuiltin="1"/>
    <cellStyle name="60% - Accent3" xfId="616" builtinId="40" customBuiltin="1"/>
    <cellStyle name="60% - Accent4" xfId="619" builtinId="44" customBuiltin="1"/>
    <cellStyle name="60% - Accent5" xfId="622" builtinId="48" customBuiltin="1"/>
    <cellStyle name="60% - Accent6" xfId="625" builtinId="52" customBuiltin="1"/>
    <cellStyle name="752131" xfId="607" xr:uid="{00000000-0005-0000-0000-00004C020000}"/>
    <cellStyle name="Accent1" xfId="1" builtinId="29" customBuiltin="1"/>
    <cellStyle name="Accent1 - 20%" xfId="2504" xr:uid="{00000000-0005-0000-0000-00004E020000}"/>
    <cellStyle name="Accent1 - 40%" xfId="2505" xr:uid="{00000000-0005-0000-0000-00004F020000}"/>
    <cellStyle name="Accent1 - 60%" xfId="2506" xr:uid="{00000000-0005-0000-0000-000050020000}"/>
    <cellStyle name="Accent2" xfId="2" builtinId="33" customBuiltin="1"/>
    <cellStyle name="Accent2 - 20%" xfId="2507" xr:uid="{00000000-0005-0000-0000-000052020000}"/>
    <cellStyle name="Accent2 - 40%" xfId="2508" xr:uid="{00000000-0005-0000-0000-000053020000}"/>
    <cellStyle name="Accent2 - 60%" xfId="2509" xr:uid="{00000000-0005-0000-0000-000054020000}"/>
    <cellStyle name="Accent3" xfId="3" builtinId="37" customBuiltin="1"/>
    <cellStyle name="Accent3 - 20%" xfId="2510" xr:uid="{00000000-0005-0000-0000-000056020000}"/>
    <cellStyle name="Accent3 - 40%" xfId="2511" xr:uid="{00000000-0005-0000-0000-000057020000}"/>
    <cellStyle name="Accent3 - 60%" xfId="2512" xr:uid="{00000000-0005-0000-0000-000058020000}"/>
    <cellStyle name="Accent4" xfId="4" builtinId="41" customBuiltin="1"/>
    <cellStyle name="Accent4 - 20%" xfId="2513" xr:uid="{00000000-0005-0000-0000-00005A020000}"/>
    <cellStyle name="Accent4 - 40%" xfId="2514" xr:uid="{00000000-0005-0000-0000-00005B020000}"/>
    <cellStyle name="Accent4 - 60%" xfId="2515" xr:uid="{00000000-0005-0000-0000-00005C020000}"/>
    <cellStyle name="Accent5" xfId="5" builtinId="45" customBuiltin="1"/>
    <cellStyle name="Accent5 - 20%" xfId="2516" xr:uid="{00000000-0005-0000-0000-00005E020000}"/>
    <cellStyle name="Accent5 - 40%" xfId="2517" xr:uid="{00000000-0005-0000-0000-00005F020000}"/>
    <cellStyle name="Accent5 - 60%" xfId="2518" xr:uid="{00000000-0005-0000-0000-000060020000}"/>
    <cellStyle name="Accent6" xfId="6" builtinId="49" customBuiltin="1"/>
    <cellStyle name="Accent6 - 20%" xfId="2519" xr:uid="{00000000-0005-0000-0000-000062020000}"/>
    <cellStyle name="Accent6 - 40%" xfId="2520" xr:uid="{00000000-0005-0000-0000-000063020000}"/>
    <cellStyle name="Accent6 - 60%" xfId="2521" xr:uid="{00000000-0005-0000-0000-000064020000}"/>
    <cellStyle name="Accounting w/$" xfId="626" xr:uid="{00000000-0005-0000-0000-000065020000}"/>
    <cellStyle name="Accounting w/$ Total" xfId="627" xr:uid="{00000000-0005-0000-0000-000066020000}"/>
    <cellStyle name="Accounting w/o $" xfId="628" xr:uid="{00000000-0005-0000-0000-000067020000}"/>
    <cellStyle name="Acctg" xfId="629" xr:uid="{00000000-0005-0000-0000-000068020000}"/>
    <cellStyle name="Acctg$" xfId="630" xr:uid="{00000000-0005-0000-0000-000069020000}"/>
    <cellStyle name="Acctg_8th Continent v04.0" xfId="631" xr:uid="{00000000-0005-0000-0000-00006A020000}"/>
    <cellStyle name="Accy [0]" xfId="632" xr:uid="{00000000-0005-0000-0000-00006B020000}"/>
    <cellStyle name="Accy [1]" xfId="633" xr:uid="{00000000-0005-0000-0000-00006C020000}"/>
    <cellStyle name="Accy [2]" xfId="634" xr:uid="{00000000-0005-0000-0000-00006D020000}"/>
    <cellStyle name="Accy$ [0]" xfId="635" xr:uid="{00000000-0005-0000-0000-00006E020000}"/>
    <cellStyle name="Accy$ [1]" xfId="636" xr:uid="{00000000-0005-0000-0000-00006F020000}"/>
    <cellStyle name="Accy$ [2]" xfId="637" xr:uid="{00000000-0005-0000-0000-000070020000}"/>
    <cellStyle name="Acquisition" xfId="638" xr:uid="{00000000-0005-0000-0000-000071020000}"/>
    <cellStyle name="Across" xfId="7" xr:uid="{00000000-0005-0000-0000-000072020000}"/>
    <cellStyle name="active" xfId="639" xr:uid="{00000000-0005-0000-0000-000073020000}"/>
    <cellStyle name="Actual" xfId="640" xr:uid="{00000000-0005-0000-0000-000074020000}"/>
    <cellStyle name="Actual 2" xfId="2475" xr:uid="{00000000-0005-0000-0000-000075020000}"/>
    <cellStyle name="Actual Date" xfId="641" xr:uid="{00000000-0005-0000-0000-000076020000}"/>
    <cellStyle name="Actual_~6801188" xfId="642" xr:uid="{00000000-0005-0000-0000-000077020000}"/>
    <cellStyle name="adj_share" xfId="643" xr:uid="{00000000-0005-0000-0000-000078020000}"/>
    <cellStyle name="Adjusted" xfId="644" xr:uid="{00000000-0005-0000-0000-000079020000}"/>
    <cellStyle name="Adjusted 2" xfId="2476" xr:uid="{00000000-0005-0000-0000-00007A020000}"/>
    <cellStyle name="AFE" xfId="645" xr:uid="{00000000-0005-0000-0000-00007B020000}"/>
    <cellStyle name="Afjusted" xfId="646" xr:uid="{00000000-0005-0000-0000-00007C020000}"/>
    <cellStyle name="alternate" xfId="647" xr:uid="{00000000-0005-0000-0000-00007D020000}"/>
    <cellStyle name="Annualized" xfId="648" xr:uid="{00000000-0005-0000-0000-00007E020000}"/>
    <cellStyle name="apex in the pool, need to include if construct to handle -ve construct_x0001__x000f_" xfId="649" xr:uid="{00000000-0005-0000-0000-00007F020000}"/>
    <cellStyle name="AREATITLE" xfId="650" xr:uid="{00000000-0005-0000-0000-000080020000}"/>
    <cellStyle name="args.style" xfId="651" xr:uid="{00000000-0005-0000-0000-000081020000}"/>
    <cellStyle name="Array" xfId="652" xr:uid="{00000000-0005-0000-0000-000082020000}"/>
    <cellStyle name="Array Enter" xfId="653" xr:uid="{00000000-0005-0000-0000-000083020000}"/>
    <cellStyle name="Assumption" xfId="654" xr:uid="{00000000-0005-0000-0000-000084020000}"/>
    <cellStyle name="Assumption $" xfId="655" xr:uid="{00000000-0005-0000-0000-000085020000}"/>
    <cellStyle name="Assumption [#]" xfId="656" xr:uid="{00000000-0005-0000-0000-000086020000}"/>
    <cellStyle name="Assumption [%]" xfId="657" xr:uid="{00000000-0005-0000-0000-000087020000}"/>
    <cellStyle name="Assumption [x]" xfId="658" xr:uid="{00000000-0005-0000-0000-000088020000}"/>
    <cellStyle name="Assumption_~3934249" xfId="659" xr:uid="{00000000-0005-0000-0000-000089020000}"/>
    <cellStyle name="Assumption2" xfId="660" xr:uid="{00000000-0005-0000-0000-00008A020000}"/>
    <cellStyle name="Assumptions [#]" xfId="661" xr:uid="{00000000-0005-0000-0000-00008B020000}"/>
    <cellStyle name="Assumptns" xfId="662" xr:uid="{00000000-0005-0000-0000-00008C020000}"/>
    <cellStyle name="AutoFormat Options" xfId="663" xr:uid="{00000000-0005-0000-0000-00008D020000}"/>
    <cellStyle name="b" xfId="664" xr:uid="{00000000-0005-0000-0000-00008E020000}"/>
    <cellStyle name="b_Andina Model v1" xfId="665" xr:uid="{00000000-0005-0000-0000-00008F020000}"/>
    <cellStyle name="b_Comps 9 24 2009 v2" xfId="666" xr:uid="{00000000-0005-0000-0000-000090020000}"/>
    <cellStyle name="b_HUN projections v1.2" xfId="667" xr:uid="{00000000-0005-0000-0000-000091020000}"/>
    <cellStyle name="Background" xfId="668" xr:uid="{00000000-0005-0000-0000-000092020000}"/>
    <cellStyle name="Background 2" xfId="2522" xr:uid="{00000000-0005-0000-0000-000093020000}"/>
    <cellStyle name="Bad" xfId="8" builtinId="27" customBuiltin="1"/>
    <cellStyle name="Balance" xfId="669" xr:uid="{00000000-0005-0000-0000-000095020000}"/>
    <cellStyle name="BalanceSheet" xfId="670" xr:uid="{00000000-0005-0000-0000-000096020000}"/>
    <cellStyle name="Banner" xfId="671" xr:uid="{00000000-0005-0000-0000-000097020000}"/>
    <cellStyle name="black" xfId="672" xr:uid="{00000000-0005-0000-0000-000098020000}"/>
    <cellStyle name="black bar" xfId="673" xr:uid="{00000000-0005-0000-0000-000099020000}"/>
    <cellStyle name="Black Days" xfId="674" xr:uid="{00000000-0005-0000-0000-00009A020000}"/>
    <cellStyle name="Black Decimal" xfId="675" xr:uid="{00000000-0005-0000-0000-00009B020000}"/>
    <cellStyle name="Black Dollar" xfId="676" xr:uid="{00000000-0005-0000-0000-00009C020000}"/>
    <cellStyle name="Black Dollar 2" xfId="2523" xr:uid="{00000000-0005-0000-0000-00009D020000}"/>
    <cellStyle name="Black EPS" xfId="677" xr:uid="{00000000-0005-0000-0000-00009E020000}"/>
    <cellStyle name="Black Percent" xfId="678" xr:uid="{00000000-0005-0000-0000-00009F020000}"/>
    <cellStyle name="Black Percent2" xfId="679" xr:uid="{00000000-0005-0000-0000-0000A0020000}"/>
    <cellStyle name="Black Text" xfId="680" xr:uid="{00000000-0005-0000-0000-0000A1020000}"/>
    <cellStyle name="Black Text (No Wrap)" xfId="681" xr:uid="{00000000-0005-0000-0000-0000A2020000}"/>
    <cellStyle name="Black Text_accretion" xfId="682" xr:uid="{00000000-0005-0000-0000-0000A3020000}"/>
    <cellStyle name="Black Times" xfId="683" xr:uid="{00000000-0005-0000-0000-0000A4020000}"/>
    <cellStyle name="Black Times Two Deci" xfId="684" xr:uid="{00000000-0005-0000-0000-0000A5020000}"/>
    <cellStyle name="Black Times Two Deci2" xfId="685" xr:uid="{00000000-0005-0000-0000-0000A6020000}"/>
    <cellStyle name="Black Times_66nd03_" xfId="686" xr:uid="{00000000-0005-0000-0000-0000A7020000}"/>
    <cellStyle name="Black Times2" xfId="687" xr:uid="{00000000-0005-0000-0000-0000A8020000}"/>
    <cellStyle name="black_Andina Model v1" xfId="688" xr:uid="{00000000-0005-0000-0000-0000A9020000}"/>
    <cellStyle name="BlackText" xfId="689" xr:uid="{00000000-0005-0000-0000-0000AA020000}"/>
    <cellStyle name="BlackTitle" xfId="690" xr:uid="{00000000-0005-0000-0000-0000AB020000}"/>
    <cellStyle name="blakc" xfId="691" xr:uid="{00000000-0005-0000-0000-0000AC020000}"/>
    <cellStyle name="Blank" xfId="692" xr:uid="{00000000-0005-0000-0000-0000AD020000}"/>
    <cellStyle name="Blue" xfId="693" xr:uid="{00000000-0005-0000-0000-0000AE020000}"/>
    <cellStyle name="Blue Decimal" xfId="694" xr:uid="{00000000-0005-0000-0000-0000AF020000}"/>
    <cellStyle name="Blue Dollar" xfId="695" xr:uid="{00000000-0005-0000-0000-0000B0020000}"/>
    <cellStyle name="Blue EPS" xfId="696" xr:uid="{00000000-0005-0000-0000-0000B1020000}"/>
    <cellStyle name="blue font" xfId="697" xr:uid="{00000000-0005-0000-0000-0000B2020000}"/>
    <cellStyle name="Blue Table Text" xfId="698" xr:uid="{00000000-0005-0000-0000-0000B3020000}"/>
    <cellStyle name="Blue Text" xfId="699" xr:uid="{00000000-0005-0000-0000-0000B4020000}"/>
    <cellStyle name="Blue Text - Ariel 10" xfId="700" xr:uid="{00000000-0005-0000-0000-0000B5020000}"/>
    <cellStyle name="Blue Text_accretion" xfId="701" xr:uid="{00000000-0005-0000-0000-0000B6020000}"/>
    <cellStyle name="Blue Zero Deci" xfId="702" xr:uid="{00000000-0005-0000-0000-0000B7020000}"/>
    <cellStyle name="Blue_~5209286" xfId="703" xr:uid="{00000000-0005-0000-0000-0000B8020000}"/>
    <cellStyle name="bluenodec" xfId="704" xr:uid="{00000000-0005-0000-0000-0000B9020000}"/>
    <cellStyle name="bluepercent" xfId="705" xr:uid="{00000000-0005-0000-0000-0000BA020000}"/>
    <cellStyle name="Body" xfId="706" xr:uid="{00000000-0005-0000-0000-0000BB020000}"/>
    <cellStyle name="Bold Header" xfId="707" xr:uid="{00000000-0005-0000-0000-0000BC020000}"/>
    <cellStyle name="Bold/Border" xfId="708" xr:uid="{00000000-0005-0000-0000-0000BD020000}"/>
    <cellStyle name="Bold/Border 2" xfId="2477" xr:uid="{00000000-0005-0000-0000-0000BE020000}"/>
    <cellStyle name="Border" xfId="709" xr:uid="{00000000-0005-0000-0000-0000BF020000}"/>
    <cellStyle name="Border 2" xfId="2524" xr:uid="{00000000-0005-0000-0000-0000C0020000}"/>
    <cellStyle name="Border Heavy" xfId="710" xr:uid="{00000000-0005-0000-0000-0000C1020000}"/>
    <cellStyle name="Border Thin" xfId="711" xr:uid="{00000000-0005-0000-0000-0000C2020000}"/>
    <cellStyle name="border thin'" xfId="712" xr:uid="{00000000-0005-0000-0000-0000C3020000}"/>
    <cellStyle name="Border Thin_~6801188" xfId="713" xr:uid="{00000000-0005-0000-0000-0000C4020000}"/>
    <cellStyle name="border thin'_Andina Model v1" xfId="714" xr:uid="{00000000-0005-0000-0000-0000C5020000}"/>
    <cellStyle name="Border Thin_Comps 9 24 2009 v2" xfId="715" xr:uid="{00000000-0005-0000-0000-0000C6020000}"/>
    <cellStyle name="border thin'_Comps 9 24 2009 v2" xfId="716" xr:uid="{00000000-0005-0000-0000-0000C7020000}"/>
    <cellStyle name="border thni" xfId="717" xr:uid="{00000000-0005-0000-0000-0000C8020000}"/>
    <cellStyle name="Border1" xfId="718" xr:uid="{00000000-0005-0000-0000-0000C9020000}"/>
    <cellStyle name="Border2" xfId="719" xr:uid="{00000000-0005-0000-0000-0000CA020000}"/>
    <cellStyle name="Border3" xfId="720" xr:uid="{00000000-0005-0000-0000-0000CB020000}"/>
    <cellStyle name="bot" xfId="721" xr:uid="{00000000-0005-0000-0000-0000CC020000}"/>
    <cellStyle name="bot 2" xfId="2478" xr:uid="{00000000-0005-0000-0000-0000CD020000}"/>
    <cellStyle name="Bottom" xfId="9" xr:uid="{00000000-0005-0000-0000-0000CE020000}"/>
    <cellStyle name="Bottom 2" xfId="2473" xr:uid="{00000000-0005-0000-0000-0000CF020000}"/>
    <cellStyle name="Bottom Edge" xfId="722" xr:uid="{00000000-0005-0000-0000-0000D0020000}"/>
    <cellStyle name="Bottom Edge 2" xfId="2525" xr:uid="{00000000-0005-0000-0000-0000D1020000}"/>
    <cellStyle name="Bottom Edge 2 2" xfId="2526" xr:uid="{00000000-0005-0000-0000-0000D2020000}"/>
    <cellStyle name="BottomBorder" xfId="723" xr:uid="{00000000-0005-0000-0000-0000D3020000}"/>
    <cellStyle name="BottomBorder 2" xfId="2479" xr:uid="{00000000-0005-0000-0000-0000D4020000}"/>
    <cellStyle name="bp" xfId="724" xr:uid="{00000000-0005-0000-0000-0000D5020000}"/>
    <cellStyle name="bp--" xfId="725" xr:uid="{00000000-0005-0000-0000-0000D6020000}"/>
    <cellStyle name="bp_Alro accretion-dilutionv1 - rev'd MA" xfId="726" xr:uid="{00000000-0005-0000-0000-0000D7020000}"/>
    <cellStyle name="bp--_Andina Model v1" xfId="727" xr:uid="{00000000-0005-0000-0000-0000D8020000}"/>
    <cellStyle name="Bracket 0 Decimal calc" xfId="728" xr:uid="{00000000-0005-0000-0000-0000D9020000}"/>
    <cellStyle name="Bracket 0 Decimal Input" xfId="729" xr:uid="{00000000-0005-0000-0000-0000DA020000}"/>
    <cellStyle name="Bracket 2 Decimal calc" xfId="730" xr:uid="{00000000-0005-0000-0000-0000DB020000}"/>
    <cellStyle name="Bracket 2 Decimal input" xfId="731" xr:uid="{00000000-0005-0000-0000-0000DC020000}"/>
    <cellStyle name="Bullet" xfId="732" xr:uid="{00000000-0005-0000-0000-0000DD020000}"/>
    <cellStyle name="Business Description" xfId="733" xr:uid="{00000000-0005-0000-0000-0000DE020000}"/>
    <cellStyle name="c" xfId="734" xr:uid="{00000000-0005-0000-0000-0000DF020000}"/>
    <cellStyle name="C00A" xfId="735" xr:uid="{00000000-0005-0000-0000-0000E0020000}"/>
    <cellStyle name="C00B" xfId="736" xr:uid="{00000000-0005-0000-0000-0000E1020000}"/>
    <cellStyle name="C00L" xfId="737" xr:uid="{00000000-0005-0000-0000-0000E2020000}"/>
    <cellStyle name="C01A" xfId="738" xr:uid="{00000000-0005-0000-0000-0000E3020000}"/>
    <cellStyle name="C01B" xfId="739" xr:uid="{00000000-0005-0000-0000-0000E4020000}"/>
    <cellStyle name="C01H" xfId="740" xr:uid="{00000000-0005-0000-0000-0000E5020000}"/>
    <cellStyle name="C01L" xfId="741" xr:uid="{00000000-0005-0000-0000-0000E6020000}"/>
    <cellStyle name="C02A" xfId="742" xr:uid="{00000000-0005-0000-0000-0000E7020000}"/>
    <cellStyle name="C02A 2" xfId="2527" xr:uid="{00000000-0005-0000-0000-0000E8020000}"/>
    <cellStyle name="C02B" xfId="743" xr:uid="{00000000-0005-0000-0000-0000E9020000}"/>
    <cellStyle name="C02H" xfId="744" xr:uid="{00000000-0005-0000-0000-0000EA020000}"/>
    <cellStyle name="C02L" xfId="745" xr:uid="{00000000-0005-0000-0000-0000EB020000}"/>
    <cellStyle name="C03A" xfId="746" xr:uid="{00000000-0005-0000-0000-0000EC020000}"/>
    <cellStyle name="C03B" xfId="747" xr:uid="{00000000-0005-0000-0000-0000ED020000}"/>
    <cellStyle name="C03H" xfId="748" xr:uid="{00000000-0005-0000-0000-0000EE020000}"/>
    <cellStyle name="C03L" xfId="749" xr:uid="{00000000-0005-0000-0000-0000EF020000}"/>
    <cellStyle name="C04A" xfId="750" xr:uid="{00000000-0005-0000-0000-0000F0020000}"/>
    <cellStyle name="C04B" xfId="751" xr:uid="{00000000-0005-0000-0000-0000F1020000}"/>
    <cellStyle name="C04H" xfId="752" xr:uid="{00000000-0005-0000-0000-0000F2020000}"/>
    <cellStyle name="C04L" xfId="753" xr:uid="{00000000-0005-0000-0000-0000F3020000}"/>
    <cellStyle name="C05A" xfId="754" xr:uid="{00000000-0005-0000-0000-0000F4020000}"/>
    <cellStyle name="C05B" xfId="755" xr:uid="{00000000-0005-0000-0000-0000F5020000}"/>
    <cellStyle name="C05H" xfId="756" xr:uid="{00000000-0005-0000-0000-0000F6020000}"/>
    <cellStyle name="C05L" xfId="757" xr:uid="{00000000-0005-0000-0000-0000F7020000}"/>
    <cellStyle name="C06A" xfId="758" xr:uid="{00000000-0005-0000-0000-0000F8020000}"/>
    <cellStyle name="C06B" xfId="759" xr:uid="{00000000-0005-0000-0000-0000F9020000}"/>
    <cellStyle name="C06H" xfId="760" xr:uid="{00000000-0005-0000-0000-0000FA020000}"/>
    <cellStyle name="C06L" xfId="761" xr:uid="{00000000-0005-0000-0000-0000FB020000}"/>
    <cellStyle name="C07A" xfId="762" xr:uid="{00000000-0005-0000-0000-0000FC020000}"/>
    <cellStyle name="C07B" xfId="763" xr:uid="{00000000-0005-0000-0000-0000FD020000}"/>
    <cellStyle name="C07H" xfId="764" xr:uid="{00000000-0005-0000-0000-0000FE020000}"/>
    <cellStyle name="C07L" xfId="765" xr:uid="{00000000-0005-0000-0000-0000FF020000}"/>
    <cellStyle name="CAD" xfId="766" xr:uid="{00000000-0005-0000-0000-000000030000}"/>
    <cellStyle name="Calc" xfId="767" xr:uid="{00000000-0005-0000-0000-000001030000}"/>
    <cellStyle name="Calc Currency (0)" xfId="768" xr:uid="{00000000-0005-0000-0000-000002030000}"/>
    <cellStyle name="Calc Currency (2)" xfId="769" xr:uid="{00000000-0005-0000-0000-000003030000}"/>
    <cellStyle name="Calc Percent (0)" xfId="770" xr:uid="{00000000-0005-0000-0000-000004030000}"/>
    <cellStyle name="Calc Percent (1)" xfId="771" xr:uid="{00000000-0005-0000-0000-000005030000}"/>
    <cellStyle name="Calc Percent (2)" xfId="772" xr:uid="{00000000-0005-0000-0000-000006030000}"/>
    <cellStyle name="Calc Units (0)" xfId="773" xr:uid="{00000000-0005-0000-0000-000007030000}"/>
    <cellStyle name="Calc Units (1)" xfId="774" xr:uid="{00000000-0005-0000-0000-000008030000}"/>
    <cellStyle name="Calc Units (2)" xfId="775" xr:uid="{00000000-0005-0000-0000-000009030000}"/>
    <cellStyle name="Calc_~6801188" xfId="776" xr:uid="{00000000-0005-0000-0000-00000A030000}"/>
    <cellStyle name="Calculation" xfId="10" builtinId="22" customBuiltin="1"/>
    <cellStyle name="Calculation 2" xfId="2528" xr:uid="{00000000-0005-0000-0000-00000C030000}"/>
    <cellStyle name="Calculation 2 2" xfId="2529" xr:uid="{00000000-0005-0000-0000-00000D030000}"/>
    <cellStyle name="Caleb header" xfId="777" xr:uid="{00000000-0005-0000-0000-00000E030000}"/>
    <cellStyle name="Cambiar to&amp;do" xfId="778" xr:uid="{00000000-0005-0000-0000-00000F030000}"/>
    <cellStyle name="čárky_tw inco1" xfId="779" xr:uid="{00000000-0005-0000-0000-000010030000}"/>
    <cellStyle name="Cash Flow Statement" xfId="780" xr:uid="{00000000-0005-0000-0000-000011030000}"/>
    <cellStyle name="CashFlow" xfId="781" xr:uid="{00000000-0005-0000-0000-000012030000}"/>
    <cellStyle name="category" xfId="782" xr:uid="{00000000-0005-0000-0000-000013030000}"/>
    <cellStyle name="CAUSE" xfId="783" xr:uid="{00000000-0005-0000-0000-000014030000}"/>
    <cellStyle name="cell1" xfId="784" xr:uid="{00000000-0005-0000-0000-000015030000}"/>
    <cellStyle name="Center" xfId="11" xr:uid="{00000000-0005-0000-0000-000016030000}"/>
    <cellStyle name="Centered Heading" xfId="785" xr:uid="{00000000-0005-0000-0000-000017030000}"/>
    <cellStyle name="Cents" xfId="786" xr:uid="{00000000-0005-0000-0000-000018030000}"/>
    <cellStyle name="Change" xfId="787" xr:uid="{00000000-0005-0000-0000-000019030000}"/>
    <cellStyle name="Changeable" xfId="788" xr:uid="{00000000-0005-0000-0000-00001A030000}"/>
    <cellStyle name="Chart/Table Title" xfId="789" xr:uid="{00000000-0005-0000-0000-00001B030000}"/>
    <cellStyle name="Check" xfId="790" xr:uid="{00000000-0005-0000-0000-00001C030000}"/>
    <cellStyle name="Check Cell" xfId="12" builtinId="23" customBuiltin="1"/>
    <cellStyle name="Clear" xfId="791" xr:uid="{00000000-0005-0000-0000-00001E030000}"/>
    <cellStyle name="ClearBorders" xfId="792" xr:uid="{00000000-0005-0000-0000-00001F030000}"/>
    <cellStyle name="Co. Names" xfId="793" xr:uid="{00000000-0005-0000-0000-000020030000}"/>
    <cellStyle name="ColHeading" xfId="794" xr:uid="{00000000-0005-0000-0000-000021030000}"/>
    <cellStyle name="colheadleft" xfId="795" xr:uid="{00000000-0005-0000-0000-000022030000}"/>
    <cellStyle name="colheadright" xfId="796" xr:uid="{00000000-0005-0000-0000-000023030000}"/>
    <cellStyle name="colheadright 2" xfId="2480" xr:uid="{00000000-0005-0000-0000-000024030000}"/>
    <cellStyle name="column1" xfId="797" xr:uid="{00000000-0005-0000-0000-000025030000}"/>
    <cellStyle name="column1Big" xfId="798" xr:uid="{00000000-0005-0000-0000-000026030000}"/>
    <cellStyle name="column1Date" xfId="799" xr:uid="{00000000-0005-0000-0000-000027030000}"/>
    <cellStyle name="column2Date" xfId="800" xr:uid="{00000000-0005-0000-0000-000028030000}"/>
    <cellStyle name="column2Date 2" xfId="2481" xr:uid="{00000000-0005-0000-0000-000029030000}"/>
    <cellStyle name="Com - Zero (0)" xfId="801" xr:uid="{00000000-0005-0000-0000-00002A030000}"/>
    <cellStyle name="coma" xfId="802" xr:uid="{00000000-0005-0000-0000-00002B030000}"/>
    <cellStyle name="coma1" xfId="803" xr:uid="{00000000-0005-0000-0000-00002C030000}"/>
    <cellStyle name="Comma" xfId="13" builtinId="3"/>
    <cellStyle name="Comma  - Style1" xfId="804" xr:uid="{00000000-0005-0000-0000-00002E030000}"/>
    <cellStyle name="Comma  - Style2" xfId="805" xr:uid="{00000000-0005-0000-0000-00002F030000}"/>
    <cellStyle name="Comma  - Style3" xfId="806" xr:uid="{00000000-0005-0000-0000-000030030000}"/>
    <cellStyle name="Comma  - Style4" xfId="807" xr:uid="{00000000-0005-0000-0000-000031030000}"/>
    <cellStyle name="Comma  - Style5" xfId="808" xr:uid="{00000000-0005-0000-0000-000032030000}"/>
    <cellStyle name="Comma  - Style6" xfId="809" xr:uid="{00000000-0005-0000-0000-000033030000}"/>
    <cellStyle name="Comma  - Style7" xfId="810" xr:uid="{00000000-0005-0000-0000-000034030000}"/>
    <cellStyle name="Comma  - Style8" xfId="811" xr:uid="{00000000-0005-0000-0000-000035030000}"/>
    <cellStyle name="Comma %" xfId="812" xr:uid="{00000000-0005-0000-0000-000036030000}"/>
    <cellStyle name="Comma (0)" xfId="813" xr:uid="{00000000-0005-0000-0000-000037030000}"/>
    <cellStyle name="Comma (1)" xfId="814" xr:uid="{00000000-0005-0000-0000-000038030000}"/>
    <cellStyle name="Comma (2)" xfId="815" xr:uid="{00000000-0005-0000-0000-000039030000}"/>
    <cellStyle name="Comma (4)" xfId="816" xr:uid="{00000000-0005-0000-0000-00003A030000}"/>
    <cellStyle name="Comma [0.0]" xfId="817" xr:uid="{00000000-0005-0000-0000-00003B030000}"/>
    <cellStyle name="Comma [0] - Credits" xfId="818" xr:uid="{00000000-0005-0000-0000-00003C030000}"/>
    <cellStyle name="Comma [0] - Debits" xfId="819" xr:uid="{00000000-0005-0000-0000-00003D030000}"/>
    <cellStyle name="Comma [0] 2" xfId="2615" xr:uid="{3CCB5F8C-7C5C-4EA2-8CE4-10F56DDAA29E}"/>
    <cellStyle name="Comma [00]" xfId="820" xr:uid="{00000000-0005-0000-0000-00003E030000}"/>
    <cellStyle name="Comma [1]" xfId="821" xr:uid="{00000000-0005-0000-0000-00003F030000}"/>
    <cellStyle name="Comma 0" xfId="822" xr:uid="{00000000-0005-0000-0000-000040030000}"/>
    <cellStyle name="Comma 0*" xfId="823" xr:uid="{00000000-0005-0000-0000-000041030000}"/>
    <cellStyle name="Comma 0.0" xfId="824" xr:uid="{00000000-0005-0000-0000-000042030000}"/>
    <cellStyle name="Comma 0.0%" xfId="825" xr:uid="{00000000-0005-0000-0000-000043030000}"/>
    <cellStyle name="Comma 0.0_~6801188" xfId="826" xr:uid="{00000000-0005-0000-0000-000044030000}"/>
    <cellStyle name="Comma 0.00" xfId="827" xr:uid="{00000000-0005-0000-0000-000045030000}"/>
    <cellStyle name="Comma 0.00%" xfId="828" xr:uid="{00000000-0005-0000-0000-000046030000}"/>
    <cellStyle name="Comma 0.00_~6801188" xfId="829" xr:uid="{00000000-0005-0000-0000-000047030000}"/>
    <cellStyle name="Comma 0.000" xfId="830" xr:uid="{00000000-0005-0000-0000-000048030000}"/>
    <cellStyle name="Comma 0.000%" xfId="831" xr:uid="{00000000-0005-0000-0000-000049030000}"/>
    <cellStyle name="Comma 0.000_Summary of financial projections v6" xfId="832" xr:uid="{00000000-0005-0000-0000-00004A030000}"/>
    <cellStyle name="Comma 0_abiz091901shares" xfId="833" xr:uid="{00000000-0005-0000-0000-00004B030000}"/>
    <cellStyle name="Comma 1" xfId="834" xr:uid="{00000000-0005-0000-0000-00004C030000}"/>
    <cellStyle name="Comma 2" xfId="835" xr:uid="{00000000-0005-0000-0000-00004D030000}"/>
    <cellStyle name="Comma 2 2" xfId="2613" xr:uid="{50D43600-A6CB-48D3-9E93-30DE9B19BCAC}"/>
    <cellStyle name="Comma 2*" xfId="836" xr:uid="{00000000-0005-0000-0000-00004E030000}"/>
    <cellStyle name="Comma 2_ACCC" xfId="837" xr:uid="{00000000-0005-0000-0000-00004F030000}"/>
    <cellStyle name="Comma 3" xfId="838" xr:uid="{00000000-0005-0000-0000-000050030000}"/>
    <cellStyle name="Comma 3*" xfId="839" xr:uid="{00000000-0005-0000-0000-000051030000}"/>
    <cellStyle name="Comma 4" xfId="2469" xr:uid="{00000000-0005-0000-0000-000052030000}"/>
    <cellStyle name="Comma 4 2" xfId="2530" xr:uid="{00000000-0005-0000-0000-000053030000}"/>
    <cellStyle name="Comma 4 3" xfId="2611" xr:uid="{00000000-0005-0000-0000-000054030000}"/>
    <cellStyle name="Comma 5" xfId="2503" xr:uid="{00000000-0005-0000-0000-000055030000}"/>
    <cellStyle name="Comma 5 2" xfId="2605" xr:uid="{00000000-0005-0000-0000-000056030000}"/>
    <cellStyle name="Comma 5 2 2" xfId="2619" xr:uid="{99A8F697-30AA-4DC9-9D09-827931A43CAC}"/>
    <cellStyle name="Comma 6" xfId="2594" xr:uid="{00000000-0005-0000-0000-000057030000}"/>
    <cellStyle name="Comma 7" xfId="2598" xr:uid="{00000000-0005-0000-0000-000058030000}"/>
    <cellStyle name="Comma Cents" xfId="840" xr:uid="{00000000-0005-0000-0000-000059030000}"/>
    <cellStyle name="comma zerodec" xfId="841" xr:uid="{00000000-0005-0000-0000-00005A030000}"/>
    <cellStyle name="Comma*" xfId="842" xr:uid="{00000000-0005-0000-0000-00005B030000}"/>
    <cellStyle name="Comma, 1 dec" xfId="843" xr:uid="{00000000-0005-0000-0000-00005C030000}"/>
    <cellStyle name="Comma[3]" xfId="844" xr:uid="{00000000-0005-0000-0000-00005D030000}"/>
    <cellStyle name="Comma0" xfId="845" xr:uid="{00000000-0005-0000-0000-00005E030000}"/>
    <cellStyle name="Comma0 - Modelo1" xfId="846" xr:uid="{00000000-0005-0000-0000-00005F030000}"/>
    <cellStyle name="Comma0 - Style1" xfId="847" xr:uid="{00000000-0005-0000-0000-000060030000}"/>
    <cellStyle name="Comma0 - Style5" xfId="848" xr:uid="{00000000-0005-0000-0000-000061030000}"/>
    <cellStyle name="Comma0_PLL_PEs" xfId="849" xr:uid="{00000000-0005-0000-0000-000062030000}"/>
    <cellStyle name="comma1" xfId="850" xr:uid="{00000000-0005-0000-0000-000063030000}"/>
    <cellStyle name="Comma1 - Modelo2" xfId="851" xr:uid="{00000000-0005-0000-0000-000064030000}"/>
    <cellStyle name="Comma1 - Style1" xfId="852" xr:uid="{00000000-0005-0000-0000-000065030000}"/>
    <cellStyle name="Comma1 - Style2" xfId="853" xr:uid="{00000000-0005-0000-0000-000066030000}"/>
    <cellStyle name="Comma2" xfId="854" xr:uid="{00000000-0005-0000-0000-000067030000}"/>
    <cellStyle name="Company" xfId="855" xr:uid="{00000000-0005-0000-0000-000068030000}"/>
    <cellStyle name="Company Name" xfId="856" xr:uid="{00000000-0005-0000-0000-000069030000}"/>
    <cellStyle name="Company_~6801188" xfId="857" xr:uid="{00000000-0005-0000-0000-00006A030000}"/>
    <cellStyle name="CompanyName" xfId="858" xr:uid="{00000000-0005-0000-0000-00006B030000}"/>
    <cellStyle name="Comps" xfId="859" xr:uid="{00000000-0005-0000-0000-00006C030000}"/>
    <cellStyle name="ContentsHyperlink" xfId="860" xr:uid="{00000000-0005-0000-0000-00006D030000}"/>
    <cellStyle name="Copied" xfId="861" xr:uid="{00000000-0005-0000-0000-00006E030000}"/>
    <cellStyle name="COST1" xfId="862" xr:uid="{00000000-0005-0000-0000-00006F030000}"/>
    <cellStyle name="Cover Date" xfId="863" xr:uid="{00000000-0005-0000-0000-000070030000}"/>
    <cellStyle name="Cover Subtitle" xfId="864" xr:uid="{00000000-0005-0000-0000-000071030000}"/>
    <cellStyle name="Cover Title" xfId="865" xr:uid="{00000000-0005-0000-0000-000072030000}"/>
    <cellStyle name="CPM_Total" xfId="866" xr:uid="{00000000-0005-0000-0000-000073030000}"/>
    <cellStyle name="CR Comma" xfId="867" xr:uid="{00000000-0005-0000-0000-000074030000}"/>
    <cellStyle name="CR Currency" xfId="868" xr:uid="{00000000-0005-0000-0000-000075030000}"/>
    <cellStyle name="CurRatio" xfId="869" xr:uid="{00000000-0005-0000-0000-000076030000}"/>
    <cellStyle name="Curren - Style1" xfId="870" xr:uid="{00000000-0005-0000-0000-000077030000}"/>
    <cellStyle name="Curren - Style2" xfId="871" xr:uid="{00000000-0005-0000-0000-000078030000}"/>
    <cellStyle name="Curren - Style6" xfId="872" xr:uid="{00000000-0005-0000-0000-000079030000}"/>
    <cellStyle name="Currenc⫹_WorkSpace" xfId="873" xr:uid="{00000000-0005-0000-0000-00007A030000}"/>
    <cellStyle name="Currency" xfId="2606" builtinId="4"/>
    <cellStyle name="Currency--" xfId="874" xr:uid="{00000000-0005-0000-0000-00007C030000}"/>
    <cellStyle name="Currency %" xfId="875" xr:uid="{00000000-0005-0000-0000-00007D030000}"/>
    <cellStyle name="Currency (0)" xfId="876" xr:uid="{00000000-0005-0000-0000-00007E030000}"/>
    <cellStyle name="Currency (1)" xfId="877" xr:uid="{00000000-0005-0000-0000-00007F030000}"/>
    <cellStyle name="Currency (2)" xfId="878" xr:uid="{00000000-0005-0000-0000-000080030000}"/>
    <cellStyle name="Currency [0] - Credits" xfId="879" xr:uid="{00000000-0005-0000-0000-000081030000}"/>
    <cellStyle name="Currency [0] - Debits" xfId="880" xr:uid="{00000000-0005-0000-0000-000082030000}"/>
    <cellStyle name="Currency [00]" xfId="881" xr:uid="{00000000-0005-0000-0000-000083030000}"/>
    <cellStyle name="Currency [1]" xfId="882" xr:uid="{00000000-0005-0000-0000-000084030000}"/>
    <cellStyle name="Currency [2]" xfId="14" xr:uid="{00000000-0005-0000-0000-000085030000}"/>
    <cellStyle name="Currency [2] 2" xfId="2531" xr:uid="{00000000-0005-0000-0000-000086030000}"/>
    <cellStyle name="Currency [2] 2 2" xfId="2532" xr:uid="{00000000-0005-0000-0000-000087030000}"/>
    <cellStyle name="Currency [B]" xfId="883" xr:uid="{00000000-0005-0000-0000-000088030000}"/>
    <cellStyle name="Currency 0" xfId="884" xr:uid="{00000000-0005-0000-0000-000089030000}"/>
    <cellStyle name="Currency 0.0" xfId="885" xr:uid="{00000000-0005-0000-0000-00008A030000}"/>
    <cellStyle name="Currency 0.0%" xfId="886" xr:uid="{00000000-0005-0000-0000-00008B030000}"/>
    <cellStyle name="Currency 0.0_~6801188" xfId="887" xr:uid="{00000000-0005-0000-0000-00008C030000}"/>
    <cellStyle name="Currency 0.00" xfId="888" xr:uid="{00000000-0005-0000-0000-00008D030000}"/>
    <cellStyle name="Currency 0.00%" xfId="889" xr:uid="{00000000-0005-0000-0000-00008E030000}"/>
    <cellStyle name="Currency 0.00_~6801188" xfId="890" xr:uid="{00000000-0005-0000-0000-00008F030000}"/>
    <cellStyle name="Currency 0.000" xfId="891" xr:uid="{00000000-0005-0000-0000-000090030000}"/>
    <cellStyle name="Currency 0.000%" xfId="892" xr:uid="{00000000-0005-0000-0000-000091030000}"/>
    <cellStyle name="Currency 0.000_Summary of financial projections v6" xfId="893" xr:uid="{00000000-0005-0000-0000-000092030000}"/>
    <cellStyle name="Currency 0_Andina Model v1" xfId="894" xr:uid="{00000000-0005-0000-0000-000093030000}"/>
    <cellStyle name="Currency 2" xfId="37" xr:uid="{00000000-0005-0000-0000-000094030000}"/>
    <cellStyle name="Currency 2 2" xfId="2499" xr:uid="{00000000-0005-0000-0000-000095030000}"/>
    <cellStyle name="Currency 2*" xfId="895" xr:uid="{00000000-0005-0000-0000-000096030000}"/>
    <cellStyle name="Currency 2_% Change" xfId="896" xr:uid="{00000000-0005-0000-0000-000097030000}"/>
    <cellStyle name="Currency 3" xfId="2470" xr:uid="{00000000-0005-0000-0000-000098030000}"/>
    <cellStyle name="Currency 3*" xfId="897" xr:uid="{00000000-0005-0000-0000-000099030000}"/>
    <cellStyle name="Currency 5" xfId="2608" xr:uid="{00000000-0005-0000-0000-00009A030000}"/>
    <cellStyle name="Currency Per Share" xfId="898" xr:uid="{00000000-0005-0000-0000-00009B030000}"/>
    <cellStyle name="Currency$" xfId="899" xr:uid="{00000000-0005-0000-0000-00009C030000}"/>
    <cellStyle name="Currency*" xfId="900" xr:uid="{00000000-0005-0000-0000-00009D030000}"/>
    <cellStyle name="Currency\" xfId="901" xr:uid="{00000000-0005-0000-0000-00009E030000}"/>
    <cellStyle name="currency]" xfId="902" xr:uid="{00000000-0005-0000-0000-00009F030000}"/>
    <cellStyle name="Currency--_~6801188" xfId="903" xr:uid="{00000000-0005-0000-0000-0000A0030000}"/>
    <cellStyle name="Currency0" xfId="904" xr:uid="{00000000-0005-0000-0000-0000A1030000}"/>
    <cellStyle name="Currency1" xfId="905" xr:uid="{00000000-0005-0000-0000-0000A2030000}"/>
    <cellStyle name="Currency2" xfId="906" xr:uid="{00000000-0005-0000-0000-0000A3030000}"/>
    <cellStyle name="C㯵rrency_㳔PC Data" xfId="907" xr:uid="{00000000-0005-0000-0000-0000A4030000}"/>
    <cellStyle name="d" xfId="908" xr:uid="{00000000-0005-0000-0000-0000A5030000}"/>
    <cellStyle name="d_yield" xfId="909" xr:uid="{00000000-0005-0000-0000-0000A6030000}"/>
    <cellStyle name="d_yield_Andina Model v1" xfId="910" xr:uid="{00000000-0005-0000-0000-0000A7030000}"/>
    <cellStyle name="d_yield_APOL model (09.07.07)v21.0" xfId="911" xr:uid="{00000000-0005-0000-0000-0000A8030000}"/>
    <cellStyle name="d_yield_APOL model (09.07.07)v21.0_Yaman profile backup" xfId="912" xr:uid="{00000000-0005-0000-0000-0000A9030000}"/>
    <cellStyle name="d_yield_Black Hawk Down redux" xfId="913" xr:uid="{00000000-0005-0000-0000-0000AA030000}"/>
    <cellStyle name="d_yield_blank" xfId="914" xr:uid="{00000000-0005-0000-0000-0000AB030000}"/>
    <cellStyle name="d_yield_Comps 9 24 2009 v2" xfId="915" xr:uid="{00000000-0005-0000-0000-0000AC030000}"/>
    <cellStyle name="d_yield_CR v2" xfId="916" xr:uid="{00000000-0005-0000-0000-0000AD030000}"/>
    <cellStyle name="d_yield_CR v2_PLL_model v30" xfId="917" xr:uid="{00000000-0005-0000-0000-0000AE030000}"/>
    <cellStyle name="d_yield_HUN projections v1.2" xfId="918" xr:uid="{00000000-0005-0000-0000-0000AF030000}"/>
    <cellStyle name="d_yield_HYNI Trading Comps v28" xfId="919" xr:uid="{00000000-0005-0000-0000-0000B0030000}"/>
    <cellStyle name="d_yield_JPM Vulcan v34" xfId="920" xr:uid="{00000000-0005-0000-0000-0000B1030000}"/>
    <cellStyle name="d_yield_Kaiser 270 v41" xfId="921" xr:uid="{00000000-0005-0000-0000-0000B2030000}"/>
    <cellStyle name="d_yield_Kaiser 270 v41_1" xfId="922" xr:uid="{00000000-0005-0000-0000-0000B3030000}"/>
    <cellStyle name="d_yield_Lincoln model v5" xfId="923" xr:uid="{00000000-0005-0000-0000-0000B4030000}"/>
    <cellStyle name="d_yield_Multiple ppt output" xfId="924" xr:uid="{00000000-0005-0000-0000-0000B5030000}"/>
    <cellStyle name="d_yield_Multiple ppt output_Andina Model v1" xfId="925" xr:uid="{00000000-0005-0000-0000-0000B6030000}"/>
    <cellStyle name="d_yield_Multiple ppt output_blank" xfId="926" xr:uid="{00000000-0005-0000-0000-0000B7030000}"/>
    <cellStyle name="d_yield_Multiple ppt output_Comps 9 24 2009 v2" xfId="927" xr:uid="{00000000-0005-0000-0000-0000B8030000}"/>
    <cellStyle name="d_yield_Multiple ppt output_HUN projections v1.2" xfId="928" xr:uid="{00000000-0005-0000-0000-0000B9030000}"/>
    <cellStyle name="d_yield_PLL_model v30" xfId="929" xr:uid="{00000000-0005-0000-0000-0000BA030000}"/>
    <cellStyle name="d_yield_Power project" xfId="930" xr:uid="{00000000-0005-0000-0000-0000BB030000}"/>
    <cellStyle name="d_yield_Reserve information" xfId="931" xr:uid="{00000000-0005-0000-0000-0000BC030000}"/>
    <cellStyle name="d_yield_Reserve information_Andina Model v1" xfId="932" xr:uid="{00000000-0005-0000-0000-0000BD030000}"/>
    <cellStyle name="d_yield_Reserve information_blank" xfId="933" xr:uid="{00000000-0005-0000-0000-0000BE030000}"/>
    <cellStyle name="d_yield_Reserve information_Comps 9 24 2009 v2" xfId="934" xr:uid="{00000000-0005-0000-0000-0000BF030000}"/>
    <cellStyle name="d_yield_Reserve information_HUN projections v1.2" xfId="935" xr:uid="{00000000-0005-0000-0000-0000C0030000}"/>
    <cellStyle name="d_yield_Vulcan v10" xfId="936" xr:uid="{00000000-0005-0000-0000-0000C1030000}"/>
    <cellStyle name="d1" xfId="937" xr:uid="{00000000-0005-0000-0000-0000C2030000}"/>
    <cellStyle name="d2" xfId="938" xr:uid="{00000000-0005-0000-0000-0000C3030000}"/>
    <cellStyle name="d3" xfId="939" xr:uid="{00000000-0005-0000-0000-0000C4030000}"/>
    <cellStyle name="dare" xfId="940" xr:uid="{00000000-0005-0000-0000-0000C5030000}"/>
    <cellStyle name="darren" xfId="941" xr:uid="{00000000-0005-0000-0000-0000C6030000}"/>
    <cellStyle name="Dash" xfId="942" xr:uid="{00000000-0005-0000-0000-0000C7030000}"/>
    <cellStyle name="Date" xfId="943" xr:uid="{00000000-0005-0000-0000-0000C8030000}"/>
    <cellStyle name="Date (dd-mmm-yy)" xfId="944" xr:uid="{00000000-0005-0000-0000-0000C9030000}"/>
    <cellStyle name="Date (mmm-yy)" xfId="945" xr:uid="{00000000-0005-0000-0000-0000CA030000}"/>
    <cellStyle name="Date [dd-mmm-yy]" xfId="946" xr:uid="{00000000-0005-0000-0000-0000CB030000}"/>
    <cellStyle name="Date [d-mmm-yy]" xfId="947" xr:uid="{00000000-0005-0000-0000-0000CC030000}"/>
    <cellStyle name="Date [mm-dd-yy]" xfId="948" xr:uid="{00000000-0005-0000-0000-0000CD030000}"/>
    <cellStyle name="Date [mm-dd-yyyy]" xfId="949" xr:uid="{00000000-0005-0000-0000-0000CE030000}"/>
    <cellStyle name="Date [mm-d-yy]" xfId="950" xr:uid="{00000000-0005-0000-0000-0000CF030000}"/>
    <cellStyle name="Date [mm-d-yyyy]" xfId="951" xr:uid="{00000000-0005-0000-0000-0000D0030000}"/>
    <cellStyle name="Date [mmm-d-yy]" xfId="952" xr:uid="{00000000-0005-0000-0000-0000D1030000}"/>
    <cellStyle name="Date [mmm-d-yyyy]" xfId="953" xr:uid="{00000000-0005-0000-0000-0000D2030000}"/>
    <cellStyle name="Date [mmm-yy]" xfId="954" xr:uid="{00000000-0005-0000-0000-0000D3030000}"/>
    <cellStyle name="Date [mmm-yyyy]" xfId="955" xr:uid="{00000000-0005-0000-0000-0000D4030000}"/>
    <cellStyle name="Date [mmm-yyyy] 2" xfId="2482" xr:uid="{00000000-0005-0000-0000-0000D5030000}"/>
    <cellStyle name="Date Aligned" xfId="956" xr:uid="{00000000-0005-0000-0000-0000D6030000}"/>
    <cellStyle name="Date Aligned*" xfId="957" xr:uid="{00000000-0005-0000-0000-0000D7030000}"/>
    <cellStyle name="Date Aligned_Andina Model v1" xfId="958" xr:uid="{00000000-0005-0000-0000-0000D8030000}"/>
    <cellStyle name="Date Day" xfId="959" xr:uid="{00000000-0005-0000-0000-0000D9030000}"/>
    <cellStyle name="Date m/d/yy" xfId="960" xr:uid="{00000000-0005-0000-0000-0000DA030000}"/>
    <cellStyle name="Date Short" xfId="961" xr:uid="{00000000-0005-0000-0000-0000DB030000}"/>
    <cellStyle name="Date title" xfId="962" xr:uid="{00000000-0005-0000-0000-0000DC030000}"/>
    <cellStyle name="Date title 2" xfId="2483" xr:uid="{00000000-0005-0000-0000-0000DD030000}"/>
    <cellStyle name="Date Year" xfId="963" xr:uid="{00000000-0005-0000-0000-0000DE030000}"/>
    <cellStyle name="Date, mmm-yy" xfId="964" xr:uid="{00000000-0005-0000-0000-0000DF030000}"/>
    <cellStyle name="Date, mmm-yy 2" xfId="2533" xr:uid="{00000000-0005-0000-0000-0000E0030000}"/>
    <cellStyle name="Date_~0001672" xfId="965" xr:uid="{00000000-0005-0000-0000-0000E1030000}"/>
    <cellStyle name="Date2" xfId="966" xr:uid="{00000000-0005-0000-0000-0000E2030000}"/>
    <cellStyle name="Date2h" xfId="967" xr:uid="{00000000-0005-0000-0000-0000E3030000}"/>
    <cellStyle name="Dates" xfId="968" xr:uid="{00000000-0005-0000-0000-0000E4030000}"/>
    <cellStyle name="DateYear" xfId="969" xr:uid="{00000000-0005-0000-0000-0000E5030000}"/>
    <cellStyle name="DateYearEstimate" xfId="970" xr:uid="{00000000-0005-0000-0000-0000E6030000}"/>
    <cellStyle name="DateYearEstimate 2" xfId="2534" xr:uid="{00000000-0005-0000-0000-0000E7030000}"/>
    <cellStyle name="DateYearWholeEstimate" xfId="971" xr:uid="{00000000-0005-0000-0000-0000E8030000}"/>
    <cellStyle name="DateYearWholeEstimate 2" xfId="2535" xr:uid="{00000000-0005-0000-0000-0000E9030000}"/>
    <cellStyle name="Deal Title" xfId="972" xr:uid="{00000000-0005-0000-0000-0000EA030000}"/>
    <cellStyle name="Decimal" xfId="973" xr:uid="{00000000-0005-0000-0000-0000EB030000}"/>
    <cellStyle name="DELTA" xfId="974" xr:uid="{00000000-0005-0000-0000-0000EC030000}"/>
    <cellStyle name="Dezimal [0]_SC07" xfId="975" xr:uid="{00000000-0005-0000-0000-0000ED030000}"/>
    <cellStyle name="Dezimal_SC07" xfId="976" xr:uid="{00000000-0005-0000-0000-0000EE030000}"/>
    <cellStyle name="DIA" xfId="977" xr:uid="{00000000-0005-0000-0000-0000EF030000}"/>
    <cellStyle name="dolar whole" xfId="978" xr:uid="{00000000-0005-0000-0000-0000F0030000}"/>
    <cellStyle name="Dollar" xfId="979" xr:uid="{00000000-0005-0000-0000-0000F1030000}"/>
    <cellStyle name="Dollar (Canadian)" xfId="980" xr:uid="{00000000-0005-0000-0000-0000F2030000}"/>
    <cellStyle name="Dollar (zero dec)" xfId="981" xr:uid="{00000000-0005-0000-0000-0000F3030000}"/>
    <cellStyle name="Dollar Whole" xfId="982" xr:uid="{00000000-0005-0000-0000-0000F4030000}"/>
    <cellStyle name="dollar_~6801188" xfId="983" xr:uid="{00000000-0005-0000-0000-0000F5030000}"/>
    <cellStyle name="Dollar-Hundreth" xfId="984" xr:uid="{00000000-0005-0000-0000-0000F6030000}"/>
    <cellStyle name="Dollars" xfId="985" xr:uid="{00000000-0005-0000-0000-0000F7030000}"/>
    <cellStyle name="DollarWhole" xfId="986" xr:uid="{00000000-0005-0000-0000-0000F8030000}"/>
    <cellStyle name="Dotted Line" xfId="987" xr:uid="{00000000-0005-0000-0000-0000F9030000}"/>
    <cellStyle name="Double" xfId="15" xr:uid="{00000000-0005-0000-0000-0000FA030000}"/>
    <cellStyle name="Download" xfId="988" xr:uid="{00000000-0005-0000-0000-0000FB030000}"/>
    <cellStyle name="Driver" xfId="989" xr:uid="{00000000-0005-0000-0000-0000FC030000}"/>
    <cellStyle name="Driver Lable" xfId="990" xr:uid="{00000000-0005-0000-0000-0000FD030000}"/>
    <cellStyle name="Driver_Andina Model v1" xfId="991" xr:uid="{00000000-0005-0000-0000-0000FE030000}"/>
    <cellStyle name="Dziesiêtny [0]_1" xfId="992" xr:uid="{00000000-0005-0000-0000-0000FF030000}"/>
    <cellStyle name="Dziesiêtny_1" xfId="993" xr:uid="{00000000-0005-0000-0000-000000040000}"/>
    <cellStyle name="Emphasis 1" xfId="994" xr:uid="{00000000-0005-0000-0000-000001040000}"/>
    <cellStyle name="Emphasis 2" xfId="995" xr:uid="{00000000-0005-0000-0000-000002040000}"/>
    <cellStyle name="Emphasis 3" xfId="996" xr:uid="{00000000-0005-0000-0000-000003040000}"/>
    <cellStyle name="ENCABEZ1" xfId="997" xr:uid="{00000000-0005-0000-0000-000004040000}"/>
    <cellStyle name="ENCABEZ2" xfId="998" xr:uid="{00000000-0005-0000-0000-000005040000}"/>
    <cellStyle name="end" xfId="999" xr:uid="{00000000-0005-0000-0000-000006040000}"/>
    <cellStyle name="Enter Currency (0)" xfId="1000" xr:uid="{00000000-0005-0000-0000-000007040000}"/>
    <cellStyle name="Enter Currency (2)" xfId="1001" xr:uid="{00000000-0005-0000-0000-000008040000}"/>
    <cellStyle name="Enter Units (0)" xfId="1002" xr:uid="{00000000-0005-0000-0000-000009040000}"/>
    <cellStyle name="Enter Units (1)" xfId="1003" xr:uid="{00000000-0005-0000-0000-00000A040000}"/>
    <cellStyle name="Enter Units (2)" xfId="1004" xr:uid="{00000000-0005-0000-0000-00000B040000}"/>
    <cellStyle name="Entered" xfId="1005" xr:uid="{00000000-0005-0000-0000-00000C040000}"/>
    <cellStyle name="entrée" xfId="1006" xr:uid="{00000000-0005-0000-0000-00000D040000}"/>
    <cellStyle name="eps" xfId="1007" xr:uid="{00000000-0005-0000-0000-00000E040000}"/>
    <cellStyle name="EPS Forecast" xfId="1008" xr:uid="{00000000-0005-0000-0000-00000F040000}"/>
    <cellStyle name="EPS History" xfId="1009" xr:uid="{00000000-0005-0000-0000-000010040000}"/>
    <cellStyle name="eps$" xfId="1010" xr:uid="{00000000-0005-0000-0000-000011040000}"/>
    <cellStyle name="eps$A" xfId="1011" xr:uid="{00000000-0005-0000-0000-000012040000}"/>
    <cellStyle name="eps$E" xfId="1012" xr:uid="{00000000-0005-0000-0000-000013040000}"/>
    <cellStyle name="eps_~6801188" xfId="1013" xr:uid="{00000000-0005-0000-0000-000014040000}"/>
    <cellStyle name="epsA" xfId="1014" xr:uid="{00000000-0005-0000-0000-000015040000}"/>
    <cellStyle name="EPSActual" xfId="1015" xr:uid="{00000000-0005-0000-0000-000016040000}"/>
    <cellStyle name="epsE" xfId="1016" xr:uid="{00000000-0005-0000-0000-000017040000}"/>
    <cellStyle name="EPSEstimate" xfId="1017" xr:uid="{00000000-0005-0000-0000-000018040000}"/>
    <cellStyle name="ETIK" xfId="1018" xr:uid="{00000000-0005-0000-0000-000019040000}"/>
    <cellStyle name="Euro" xfId="16" xr:uid="{00000000-0005-0000-0000-00001A040000}"/>
    <cellStyle name="Explanatory Text" xfId="17" builtinId="53" customBuiltin="1"/>
    <cellStyle name="F2" xfId="1019" xr:uid="{00000000-0005-0000-0000-00001C040000}"/>
    <cellStyle name="F3" xfId="1020" xr:uid="{00000000-0005-0000-0000-00001D040000}"/>
    <cellStyle name="F4" xfId="1021" xr:uid="{00000000-0005-0000-0000-00001E040000}"/>
    <cellStyle name="F5" xfId="1022" xr:uid="{00000000-0005-0000-0000-00001F040000}"/>
    <cellStyle name="F6" xfId="1023" xr:uid="{00000000-0005-0000-0000-000020040000}"/>
    <cellStyle name="F7" xfId="1024" xr:uid="{00000000-0005-0000-0000-000021040000}"/>
    <cellStyle name="F8" xfId="1025" xr:uid="{00000000-0005-0000-0000-000022040000}"/>
    <cellStyle name="fact" xfId="1026" xr:uid="{00000000-0005-0000-0000-000023040000}"/>
    <cellStyle name="fact 2" xfId="2536" xr:uid="{00000000-0005-0000-0000-000024040000}"/>
    <cellStyle name="FIJO" xfId="1027" xr:uid="{00000000-0005-0000-0000-000025040000}"/>
    <cellStyle name="FINANCIERO" xfId="1028" xr:uid="{00000000-0005-0000-0000-000026040000}"/>
    <cellStyle name="Fixed" xfId="1029" xr:uid="{00000000-0005-0000-0000-000027040000}"/>
    <cellStyle name="Fixed [0]" xfId="1030" xr:uid="{00000000-0005-0000-0000-000028040000}"/>
    <cellStyle name="Fixed [2]" xfId="1031" xr:uid="{00000000-0005-0000-0000-000029040000}"/>
    <cellStyle name="Fixed_~6801188" xfId="1032" xr:uid="{00000000-0005-0000-0000-00002A040000}"/>
    <cellStyle name="Footer SBILogo1" xfId="1033" xr:uid="{00000000-0005-0000-0000-00002B040000}"/>
    <cellStyle name="Footer SBILogo2" xfId="1034" xr:uid="{00000000-0005-0000-0000-00002C040000}"/>
    <cellStyle name="Footnote" xfId="1035" xr:uid="{00000000-0005-0000-0000-00002D040000}"/>
    <cellStyle name="Footnote number" xfId="1036" xr:uid="{00000000-0005-0000-0000-00002E040000}"/>
    <cellStyle name="Footnote Reference" xfId="1037" xr:uid="{00000000-0005-0000-0000-00002F040000}"/>
    <cellStyle name="Footnote text" xfId="1038" xr:uid="{00000000-0005-0000-0000-000030040000}"/>
    <cellStyle name="Footnote_% Change" xfId="1039" xr:uid="{00000000-0005-0000-0000-000031040000}"/>
    <cellStyle name="Footnotes" xfId="1040" xr:uid="{00000000-0005-0000-0000-000032040000}"/>
    <cellStyle name="Format Number Column" xfId="1041" xr:uid="{00000000-0005-0000-0000-000033040000}"/>
    <cellStyle name="Fraction Change" xfId="1042" xr:uid="{00000000-0005-0000-0000-000034040000}"/>
    <cellStyle name="Fractions" xfId="1043" xr:uid="{00000000-0005-0000-0000-000035040000}"/>
    <cellStyle name="FullBorder" xfId="1044" xr:uid="{00000000-0005-0000-0000-000036040000}"/>
    <cellStyle name="FullBorder 2" xfId="2537" xr:uid="{00000000-0005-0000-0000-000037040000}"/>
    <cellStyle name="fy_eps$" xfId="1045" xr:uid="{00000000-0005-0000-0000-000038040000}"/>
    <cellStyle name="g" xfId="1046" xr:uid="{00000000-0005-0000-0000-000039040000}"/>
    <cellStyle name="g_8650-ER" xfId="1047" xr:uid="{00000000-0005-0000-0000-00003A040000}"/>
    <cellStyle name="g_rate" xfId="1048" xr:uid="{00000000-0005-0000-0000-00003B040000}"/>
    <cellStyle name="g_rate_Andina Model v1" xfId="1049" xr:uid="{00000000-0005-0000-0000-00003C040000}"/>
    <cellStyle name="g_rate_APOL model (09.07.07)v21.0" xfId="1050" xr:uid="{00000000-0005-0000-0000-00003D040000}"/>
    <cellStyle name="g_rate_APOL model (09.07.07)v21.0_Yaman profile backup" xfId="1051" xr:uid="{00000000-0005-0000-0000-00003E040000}"/>
    <cellStyle name="g_rate_Black Hawk Down redux" xfId="1052" xr:uid="{00000000-0005-0000-0000-00003F040000}"/>
    <cellStyle name="g_rate_blank" xfId="1053" xr:uid="{00000000-0005-0000-0000-000040040000}"/>
    <cellStyle name="g_rate_Comps 9 24 2009 v2" xfId="1054" xr:uid="{00000000-0005-0000-0000-000041040000}"/>
    <cellStyle name="g_rate_CR v2" xfId="1055" xr:uid="{00000000-0005-0000-0000-000042040000}"/>
    <cellStyle name="g_rate_CR v2_PLL_model v30" xfId="1056" xr:uid="{00000000-0005-0000-0000-000043040000}"/>
    <cellStyle name="g_rate_HUN projections v1.2" xfId="1057" xr:uid="{00000000-0005-0000-0000-000044040000}"/>
    <cellStyle name="g_rate_HYNI Trading Comps v28" xfId="1058" xr:uid="{00000000-0005-0000-0000-000045040000}"/>
    <cellStyle name="g_rate_JPM Vulcan v34" xfId="1059" xr:uid="{00000000-0005-0000-0000-000046040000}"/>
    <cellStyle name="g_rate_Kaiser 270 v41" xfId="1060" xr:uid="{00000000-0005-0000-0000-000047040000}"/>
    <cellStyle name="g_rate_Kaiser 270 v41_1" xfId="1061" xr:uid="{00000000-0005-0000-0000-000048040000}"/>
    <cellStyle name="g_rate_Lincoln model v5" xfId="1062" xr:uid="{00000000-0005-0000-0000-000049040000}"/>
    <cellStyle name="g_rate_Multiple ppt output" xfId="1063" xr:uid="{00000000-0005-0000-0000-00004A040000}"/>
    <cellStyle name="g_rate_Multiple ppt output_Andina Model v1" xfId="1064" xr:uid="{00000000-0005-0000-0000-00004B040000}"/>
    <cellStyle name="g_rate_Multiple ppt output_blank" xfId="1065" xr:uid="{00000000-0005-0000-0000-00004C040000}"/>
    <cellStyle name="g_rate_Multiple ppt output_Comps 9 24 2009 v2" xfId="1066" xr:uid="{00000000-0005-0000-0000-00004D040000}"/>
    <cellStyle name="g_rate_Multiple ppt output_HUN projections v1.2" xfId="1067" xr:uid="{00000000-0005-0000-0000-00004E040000}"/>
    <cellStyle name="g_rate_PLL_model v30" xfId="1068" xr:uid="{00000000-0005-0000-0000-00004F040000}"/>
    <cellStyle name="g_rate_Power project" xfId="1069" xr:uid="{00000000-0005-0000-0000-000050040000}"/>
    <cellStyle name="g_rate_Reserve information" xfId="1070" xr:uid="{00000000-0005-0000-0000-000051040000}"/>
    <cellStyle name="g_rate_Reserve information_~6801188" xfId="1071" xr:uid="{00000000-0005-0000-0000-000052040000}"/>
    <cellStyle name="g_rate_Reserve information_~6801188_CRG Jr Assoc_valuation model v4" xfId="1072" xr:uid="{00000000-0005-0000-0000-000053040000}"/>
    <cellStyle name="g_rate_Reserve information_~6801188_Summary of financial projections v6" xfId="1073" xr:uid="{00000000-0005-0000-0000-000054040000}"/>
    <cellStyle name="g_rate_Reserve information_8th Continent v04.0" xfId="1074" xr:uid="{00000000-0005-0000-0000-000055040000}"/>
    <cellStyle name="g_rate_Reserve information_Andina Model v1" xfId="1075" xr:uid="{00000000-0005-0000-0000-000056040000}"/>
    <cellStyle name="g_rate_Reserve information_Black Hawk Down redux" xfId="1076" xr:uid="{00000000-0005-0000-0000-000057040000}"/>
    <cellStyle name="g_rate_Reserve information_blank" xfId="1077" xr:uid="{00000000-0005-0000-0000-000058040000}"/>
    <cellStyle name="g_rate_Reserve information_Comps 9 24 2009 v2" xfId="1078" xr:uid="{00000000-0005-0000-0000-000059040000}"/>
    <cellStyle name="g_rate_Reserve information_Copy of Beam model v7.0c" xfId="1079" xr:uid="{00000000-0005-0000-0000-00005A040000}"/>
    <cellStyle name="g_rate_Reserve information_CR v2" xfId="1080" xr:uid="{00000000-0005-0000-0000-00005B040000}"/>
    <cellStyle name="g_rate_Reserve information_CRG Jr Assoc_valuation model v4" xfId="1081" xr:uid="{00000000-0005-0000-0000-00005C040000}"/>
    <cellStyle name="g_rate_Reserve information_HUN projections v1.2" xfId="1082" xr:uid="{00000000-0005-0000-0000-00005D040000}"/>
    <cellStyle name="g_rate_Reserve information_Inorganics model v10.0" xfId="1083" xr:uid="{00000000-0005-0000-0000-00005E040000}"/>
    <cellStyle name="g_rate_Reserve information_JPM Vulcan v34" xfId="1084" xr:uid="{00000000-0005-0000-0000-00005F040000}"/>
    <cellStyle name="g_rate_Reserve information_lbo model" xfId="1085" xr:uid="{00000000-0005-0000-0000-000060040000}"/>
    <cellStyle name="g_rate_Reserve information_LBO model v01.0" xfId="1086" xr:uid="{00000000-0005-0000-0000-000061040000}"/>
    <cellStyle name="g_rate_Reserve information_Lincoln model v5" xfId="1087" xr:uid="{00000000-0005-0000-0000-000062040000}"/>
    <cellStyle name="g_rate_Reserve information_Lincoln model v5_~6801188" xfId="1088" xr:uid="{00000000-0005-0000-0000-000063040000}"/>
    <cellStyle name="g_rate_Reserve information_Lincoln model v5_~6801188_CRG Jr Assoc_valuation model v4" xfId="1089" xr:uid="{00000000-0005-0000-0000-000064040000}"/>
    <cellStyle name="g_rate_Reserve information_Lincoln model v5_~6801188_Summary of financial projections v6" xfId="1090" xr:uid="{00000000-0005-0000-0000-000065040000}"/>
    <cellStyle name="g_rate_Reserve information_Lincoln model v5_1" xfId="1091" xr:uid="{00000000-0005-0000-0000-000066040000}"/>
    <cellStyle name="g_rate_Reserve information_Lincoln model v5_1_~6801188" xfId="1092" xr:uid="{00000000-0005-0000-0000-000067040000}"/>
    <cellStyle name="g_rate_Reserve information_Lincoln model v5_1_CRG Jr Assoc_valuation model v4" xfId="1093" xr:uid="{00000000-0005-0000-0000-000068040000}"/>
    <cellStyle name="g_rate_Reserve information_Lincoln model v5_1_PLL_model v30" xfId="1094" xr:uid="{00000000-0005-0000-0000-000069040000}"/>
    <cellStyle name="g_rate_Reserve information_Lincoln model v5_1_Summary of financial projections v6" xfId="1095" xr:uid="{00000000-0005-0000-0000-00006A040000}"/>
    <cellStyle name="g_rate_Reserve information_Lincoln model v5_2" xfId="1096" xr:uid="{00000000-0005-0000-0000-00006B040000}"/>
    <cellStyle name="g_rate_Reserve information_Lincoln model v5_2_~6801188" xfId="1097" xr:uid="{00000000-0005-0000-0000-00006C040000}"/>
    <cellStyle name="g_rate_Reserve information_Lincoln model v5_2_CRG Jr Assoc_valuation model v4" xfId="1098" xr:uid="{00000000-0005-0000-0000-00006D040000}"/>
    <cellStyle name="g_rate_Reserve information_Lincoln model v5_2_PLL_model v30" xfId="1099" xr:uid="{00000000-0005-0000-0000-00006E040000}"/>
    <cellStyle name="g_rate_Reserve information_Lincoln model v5_2_Summary of financial projections v6" xfId="1100" xr:uid="{00000000-0005-0000-0000-00006F040000}"/>
    <cellStyle name="g_rate_Reserve information_Lincoln model v5_CRG Jr Assoc_valuation model v4" xfId="1101" xr:uid="{00000000-0005-0000-0000-000070040000}"/>
    <cellStyle name="g_rate_Reserve information_Lincoln model v5_Power project" xfId="1102" xr:uid="{00000000-0005-0000-0000-000071040000}"/>
    <cellStyle name="g_rate_Reserve information_Lincoln model v5_Summary of financial projections v6" xfId="1103" xr:uid="{00000000-0005-0000-0000-000072040000}"/>
    <cellStyle name="g_rate_Reserve information_MHK model v2" xfId="1104" xr:uid="{00000000-0005-0000-0000-000073040000}"/>
    <cellStyle name="g_rate_Reserve information_Model v6" xfId="1105" xr:uid="{00000000-0005-0000-0000-000074040000}"/>
    <cellStyle name="g_rate_Reserve information_PLL_model v30" xfId="1106" xr:uid="{00000000-0005-0000-0000-000075040000}"/>
    <cellStyle name="g_rate_Reserve information_Power project" xfId="1107" xr:uid="{00000000-0005-0000-0000-000076040000}"/>
    <cellStyle name="g_rate_Reserve information_Power project_~6801188" xfId="1108" xr:uid="{00000000-0005-0000-0000-000077040000}"/>
    <cellStyle name="g_rate_Reserve information_Power project_CRG Jr Assoc_valuation model v4" xfId="1109" xr:uid="{00000000-0005-0000-0000-000078040000}"/>
    <cellStyle name="g_rate_Reserve information_Power project_PLL_model v30" xfId="1110" xr:uid="{00000000-0005-0000-0000-000079040000}"/>
    <cellStyle name="g_rate_Reserve information_Power project_Summary of financial projections v6" xfId="1111" xr:uid="{00000000-0005-0000-0000-00007A040000}"/>
    <cellStyle name="g_rate_Reserve information_Silver Trading Comps (09-30-06) vAutomated" xfId="1112" xr:uid="{00000000-0005-0000-0000-00007B040000}"/>
    <cellStyle name="g_rate_Reserve information_Summary of financial projections v6" xfId="1113" xr:uid="{00000000-0005-0000-0000-00007C040000}"/>
    <cellStyle name="g_rate_Reserve information_TiO2 model v03.0" xfId="1114" xr:uid="{00000000-0005-0000-0000-00007D040000}"/>
    <cellStyle name="g_rate_Reserve information_Version 159.2" xfId="1115" xr:uid="{00000000-0005-0000-0000-00007E040000}"/>
    <cellStyle name="g_rate_Reserve information_Vulcan v10" xfId="1116" xr:uid="{00000000-0005-0000-0000-00007F040000}"/>
    <cellStyle name="g_rate_Reserve information_Yaman profile backup" xfId="1117" xr:uid="{00000000-0005-0000-0000-000080040000}"/>
    <cellStyle name="g_rate_Vulcan v10" xfId="1118" xr:uid="{00000000-0005-0000-0000-000081040000}"/>
    <cellStyle name="Gen. Number" xfId="1119" xr:uid="{00000000-0005-0000-0000-000082040000}"/>
    <cellStyle name="Gen. Percent" xfId="1120" xr:uid="{00000000-0005-0000-0000-000083040000}"/>
    <cellStyle name="Gen.Number" xfId="1121" xr:uid="{00000000-0005-0000-0000-000084040000}"/>
    <cellStyle name="Gen.Number 2" xfId="2538" xr:uid="{00000000-0005-0000-0000-000085040000}"/>
    <cellStyle name="General" xfId="1122" xr:uid="{00000000-0005-0000-0000-000086040000}"/>
    <cellStyle name="Global" xfId="1123" xr:uid="{00000000-0005-0000-0000-000087040000}"/>
    <cellStyle name="Good" xfId="18" builtinId="26" customBuiltin="1"/>
    <cellStyle name="GPAFont" xfId="1124" xr:uid="{00000000-0005-0000-0000-000089040000}"/>
    <cellStyle name="grayText2" xfId="1125" xr:uid="{00000000-0005-0000-0000-00008A040000}"/>
    <cellStyle name="grayText2Big" xfId="1126" xr:uid="{00000000-0005-0000-0000-00008B040000}"/>
    <cellStyle name="Green" xfId="1127" xr:uid="{00000000-0005-0000-0000-00008C040000}"/>
    <cellStyle name="Grey" xfId="1128" xr:uid="{00000000-0005-0000-0000-00008D040000}"/>
    <cellStyle name="growth" xfId="1129" xr:uid="{00000000-0005-0000-0000-00008E040000}"/>
    <cellStyle name="Growth Rates/Margins" xfId="1130" xr:uid="{00000000-0005-0000-0000-00008F040000}"/>
    <cellStyle name="growth_Andina Model v1" xfId="1131" xr:uid="{00000000-0005-0000-0000-000090040000}"/>
    <cellStyle name="GrowthRate" xfId="1132" xr:uid="{00000000-0005-0000-0000-000091040000}"/>
    <cellStyle name="GrowthSeq" xfId="1133" xr:uid="{00000000-0005-0000-0000-000092040000}"/>
    <cellStyle name="H" xfId="1134" xr:uid="{00000000-0005-0000-0000-000093040000}"/>
    <cellStyle name="H 2" xfId="2484" xr:uid="{00000000-0005-0000-0000-000094040000}"/>
    <cellStyle name="H_Andina Model v1" xfId="1135" xr:uid="{00000000-0005-0000-0000-000095040000}"/>
    <cellStyle name="H_Andina Model v1 2" xfId="2485" xr:uid="{00000000-0005-0000-0000-000096040000}"/>
    <cellStyle name="H_Comps 9 24 2009 v2" xfId="1136" xr:uid="{00000000-0005-0000-0000-000097040000}"/>
    <cellStyle name="H_Comps 9 24 2009 v2 2" xfId="2486" xr:uid="{00000000-0005-0000-0000-000098040000}"/>
    <cellStyle name="H_Yaman profile backup" xfId="1137" xr:uid="{00000000-0005-0000-0000-000099040000}"/>
    <cellStyle name="H_Yaman profile backup 2" xfId="2487" xr:uid="{00000000-0005-0000-0000-00009A040000}"/>
    <cellStyle name="haeding 2" xfId="1138" xr:uid="{00000000-0005-0000-0000-00009B040000}"/>
    <cellStyle name="Hard" xfId="1139" xr:uid="{00000000-0005-0000-0000-00009C040000}"/>
    <cellStyle name="hard no." xfId="1140" xr:uid="{00000000-0005-0000-0000-00009D040000}"/>
    <cellStyle name="Hard Num" xfId="1141" xr:uid="{00000000-0005-0000-0000-00009E040000}"/>
    <cellStyle name="Hard Number Input" xfId="1142" xr:uid="{00000000-0005-0000-0000-00009F040000}"/>
    <cellStyle name="Hard Percent" xfId="1143" xr:uid="{00000000-0005-0000-0000-0000A0040000}"/>
    <cellStyle name="Hard_270 clean" xfId="1144" xr:uid="{00000000-0005-0000-0000-0000A1040000}"/>
    <cellStyle name="Hardcode %" xfId="1145" xr:uid="{00000000-0005-0000-0000-0000A2040000}"/>
    <cellStyle name="Hardcoded" xfId="1146" xr:uid="{00000000-0005-0000-0000-0000A3040000}"/>
    <cellStyle name="Hard-coded" xfId="1147" xr:uid="{00000000-0005-0000-0000-0000A4040000}"/>
    <cellStyle name="Hardcodes" xfId="1148" xr:uid="{00000000-0005-0000-0000-0000A5040000}"/>
    <cellStyle name="head1" xfId="1149" xr:uid="{00000000-0005-0000-0000-0000A6040000}"/>
    <cellStyle name="head2" xfId="1150" xr:uid="{00000000-0005-0000-0000-0000A7040000}"/>
    <cellStyle name="Header" xfId="1151" xr:uid="{00000000-0005-0000-0000-0000A8040000}"/>
    <cellStyle name="Header Draft Stamp" xfId="1152" xr:uid="{00000000-0005-0000-0000-0000A9040000}"/>
    <cellStyle name="Header_% Change" xfId="1153" xr:uid="{00000000-0005-0000-0000-0000AA040000}"/>
    <cellStyle name="Header1" xfId="1154" xr:uid="{00000000-0005-0000-0000-0000AB040000}"/>
    <cellStyle name="Header2" xfId="1155" xr:uid="{00000000-0005-0000-0000-0000AC040000}"/>
    <cellStyle name="Header2 2" xfId="2539" xr:uid="{00000000-0005-0000-0000-0000AD040000}"/>
    <cellStyle name="headers" xfId="1156" xr:uid="{00000000-0005-0000-0000-0000AE040000}"/>
    <cellStyle name="Heading" xfId="1157" xr:uid="{00000000-0005-0000-0000-0000AF040000}"/>
    <cellStyle name="Heading 1" xfId="19" builtinId="16" customBuiltin="1"/>
    <cellStyle name="Heading 1 Above" xfId="1158" xr:uid="{00000000-0005-0000-0000-0000B1040000}"/>
    <cellStyle name="Heading 1+" xfId="1159" xr:uid="{00000000-0005-0000-0000-0000B2040000}"/>
    <cellStyle name="Heading 1+ 2" xfId="2540" xr:uid="{00000000-0005-0000-0000-0000B3040000}"/>
    <cellStyle name="Heading 2" xfId="20" builtinId="17" customBuiltin="1"/>
    <cellStyle name="Heading 2 Below" xfId="1160" xr:uid="{00000000-0005-0000-0000-0000B5040000}"/>
    <cellStyle name="Heading 2+" xfId="1161" xr:uid="{00000000-0005-0000-0000-0000B6040000}"/>
    <cellStyle name="Heading 2+ 2" xfId="2541" xr:uid="{00000000-0005-0000-0000-0000B7040000}"/>
    <cellStyle name="Heading 3" xfId="21" builtinId="18" customBuiltin="1"/>
    <cellStyle name="Heading 3+" xfId="1162" xr:uid="{00000000-0005-0000-0000-0000B9040000}"/>
    <cellStyle name="Heading 4" xfId="22" builtinId="19" customBuiltin="1"/>
    <cellStyle name="Heading 5" xfId="1163" xr:uid="{00000000-0005-0000-0000-0000BB040000}"/>
    <cellStyle name="Heading No Underline" xfId="1164" xr:uid="{00000000-0005-0000-0000-0000BC040000}"/>
    <cellStyle name="Heading With Underline" xfId="1165" xr:uid="{00000000-0005-0000-0000-0000BD040000}"/>
    <cellStyle name="Heading With Underline 2" xfId="2488" xr:uid="{00000000-0005-0000-0000-0000BE040000}"/>
    <cellStyle name="Heading1" xfId="1166" xr:uid="{00000000-0005-0000-0000-0000BF040000}"/>
    <cellStyle name="Heading2" xfId="1167" xr:uid="{00000000-0005-0000-0000-0000C0040000}"/>
    <cellStyle name="Heading3" xfId="1168" xr:uid="{00000000-0005-0000-0000-0000C1040000}"/>
    <cellStyle name="HeadingColumn" xfId="1169" xr:uid="{00000000-0005-0000-0000-0000C2040000}"/>
    <cellStyle name="HeadingMerged" xfId="1170" xr:uid="{00000000-0005-0000-0000-0000C3040000}"/>
    <cellStyle name="HEADINGS" xfId="1171" xr:uid="{00000000-0005-0000-0000-0000C4040000}"/>
    <cellStyle name="HEADINGSTOP" xfId="1172" xr:uid="{00000000-0005-0000-0000-0000C5040000}"/>
    <cellStyle name="HeadingYear" xfId="1173" xr:uid="{00000000-0005-0000-0000-0000C6040000}"/>
    <cellStyle name="HIDDEN" xfId="1174" xr:uid="{00000000-0005-0000-0000-0000C7040000}"/>
    <cellStyle name="hidebold" xfId="1175" xr:uid="{00000000-0005-0000-0000-0000C8040000}"/>
    <cellStyle name="hidenorm" xfId="1176" xr:uid="{00000000-0005-0000-0000-0000C9040000}"/>
    <cellStyle name="HIGHLIGHT" xfId="1177" xr:uid="{00000000-0005-0000-0000-0000CA040000}"/>
    <cellStyle name="Highlighted" xfId="1178" xr:uid="{00000000-0005-0000-0000-0000CB040000}"/>
    <cellStyle name="Hipervínculo" xfId="1179" xr:uid="{00000000-0005-0000-0000-0000CC040000}"/>
    <cellStyle name="Historical" xfId="1180" xr:uid="{00000000-0005-0000-0000-0000CD040000}"/>
    <cellStyle name="Historical Number" xfId="1181" xr:uid="{00000000-0005-0000-0000-0000CE040000}"/>
    <cellStyle name="Hypertextový odkaz" xfId="1182" xr:uid="{00000000-0005-0000-0000-0000CF040000}"/>
    <cellStyle name="IBESInput" xfId="1183" xr:uid="{00000000-0005-0000-0000-0000D0040000}"/>
    <cellStyle name="IDD" xfId="1184" xr:uid="{00000000-0005-0000-0000-0000D1040000}"/>
    <cellStyle name="Imput" xfId="1185" xr:uid="{00000000-0005-0000-0000-0000D2040000}"/>
    <cellStyle name="Income" xfId="1186" xr:uid="{00000000-0005-0000-0000-0000D3040000}"/>
    <cellStyle name="income statement" xfId="1187" xr:uid="{00000000-0005-0000-0000-0000D4040000}"/>
    <cellStyle name="Income_Andina Model v1" xfId="1188" xr:uid="{00000000-0005-0000-0000-0000D5040000}"/>
    <cellStyle name="IncomeStatement" xfId="1189" xr:uid="{00000000-0005-0000-0000-0000D6040000}"/>
    <cellStyle name="Indent" xfId="1190" xr:uid="{00000000-0005-0000-0000-0000D7040000}"/>
    <cellStyle name="Index" xfId="1191" xr:uid="{00000000-0005-0000-0000-0000D8040000}"/>
    <cellStyle name="Input" xfId="23" builtinId="20" customBuiltin="1"/>
    <cellStyle name="Input [#]" xfId="1192" xr:uid="{00000000-0005-0000-0000-0000DA040000}"/>
    <cellStyle name="Input [%]" xfId="1193" xr:uid="{00000000-0005-0000-0000-0000DB040000}"/>
    <cellStyle name="Input [0 dec]" xfId="1194" xr:uid="{00000000-0005-0000-0000-0000DC040000}"/>
    <cellStyle name="Input [1 dec]" xfId="1195" xr:uid="{00000000-0005-0000-0000-0000DD040000}"/>
    <cellStyle name="Input [2 dec]" xfId="1196" xr:uid="{00000000-0005-0000-0000-0000DE040000}"/>
    <cellStyle name="Input [yellow]" xfId="1197" xr:uid="{00000000-0005-0000-0000-0000DF040000}"/>
    <cellStyle name="Input 2" xfId="2542" xr:uid="{00000000-0005-0000-0000-0000E0040000}"/>
    <cellStyle name="Input 2 2" xfId="2543" xr:uid="{00000000-0005-0000-0000-0000E1040000}"/>
    <cellStyle name="Input 3" xfId="2544" xr:uid="{00000000-0005-0000-0000-0000E2040000}"/>
    <cellStyle name="Input Box" xfId="1198" xr:uid="{00000000-0005-0000-0000-0000E3040000}"/>
    <cellStyle name="input Cells" xfId="1199" xr:uid="{00000000-0005-0000-0000-0000E4040000}"/>
    <cellStyle name="Input Currency" xfId="1200" xr:uid="{00000000-0005-0000-0000-0000E5040000}"/>
    <cellStyle name="Input Currency 2" xfId="1201" xr:uid="{00000000-0005-0000-0000-0000E6040000}"/>
    <cellStyle name="Input Currency_~6801188" xfId="1202" xr:uid="{00000000-0005-0000-0000-0000E7040000}"/>
    <cellStyle name="Input Date" xfId="1203" xr:uid="{00000000-0005-0000-0000-0000E8040000}"/>
    <cellStyle name="Input Fixed [0]" xfId="1204" xr:uid="{00000000-0005-0000-0000-0000E9040000}"/>
    <cellStyle name="Input Multiple" xfId="1205" xr:uid="{00000000-0005-0000-0000-0000EA040000}"/>
    <cellStyle name="Input Normal" xfId="1206" xr:uid="{00000000-0005-0000-0000-0000EB040000}"/>
    <cellStyle name="Input Number" xfId="1207" xr:uid="{00000000-0005-0000-0000-0000EC040000}"/>
    <cellStyle name="Input Percent" xfId="1208" xr:uid="{00000000-0005-0000-0000-0000ED040000}"/>
    <cellStyle name="Input Percent [2]" xfId="1209" xr:uid="{00000000-0005-0000-0000-0000EE040000}"/>
    <cellStyle name="Input Percent_~6801188" xfId="1210" xr:uid="{00000000-0005-0000-0000-0000EF040000}"/>
    <cellStyle name="Input Series" xfId="1211" xr:uid="{00000000-0005-0000-0000-0000F0040000}"/>
    <cellStyle name="Input Series 2" xfId="2545" xr:uid="{00000000-0005-0000-0000-0000F1040000}"/>
    <cellStyle name="Input Titles" xfId="1212" xr:uid="{00000000-0005-0000-0000-0000F2040000}"/>
    <cellStyle name="Input%" xfId="1213" xr:uid="{00000000-0005-0000-0000-0000F3040000}"/>
    <cellStyle name="Input[#]" xfId="1214" xr:uid="{00000000-0005-0000-0000-0000F4040000}"/>
    <cellStyle name="Input0" xfId="1215" xr:uid="{00000000-0005-0000-0000-0000F5040000}"/>
    <cellStyle name="Input0dec" xfId="1216" xr:uid="{00000000-0005-0000-0000-0000F6040000}"/>
    <cellStyle name="input2" xfId="1217" xr:uid="{00000000-0005-0000-0000-0000F7040000}"/>
    <cellStyle name="Input2dec" xfId="1218" xr:uid="{00000000-0005-0000-0000-0000F8040000}"/>
    <cellStyle name="InputBlueFont" xfId="1219" xr:uid="{00000000-0005-0000-0000-0000F9040000}"/>
    <cellStyle name="InputCurrency" xfId="1220" xr:uid="{00000000-0005-0000-0000-0000FA040000}"/>
    <cellStyle name="InputCurrency2" xfId="1221" xr:uid="{00000000-0005-0000-0000-0000FB040000}"/>
    <cellStyle name="InputDollar" xfId="1222" xr:uid="{00000000-0005-0000-0000-0000FC040000}"/>
    <cellStyle name="InputMultiple1" xfId="1223" xr:uid="{00000000-0005-0000-0000-0000FD040000}"/>
    <cellStyle name="InputNormal" xfId="1224" xr:uid="{00000000-0005-0000-0000-0000FE040000}"/>
    <cellStyle name="InputPct" xfId="1225" xr:uid="{00000000-0005-0000-0000-0000FF040000}"/>
    <cellStyle name="InputPercent" xfId="1226" xr:uid="{00000000-0005-0000-0000-000000050000}"/>
    <cellStyle name="InputPercent1" xfId="1227" xr:uid="{00000000-0005-0000-0000-000001050000}"/>
    <cellStyle name="InputPop" xfId="1228" xr:uid="{00000000-0005-0000-0000-000002050000}"/>
    <cellStyle name="Integer" xfId="1229" xr:uid="{00000000-0005-0000-0000-000003050000}"/>
    <cellStyle name="interest" xfId="1230" xr:uid="{00000000-0005-0000-0000-000004050000}"/>
    <cellStyle name="Inverse Header" xfId="1231" xr:uid="{00000000-0005-0000-0000-000005050000}"/>
    <cellStyle name="Invisible" xfId="1232" xr:uid="{00000000-0005-0000-0000-000006050000}"/>
    <cellStyle name="Item" xfId="1233" xr:uid="{00000000-0005-0000-0000-000007050000}"/>
    <cellStyle name="Item Descriptions" xfId="1234" xr:uid="{00000000-0005-0000-0000-000008050000}"/>
    <cellStyle name="Item Descriptions - Bold" xfId="1235" xr:uid="{00000000-0005-0000-0000-000009050000}"/>
    <cellStyle name="Item Descriptions_6079BX" xfId="1236" xr:uid="{00000000-0005-0000-0000-00000A050000}"/>
    <cellStyle name="Item_~6801188" xfId="1237" xr:uid="{00000000-0005-0000-0000-00000B050000}"/>
    <cellStyle name="ItemTypeClass" xfId="1238" xr:uid="{00000000-0005-0000-0000-00000C050000}"/>
    <cellStyle name="ItemTypeClass 2" xfId="2546" xr:uid="{00000000-0005-0000-0000-00000D050000}"/>
    <cellStyle name="ItemTypeClass 2 2" xfId="2547" xr:uid="{00000000-0005-0000-0000-00000E050000}"/>
    <cellStyle name="J.P.M. input" xfId="1239" xr:uid="{00000000-0005-0000-0000-00000F050000}"/>
    <cellStyle name="JCF-Detail" xfId="1240" xr:uid="{00000000-0005-0000-0000-000010050000}"/>
    <cellStyle name="JustOneDec" xfId="1241" xr:uid="{00000000-0005-0000-0000-000011050000}"/>
    <cellStyle name="JWH Preferred - 2 Decimals" xfId="1242" xr:uid="{00000000-0005-0000-0000-000012050000}"/>
    <cellStyle name="JWH Preferred - No Decimals" xfId="1243" xr:uid="{00000000-0005-0000-0000-000013050000}"/>
    <cellStyle name="KHstyle" xfId="1244" xr:uid="{00000000-0005-0000-0000-000014050000}"/>
    <cellStyle name="Komma [0]_Algemeen" xfId="1245" xr:uid="{00000000-0005-0000-0000-000015050000}"/>
    <cellStyle name="Komma_Algemeen" xfId="1246" xr:uid="{00000000-0005-0000-0000-000016050000}"/>
    <cellStyle name="KP_Normal" xfId="1247" xr:uid="{00000000-0005-0000-0000-000017050000}"/>
    <cellStyle name="kurzíva" xfId="1248" xr:uid="{00000000-0005-0000-0000-000018050000}"/>
    <cellStyle name="leftStyle" xfId="1249" xr:uid="{00000000-0005-0000-0000-000019050000}"/>
    <cellStyle name="Lien hypertexte visité_KKKKK" xfId="1250" xr:uid="{00000000-0005-0000-0000-00001A050000}"/>
    <cellStyle name="Lien hypertexte_KKKKK" xfId="1251" xr:uid="{00000000-0005-0000-0000-00001B050000}"/>
    <cellStyle name="ligne_detail" xfId="1252" xr:uid="{00000000-0005-0000-0000-00001C050000}"/>
    <cellStyle name="line" xfId="1253" xr:uid="{00000000-0005-0000-0000-00001D050000}"/>
    <cellStyle name="LineItem" xfId="1254" xr:uid="{00000000-0005-0000-0000-00001E050000}"/>
    <cellStyle name="LINK" xfId="1255" xr:uid="{00000000-0005-0000-0000-00001F050000}"/>
    <cellStyle name="Link Checks" xfId="1256" xr:uid="{00000000-0005-0000-0000-000020050000}"/>
    <cellStyle name="Link Currency (0)" xfId="1257" xr:uid="{00000000-0005-0000-0000-000021050000}"/>
    <cellStyle name="Link Currency (2)" xfId="1258" xr:uid="{00000000-0005-0000-0000-000022050000}"/>
    <cellStyle name="Link Units (0)" xfId="1259" xr:uid="{00000000-0005-0000-0000-000023050000}"/>
    <cellStyle name="Link Units (1)" xfId="1260" xr:uid="{00000000-0005-0000-0000-000024050000}"/>
    <cellStyle name="Link Units (2)" xfId="1261" xr:uid="{00000000-0005-0000-0000-000025050000}"/>
    <cellStyle name="LINK_~6801188" xfId="1262" xr:uid="{00000000-0005-0000-0000-000026050000}"/>
    <cellStyle name="Linked Cell" xfId="24" builtinId="24" customBuiltin="1"/>
    <cellStyle name="locked" xfId="1263" xr:uid="{00000000-0005-0000-0000-000028050000}"/>
    <cellStyle name="Long Date" xfId="1264" xr:uid="{00000000-0005-0000-0000-000029050000}"/>
    <cellStyle name="LTGR" xfId="1265" xr:uid="{00000000-0005-0000-0000-00002A050000}"/>
    <cellStyle name="m" xfId="1266" xr:uid="{00000000-0005-0000-0000-00002B050000}"/>
    <cellStyle name="m$" xfId="1267" xr:uid="{00000000-0005-0000-0000-00002C050000}"/>
    <cellStyle name="m/d/yy" xfId="1268" xr:uid="{00000000-0005-0000-0000-00002D050000}"/>
    <cellStyle name="m/d/yy 2" xfId="2489" xr:uid="{00000000-0005-0000-0000-00002E050000}"/>
    <cellStyle name="m/d/yyyy" xfId="1269" xr:uid="{00000000-0005-0000-0000-00002F050000}"/>
    <cellStyle name="m_~6801188" xfId="1270" xr:uid="{00000000-0005-0000-0000-000030050000}"/>
    <cellStyle name="m_8th Continent v04.0" xfId="1271" xr:uid="{00000000-0005-0000-0000-000031050000}"/>
    <cellStyle name="m_Andina Model v1" xfId="1272" xr:uid="{00000000-0005-0000-0000-000032050000}"/>
    <cellStyle name="m_APOL model (09.07.07)v21.0" xfId="1273" xr:uid="{00000000-0005-0000-0000-000033050000}"/>
    <cellStyle name="m_APOL model (09.07.07)v21.0_Yaman profile backup" xfId="1274" xr:uid="{00000000-0005-0000-0000-000034050000}"/>
    <cellStyle name="m_Black Hawk Down redux" xfId="1275" xr:uid="{00000000-0005-0000-0000-000035050000}"/>
    <cellStyle name="m_blank" xfId="1276" xr:uid="{00000000-0005-0000-0000-000036050000}"/>
    <cellStyle name="m_BRR" xfId="1277" xr:uid="{00000000-0005-0000-0000-000037050000}"/>
    <cellStyle name="m_Bsnx.xls Chart 1" xfId="1278" xr:uid="{00000000-0005-0000-0000-000038050000}"/>
    <cellStyle name="m_Bsnx.xls Chart 2" xfId="1279" xr:uid="{00000000-0005-0000-0000-000039050000}"/>
    <cellStyle name="m_Bsnx.xls Chart 3" xfId="1280" xr:uid="{00000000-0005-0000-0000-00003A050000}"/>
    <cellStyle name="m_COG.XLS Chart 1" xfId="1281" xr:uid="{00000000-0005-0000-0000-00003B050000}"/>
    <cellStyle name="m_COG.XLS Chart 2" xfId="1282" xr:uid="{00000000-0005-0000-0000-00003C050000}"/>
    <cellStyle name="m_COG.XLS Chart 3" xfId="1283" xr:uid="{00000000-0005-0000-0000-00003D050000}"/>
    <cellStyle name="m_Comps 9 24 2009 v2" xfId="1284" xr:uid="{00000000-0005-0000-0000-00003E050000}"/>
    <cellStyle name="m_Copy of Beam model v7.0c" xfId="1285" xr:uid="{00000000-0005-0000-0000-00003F050000}"/>
    <cellStyle name="m_CR v2" xfId="1286" xr:uid="{00000000-0005-0000-0000-000040050000}"/>
    <cellStyle name="m_CR v2_PLL_model v30" xfId="1287" xr:uid="{00000000-0005-0000-0000-000041050000}"/>
    <cellStyle name="m_CRG Jr Assoc_valuation model v4" xfId="1288" xr:uid="{00000000-0005-0000-0000-000042050000}"/>
    <cellStyle name="m_HUN projections v1.2" xfId="1289" xr:uid="{00000000-0005-0000-0000-000043050000}"/>
    <cellStyle name="m_HYNI Trading Comps v28" xfId="1290" xr:uid="{00000000-0005-0000-0000-000044050000}"/>
    <cellStyle name="m_HYNI Trading Comps v28_Yaman profile backup" xfId="1291" xr:uid="{00000000-0005-0000-0000-000045050000}"/>
    <cellStyle name="m_Inorganics model v10.0" xfId="1292" xr:uid="{00000000-0005-0000-0000-000046050000}"/>
    <cellStyle name="m_JPM Vulcan v34" xfId="1293" xr:uid="{00000000-0005-0000-0000-000047050000}"/>
    <cellStyle name="m_JPM Vulcan v34_1" xfId="1294" xr:uid="{00000000-0005-0000-0000-000048050000}"/>
    <cellStyle name="m_Kaiser 270 v41" xfId="1295" xr:uid="{00000000-0005-0000-0000-000049050000}"/>
    <cellStyle name="m_Kaiser 270 v41_1" xfId="1296" xr:uid="{00000000-0005-0000-0000-00004A050000}"/>
    <cellStyle name="M_Kraton model vFINAL" xfId="1297" xr:uid="{00000000-0005-0000-0000-00004B050000}"/>
    <cellStyle name="m_lbo model" xfId="1298" xr:uid="{00000000-0005-0000-0000-00004C050000}"/>
    <cellStyle name="m_LBO model v01.0" xfId="1299" xr:uid="{00000000-0005-0000-0000-00004D050000}"/>
    <cellStyle name="m_LD.xls Chart 1" xfId="1300" xr:uid="{00000000-0005-0000-0000-00004E050000}"/>
    <cellStyle name="m_LD.xls Chart 2" xfId="1301" xr:uid="{00000000-0005-0000-0000-00004F050000}"/>
    <cellStyle name="m_LD.xls Chart 3" xfId="1302" xr:uid="{00000000-0005-0000-0000-000050050000}"/>
    <cellStyle name="m_Lincoln model v5" xfId="1303" xr:uid="{00000000-0005-0000-0000-000051050000}"/>
    <cellStyle name="m_MARY.xls Chart 1" xfId="1304" xr:uid="{00000000-0005-0000-0000-000052050000}"/>
    <cellStyle name="m_MARY.xls Chart 2" xfId="1305" xr:uid="{00000000-0005-0000-0000-000053050000}"/>
    <cellStyle name="m_MARY.xls Chart 3" xfId="1306" xr:uid="{00000000-0005-0000-0000-000054050000}"/>
    <cellStyle name="m_MHK model v2" xfId="1307" xr:uid="{00000000-0005-0000-0000-000055050000}"/>
    <cellStyle name="m_Model v6" xfId="1308" xr:uid="{00000000-0005-0000-0000-000056050000}"/>
    <cellStyle name="m_Multiple ppt output" xfId="1309" xr:uid="{00000000-0005-0000-0000-000057050000}"/>
    <cellStyle name="m_Multiple ppt output_8th Continent v04.0" xfId="1310" xr:uid="{00000000-0005-0000-0000-000058050000}"/>
    <cellStyle name="m_Multiple ppt output_Andina Model v1" xfId="1311" xr:uid="{00000000-0005-0000-0000-000059050000}"/>
    <cellStyle name="m_Multiple ppt output_Black Hawk Down redux" xfId="1312" xr:uid="{00000000-0005-0000-0000-00005A050000}"/>
    <cellStyle name="m_Multiple ppt output_blank" xfId="1313" xr:uid="{00000000-0005-0000-0000-00005B050000}"/>
    <cellStyle name="m_Multiple ppt output_Comps 9 24 2009 v2" xfId="1314" xr:uid="{00000000-0005-0000-0000-00005C050000}"/>
    <cellStyle name="m_Multiple ppt output_Copy of Beam model v7.0c" xfId="1315" xr:uid="{00000000-0005-0000-0000-00005D050000}"/>
    <cellStyle name="m_Multiple ppt output_HUN projections v1.2" xfId="1316" xr:uid="{00000000-0005-0000-0000-00005E050000}"/>
    <cellStyle name="m_Multiple ppt output_Inorganics model v10.0" xfId="1317" xr:uid="{00000000-0005-0000-0000-00005F050000}"/>
    <cellStyle name="m_Multiple ppt output_JPM Vulcan v34" xfId="1318" xr:uid="{00000000-0005-0000-0000-000060050000}"/>
    <cellStyle name="m_Multiple ppt output_JPM Vulcan v34_1" xfId="1319" xr:uid="{00000000-0005-0000-0000-000061050000}"/>
    <cellStyle name="m_Multiple ppt output_lbo model" xfId="1320" xr:uid="{00000000-0005-0000-0000-000062050000}"/>
    <cellStyle name="m_Multiple ppt output_LBO model v01.0" xfId="1321" xr:uid="{00000000-0005-0000-0000-000063050000}"/>
    <cellStyle name="m_Multiple ppt output_MHK model v2" xfId="1322" xr:uid="{00000000-0005-0000-0000-000064050000}"/>
    <cellStyle name="m_Multiple ppt output_Model v6" xfId="1323" xr:uid="{00000000-0005-0000-0000-000065050000}"/>
    <cellStyle name="m_Multiple ppt output_PLL_model v30" xfId="1324" xr:uid="{00000000-0005-0000-0000-000066050000}"/>
    <cellStyle name="m_Multiple ppt output_PPG Model April 10 v32 (version 1)" xfId="1325" xr:uid="{00000000-0005-0000-0000-000067050000}"/>
    <cellStyle name="m_Multiple ppt output_Silver Trading Comps (09-30-06) vAutomated" xfId="1326" xr:uid="{00000000-0005-0000-0000-000068050000}"/>
    <cellStyle name="m_Multiple ppt output_Silver Trading Comps (09-30-06) vAutomated_Yaman profile backup" xfId="1327" xr:uid="{00000000-0005-0000-0000-000069050000}"/>
    <cellStyle name="m_Multiple ppt output_TiO2 model v03.0" xfId="1328" xr:uid="{00000000-0005-0000-0000-00006A050000}"/>
    <cellStyle name="m_Multiple ppt output_Version 159.2" xfId="1329" xr:uid="{00000000-0005-0000-0000-00006B050000}"/>
    <cellStyle name="m_Multiple ppt output_Vulcan v10" xfId="1330" xr:uid="{00000000-0005-0000-0000-00006C050000}"/>
    <cellStyle name="m_Multiple ppt output_Yaman profile backup" xfId="1331" xr:uid="{00000000-0005-0000-0000-00006D050000}"/>
    <cellStyle name="m_nev.xls Chart 1" xfId="1332" xr:uid="{00000000-0005-0000-0000-00006E050000}"/>
    <cellStyle name="m_nev.xls Chart 2" xfId="1333" xr:uid="{00000000-0005-0000-0000-00006F050000}"/>
    <cellStyle name="m_nev.xls Chart 3" xfId="1334" xr:uid="{00000000-0005-0000-0000-000070050000}"/>
    <cellStyle name="m_OEI.xls Chart 1" xfId="1335" xr:uid="{00000000-0005-0000-0000-000071050000}"/>
    <cellStyle name="m_OEI.xls Chart 2" xfId="1336" xr:uid="{00000000-0005-0000-0000-000072050000}"/>
    <cellStyle name="m_OEI.xls Chart 3" xfId="1337" xr:uid="{00000000-0005-0000-0000-000073050000}"/>
    <cellStyle name="m_PLL_model v30" xfId="1338" xr:uid="{00000000-0005-0000-0000-000074050000}"/>
    <cellStyle name="m_Power project" xfId="1339" xr:uid="{00000000-0005-0000-0000-000075050000}"/>
    <cellStyle name="m_PPG Model April 10 v32 (version 1)" xfId="1340" xr:uid="{00000000-0005-0000-0000-000076050000}"/>
    <cellStyle name="M_Rebuilt Mountaineer model v41" xfId="1341" xr:uid="{00000000-0005-0000-0000-000077050000}"/>
    <cellStyle name="M_Rebuilt Mountaineer model v41_1" xfId="1342" xr:uid="{00000000-0005-0000-0000-000078050000}"/>
    <cellStyle name="M_Rebuilt Mountaineer model v41_Andina Model v1" xfId="1343" xr:uid="{00000000-0005-0000-0000-000079050000}"/>
    <cellStyle name="M_Rebuilt Mountaineer model v41_Comps 9 24 2009 v2" xfId="1344" xr:uid="{00000000-0005-0000-0000-00007A050000}"/>
    <cellStyle name="M_Rebuilt Mountaineer model v41_Yaman profile backup" xfId="1345" xr:uid="{00000000-0005-0000-0000-00007B050000}"/>
    <cellStyle name="m_Reserve information" xfId="1346" xr:uid="{00000000-0005-0000-0000-00007C050000}"/>
    <cellStyle name="m_Reserve information_~6801188" xfId="1347" xr:uid="{00000000-0005-0000-0000-00007D050000}"/>
    <cellStyle name="m_Reserve information_~6801188_CRG Jr Assoc_valuation model v4" xfId="1348" xr:uid="{00000000-0005-0000-0000-00007E050000}"/>
    <cellStyle name="m_Reserve information_~6801188_Summary of financial projections v6" xfId="1349" xr:uid="{00000000-0005-0000-0000-00007F050000}"/>
    <cellStyle name="m_Reserve information_8th Continent v04.0" xfId="1350" xr:uid="{00000000-0005-0000-0000-000080050000}"/>
    <cellStyle name="m_Reserve information_Andina Model v1" xfId="1351" xr:uid="{00000000-0005-0000-0000-000081050000}"/>
    <cellStyle name="m_Reserve information_Black Hawk Down redux" xfId="1352" xr:uid="{00000000-0005-0000-0000-000082050000}"/>
    <cellStyle name="m_Reserve information_blank" xfId="1353" xr:uid="{00000000-0005-0000-0000-000083050000}"/>
    <cellStyle name="m_Reserve information_Comps 9 24 2009 v2" xfId="1354" xr:uid="{00000000-0005-0000-0000-000084050000}"/>
    <cellStyle name="m_Reserve information_Copy of Beam model v7.0c" xfId="1355" xr:uid="{00000000-0005-0000-0000-000085050000}"/>
    <cellStyle name="m_Reserve information_CR v2" xfId="1356" xr:uid="{00000000-0005-0000-0000-000086050000}"/>
    <cellStyle name="m_Reserve information_CR v2_~6801188" xfId="1357" xr:uid="{00000000-0005-0000-0000-000087050000}"/>
    <cellStyle name="m_Reserve information_CR v2_CRG Jr Assoc_valuation model v4" xfId="1358" xr:uid="{00000000-0005-0000-0000-000088050000}"/>
    <cellStyle name="m_Reserve information_CR v2_Summary of financial projections v6" xfId="1359" xr:uid="{00000000-0005-0000-0000-000089050000}"/>
    <cellStyle name="m_Reserve information_CRG Jr Assoc_valuation model v4" xfId="1360" xr:uid="{00000000-0005-0000-0000-00008A050000}"/>
    <cellStyle name="m_Reserve information_HUN projections v1.2" xfId="1361" xr:uid="{00000000-0005-0000-0000-00008B050000}"/>
    <cellStyle name="m_Reserve information_Inorganics model v10.0" xfId="1362" xr:uid="{00000000-0005-0000-0000-00008C050000}"/>
    <cellStyle name="m_Reserve information_JPM Vulcan v34" xfId="1363" xr:uid="{00000000-0005-0000-0000-00008D050000}"/>
    <cellStyle name="m_Reserve information_lbo model" xfId="1364" xr:uid="{00000000-0005-0000-0000-00008E050000}"/>
    <cellStyle name="m_Reserve information_LBO model v01.0" xfId="1365" xr:uid="{00000000-0005-0000-0000-00008F050000}"/>
    <cellStyle name="m_Reserve information_Lincoln model v5" xfId="1366" xr:uid="{00000000-0005-0000-0000-000090050000}"/>
    <cellStyle name="m_Reserve information_Lincoln model v5_~6801188" xfId="1367" xr:uid="{00000000-0005-0000-0000-000091050000}"/>
    <cellStyle name="m_Reserve information_Lincoln model v5_~6801188_CRG Jr Assoc_valuation model v4" xfId="1368" xr:uid="{00000000-0005-0000-0000-000092050000}"/>
    <cellStyle name="m_Reserve information_Lincoln model v5_~6801188_Summary of financial projections v6" xfId="1369" xr:uid="{00000000-0005-0000-0000-000093050000}"/>
    <cellStyle name="m_Reserve information_Lincoln model v5_1" xfId="1370" xr:uid="{00000000-0005-0000-0000-000094050000}"/>
    <cellStyle name="m_Reserve information_Lincoln model v5_1_~6801188" xfId="1371" xr:uid="{00000000-0005-0000-0000-000095050000}"/>
    <cellStyle name="m_Reserve information_Lincoln model v5_1_CRG Jr Assoc_valuation model v4" xfId="1372" xr:uid="{00000000-0005-0000-0000-000096050000}"/>
    <cellStyle name="m_Reserve information_Lincoln model v5_1_PLL_model v30" xfId="1373" xr:uid="{00000000-0005-0000-0000-000097050000}"/>
    <cellStyle name="m_Reserve information_Lincoln model v5_1_Summary of financial projections v6" xfId="1374" xr:uid="{00000000-0005-0000-0000-000098050000}"/>
    <cellStyle name="m_Reserve information_Lincoln model v5_2" xfId="1375" xr:uid="{00000000-0005-0000-0000-000099050000}"/>
    <cellStyle name="m_Reserve information_Lincoln model v5_2_PLL_model v30" xfId="1376" xr:uid="{00000000-0005-0000-0000-00009A050000}"/>
    <cellStyle name="m_Reserve information_Lincoln model v5_CRG Jr Assoc_valuation model v4" xfId="1377" xr:uid="{00000000-0005-0000-0000-00009B050000}"/>
    <cellStyle name="m_Reserve information_Lincoln model v5_PLL_model v30" xfId="1378" xr:uid="{00000000-0005-0000-0000-00009C050000}"/>
    <cellStyle name="m_Reserve information_Lincoln model v5_Power project" xfId="1379" xr:uid="{00000000-0005-0000-0000-00009D050000}"/>
    <cellStyle name="m_Reserve information_Lincoln model v5_Power project_~6801188" xfId="1380" xr:uid="{00000000-0005-0000-0000-00009E050000}"/>
    <cellStyle name="m_Reserve information_Lincoln model v5_Power project_CRG Jr Assoc_valuation model v4" xfId="1381" xr:uid="{00000000-0005-0000-0000-00009F050000}"/>
    <cellStyle name="m_Reserve information_Lincoln model v5_Power project_Summary of financial projections v6" xfId="1382" xr:uid="{00000000-0005-0000-0000-0000A0050000}"/>
    <cellStyle name="m_Reserve information_Lincoln model v5_Summary of financial projections v6" xfId="1383" xr:uid="{00000000-0005-0000-0000-0000A1050000}"/>
    <cellStyle name="m_Reserve information_MHK model v2" xfId="1384" xr:uid="{00000000-0005-0000-0000-0000A2050000}"/>
    <cellStyle name="m_Reserve information_Model v6" xfId="1385" xr:uid="{00000000-0005-0000-0000-0000A3050000}"/>
    <cellStyle name="m_Reserve information_PLL_model v30" xfId="1386" xr:uid="{00000000-0005-0000-0000-0000A4050000}"/>
    <cellStyle name="m_Reserve information_Power project" xfId="1387" xr:uid="{00000000-0005-0000-0000-0000A5050000}"/>
    <cellStyle name="m_Reserve information_Power project_~6801188" xfId="1388" xr:uid="{00000000-0005-0000-0000-0000A6050000}"/>
    <cellStyle name="m_Reserve information_Power project_CRG Jr Assoc_valuation model v4" xfId="1389" xr:uid="{00000000-0005-0000-0000-0000A7050000}"/>
    <cellStyle name="m_Reserve information_Power project_PLL_model v30" xfId="1390" xr:uid="{00000000-0005-0000-0000-0000A8050000}"/>
    <cellStyle name="m_Reserve information_Power project_Summary of financial projections v6" xfId="1391" xr:uid="{00000000-0005-0000-0000-0000A9050000}"/>
    <cellStyle name="m_Reserve information_Silver Trading Comps (09-30-06) vAutomated" xfId="1392" xr:uid="{00000000-0005-0000-0000-0000AA050000}"/>
    <cellStyle name="m_Reserve information_Summary of financial projections v6" xfId="1393" xr:uid="{00000000-0005-0000-0000-0000AB050000}"/>
    <cellStyle name="m_Reserve information_TiO2 model v03.0" xfId="1394" xr:uid="{00000000-0005-0000-0000-0000AC050000}"/>
    <cellStyle name="m_Reserve information_Version 159.2" xfId="1395" xr:uid="{00000000-0005-0000-0000-0000AD050000}"/>
    <cellStyle name="m_Reserve information_Vulcan v10" xfId="1396" xr:uid="{00000000-0005-0000-0000-0000AE050000}"/>
    <cellStyle name="m_Reserve information_Yaman profile backup" xfId="1397" xr:uid="{00000000-0005-0000-0000-0000AF050000}"/>
    <cellStyle name="m_Silver Trading Comps (09-30-06) vAutomated" xfId="1398" xr:uid="{00000000-0005-0000-0000-0000B0050000}"/>
    <cellStyle name="m_Silver Trading Comps (09-30-06) vAutomated_Yaman profile backup" xfId="1399" xr:uid="{00000000-0005-0000-0000-0000B1050000}"/>
    <cellStyle name="m_SPNX.xls Chart 1" xfId="1400" xr:uid="{00000000-0005-0000-0000-0000B2050000}"/>
    <cellStyle name="m_SPNX.xls Chart 2" xfId="1401" xr:uid="{00000000-0005-0000-0000-0000B3050000}"/>
    <cellStyle name="m_SPNX.xls Chart 3" xfId="1402" xr:uid="{00000000-0005-0000-0000-0000B4050000}"/>
    <cellStyle name="m_Summary of financial projections v6" xfId="1403" xr:uid="{00000000-0005-0000-0000-0000B5050000}"/>
    <cellStyle name="m_TiO2 model v03.0" xfId="1404" xr:uid="{00000000-0005-0000-0000-0000B6050000}"/>
    <cellStyle name="m_Version 159.2" xfId="1405" xr:uid="{00000000-0005-0000-0000-0000B7050000}"/>
    <cellStyle name="m_Vulcan v10" xfId="1406" xr:uid="{00000000-0005-0000-0000-0000B8050000}"/>
    <cellStyle name="m_Yaman profile backup" xfId="1407" xr:uid="{00000000-0005-0000-0000-0000B9050000}"/>
    <cellStyle name="MacroBoy" xfId="1408" xr:uid="{00000000-0005-0000-0000-0000BA050000}"/>
    <cellStyle name="MacroCode" xfId="1409" xr:uid="{00000000-0005-0000-0000-0000BB050000}"/>
    <cellStyle name="Magic" xfId="1410" xr:uid="{00000000-0005-0000-0000-0000BC050000}"/>
    <cellStyle name="Magic 2" xfId="2490" xr:uid="{00000000-0005-0000-0000-0000BD050000}"/>
    <cellStyle name="magrins" xfId="1411" xr:uid="{00000000-0005-0000-0000-0000BE050000}"/>
    <cellStyle name="Margin" xfId="1412" xr:uid="{00000000-0005-0000-0000-0000BF050000}"/>
    <cellStyle name="Margins" xfId="1413" xr:uid="{00000000-0005-0000-0000-0000C0050000}"/>
    <cellStyle name="měny_F1 SARTID &amp; SMEDEREVO" xfId="1414" xr:uid="{00000000-0005-0000-0000-0000C1050000}"/>
    <cellStyle name="Migliaia (0)_07 Deut - FS0699HY" xfId="1415" xr:uid="{00000000-0005-0000-0000-0000C2050000}"/>
    <cellStyle name="Migliaia_07 Deut - FS0699HY" xfId="1416" xr:uid="{00000000-0005-0000-0000-0000C3050000}"/>
    <cellStyle name="Mike" xfId="1417" xr:uid="{00000000-0005-0000-0000-0000C4050000}"/>
    <cellStyle name="mil" xfId="1418" xr:uid="{00000000-0005-0000-0000-0000C5050000}"/>
    <cellStyle name="Millares [0]_BRASIL (2)" xfId="1419" xr:uid="{00000000-0005-0000-0000-0000C6050000}"/>
    <cellStyle name="Millares_5670-t123" xfId="1420" xr:uid="{00000000-0005-0000-0000-0000C7050000}"/>
    <cellStyle name="Milliers [0]_!!!GO" xfId="1421" xr:uid="{00000000-0005-0000-0000-0000C8050000}"/>
    <cellStyle name="Milliers_!!!GO" xfId="1422" xr:uid="{00000000-0005-0000-0000-0000C9050000}"/>
    <cellStyle name="Millions" xfId="1423" xr:uid="{00000000-0005-0000-0000-0000CA050000}"/>
    <cellStyle name="Millions $" xfId="1424" xr:uid="{00000000-0005-0000-0000-0000CB050000}"/>
    <cellStyle name="Millions_~6801188" xfId="1425" xr:uid="{00000000-0005-0000-0000-0000CC050000}"/>
    <cellStyle name="minus" xfId="1426" xr:uid="{00000000-0005-0000-0000-0000CD050000}"/>
    <cellStyle name="MJM" xfId="1427" xr:uid="{00000000-0005-0000-0000-0000CE050000}"/>
    <cellStyle name="mm" xfId="1428" xr:uid="{00000000-0005-0000-0000-0000CF050000}"/>
    <cellStyle name="mmm yyyy" xfId="1429" xr:uid="{00000000-0005-0000-0000-0000D0050000}"/>
    <cellStyle name="mmm-d-yyyy" xfId="1430" xr:uid="{00000000-0005-0000-0000-0000D1050000}"/>
    <cellStyle name="mmm-yy" xfId="1431" xr:uid="{00000000-0005-0000-0000-0000D2050000}"/>
    <cellStyle name="Model" xfId="1432" xr:uid="{00000000-0005-0000-0000-0000D3050000}"/>
    <cellStyle name="Moneda [0]_BRASIL (2)" xfId="1433" xr:uid="{00000000-0005-0000-0000-0000D4050000}"/>
    <cellStyle name="Moneda_5670-t123" xfId="1434" xr:uid="{00000000-0005-0000-0000-0000D5050000}"/>
    <cellStyle name="Monétaire [0]_!!!GO" xfId="1435" xr:uid="{00000000-0005-0000-0000-0000D6050000}"/>
    <cellStyle name="Monétaire_!!!GO" xfId="1436" xr:uid="{00000000-0005-0000-0000-0000D7050000}"/>
    <cellStyle name="MONETARIO" xfId="1437" xr:uid="{00000000-0005-0000-0000-0000D8050000}"/>
    <cellStyle name="Money" xfId="1438" xr:uid="{00000000-0005-0000-0000-0000D9050000}"/>
    <cellStyle name="Money2" xfId="1439" xr:uid="{00000000-0005-0000-0000-0000DA050000}"/>
    <cellStyle name="Month" xfId="1440" xr:uid="{00000000-0005-0000-0000-0000DB050000}"/>
    <cellStyle name="Morgan" xfId="1441" xr:uid="{00000000-0005-0000-0000-0000DC050000}"/>
    <cellStyle name="mulitple" xfId="1442" xr:uid="{00000000-0005-0000-0000-0000DD050000}"/>
    <cellStyle name="Mult" xfId="1443" xr:uid="{00000000-0005-0000-0000-0000DE050000}"/>
    <cellStyle name="Multiple" xfId="1444" xr:uid="{00000000-0005-0000-0000-0000DF050000}"/>
    <cellStyle name="Multiple [0]" xfId="1445" xr:uid="{00000000-0005-0000-0000-0000E0050000}"/>
    <cellStyle name="Multiple [1]" xfId="1446" xr:uid="{00000000-0005-0000-0000-0000E1050000}"/>
    <cellStyle name="Multiple Without" xfId="1447" xr:uid="{00000000-0005-0000-0000-0000E2050000}"/>
    <cellStyle name="Multiple_% Change" xfId="1448" xr:uid="{00000000-0005-0000-0000-0000E3050000}"/>
    <cellStyle name="Multiple1" xfId="1449" xr:uid="{00000000-0005-0000-0000-0000E4050000}"/>
    <cellStyle name="MultipleBelow" xfId="1450" xr:uid="{00000000-0005-0000-0000-0000E5050000}"/>
    <cellStyle name="Multiples" xfId="1451" xr:uid="{00000000-0005-0000-0000-0000E6050000}"/>
    <cellStyle name="Multiples (no x)" xfId="1452" xr:uid="{00000000-0005-0000-0000-0000E7050000}"/>
    <cellStyle name="Multiples_3M accretion dilution model" xfId="1453" xr:uid="{00000000-0005-0000-0000-0000E8050000}"/>
    <cellStyle name="mults" xfId="1454" xr:uid="{00000000-0005-0000-0000-0000E9050000}"/>
    <cellStyle name="n" xfId="1455" xr:uid="{00000000-0005-0000-0000-0000EA050000}"/>
    <cellStyle name="NA is zero" xfId="1456" xr:uid="{00000000-0005-0000-0000-0000EB050000}"/>
    <cellStyle name="název firmy" xfId="1457" xr:uid="{00000000-0005-0000-0000-0000EC050000}"/>
    <cellStyle name="Název listu - kapitola" xfId="1458" xr:uid="{00000000-0005-0000-0000-0000ED050000}"/>
    <cellStyle name="Název produktu" xfId="1459" xr:uid="{00000000-0005-0000-0000-0000EE050000}"/>
    <cellStyle name="Neutral" xfId="25" builtinId="28" customBuiltin="1"/>
    <cellStyle name="new" xfId="1460" xr:uid="{00000000-0005-0000-0000-0000F0050000}"/>
    <cellStyle name="NewPeso" xfId="1461" xr:uid="{00000000-0005-0000-0000-0000F1050000}"/>
    <cellStyle name="NL Guilder" xfId="1462" xr:uid="{00000000-0005-0000-0000-0000F2050000}"/>
    <cellStyle name="no dec" xfId="1463" xr:uid="{00000000-0005-0000-0000-0000F3050000}"/>
    <cellStyle name="No Shading" xfId="1464" xr:uid="{00000000-0005-0000-0000-0000F4050000}"/>
    <cellStyle name="Non-Input" xfId="1465" xr:uid="{00000000-0005-0000-0000-0000F5050000}"/>
    <cellStyle name="Nor" xfId="1466" xr:uid="{00000000-0005-0000-0000-0000F6050000}"/>
    <cellStyle name="Noríal_silicon_object_tcsi" xfId="1467" xr:uid="{00000000-0005-0000-0000-0000F7050000}"/>
    <cellStyle name="norm" xfId="1468" xr:uid="{00000000-0005-0000-0000-0000F8050000}"/>
    <cellStyle name="Norma" xfId="1469" xr:uid="{00000000-0005-0000-0000-0000F9050000}"/>
    <cellStyle name="Normaali_E (2)" xfId="1470" xr:uid="{00000000-0005-0000-0000-0000FA050000}"/>
    <cellStyle name="Normal" xfId="0" builtinId="0"/>
    <cellStyle name="normal'" xfId="1471" xr:uid="{00000000-0005-0000-0000-0000FC050000}"/>
    <cellStyle name="Normal--" xfId="1472" xr:uid="{00000000-0005-0000-0000-0000FD050000}"/>
    <cellStyle name="Normal - Style1" xfId="1473" xr:uid="{00000000-0005-0000-0000-0000FE050000}"/>
    <cellStyle name="Normal - Style2" xfId="1474" xr:uid="{00000000-0005-0000-0000-0000FF050000}"/>
    <cellStyle name="Normal - Style3" xfId="1475" xr:uid="{00000000-0005-0000-0000-000000060000}"/>
    <cellStyle name="Normal - Style4" xfId="1476" xr:uid="{00000000-0005-0000-0000-000001060000}"/>
    <cellStyle name="Normal - Style5" xfId="1477" xr:uid="{00000000-0005-0000-0000-000002060000}"/>
    <cellStyle name="Normal - Style6" xfId="1478" xr:uid="{00000000-0005-0000-0000-000003060000}"/>
    <cellStyle name="Normal - Style7" xfId="1479" xr:uid="{00000000-0005-0000-0000-000004060000}"/>
    <cellStyle name="Normal - Style8" xfId="1480" xr:uid="{00000000-0005-0000-0000-000005060000}"/>
    <cellStyle name="Normal (0)" xfId="1481" xr:uid="{00000000-0005-0000-0000-000006060000}"/>
    <cellStyle name="Normal [0]" xfId="1482" xr:uid="{00000000-0005-0000-0000-000007060000}"/>
    <cellStyle name="Normal [00]" xfId="1483" xr:uid="{00000000-0005-0000-0000-000008060000}"/>
    <cellStyle name="Normal [1]" xfId="1484" xr:uid="{00000000-0005-0000-0000-000009060000}"/>
    <cellStyle name="Normal [2]" xfId="1485" xr:uid="{00000000-0005-0000-0000-00000A060000}"/>
    <cellStyle name="Normal [3]" xfId="1486" xr:uid="{00000000-0005-0000-0000-00000B060000}"/>
    <cellStyle name="Normal [x]" xfId="1487" xr:uid="{00000000-0005-0000-0000-00000C060000}"/>
    <cellStyle name="Normal 0" xfId="1488" xr:uid="{00000000-0005-0000-0000-00000D060000}"/>
    <cellStyle name="Normal 10" xfId="2593" xr:uid="{00000000-0005-0000-0000-00000E060000}"/>
    <cellStyle name="Normal 11" xfId="2595" xr:uid="{00000000-0005-0000-0000-00000F060000}"/>
    <cellStyle name="Normal 11 2" xfId="2597" xr:uid="{00000000-0005-0000-0000-000010060000}"/>
    <cellStyle name="Normal 12" xfId="2599" xr:uid="{00000000-0005-0000-0000-000011060000}"/>
    <cellStyle name="Normal 13" xfId="2600" xr:uid="{00000000-0005-0000-0000-000012060000}"/>
    <cellStyle name="Normal 14" xfId="2607" xr:uid="{00000000-0005-0000-0000-000013060000}"/>
    <cellStyle name="Normal 15" xfId="2616" xr:uid="{1C8A515D-0049-4BCD-9E28-F52099ED95C4}"/>
    <cellStyle name="Normal 15 2" xfId="2621" xr:uid="{0DE99B17-EA7D-4F9B-B74C-49749C20A9A1}"/>
    <cellStyle name="Normal 15 2 2" xfId="2622" xr:uid="{1C81D2CF-352A-4D33-9207-0B7272C76E02}"/>
    <cellStyle name="Normal 2" xfId="36" xr:uid="{00000000-0005-0000-0000-000014060000}"/>
    <cellStyle name="Normal 2 2" xfId="1489" xr:uid="{00000000-0005-0000-0000-000015060000}"/>
    <cellStyle name="Normal 2 2 2" xfId="2491" xr:uid="{00000000-0005-0000-0000-000016060000}"/>
    <cellStyle name="Normal 2 2 2 2" xfId="2548" xr:uid="{00000000-0005-0000-0000-000017060000}"/>
    <cellStyle name="Normal 2 2 3" xfId="2549" xr:uid="{00000000-0005-0000-0000-000018060000}"/>
    <cellStyle name="Normal 2 3" xfId="2468" xr:uid="{00000000-0005-0000-0000-000019060000}"/>
    <cellStyle name="Normal 2 4" xfId="2596" xr:uid="{00000000-0005-0000-0000-00001A060000}"/>
    <cellStyle name="Normal 3" xfId="2471" xr:uid="{00000000-0005-0000-0000-00001B060000}"/>
    <cellStyle name="Normal 3 2" xfId="2550" xr:uid="{00000000-0005-0000-0000-00001C060000}"/>
    <cellStyle name="Normal 4" xfId="2472" xr:uid="{00000000-0005-0000-0000-00001D060000}"/>
    <cellStyle name="Normal 4 2" xfId="2601" xr:uid="{00000000-0005-0000-0000-00001E060000}"/>
    <cellStyle name="Normal 5" xfId="2551" xr:uid="{00000000-0005-0000-0000-00001F060000}"/>
    <cellStyle name="Normal 5 2" xfId="2552" xr:uid="{00000000-0005-0000-0000-000020060000}"/>
    <cellStyle name="Normal 5 3" xfId="2610" xr:uid="{00000000-0005-0000-0000-000021060000}"/>
    <cellStyle name="Normal 6" xfId="2502" xr:uid="{00000000-0005-0000-0000-000022060000}"/>
    <cellStyle name="Normal 6 2" xfId="2553" xr:uid="{00000000-0005-0000-0000-000023060000}"/>
    <cellStyle name="Normal 7" xfId="2554" xr:uid="{00000000-0005-0000-0000-000024060000}"/>
    <cellStyle name="Normal 7 2" xfId="2603" xr:uid="{00000000-0005-0000-0000-000025060000}"/>
    <cellStyle name="Normal 8" xfId="2555" xr:uid="{00000000-0005-0000-0000-000026060000}"/>
    <cellStyle name="Normal 9" xfId="2500" xr:uid="{00000000-0005-0000-0000-000027060000}"/>
    <cellStyle name="Normal 9 2" xfId="2602" xr:uid="{00000000-0005-0000-0000-000028060000}"/>
    <cellStyle name="Normal 9 2 2" xfId="2617" xr:uid="{DB2B399A-B7D7-41BC-A6CB-1BF146AD4573}"/>
    <cellStyle name="Normal 9 2 2 2" xfId="2620" xr:uid="{57C85FFA-483A-4D2F-86C7-B143847A4106}"/>
    <cellStyle name="Normal Big Bold" xfId="1490" xr:uid="{00000000-0005-0000-0000-000029060000}"/>
    <cellStyle name="Normal Big Bold 2" xfId="2556" xr:uid="{00000000-0005-0000-0000-00002A060000}"/>
    <cellStyle name="Normal Bold" xfId="1491" xr:uid="{00000000-0005-0000-0000-00002B060000}"/>
    <cellStyle name="Normal input" xfId="1492" xr:uid="{00000000-0005-0000-0000-00002C060000}"/>
    <cellStyle name="Normal Pct" xfId="1493" xr:uid="{00000000-0005-0000-0000-00002D060000}"/>
    <cellStyle name="Normal Zero White" xfId="1494" xr:uid="{00000000-0005-0000-0000-00002E060000}"/>
    <cellStyle name="Normal(2)" xfId="1495" xr:uid="{00000000-0005-0000-0000-00002F060000}"/>
    <cellStyle name="Normal^laroux_1_laroux_1_SHIT" xfId="1496" xr:uid="{00000000-0005-0000-0000-000030060000}"/>
    <cellStyle name="Normal--_~4558651" xfId="1497" xr:uid="{00000000-0005-0000-0000-000031060000}"/>
    <cellStyle name="normal'_~6801188" xfId="1498" xr:uid="{00000000-0005-0000-0000-000032060000}"/>
    <cellStyle name="Normal--_~6801188" xfId="1499" xr:uid="{00000000-0005-0000-0000-000033060000}"/>
    <cellStyle name="normal'_~6801188_CRG Jr Assoc_valuation model v4" xfId="1500" xr:uid="{00000000-0005-0000-0000-000034060000}"/>
    <cellStyle name="Normal--_Accretion Dilution" xfId="1501" xr:uid="{00000000-0005-0000-0000-000035060000}"/>
    <cellStyle name="normal'_Black Hawk Down redux" xfId="1502" xr:uid="{00000000-0005-0000-0000-000036060000}"/>
    <cellStyle name="Normal--_Black Hawk Down redux" xfId="1503" xr:uid="{00000000-0005-0000-0000-000037060000}"/>
    <cellStyle name="normal'_CRG Jr Assoc_valuation model v4" xfId="1504" xr:uid="{00000000-0005-0000-0000-000038060000}"/>
    <cellStyle name="Normal--_CRG Jr Assoc_valuation model v4" xfId="1505" xr:uid="{00000000-0005-0000-0000-000039060000}"/>
    <cellStyle name="normal'_PLL_model v30" xfId="1506" xr:uid="{00000000-0005-0000-0000-00003A060000}"/>
    <cellStyle name="Normal--_PLL_model v30" xfId="1507" xr:uid="{00000000-0005-0000-0000-00003B060000}"/>
    <cellStyle name="normal'_PLL_PEs" xfId="1508" xr:uid="{00000000-0005-0000-0000-00003C060000}"/>
    <cellStyle name="Normal--_Project Echo main model" xfId="1509" xr:uid="{00000000-0005-0000-0000-00003D060000}"/>
    <cellStyle name="Normal0" xfId="1510" xr:uid="{00000000-0005-0000-0000-00003E060000}"/>
    <cellStyle name="Normal1" xfId="1511" xr:uid="{00000000-0005-0000-0000-00003F060000}"/>
    <cellStyle name="Normal2" xfId="1512" xr:uid="{00000000-0005-0000-0000-000040060000}"/>
    <cellStyle name="NormalBlue" xfId="1513" xr:uid="{00000000-0005-0000-0000-000041060000}"/>
    <cellStyle name="NormalBold" xfId="1514" xr:uid="{00000000-0005-0000-0000-000042060000}"/>
    <cellStyle name="NormalCurrency" xfId="1515" xr:uid="{00000000-0005-0000-0000-000043060000}"/>
    <cellStyle name="NormalE" xfId="1516" xr:uid="{00000000-0005-0000-0000-000044060000}"/>
    <cellStyle name="NormalGB" xfId="1517" xr:uid="{00000000-0005-0000-0000-000045060000}"/>
    <cellStyle name="NormalMultiple" xfId="1518" xr:uid="{00000000-0005-0000-0000-000046060000}"/>
    <cellStyle name="normální_2004-BP-EUROPE-27.10.2003" xfId="1519" xr:uid="{00000000-0005-0000-0000-000047060000}"/>
    <cellStyle name="Normalny_0" xfId="1520" xr:uid="{00000000-0005-0000-0000-000048060000}"/>
    <cellStyle name="NormalWhiteOut" xfId="1521" xr:uid="{00000000-0005-0000-0000-000049060000}"/>
    <cellStyle name="Normalx" xfId="1522" xr:uid="{00000000-0005-0000-0000-00004A060000}"/>
    <cellStyle name="NormalxShadow" xfId="1523" xr:uid="{00000000-0005-0000-0000-00004B060000}"/>
    <cellStyle name="NormalŸAMEC1" xfId="1524" xr:uid="{00000000-0005-0000-0000-00004C060000}"/>
    <cellStyle name="Norm-Hundreth" xfId="1525" xr:uid="{00000000-0005-0000-0000-00004D060000}"/>
    <cellStyle name="Norm-tenths" xfId="1526" xr:uid="{00000000-0005-0000-0000-00004E060000}"/>
    <cellStyle name="Norm聡l_l聡roux_1_聬aroux_1" xfId="1527" xr:uid="{00000000-0005-0000-0000-00004F060000}"/>
    <cellStyle name="Note" xfId="26" builtinId="10" customBuiltin="1"/>
    <cellStyle name="Note 2" xfId="2557" xr:uid="{00000000-0005-0000-0000-000051060000}"/>
    <cellStyle name="Note 2 2" xfId="2558" xr:uid="{00000000-0005-0000-0000-000052060000}"/>
    <cellStyle name="Notes" xfId="1528" xr:uid="{00000000-0005-0000-0000-000053060000}"/>
    <cellStyle name="NPPESalesPct" xfId="1529" xr:uid="{00000000-0005-0000-0000-000054060000}"/>
    <cellStyle name="num,nodecpts" xfId="1530" xr:uid="{00000000-0005-0000-0000-000055060000}"/>
    <cellStyle name="Num[0]" xfId="1531" xr:uid="{00000000-0005-0000-0000-000056060000}"/>
    <cellStyle name="Num[1]" xfId="1532" xr:uid="{00000000-0005-0000-0000-000057060000}"/>
    <cellStyle name="Num[2]" xfId="1533" xr:uid="{00000000-0005-0000-0000-000058060000}"/>
    <cellStyle name="num1Style" xfId="1534" xr:uid="{00000000-0005-0000-0000-000059060000}"/>
    <cellStyle name="num1Styleb" xfId="1535" xr:uid="{00000000-0005-0000-0000-00005A060000}"/>
    <cellStyle name="num4Style" xfId="1536" xr:uid="{00000000-0005-0000-0000-00005B060000}"/>
    <cellStyle name="num4Styleb" xfId="1537" xr:uid="{00000000-0005-0000-0000-00005C060000}"/>
    <cellStyle name="Number" xfId="1538" xr:uid="{00000000-0005-0000-0000-00005D060000}"/>
    <cellStyle name="Numbering" xfId="1539" xr:uid="{00000000-0005-0000-0000-00005E060000}"/>
    <cellStyle name="Numbers" xfId="27" xr:uid="{00000000-0005-0000-0000-00005F060000}"/>
    <cellStyle name="Numbers - Bold" xfId="1540" xr:uid="{00000000-0005-0000-0000-000060060000}"/>
    <cellStyle name="Numbers - Bold - Italic" xfId="28" xr:uid="{00000000-0005-0000-0000-000061060000}"/>
    <cellStyle name="numbers_~6801188" xfId="1541" xr:uid="{00000000-0005-0000-0000-000062060000}"/>
    <cellStyle name="numPStyle" xfId="1542" xr:uid="{00000000-0005-0000-0000-000063060000}"/>
    <cellStyle name="numPStyleb" xfId="1543" xr:uid="{00000000-0005-0000-0000-000064060000}"/>
    <cellStyle name="numXStyle" xfId="1544" xr:uid="{00000000-0005-0000-0000-000065060000}"/>
    <cellStyle name="numXStyleb" xfId="1545" xr:uid="{00000000-0005-0000-0000-000066060000}"/>
    <cellStyle name="NWI%S" xfId="1546" xr:uid="{00000000-0005-0000-0000-000067060000}"/>
    <cellStyle name="o" xfId="1547" xr:uid="{00000000-0005-0000-0000-000068060000}"/>
    <cellStyle name="o_Multi_industry_comps v5" xfId="1548" xr:uid="{00000000-0005-0000-0000-000069060000}"/>
    <cellStyle name="o_Multi_industry_comps v8" xfId="1549" xr:uid="{00000000-0005-0000-0000-00006A060000}"/>
    <cellStyle name="o_PLL_PEs" xfId="1550" xr:uid="{00000000-0005-0000-0000-00006B060000}"/>
    <cellStyle name="Œ…‹æØ‚è [0.00]_GE 3 MINIMUM" xfId="1551" xr:uid="{00000000-0005-0000-0000-00006C060000}"/>
    <cellStyle name="Œ…‹æØ‚è_GE 3 MINIMUM" xfId="1552" xr:uid="{00000000-0005-0000-0000-00006D060000}"/>
    <cellStyle name="oftware" xfId="1553" xr:uid="{00000000-0005-0000-0000-00006E060000}"/>
    <cellStyle name="oftware 2" xfId="2559" xr:uid="{00000000-0005-0000-0000-00006F060000}"/>
    <cellStyle name="onedec" xfId="1554" xr:uid="{00000000-0005-0000-0000-000070060000}"/>
    <cellStyle name="outh America" xfId="1555" xr:uid="{00000000-0005-0000-0000-000071060000}"/>
    <cellStyle name="Outline" xfId="29" xr:uid="{00000000-0005-0000-0000-000072060000}"/>
    <cellStyle name="Output" xfId="30" builtinId="21" customBuiltin="1"/>
    <cellStyle name="Output 2" xfId="2560" xr:uid="{00000000-0005-0000-0000-000074060000}"/>
    <cellStyle name="Output Amounts" xfId="1556" xr:uid="{00000000-0005-0000-0000-000075060000}"/>
    <cellStyle name="Output Column Headings" xfId="1557" xr:uid="{00000000-0005-0000-0000-000076060000}"/>
    <cellStyle name="Output Line Items" xfId="1558" xr:uid="{00000000-0005-0000-0000-000077060000}"/>
    <cellStyle name="Output Report Heading" xfId="1559" xr:uid="{00000000-0005-0000-0000-000078060000}"/>
    <cellStyle name="Output Report Title" xfId="1560" xr:uid="{00000000-0005-0000-0000-000079060000}"/>
    <cellStyle name="p" xfId="1561" xr:uid="{00000000-0005-0000-0000-00007A060000}"/>
    <cellStyle name="P/E" xfId="1562" xr:uid="{00000000-0005-0000-0000-00007B060000}"/>
    <cellStyle name="p_Andina Model v1" xfId="1563" xr:uid="{00000000-0005-0000-0000-00007C060000}"/>
    <cellStyle name="p_Comps 9 24 2009 v2" xfId="1564" xr:uid="{00000000-0005-0000-0000-00007D060000}"/>
    <cellStyle name="p_HUN projections v1.2" xfId="1565" xr:uid="{00000000-0005-0000-0000-00007E060000}"/>
    <cellStyle name="p_iMedia comps_CURRENT.xls Chart 1" xfId="1566" xr:uid="{00000000-0005-0000-0000-00007F060000}"/>
    <cellStyle name="p_iMedia comps_CURRENT.xls Chart 10" xfId="1567" xr:uid="{00000000-0005-0000-0000-000080060000}"/>
    <cellStyle name="p_iMedia comps_CURRENT.xls Chart 4" xfId="1568" xr:uid="{00000000-0005-0000-0000-000081060000}"/>
    <cellStyle name="p_iMedia comps_CURRENT.xls Chart 5" xfId="1569" xr:uid="{00000000-0005-0000-0000-000082060000}"/>
    <cellStyle name="p_iMedia comps_CURRENT.xls Chart 6" xfId="1570" xr:uid="{00000000-0005-0000-0000-000083060000}"/>
    <cellStyle name="p_iMedia comps_CURRENT.xls Chart 7" xfId="1571" xr:uid="{00000000-0005-0000-0000-000084060000}"/>
    <cellStyle name="p_iMedia comps_CURRENT.xls Chart 9" xfId="1572" xr:uid="{00000000-0005-0000-0000-000085060000}"/>
    <cellStyle name="p_Kraton model vFINAL" xfId="1573" xr:uid="{00000000-0005-0000-0000-000086060000}"/>
    <cellStyle name="p_Model v6" xfId="1574" xr:uid="{00000000-0005-0000-0000-000087060000}"/>
    <cellStyle name="p2" xfId="1575" xr:uid="{00000000-0005-0000-0000-000088060000}"/>
    <cellStyle name="Page Heading" xfId="1576" xr:uid="{00000000-0005-0000-0000-000089060000}"/>
    <cellStyle name="Page Heading Large" xfId="1577" xr:uid="{00000000-0005-0000-0000-00008A060000}"/>
    <cellStyle name="Page Heading Small" xfId="1578" xr:uid="{00000000-0005-0000-0000-00008B060000}"/>
    <cellStyle name="Page Heading_Consol OCIE_Mar02" xfId="1579" xr:uid="{00000000-0005-0000-0000-00008C060000}"/>
    <cellStyle name="Page Number" xfId="1580" xr:uid="{00000000-0005-0000-0000-00008D060000}"/>
    <cellStyle name="Page Title" xfId="1581" xr:uid="{00000000-0005-0000-0000-00008E060000}"/>
    <cellStyle name="PageSubTitle" xfId="1582" xr:uid="{00000000-0005-0000-0000-00008F060000}"/>
    <cellStyle name="PageTitle_STNDALON" xfId="1583" xr:uid="{00000000-0005-0000-0000-000090060000}"/>
    <cellStyle name="parametre" xfId="1584" xr:uid="{00000000-0005-0000-0000-000091060000}"/>
    <cellStyle name="pb_page_heading_LS" xfId="1585" xr:uid="{00000000-0005-0000-0000-000092060000}"/>
    <cellStyle name="pc1" xfId="1586" xr:uid="{00000000-0005-0000-0000-000093060000}"/>
    <cellStyle name="pcent" xfId="1587" xr:uid="{00000000-0005-0000-0000-000094060000}"/>
    <cellStyle name="pe" xfId="1588" xr:uid="{00000000-0005-0000-0000-000095060000}"/>
    <cellStyle name="PE/LTGR" xfId="1589" xr:uid="{00000000-0005-0000-0000-000096060000}"/>
    <cellStyle name="pe_Andina Model v1" xfId="1590" xr:uid="{00000000-0005-0000-0000-000097060000}"/>
    <cellStyle name="Pec (2dec,fs)" xfId="1591" xr:uid="{00000000-0005-0000-0000-000098060000}"/>
    <cellStyle name="pecent" xfId="1592" xr:uid="{00000000-0005-0000-0000-000099060000}"/>
    <cellStyle name="PEG" xfId="1593" xr:uid="{00000000-0005-0000-0000-00009A060000}"/>
    <cellStyle name="Penetration" xfId="1594" xr:uid="{00000000-0005-0000-0000-00009B060000}"/>
    <cellStyle name="per.style" xfId="1595" xr:uid="{00000000-0005-0000-0000-00009C060000}"/>
    <cellStyle name="per1dec" xfId="1596" xr:uid="{00000000-0005-0000-0000-00009D060000}"/>
    <cellStyle name="Perce t" xfId="1597" xr:uid="{00000000-0005-0000-0000-00009E060000}"/>
    <cellStyle name="Percen - Style2" xfId="1598" xr:uid="{00000000-0005-0000-0000-00009F060000}"/>
    <cellStyle name="Percen - Style3" xfId="1599" xr:uid="{00000000-0005-0000-0000-0000A0060000}"/>
    <cellStyle name="Percent" xfId="31" builtinId="5"/>
    <cellStyle name="Percent %" xfId="1600" xr:uid="{00000000-0005-0000-0000-0000A2060000}"/>
    <cellStyle name="Percent % Long Underline" xfId="1601" xr:uid="{00000000-0005-0000-0000-0000A3060000}"/>
    <cellStyle name="Percent (0)" xfId="1602" xr:uid="{00000000-0005-0000-0000-0000A4060000}"/>
    <cellStyle name="Percent (1)" xfId="1603" xr:uid="{00000000-0005-0000-0000-0000A5060000}"/>
    <cellStyle name="Percent (2)" xfId="1604" xr:uid="{00000000-0005-0000-0000-0000A6060000}"/>
    <cellStyle name="Percent [0]" xfId="1605" xr:uid="{00000000-0005-0000-0000-0000A7060000}"/>
    <cellStyle name="Percent [00]" xfId="1606" xr:uid="{00000000-0005-0000-0000-0000A8060000}"/>
    <cellStyle name="Percent [1]" xfId="1607" xr:uid="{00000000-0005-0000-0000-0000A9060000}"/>
    <cellStyle name="Percent [1]--" xfId="1608" xr:uid="{00000000-0005-0000-0000-0000AA060000}"/>
    <cellStyle name="Percent [1] --" xfId="1609" xr:uid="{00000000-0005-0000-0000-0000AB060000}"/>
    <cellStyle name="Percent [1]_~0027073" xfId="1610" xr:uid="{00000000-0005-0000-0000-0000AC060000}"/>
    <cellStyle name="Percent [1]--_~6801188" xfId="1611" xr:uid="{00000000-0005-0000-0000-0000AD060000}"/>
    <cellStyle name="Percent [1]_Acc_Dil v01.0" xfId="1612" xr:uid="{00000000-0005-0000-0000-0000AE060000}"/>
    <cellStyle name="Percent [1]--_AdamOne v02.6" xfId="1613" xr:uid="{00000000-0005-0000-0000-0000AF060000}"/>
    <cellStyle name="Percent [1]_Alro accretion-dilutionv1 - rev'd MA" xfId="1614" xr:uid="{00000000-0005-0000-0000-0000B0060000}"/>
    <cellStyle name="Percent [1]--_Andina Model v1" xfId="1615" xr:uid="{00000000-0005-0000-0000-0000B1060000}"/>
    <cellStyle name="Percent [1]_ARG-AHG MD2 v05" xfId="1616" xr:uid="{00000000-0005-0000-0000-0000B2060000}"/>
    <cellStyle name="Percent [1]--_BBA projections v02.0" xfId="1617" xr:uid="{00000000-0005-0000-0000-0000B3060000}"/>
    <cellStyle name="Percent [1]_Beam model v4.0" xfId="1618" xr:uid="{00000000-0005-0000-0000-0000B4060000}"/>
    <cellStyle name="Percent [1]--_blank" xfId="1619" xr:uid="{00000000-0005-0000-0000-0000B5060000}"/>
    <cellStyle name="Percent [1]_DD model v38" xfId="1620" xr:uid="{00000000-0005-0000-0000-0000B6060000}"/>
    <cellStyle name="Percent [1]--_DD model v38" xfId="1621" xr:uid="{00000000-0005-0000-0000-0000B7060000}"/>
    <cellStyle name="Percent [1]_Fortress LBO v1" xfId="1622" xr:uid="{00000000-0005-0000-0000-0000B8060000}"/>
    <cellStyle name="Percent [1]--_HUN projections v1.2" xfId="1623" xr:uid="{00000000-0005-0000-0000-0000B9060000}"/>
    <cellStyle name="Percent [1]_Kraton model vFINAL" xfId="1624" xr:uid="{00000000-0005-0000-0000-0000BA060000}"/>
    <cellStyle name="Percent [1]--_lbo model" xfId="1625" xr:uid="{00000000-0005-0000-0000-0000BB060000}"/>
    <cellStyle name="Percent [1]_LBO Template MP v1" xfId="1626" xr:uid="{00000000-0005-0000-0000-0000BC060000}"/>
    <cellStyle name="Percent [1]--_MHK model v2" xfId="1627" xr:uid="{00000000-0005-0000-0000-0000BD060000}"/>
    <cellStyle name="Percent [1]_PPG Model April 10 v32 (version 1)" xfId="1628" xr:uid="{00000000-0005-0000-0000-0000BE060000}"/>
    <cellStyle name="Percent [1]--_Project Palmetto model v24.0" xfId="1629" xr:uid="{00000000-0005-0000-0000-0000BF060000}"/>
    <cellStyle name="Percent [1]_Project Palmetto model v26.0" xfId="1630" xr:uid="{00000000-0005-0000-0000-0000C0060000}"/>
    <cellStyle name="Percent [1]--_Project Palmetto model v26.0" xfId="1631" xr:uid="{00000000-0005-0000-0000-0000C1060000}"/>
    <cellStyle name="Percent [1]_SHLM master data v07" xfId="1632" xr:uid="{00000000-0005-0000-0000-0000C2060000}"/>
    <cellStyle name="Percent [1]--_SHLM master data v07" xfId="1633" xr:uid="{00000000-0005-0000-0000-0000C3060000}"/>
    <cellStyle name="Percent [1]_Silver Trading Comps (09-30-06) vAutomated" xfId="1634" xr:uid="{00000000-0005-0000-0000-0000C4060000}"/>
    <cellStyle name="Percent [1]--_Sovereign Model 270v11" xfId="1635" xr:uid="{00000000-0005-0000-0000-0000C5060000}"/>
    <cellStyle name="Percent [1]_Sovereign Model 270v11_8th Continent v04.0" xfId="1636" xr:uid="{00000000-0005-0000-0000-0000C6060000}"/>
    <cellStyle name="Percent [1]--_Sovereign Model 270v11_Andina Model v1" xfId="1637" xr:uid="{00000000-0005-0000-0000-0000C7060000}"/>
    <cellStyle name="Percent [1]_Sovereign Model 270v11_HUN projections v1.2" xfId="1638" xr:uid="{00000000-0005-0000-0000-0000C8060000}"/>
    <cellStyle name="Percent [1]--_Sovereign Model 270v11_HUN projections v1.2" xfId="1639" xr:uid="{00000000-0005-0000-0000-0000C9060000}"/>
    <cellStyle name="Percent [1]_Trading Comps (11-11-05) v1" xfId="1640" xr:uid="{00000000-0005-0000-0000-0000CA060000}"/>
    <cellStyle name="Percent [1]--_Trading Comps (11-11-05) v1" xfId="1641" xr:uid="{00000000-0005-0000-0000-0000CB060000}"/>
    <cellStyle name="Percent [1]_Trading Comps (11-11-05) v1_DET model v0.1" xfId="1642" xr:uid="{00000000-0005-0000-0000-0000CC060000}"/>
    <cellStyle name="Percent [1]--_Valuation model_descriptive memo v17.5" xfId="1643" xr:uid="{00000000-0005-0000-0000-0000CD060000}"/>
    <cellStyle name="Percent [1]_Version 159.2" xfId="1644" xr:uid="{00000000-0005-0000-0000-0000CE060000}"/>
    <cellStyle name="Percent [1]--_Version 159.2" xfId="1645" xr:uid="{00000000-0005-0000-0000-0000CF060000}"/>
    <cellStyle name="Percent [1]_Viper LBO model template 2" xfId="1646" xr:uid="{00000000-0005-0000-0000-0000D0060000}"/>
    <cellStyle name="Percent [1]--_Viper LBO model template 2" xfId="1647" xr:uid="{00000000-0005-0000-0000-0000D1060000}"/>
    <cellStyle name="Percent [1]_Viper valuation model.v18" xfId="1648" xr:uid="{00000000-0005-0000-0000-0000D2060000}"/>
    <cellStyle name="Percent [1]--_Viper valuation model.v18" xfId="1649" xr:uid="{00000000-0005-0000-0000-0000D3060000}"/>
    <cellStyle name="Percent [1]_Yaman profile backup" xfId="1650" xr:uid="{00000000-0005-0000-0000-0000D4060000}"/>
    <cellStyle name="Percent [2]" xfId="1651" xr:uid="{00000000-0005-0000-0000-0000D5060000}"/>
    <cellStyle name="Percent [3]" xfId="1652" xr:uid="{00000000-0005-0000-0000-0000D6060000}"/>
    <cellStyle name="Percent [3]--" xfId="1653" xr:uid="{00000000-0005-0000-0000-0000D7060000}"/>
    <cellStyle name="Percent [3]_~6801188" xfId="1654" xr:uid="{00000000-0005-0000-0000-0000D8060000}"/>
    <cellStyle name="Percent [3]--_~6801188" xfId="1655" xr:uid="{00000000-0005-0000-0000-0000D9060000}"/>
    <cellStyle name="Percent [3]_AdamOne v02.6" xfId="1656" xr:uid="{00000000-0005-0000-0000-0000DA060000}"/>
    <cellStyle name="Percent [3]--_AdamOne v02.6" xfId="1657" xr:uid="{00000000-0005-0000-0000-0000DB060000}"/>
    <cellStyle name="Percent [3]_AdamOne v02.6_Andina Model v1" xfId="1658" xr:uid="{00000000-0005-0000-0000-0000DC060000}"/>
    <cellStyle name="Percent [3]--_AdamOne v02.6_Andina Model v1" xfId="1659" xr:uid="{00000000-0005-0000-0000-0000DD060000}"/>
    <cellStyle name="Percent [3]_AdamOne v02.6_Comps 9 24 2009 v2" xfId="1660" xr:uid="{00000000-0005-0000-0000-0000DE060000}"/>
    <cellStyle name="Percent [3]--_AdamOne v02.6_Comps 9 24 2009 v2" xfId="1661" xr:uid="{00000000-0005-0000-0000-0000DF060000}"/>
    <cellStyle name="Percent [3]_AdamOne v02.6_DD model v38" xfId="1662" xr:uid="{00000000-0005-0000-0000-0000E0060000}"/>
    <cellStyle name="Percent [3]--_AdamOne v02.6_DD model v38" xfId="1663" xr:uid="{00000000-0005-0000-0000-0000E1060000}"/>
    <cellStyle name="Percent [3]_AdamOne v02.6_HUN projections v1.2" xfId="1664" xr:uid="{00000000-0005-0000-0000-0000E2060000}"/>
    <cellStyle name="Percent [3]--_AdamOne v02.6_HUN projections v1.2" xfId="1665" xr:uid="{00000000-0005-0000-0000-0000E3060000}"/>
    <cellStyle name="Percent [3]_Andina Model v1" xfId="1666" xr:uid="{00000000-0005-0000-0000-0000E4060000}"/>
    <cellStyle name="Percent [3]--_Andina Model v1" xfId="1667" xr:uid="{00000000-0005-0000-0000-0000E5060000}"/>
    <cellStyle name="Percent [3]_ARG-AHG MD2 v05" xfId="1668" xr:uid="{00000000-0005-0000-0000-0000E6060000}"/>
    <cellStyle name="Percent [3]--_ARG-AHG MD2 v05" xfId="1669" xr:uid="{00000000-0005-0000-0000-0000E7060000}"/>
    <cellStyle name="Percent [3]_ARG-AHG MD2 v05_Andina Model v1" xfId="1670" xr:uid="{00000000-0005-0000-0000-0000E8060000}"/>
    <cellStyle name="Percent [3]--_ARG-AHG MD2 v05_Andina Model v1" xfId="1671" xr:uid="{00000000-0005-0000-0000-0000E9060000}"/>
    <cellStyle name="Percent [3]_ARG-AHG MD2 v05_Comps 9 24 2009 v2" xfId="1672" xr:uid="{00000000-0005-0000-0000-0000EA060000}"/>
    <cellStyle name="Percent [3]--_ARG-AHG MD2 v05_Comps 9 24 2009 v2" xfId="1673" xr:uid="{00000000-0005-0000-0000-0000EB060000}"/>
    <cellStyle name="Percent [3]_ARG-AHG MD2 v05_HUN projections v1.2" xfId="1674" xr:uid="{00000000-0005-0000-0000-0000EC060000}"/>
    <cellStyle name="Percent [3]--_ARG-AHG MD2 v05_HUN projections v1.2" xfId="1675" xr:uid="{00000000-0005-0000-0000-0000ED060000}"/>
    <cellStyle name="Percent [3]_Armstrong model - Revised SHS FINAL" xfId="1676" xr:uid="{00000000-0005-0000-0000-0000EE060000}"/>
    <cellStyle name="Percent [3]--_Backup v 4" xfId="1677" xr:uid="{00000000-0005-0000-0000-0000EF060000}"/>
    <cellStyle name="Percent [3]_Barbara Model v03" xfId="1678" xr:uid="{00000000-0005-0000-0000-0000F0060000}"/>
    <cellStyle name="Percent [3]--_Barbara Model v03" xfId="1679" xr:uid="{00000000-0005-0000-0000-0000F1060000}"/>
    <cellStyle name="Percent [3]_Book2" xfId="1680" xr:uid="{00000000-0005-0000-0000-0000F2060000}"/>
    <cellStyle name="Percent [3]--_Book2" xfId="1681" xr:uid="{00000000-0005-0000-0000-0000F3060000}"/>
    <cellStyle name="Percent [3]_Book4" xfId="1682" xr:uid="{00000000-0005-0000-0000-0000F4060000}"/>
    <cellStyle name="Percent [3]--_Book4" xfId="1683" xr:uid="{00000000-0005-0000-0000-0000F5060000}"/>
    <cellStyle name="Percent [3]_Celanese IPO model v05.0" xfId="1684" xr:uid="{00000000-0005-0000-0000-0000F6060000}"/>
    <cellStyle name="Percent [3]--_Celanese IPO model v05.0" xfId="1685" xr:uid="{00000000-0005-0000-0000-0000F7060000}"/>
    <cellStyle name="Percent [3]_Celanese IPO model v05.0_Andina Model v1" xfId="1686" xr:uid="{00000000-0005-0000-0000-0000F8060000}"/>
    <cellStyle name="Percent [3]--_Celanese IPO model v05.0_Andina Model v1" xfId="1687" xr:uid="{00000000-0005-0000-0000-0000F9060000}"/>
    <cellStyle name="Percent [3]_Celanese IPO model v05.0_Comps 9 24 2009 v2" xfId="1688" xr:uid="{00000000-0005-0000-0000-0000FA060000}"/>
    <cellStyle name="Percent [3]--_Celanese IPO model v05.0_Comps 9 24 2009 v2" xfId="1689" xr:uid="{00000000-0005-0000-0000-0000FB060000}"/>
    <cellStyle name="Percent [3]_Celanese IPO model v05.0_DD model v38" xfId="1690" xr:uid="{00000000-0005-0000-0000-0000FC060000}"/>
    <cellStyle name="Percent [3]--_Celanese IPO model v05.0_HUN projections v1.2" xfId="1691" xr:uid="{00000000-0005-0000-0000-0000FD060000}"/>
    <cellStyle name="Percent [3]_Comps 9 24 2009 v2" xfId="1692" xr:uid="{00000000-0005-0000-0000-0000FE060000}"/>
    <cellStyle name="Percent [3]--_Comps 9 24 2009 v2" xfId="1693" xr:uid="{00000000-0005-0000-0000-0000FF060000}"/>
    <cellStyle name="Percent [3]_CRG Jr Assoc_valuation model v4" xfId="1694" xr:uid="{00000000-0005-0000-0000-000000070000}"/>
    <cellStyle name="Percent [3]--_CRG Jr Assoc_valuation model v4" xfId="1695" xr:uid="{00000000-0005-0000-0000-000001070000}"/>
    <cellStyle name="Percent [3]_DCF and LBO model" xfId="1696" xr:uid="{00000000-0005-0000-0000-000002070000}"/>
    <cellStyle name="Percent [3]--_DD model v38" xfId="1697" xr:uid="{00000000-0005-0000-0000-000003070000}"/>
    <cellStyle name="Percent [3]_DET model v0.1" xfId="1698" xr:uid="{00000000-0005-0000-0000-000004070000}"/>
    <cellStyle name="Percent [3]--_Fortress LBO v1" xfId="1699" xr:uid="{00000000-0005-0000-0000-000005070000}"/>
    <cellStyle name="Percent [3]_Huntsman valuation v10" xfId="1700" xr:uid="{00000000-0005-0000-0000-000006070000}"/>
    <cellStyle name="Percent [3]--_Huntsman valuation v10" xfId="1701" xr:uid="{00000000-0005-0000-0000-000007070000}"/>
    <cellStyle name="Percent [3]_Huntsman valuation v10_Andina Model v1" xfId="1702" xr:uid="{00000000-0005-0000-0000-000008070000}"/>
    <cellStyle name="Percent [3]--_Huntsman valuation v10_Andina Model v1" xfId="1703" xr:uid="{00000000-0005-0000-0000-000009070000}"/>
    <cellStyle name="Percent [3]_Huntsman valuation v10_Comps 9 24 2009 v2" xfId="1704" xr:uid="{00000000-0005-0000-0000-00000A070000}"/>
    <cellStyle name="Percent [3]--_Huntsman valuation v10_Comps 9 24 2009 v2" xfId="1705" xr:uid="{00000000-0005-0000-0000-00000B070000}"/>
    <cellStyle name="Percent [3]_Huntsman valuation v10_DD model v38" xfId="1706" xr:uid="{00000000-0005-0000-0000-00000C070000}"/>
    <cellStyle name="Percent [3]--_Huntsman valuation v10_DD model v38" xfId="1707" xr:uid="{00000000-0005-0000-0000-00000D070000}"/>
    <cellStyle name="Percent [3]_Industrial gas trading comps v01" xfId="1708" xr:uid="{00000000-0005-0000-0000-00000E070000}"/>
    <cellStyle name="Percent [3]--_PBI Comps and Market" xfId="1709" xr:uid="{00000000-0005-0000-0000-00000F070000}"/>
    <cellStyle name="Percent [3]_tower - crap model 1117" xfId="1710" xr:uid="{00000000-0005-0000-0000-000010070000}"/>
    <cellStyle name="Percent [3]--_tower - crap model 1117" xfId="1711" xr:uid="{00000000-0005-0000-0000-000011070000}"/>
    <cellStyle name="Percent [3]_tower - crap model 1117_Andina Model v1" xfId="1712" xr:uid="{00000000-0005-0000-0000-000012070000}"/>
    <cellStyle name="Percent [3]--_tower - crap model 111700ab6724" xfId="1713" xr:uid="{00000000-0005-0000-0000-000013070000}"/>
    <cellStyle name="Percent [3]_tower - crap model 111700ab6724_Andina Model v1" xfId="1714" xr:uid="{00000000-0005-0000-0000-000014070000}"/>
    <cellStyle name="Percent [3]--_Tower 2008E November v6c26d12c" xfId="1715" xr:uid="{00000000-0005-0000-0000-000015070000}"/>
    <cellStyle name="Percent [3]_Tower 2008E November v6c26d12c_Andina Model v1" xfId="1716" xr:uid="{00000000-0005-0000-0000-000016070000}"/>
    <cellStyle name="Percent [3]--_Valuation model_descriptive memo v17.4" xfId="1717" xr:uid="{00000000-0005-0000-0000-000017070000}"/>
    <cellStyle name="Percent [3]_Valuation model_descriptive memo v17.4_Andina Model v1" xfId="1718" xr:uid="{00000000-0005-0000-0000-000018070000}"/>
    <cellStyle name="Percent [3]--_Valuation model_descriptive memo v17.4_Andina Model v1" xfId="1719" xr:uid="{00000000-0005-0000-0000-000019070000}"/>
    <cellStyle name="Percent [3]_Valuation model_descriptive memo v17.4_CE model v19" xfId="1720" xr:uid="{00000000-0005-0000-0000-00001A070000}"/>
    <cellStyle name="Percent [3]--_Valuation model_descriptive memo v17.4_Comps 9 24 2009 v2" xfId="1721" xr:uid="{00000000-0005-0000-0000-00001B070000}"/>
    <cellStyle name="Percent [3]_Valuation model_descriptive memo v17.4_HUN projections v1.2" xfId="1722" xr:uid="{00000000-0005-0000-0000-00001C070000}"/>
    <cellStyle name="Percent [3]--_Valuation model_descriptive memo v17.4_HUN projections v1.2" xfId="1723" xr:uid="{00000000-0005-0000-0000-00001D070000}"/>
    <cellStyle name="Percent [3]_Valuation model_descriptive memo v17.5" xfId="1724" xr:uid="{00000000-0005-0000-0000-00001E070000}"/>
    <cellStyle name="Percent [3]--_Valuation model_descriptive memo v17.5" xfId="1725" xr:uid="{00000000-0005-0000-0000-00001F070000}"/>
    <cellStyle name="Percent [3]_Valuation model_descriptive memo v17.5_Andina Model v1" xfId="1726" xr:uid="{00000000-0005-0000-0000-000020070000}"/>
    <cellStyle name="Percent [3]--_Valuation model_descriptive memo v17.5_Andina Model v1" xfId="1727" xr:uid="{00000000-0005-0000-0000-000021070000}"/>
    <cellStyle name="Percent [3]_Valuation model_descriptive memo v17.5_Comps 9 24 2009 v2" xfId="1728" xr:uid="{00000000-0005-0000-0000-000022070000}"/>
    <cellStyle name="Percent [3]--_Valuation model_descriptive memo v17.5_Comps 9 24 2009 v2" xfId="1729" xr:uid="{00000000-0005-0000-0000-000023070000}"/>
    <cellStyle name="Percent [3]_Valuation model_descriptive memo v17.5_DD model v38" xfId="1730" xr:uid="{00000000-0005-0000-0000-000024070000}"/>
    <cellStyle name="Percent [3]--_Valuation model_descriptive memo v17.5_DD model v38" xfId="1731" xr:uid="{00000000-0005-0000-0000-000025070000}"/>
    <cellStyle name="Percent [3]_Valuation model_descriptive memo v17.5_Inorganics model v10.0" xfId="1732" xr:uid="{00000000-0005-0000-0000-000026070000}"/>
    <cellStyle name="Percent 0" xfId="1733" xr:uid="{00000000-0005-0000-0000-000027070000}"/>
    <cellStyle name="Percent 0.0" xfId="1734" xr:uid="{00000000-0005-0000-0000-000028070000}"/>
    <cellStyle name="Percent 0.0%" xfId="1735" xr:uid="{00000000-0005-0000-0000-000029070000}"/>
    <cellStyle name="Percent 0.0% Long Underline" xfId="1736" xr:uid="{00000000-0005-0000-0000-00002A070000}"/>
    <cellStyle name="Percent 0.0%_Summary of financial projections v6" xfId="1737" xr:uid="{00000000-0005-0000-0000-00002B070000}"/>
    <cellStyle name="Percent 0.00" xfId="1738" xr:uid="{00000000-0005-0000-0000-00002C070000}"/>
    <cellStyle name="Percent 0.00%" xfId="1739" xr:uid="{00000000-0005-0000-0000-00002D070000}"/>
    <cellStyle name="Percent 0.00% Long Underline" xfId="1740" xr:uid="{00000000-0005-0000-0000-00002E070000}"/>
    <cellStyle name="Percent 0.000%" xfId="1741" xr:uid="{00000000-0005-0000-0000-00002F070000}"/>
    <cellStyle name="Percent 0.000% Long Underline" xfId="1742" xr:uid="{00000000-0005-0000-0000-000030070000}"/>
    <cellStyle name="Percent 0_3q" xfId="1743" xr:uid="{00000000-0005-0000-0000-000031070000}"/>
    <cellStyle name="Percent 2" xfId="32" xr:uid="{00000000-0005-0000-0000-000032070000}"/>
    <cellStyle name="Percent 2 2" xfId="2614" xr:uid="{4CC2B302-9240-45CF-9CEF-284C8AFD10BE}"/>
    <cellStyle name="Percent 3" xfId="2501" xr:uid="{00000000-0005-0000-0000-000033070000}"/>
    <cellStyle name="Percent 3 2" xfId="2604" xr:uid="{00000000-0005-0000-0000-000034070000}"/>
    <cellStyle name="Percent 3 2 2" xfId="2618" xr:uid="{3D75748E-3EB4-4B29-9DA1-DB269830D378}"/>
    <cellStyle name="Percent 4" xfId="2612" xr:uid="{00000000-0005-0000-0000-000035070000}"/>
    <cellStyle name="Percent 5" xfId="2609" xr:uid="{00000000-0005-0000-0000-000036070000}"/>
    <cellStyle name="Percent Comma" xfId="1744" xr:uid="{00000000-0005-0000-0000-000037070000}"/>
    <cellStyle name="Percent Hard" xfId="1745" xr:uid="{00000000-0005-0000-0000-000038070000}"/>
    <cellStyle name="Percent(1)" xfId="1746" xr:uid="{00000000-0005-0000-0000-000039070000}"/>
    <cellStyle name="Percent(2)" xfId="1747" xr:uid="{00000000-0005-0000-0000-00003A070000}"/>
    <cellStyle name="Percent*" xfId="1748" xr:uid="{00000000-0005-0000-0000-00003B070000}"/>
    <cellStyle name="Percent[1]" xfId="1749" xr:uid="{00000000-0005-0000-0000-00003C070000}"/>
    <cellStyle name="Percent[3]--" xfId="1750" xr:uid="{00000000-0005-0000-0000-00003D070000}"/>
    <cellStyle name="Percent0" xfId="1751" xr:uid="{00000000-0005-0000-0000-00003E070000}"/>
    <cellStyle name="Percent1" xfId="1752" xr:uid="{00000000-0005-0000-0000-00003F070000}"/>
    <cellStyle name="Percent2" xfId="1753" xr:uid="{00000000-0005-0000-0000-000040070000}"/>
    <cellStyle name="Percentage" xfId="1754" xr:uid="{00000000-0005-0000-0000-000041070000}"/>
    <cellStyle name="PercentageParen" xfId="1755" xr:uid="{00000000-0005-0000-0000-000042070000}"/>
    <cellStyle name="PercentChange" xfId="1756" xr:uid="{00000000-0005-0000-0000-000043070000}"/>
    <cellStyle name="PercentPresentation" xfId="1757" xr:uid="{00000000-0005-0000-0000-000044070000}"/>
    <cellStyle name="PercentSales" xfId="1758" xr:uid="{00000000-0005-0000-0000-000045070000}"/>
    <cellStyle name="percnet" xfId="1759" xr:uid="{00000000-0005-0000-0000-000046070000}"/>
    <cellStyle name="Perlong" xfId="1760" xr:uid="{00000000-0005-0000-0000-000047070000}"/>
    <cellStyle name="PerShare" xfId="1761" xr:uid="{00000000-0005-0000-0000-000048070000}"/>
    <cellStyle name="Podtitulek" xfId="1762" xr:uid="{00000000-0005-0000-0000-000049070000}"/>
    <cellStyle name="podtitulek inverzní" xfId="1763" xr:uid="{00000000-0005-0000-0000-00004A070000}"/>
    <cellStyle name="Podtitulek_IKE Manangement Forecast and Valuation_March 2004" xfId="1764" xr:uid="{00000000-0005-0000-0000-00004B070000}"/>
    <cellStyle name="Popis" xfId="1765" xr:uid="{00000000-0005-0000-0000-00004C070000}"/>
    <cellStyle name="POPS" xfId="1766" xr:uid="{00000000-0005-0000-0000-00004D070000}"/>
    <cellStyle name="PORCENTAJE" xfId="1767" xr:uid="{00000000-0005-0000-0000-00004E070000}"/>
    <cellStyle name="pound" xfId="1768" xr:uid="{00000000-0005-0000-0000-00004F070000}"/>
    <cellStyle name="PrePop Currency (0)" xfId="1769" xr:uid="{00000000-0005-0000-0000-000050070000}"/>
    <cellStyle name="PrePop Currency (2)" xfId="1770" xr:uid="{00000000-0005-0000-0000-000051070000}"/>
    <cellStyle name="PrePop Units (0)" xfId="1771" xr:uid="{00000000-0005-0000-0000-000052070000}"/>
    <cellStyle name="PrePop Units (1)" xfId="1772" xr:uid="{00000000-0005-0000-0000-000053070000}"/>
    <cellStyle name="PrePop Units (2)" xfId="1773" xr:uid="{00000000-0005-0000-0000-000054070000}"/>
    <cellStyle name="Presentation" xfId="1774" xr:uid="{00000000-0005-0000-0000-000055070000}"/>
    <cellStyle name="PresentationMargins" xfId="1775" xr:uid="{00000000-0005-0000-0000-000056070000}"/>
    <cellStyle name="PresentationTitle" xfId="1776" xr:uid="{00000000-0005-0000-0000-000057070000}"/>
    <cellStyle name="PresentationZero" xfId="1777" xr:uid="{00000000-0005-0000-0000-000058070000}"/>
    <cellStyle name="Price" xfId="1778" xr:uid="{00000000-0005-0000-0000-000059070000}"/>
    <cellStyle name="PriceDecimal" xfId="1779" xr:uid="{00000000-0005-0000-0000-00005A070000}"/>
    <cellStyle name="pricing" xfId="1780" xr:uid="{00000000-0005-0000-0000-00005B070000}"/>
    <cellStyle name="prin" xfId="1781" xr:uid="{00000000-0005-0000-0000-00005C070000}"/>
    <cellStyle name="Problem" xfId="1782" xr:uid="{00000000-0005-0000-0000-00005D070000}"/>
    <cellStyle name="Procent_Chart Value license with wacc" xfId="1783" xr:uid="{00000000-0005-0000-0000-00005E070000}"/>
    <cellStyle name="Product" xfId="1784" xr:uid="{00000000-0005-0000-0000-00005F070000}"/>
    <cellStyle name="Product 2" xfId="2561" xr:uid="{00000000-0005-0000-0000-000060070000}"/>
    <cellStyle name="Proj" xfId="1785" xr:uid="{00000000-0005-0000-0000-000061070000}"/>
    <cellStyle name="PROJECT" xfId="1786" xr:uid="{00000000-0005-0000-0000-000062070000}"/>
    <cellStyle name="PROJECT R" xfId="1787" xr:uid="{00000000-0005-0000-0000-000063070000}"/>
    <cellStyle name="PROTECT" xfId="1788" xr:uid="{00000000-0005-0000-0000-000064070000}"/>
    <cellStyle name="PSChar" xfId="1789" xr:uid="{00000000-0005-0000-0000-000065070000}"/>
    <cellStyle name="PSDate" xfId="1790" xr:uid="{00000000-0005-0000-0000-000066070000}"/>
    <cellStyle name="PSDec" xfId="1791" xr:uid="{00000000-0005-0000-0000-000067070000}"/>
    <cellStyle name="PSHeading" xfId="1792" xr:uid="{00000000-0005-0000-0000-000068070000}"/>
    <cellStyle name="PSInt" xfId="1793" xr:uid="{00000000-0005-0000-0000-000069070000}"/>
    <cellStyle name="PSSpacer" xfId="1794" xr:uid="{00000000-0005-0000-0000-00006A070000}"/>
    <cellStyle name="q" xfId="1795" xr:uid="{00000000-0005-0000-0000-00006B070000}"/>
    <cellStyle name="q_Andina Model v1" xfId="1796" xr:uid="{00000000-0005-0000-0000-00006C070000}"/>
    <cellStyle name="q_APOL model (09.07.07)v21.0" xfId="1797" xr:uid="{00000000-0005-0000-0000-00006D070000}"/>
    <cellStyle name="q_Black Hawk Down redux" xfId="1798" xr:uid="{00000000-0005-0000-0000-00006E070000}"/>
    <cellStyle name="q_blank" xfId="1799" xr:uid="{00000000-0005-0000-0000-00006F070000}"/>
    <cellStyle name="q_Book2" xfId="1800" xr:uid="{00000000-0005-0000-0000-000070070000}"/>
    <cellStyle name="q_Comps 9 24 2009 v2" xfId="1801" xr:uid="{00000000-0005-0000-0000-000071070000}"/>
    <cellStyle name="q_CR v2" xfId="1802" xr:uid="{00000000-0005-0000-0000-000072070000}"/>
    <cellStyle name="q_CR v2_PLL_model v30" xfId="1803" xr:uid="{00000000-0005-0000-0000-000073070000}"/>
    <cellStyle name="q_DD model v38" xfId="1804" xr:uid="{00000000-0005-0000-0000-000074070000}"/>
    <cellStyle name="q_graco-IDEX CURRENT model" xfId="1805" xr:uid="{00000000-0005-0000-0000-000075070000}"/>
    <cellStyle name="q_graco-IDEX CURRENT model_1" xfId="1806" xr:uid="{00000000-0005-0000-0000-000076070000}"/>
    <cellStyle name="q_graco-IDEX CURRENT model_1_Andina Model v1" xfId="1807" xr:uid="{00000000-0005-0000-0000-000077070000}"/>
    <cellStyle name="q_graco-IDEX CURRENT model_1_Comps 9 24 2009 v2" xfId="1808" xr:uid="{00000000-0005-0000-0000-000078070000}"/>
    <cellStyle name="q_graco-IDEX CURRENT model_1_Kaiser 270 v41" xfId="1809" xr:uid="{00000000-0005-0000-0000-000079070000}"/>
    <cellStyle name="q_graco-IDEX CURRENT model_1_Kaiser 270 v41_1" xfId="1810" xr:uid="{00000000-0005-0000-0000-00007A070000}"/>
    <cellStyle name="q_graco-IDEX CURRENT model_1_PLL_model v30" xfId="1811" xr:uid="{00000000-0005-0000-0000-00007B070000}"/>
    <cellStyle name="q_graco-IDEX CURRENT model_1_Power project" xfId="1812" xr:uid="{00000000-0005-0000-0000-00007C070000}"/>
    <cellStyle name="q_graco-IDEX CURRENT model_1_Power project_PLL_model v30" xfId="1813" xr:uid="{00000000-0005-0000-0000-00007D070000}"/>
    <cellStyle name="q_graco-IDEX CURRENT model_Andina Model v1" xfId="1814" xr:uid="{00000000-0005-0000-0000-00007E070000}"/>
    <cellStyle name="q_graco-IDEX CURRENT model_Comps 9 24 2009 v2" xfId="1815" xr:uid="{00000000-0005-0000-0000-00007F070000}"/>
    <cellStyle name="q_HUN projections v1.2" xfId="1816" xr:uid="{00000000-0005-0000-0000-000080070000}"/>
    <cellStyle name="q_HYNI Trading Comps v28" xfId="1817" xr:uid="{00000000-0005-0000-0000-000081070000}"/>
    <cellStyle name="q_JPM Vulcan v34" xfId="1818" xr:uid="{00000000-0005-0000-0000-000082070000}"/>
    <cellStyle name="q_Kaiser 270 v41" xfId="1819" xr:uid="{00000000-0005-0000-0000-000083070000}"/>
    <cellStyle name="q_Kaiser 270 v41_1" xfId="1820" xr:uid="{00000000-0005-0000-0000-000084070000}"/>
    <cellStyle name="q_Lincoln model v5" xfId="1821" xr:uid="{00000000-0005-0000-0000-000085070000}"/>
    <cellStyle name="q_Multiple ppt output" xfId="1822" xr:uid="{00000000-0005-0000-0000-000086070000}"/>
    <cellStyle name="q_Multiple ppt output_Andina Model v1" xfId="1823" xr:uid="{00000000-0005-0000-0000-000087070000}"/>
    <cellStyle name="q_Multiple ppt output_blank" xfId="1824" xr:uid="{00000000-0005-0000-0000-000088070000}"/>
    <cellStyle name="q_Multiple ppt output_Book2" xfId="1825" xr:uid="{00000000-0005-0000-0000-000089070000}"/>
    <cellStyle name="q_Multiple ppt output_Comps 9 24 2009 v2" xfId="1826" xr:uid="{00000000-0005-0000-0000-00008A070000}"/>
    <cellStyle name="q_Multiple ppt output_DD model v38" xfId="1827" xr:uid="{00000000-0005-0000-0000-00008B070000}"/>
    <cellStyle name="q_Multiple ppt output_HUN projections v1.2" xfId="1828" xr:uid="{00000000-0005-0000-0000-00008C070000}"/>
    <cellStyle name="q_PLL_model v30" xfId="1829" xr:uid="{00000000-0005-0000-0000-00008D070000}"/>
    <cellStyle name="q_Power project" xfId="1830" xr:uid="{00000000-0005-0000-0000-00008E070000}"/>
    <cellStyle name="q_Reserve information" xfId="1831" xr:uid="{00000000-0005-0000-0000-00008F070000}"/>
    <cellStyle name="q_Reserve information_Andina Model v1" xfId="1832" xr:uid="{00000000-0005-0000-0000-000090070000}"/>
    <cellStyle name="q_Reserve information_blank" xfId="1833" xr:uid="{00000000-0005-0000-0000-000091070000}"/>
    <cellStyle name="q_Reserve information_Comps 9 24 2009 v2" xfId="1834" xr:uid="{00000000-0005-0000-0000-000092070000}"/>
    <cellStyle name="q_Reserve information_HUN projections v1.2" xfId="1835" xr:uid="{00000000-0005-0000-0000-000093070000}"/>
    <cellStyle name="q_Vulcan v10" xfId="1836" xr:uid="{00000000-0005-0000-0000-000094070000}"/>
    <cellStyle name="QEPS-h" xfId="1837" xr:uid="{00000000-0005-0000-0000-000095070000}"/>
    <cellStyle name="QEPS-H1" xfId="1838" xr:uid="{00000000-0005-0000-0000-000096070000}"/>
    <cellStyle name="QEPS-H1 2" xfId="2492" xr:uid="{00000000-0005-0000-0000-000097070000}"/>
    <cellStyle name="Quantity" xfId="1839" xr:uid="{00000000-0005-0000-0000-000098070000}"/>
    <cellStyle name="R00A" xfId="1840" xr:uid="{00000000-0005-0000-0000-000099070000}"/>
    <cellStyle name="R00B" xfId="1841" xr:uid="{00000000-0005-0000-0000-00009A070000}"/>
    <cellStyle name="R00L" xfId="1842" xr:uid="{00000000-0005-0000-0000-00009B070000}"/>
    <cellStyle name="R01A" xfId="1843" xr:uid="{00000000-0005-0000-0000-00009C070000}"/>
    <cellStyle name="R01A 2" xfId="2493" xr:uid="{00000000-0005-0000-0000-00009D070000}"/>
    <cellStyle name="R01B" xfId="1844" xr:uid="{00000000-0005-0000-0000-00009E070000}"/>
    <cellStyle name="R01H" xfId="1845" xr:uid="{00000000-0005-0000-0000-00009F070000}"/>
    <cellStyle name="R01L" xfId="1846" xr:uid="{00000000-0005-0000-0000-0000A0070000}"/>
    <cellStyle name="R02A" xfId="1847" xr:uid="{00000000-0005-0000-0000-0000A1070000}"/>
    <cellStyle name="R02A 2" xfId="2494" xr:uid="{00000000-0005-0000-0000-0000A2070000}"/>
    <cellStyle name="R02B" xfId="1848" xr:uid="{00000000-0005-0000-0000-0000A3070000}"/>
    <cellStyle name="R02H" xfId="1849" xr:uid="{00000000-0005-0000-0000-0000A4070000}"/>
    <cellStyle name="R02L" xfId="1850" xr:uid="{00000000-0005-0000-0000-0000A5070000}"/>
    <cellStyle name="R03A" xfId="1851" xr:uid="{00000000-0005-0000-0000-0000A6070000}"/>
    <cellStyle name="R03B" xfId="1852" xr:uid="{00000000-0005-0000-0000-0000A7070000}"/>
    <cellStyle name="R03H" xfId="1853" xr:uid="{00000000-0005-0000-0000-0000A8070000}"/>
    <cellStyle name="R03L" xfId="1854" xr:uid="{00000000-0005-0000-0000-0000A9070000}"/>
    <cellStyle name="R04A" xfId="1855" xr:uid="{00000000-0005-0000-0000-0000AA070000}"/>
    <cellStyle name="R04B" xfId="1856" xr:uid="{00000000-0005-0000-0000-0000AB070000}"/>
    <cellStyle name="R04H" xfId="1857" xr:uid="{00000000-0005-0000-0000-0000AC070000}"/>
    <cellStyle name="R04L" xfId="1858" xr:uid="{00000000-0005-0000-0000-0000AD070000}"/>
    <cellStyle name="R05A" xfId="1859" xr:uid="{00000000-0005-0000-0000-0000AE070000}"/>
    <cellStyle name="R05B" xfId="1860" xr:uid="{00000000-0005-0000-0000-0000AF070000}"/>
    <cellStyle name="R05H" xfId="1861" xr:uid="{00000000-0005-0000-0000-0000B0070000}"/>
    <cellStyle name="R05L" xfId="1862" xr:uid="{00000000-0005-0000-0000-0000B1070000}"/>
    <cellStyle name="R06A" xfId="1863" xr:uid="{00000000-0005-0000-0000-0000B2070000}"/>
    <cellStyle name="R06B" xfId="1864" xr:uid="{00000000-0005-0000-0000-0000B3070000}"/>
    <cellStyle name="R06H" xfId="1865" xr:uid="{00000000-0005-0000-0000-0000B4070000}"/>
    <cellStyle name="R06L" xfId="1866" xr:uid="{00000000-0005-0000-0000-0000B5070000}"/>
    <cellStyle name="R07A" xfId="1867" xr:uid="{00000000-0005-0000-0000-0000B6070000}"/>
    <cellStyle name="R07B" xfId="1868" xr:uid="{00000000-0005-0000-0000-0000B7070000}"/>
    <cellStyle name="R07H" xfId="1869" xr:uid="{00000000-0005-0000-0000-0000B8070000}"/>
    <cellStyle name="R07L" xfId="1870" xr:uid="{00000000-0005-0000-0000-0000B9070000}"/>
    <cellStyle name="range" xfId="1871" xr:uid="{00000000-0005-0000-0000-0000BA070000}"/>
    <cellStyle name="rate" xfId="1872" xr:uid="{00000000-0005-0000-0000-0000BB070000}"/>
    <cellStyle name="Ratio" xfId="1873" xr:uid="{00000000-0005-0000-0000-0000BC070000}"/>
    <cellStyle name="Ratio Comma" xfId="1874" xr:uid="{00000000-0005-0000-0000-0000BD070000}"/>
    <cellStyle name="Ratio_~2885965" xfId="1875" xr:uid="{00000000-0005-0000-0000-0000BE070000}"/>
    <cellStyle name="Ratios" xfId="1876" xr:uid="{00000000-0005-0000-0000-0000BF070000}"/>
    <cellStyle name="RatioX" xfId="1877" xr:uid="{00000000-0005-0000-0000-0000C0070000}"/>
    <cellStyle name="red" xfId="1878" xr:uid="{00000000-0005-0000-0000-0000C1070000}"/>
    <cellStyle name="red 2" xfId="2562" xr:uid="{00000000-0005-0000-0000-0000C2070000}"/>
    <cellStyle name="Red Font" xfId="1879" xr:uid="{00000000-0005-0000-0000-0000C3070000}"/>
    <cellStyle name="Red Text" xfId="1880" xr:uid="{00000000-0005-0000-0000-0000C4070000}"/>
    <cellStyle name="RED_~6801188" xfId="1881" xr:uid="{00000000-0005-0000-0000-0000C5070000}"/>
    <cellStyle name="Ref Numbers" xfId="1882" xr:uid="{00000000-0005-0000-0000-0000C6070000}"/>
    <cellStyle name="Reg. Total" xfId="1883" xr:uid="{00000000-0005-0000-0000-0000C7070000}"/>
    <cellStyle name="Region" xfId="1884" xr:uid="{00000000-0005-0000-0000-0000C8070000}"/>
    <cellStyle name="Region 2" xfId="2563" xr:uid="{00000000-0005-0000-0000-0000C9070000}"/>
    <cellStyle name="regstoresfromspecstores" xfId="1885" xr:uid="{00000000-0005-0000-0000-0000CA070000}"/>
    <cellStyle name="Report" xfId="1886" xr:uid="{00000000-0005-0000-0000-0000CB070000}"/>
    <cellStyle name="ReverseBold" xfId="1887" xr:uid="{00000000-0005-0000-0000-0000CC070000}"/>
    <cellStyle name="RevList" xfId="1888" xr:uid="{00000000-0005-0000-0000-0000CD070000}"/>
    <cellStyle name="Right" xfId="1889" xr:uid="{00000000-0005-0000-0000-0000CE070000}"/>
    <cellStyle name="Roadrunner" xfId="1890" xr:uid="{00000000-0005-0000-0000-0000CF070000}"/>
    <cellStyle name="s" xfId="1891" xr:uid="{00000000-0005-0000-0000-0000D0070000}"/>
    <cellStyle name="s_DCFLBO Code" xfId="1892" xr:uid="{00000000-0005-0000-0000-0000D1070000}"/>
    <cellStyle name="s_DCFLBO Code_1" xfId="1893" xr:uid="{00000000-0005-0000-0000-0000D2070000}"/>
    <cellStyle name="Salomon Logo" xfId="1894" xr:uid="{00000000-0005-0000-0000-0000D3070000}"/>
    <cellStyle name="SAPBEXaggData" xfId="1895" xr:uid="{00000000-0005-0000-0000-0000D4070000}"/>
    <cellStyle name="SAPBEXaggData 2" xfId="2564" xr:uid="{00000000-0005-0000-0000-0000D5070000}"/>
    <cellStyle name="SAPBEXaggDataEmph" xfId="1896" xr:uid="{00000000-0005-0000-0000-0000D6070000}"/>
    <cellStyle name="SAPBEXaggDataEmph 2" xfId="2565" xr:uid="{00000000-0005-0000-0000-0000D7070000}"/>
    <cellStyle name="SAPBEXaggItem" xfId="1897" xr:uid="{00000000-0005-0000-0000-0000D8070000}"/>
    <cellStyle name="SAPBEXaggItem 2" xfId="2566" xr:uid="{00000000-0005-0000-0000-0000D9070000}"/>
    <cellStyle name="SAPBEXchaText" xfId="1898" xr:uid="{00000000-0005-0000-0000-0000DA070000}"/>
    <cellStyle name="SAPBEXexcBad7" xfId="1899" xr:uid="{00000000-0005-0000-0000-0000DB070000}"/>
    <cellStyle name="SAPBEXexcBad7 2" xfId="2567" xr:uid="{00000000-0005-0000-0000-0000DC070000}"/>
    <cellStyle name="SAPBEXexcBad8" xfId="1900" xr:uid="{00000000-0005-0000-0000-0000DD070000}"/>
    <cellStyle name="SAPBEXexcBad8 2" xfId="2568" xr:uid="{00000000-0005-0000-0000-0000DE070000}"/>
    <cellStyle name="SAPBEXexcBad9" xfId="1901" xr:uid="{00000000-0005-0000-0000-0000DF070000}"/>
    <cellStyle name="SAPBEXexcBad9 2" xfId="2569" xr:uid="{00000000-0005-0000-0000-0000E0070000}"/>
    <cellStyle name="SAPBEXexcCritical4" xfId="1902" xr:uid="{00000000-0005-0000-0000-0000E1070000}"/>
    <cellStyle name="SAPBEXexcCritical4 2" xfId="2570" xr:uid="{00000000-0005-0000-0000-0000E2070000}"/>
    <cellStyle name="SAPBEXexcCritical5" xfId="1903" xr:uid="{00000000-0005-0000-0000-0000E3070000}"/>
    <cellStyle name="SAPBEXexcCritical5 2" xfId="2571" xr:uid="{00000000-0005-0000-0000-0000E4070000}"/>
    <cellStyle name="SAPBEXexcCritical6" xfId="1904" xr:uid="{00000000-0005-0000-0000-0000E5070000}"/>
    <cellStyle name="SAPBEXexcCritical6 2" xfId="2572" xr:uid="{00000000-0005-0000-0000-0000E6070000}"/>
    <cellStyle name="SAPBEXexcGood1" xfId="1905" xr:uid="{00000000-0005-0000-0000-0000E7070000}"/>
    <cellStyle name="SAPBEXexcGood1 2" xfId="2573" xr:uid="{00000000-0005-0000-0000-0000E8070000}"/>
    <cellStyle name="SAPBEXexcGood2" xfId="1906" xr:uid="{00000000-0005-0000-0000-0000E9070000}"/>
    <cellStyle name="SAPBEXexcGood2 2" xfId="2574" xr:uid="{00000000-0005-0000-0000-0000EA070000}"/>
    <cellStyle name="SAPBEXexcGood3" xfId="1907" xr:uid="{00000000-0005-0000-0000-0000EB070000}"/>
    <cellStyle name="SAPBEXexcGood3 2" xfId="2575" xr:uid="{00000000-0005-0000-0000-0000EC070000}"/>
    <cellStyle name="SAPBEXfilterDrill" xfId="1908" xr:uid="{00000000-0005-0000-0000-0000ED070000}"/>
    <cellStyle name="SAPBEXfilterItem" xfId="1909" xr:uid="{00000000-0005-0000-0000-0000EE070000}"/>
    <cellStyle name="SAPBEXfilterText" xfId="1910" xr:uid="{00000000-0005-0000-0000-0000EF070000}"/>
    <cellStyle name="SAPBEXformats" xfId="1911" xr:uid="{00000000-0005-0000-0000-0000F0070000}"/>
    <cellStyle name="SAPBEXformats 2" xfId="2576" xr:uid="{00000000-0005-0000-0000-0000F1070000}"/>
    <cellStyle name="SAPBEXheaderItem" xfId="1912" xr:uid="{00000000-0005-0000-0000-0000F2070000}"/>
    <cellStyle name="SAPBEXheaderText" xfId="1913" xr:uid="{00000000-0005-0000-0000-0000F3070000}"/>
    <cellStyle name="SAPBEXresData" xfId="1914" xr:uid="{00000000-0005-0000-0000-0000F4070000}"/>
    <cellStyle name="SAPBEXresData 2" xfId="2577" xr:uid="{00000000-0005-0000-0000-0000F5070000}"/>
    <cellStyle name="SAPBEXresDataEmph" xfId="1915" xr:uid="{00000000-0005-0000-0000-0000F6070000}"/>
    <cellStyle name="SAPBEXresDataEmph 2" xfId="2578" xr:uid="{00000000-0005-0000-0000-0000F7070000}"/>
    <cellStyle name="SAPBEXresItem" xfId="1916" xr:uid="{00000000-0005-0000-0000-0000F8070000}"/>
    <cellStyle name="SAPBEXresItem 2" xfId="2579" xr:uid="{00000000-0005-0000-0000-0000F9070000}"/>
    <cellStyle name="SAPBEXstdData" xfId="1917" xr:uid="{00000000-0005-0000-0000-0000FA070000}"/>
    <cellStyle name="SAPBEXstdData 2" xfId="2580" xr:uid="{00000000-0005-0000-0000-0000FB070000}"/>
    <cellStyle name="SAPBEXstdDataEmph" xfId="1918" xr:uid="{00000000-0005-0000-0000-0000FC070000}"/>
    <cellStyle name="SAPBEXstdDataEmph 2" xfId="2581" xr:uid="{00000000-0005-0000-0000-0000FD070000}"/>
    <cellStyle name="SAPBEXstdItem" xfId="1919" xr:uid="{00000000-0005-0000-0000-0000FE070000}"/>
    <cellStyle name="SAPBEXstdItem 2" xfId="2582" xr:uid="{00000000-0005-0000-0000-0000FF070000}"/>
    <cellStyle name="SAPBEXtitle" xfId="1920" xr:uid="{00000000-0005-0000-0000-000000080000}"/>
    <cellStyle name="SAPBEXtitle 2" xfId="2583" xr:uid="{00000000-0005-0000-0000-000001080000}"/>
    <cellStyle name="SAPBEXundefined" xfId="1921" xr:uid="{00000000-0005-0000-0000-000002080000}"/>
    <cellStyle name="SAPBEXundefined 2" xfId="2584" xr:uid="{00000000-0005-0000-0000-000003080000}"/>
    <cellStyle name="ScripFactor" xfId="1922" xr:uid="{00000000-0005-0000-0000-000004080000}"/>
    <cellStyle name="Section" xfId="1923" xr:uid="{00000000-0005-0000-0000-000005080000}"/>
    <cellStyle name="SectionHeading" xfId="1924" xr:uid="{00000000-0005-0000-0000-000006080000}"/>
    <cellStyle name="Shaded" xfId="1925" xr:uid="{00000000-0005-0000-0000-000007080000}"/>
    <cellStyle name="Shaded Header" xfId="1926" xr:uid="{00000000-0005-0000-0000-000008080000}"/>
    <cellStyle name="Shaded_Andina Model v1" xfId="1927" xr:uid="{00000000-0005-0000-0000-000009080000}"/>
    <cellStyle name="SHADEDSTORES" xfId="1928" xr:uid="{00000000-0005-0000-0000-00000A080000}"/>
    <cellStyle name="SHADEDSTORES 2" xfId="2585" xr:uid="{00000000-0005-0000-0000-00000B080000}"/>
    <cellStyle name="Shading" xfId="1929" xr:uid="{00000000-0005-0000-0000-00000C080000}"/>
    <cellStyle name="Shares" xfId="1930" xr:uid="{00000000-0005-0000-0000-00000D080000}"/>
    <cellStyle name="Sheet Title" xfId="33" xr:uid="{00000000-0005-0000-0000-00000E080000}"/>
    <cellStyle name="SHEETTITLE" xfId="1931" xr:uid="{00000000-0005-0000-0000-00000F080000}"/>
    <cellStyle name="Sledovaný hypertextový odkaz" xfId="1932" xr:uid="{00000000-0005-0000-0000-000010080000}"/>
    <cellStyle name="Small Page Heading" xfId="1933" xr:uid="{00000000-0005-0000-0000-000011080000}"/>
    <cellStyle name="SN" xfId="1934" xr:uid="{00000000-0005-0000-0000-000012080000}"/>
    <cellStyle name="Source Line" xfId="1935" xr:uid="{00000000-0005-0000-0000-000013080000}"/>
    <cellStyle name="SPEC" xfId="1936" xr:uid="{00000000-0005-0000-0000-000014080000}"/>
    <cellStyle name="Special Note" xfId="1937" xr:uid="{00000000-0005-0000-0000-000015080000}"/>
    <cellStyle name="specstores" xfId="1938" xr:uid="{00000000-0005-0000-0000-000016080000}"/>
    <cellStyle name="SPOl" xfId="1939" xr:uid="{00000000-0005-0000-0000-000017080000}"/>
    <cellStyle name="Sr Nts" xfId="1940" xr:uid="{00000000-0005-0000-0000-000018080000}"/>
    <cellStyle name="stage" xfId="1941" xr:uid="{00000000-0005-0000-0000-000019080000}"/>
    <cellStyle name="Standaard_ABBA version 1.4 dd 27-06-2000" xfId="1942" xr:uid="{00000000-0005-0000-0000-00001A080000}"/>
    <cellStyle name="Standard_pUkwOAZN4HpKs513Q0LYPiAvu" xfId="1943" xr:uid="{00000000-0005-0000-0000-00001B080000}"/>
    <cellStyle name="Stein date" xfId="1944" xr:uid="{00000000-0005-0000-0000-00001C080000}"/>
    <cellStyle name="Stein Header" xfId="1945" xr:uid="{00000000-0005-0000-0000-00001D080000}"/>
    <cellStyle name="Stein-Blue" xfId="1946" xr:uid="{00000000-0005-0000-0000-00001E080000}"/>
    <cellStyle name="Stein-Header" xfId="1947" xr:uid="{00000000-0005-0000-0000-00001F080000}"/>
    <cellStyle name="step" xfId="1948" xr:uid="{00000000-0005-0000-0000-000020080000}"/>
    <cellStyle name="Stock Comma" xfId="1949" xr:uid="{00000000-0005-0000-0000-000021080000}"/>
    <cellStyle name="Stock Price" xfId="1950" xr:uid="{00000000-0005-0000-0000-000022080000}"/>
    <cellStyle name="StockPrice" xfId="1951" xr:uid="{00000000-0005-0000-0000-000023080000}"/>
    <cellStyle name="Strange" xfId="1952" xr:uid="{00000000-0005-0000-0000-000024080000}"/>
    <cellStyle name="Strikethru" xfId="1953" xr:uid="{00000000-0005-0000-0000-000025080000}"/>
    <cellStyle name="Style 1" xfId="1954" xr:uid="{00000000-0005-0000-0000-000026080000}"/>
    <cellStyle name="Style 10" xfId="1955" xr:uid="{00000000-0005-0000-0000-000027080000}"/>
    <cellStyle name="Style 100" xfId="1956" xr:uid="{00000000-0005-0000-0000-000028080000}"/>
    <cellStyle name="Style 101" xfId="1957" xr:uid="{00000000-0005-0000-0000-000029080000}"/>
    <cellStyle name="Style 102" xfId="1958" xr:uid="{00000000-0005-0000-0000-00002A080000}"/>
    <cellStyle name="Style 103" xfId="1959" xr:uid="{00000000-0005-0000-0000-00002B080000}"/>
    <cellStyle name="Style 104" xfId="1960" xr:uid="{00000000-0005-0000-0000-00002C080000}"/>
    <cellStyle name="Style 105" xfId="1961" xr:uid="{00000000-0005-0000-0000-00002D080000}"/>
    <cellStyle name="Style 106" xfId="1962" xr:uid="{00000000-0005-0000-0000-00002E080000}"/>
    <cellStyle name="Style 107" xfId="1963" xr:uid="{00000000-0005-0000-0000-00002F080000}"/>
    <cellStyle name="Style 108" xfId="1964" xr:uid="{00000000-0005-0000-0000-000030080000}"/>
    <cellStyle name="Style 109" xfId="1965" xr:uid="{00000000-0005-0000-0000-000031080000}"/>
    <cellStyle name="Style 11" xfId="1966" xr:uid="{00000000-0005-0000-0000-000032080000}"/>
    <cellStyle name="Style 110" xfId="1967" xr:uid="{00000000-0005-0000-0000-000033080000}"/>
    <cellStyle name="Style 111" xfId="1968" xr:uid="{00000000-0005-0000-0000-000034080000}"/>
    <cellStyle name="Style 112" xfId="1969" xr:uid="{00000000-0005-0000-0000-000035080000}"/>
    <cellStyle name="Style 113" xfId="1970" xr:uid="{00000000-0005-0000-0000-000036080000}"/>
    <cellStyle name="Style 114" xfId="1971" xr:uid="{00000000-0005-0000-0000-000037080000}"/>
    <cellStyle name="Style 115" xfId="1972" xr:uid="{00000000-0005-0000-0000-000038080000}"/>
    <cellStyle name="Style 116" xfId="1973" xr:uid="{00000000-0005-0000-0000-000039080000}"/>
    <cellStyle name="Style 117" xfId="1974" xr:uid="{00000000-0005-0000-0000-00003A080000}"/>
    <cellStyle name="Style 118" xfId="1975" xr:uid="{00000000-0005-0000-0000-00003B080000}"/>
    <cellStyle name="Style 119" xfId="1976" xr:uid="{00000000-0005-0000-0000-00003C080000}"/>
    <cellStyle name="Style 12" xfId="1977" xr:uid="{00000000-0005-0000-0000-00003D080000}"/>
    <cellStyle name="Style 120" xfId="1978" xr:uid="{00000000-0005-0000-0000-00003E080000}"/>
    <cellStyle name="Style 121" xfId="1979" xr:uid="{00000000-0005-0000-0000-00003F080000}"/>
    <cellStyle name="Style 122" xfId="1980" xr:uid="{00000000-0005-0000-0000-000040080000}"/>
    <cellStyle name="Style 123" xfId="1981" xr:uid="{00000000-0005-0000-0000-000041080000}"/>
    <cellStyle name="Style 124" xfId="1982" xr:uid="{00000000-0005-0000-0000-000042080000}"/>
    <cellStyle name="Style 125" xfId="1983" xr:uid="{00000000-0005-0000-0000-000043080000}"/>
    <cellStyle name="Style 126" xfId="1984" xr:uid="{00000000-0005-0000-0000-000044080000}"/>
    <cellStyle name="Style 127" xfId="1985" xr:uid="{00000000-0005-0000-0000-000045080000}"/>
    <cellStyle name="Style 128" xfId="1986" xr:uid="{00000000-0005-0000-0000-000046080000}"/>
    <cellStyle name="Style 129" xfId="1987" xr:uid="{00000000-0005-0000-0000-000047080000}"/>
    <cellStyle name="Style 13" xfId="1988" xr:uid="{00000000-0005-0000-0000-000048080000}"/>
    <cellStyle name="Style 130" xfId="1989" xr:uid="{00000000-0005-0000-0000-000049080000}"/>
    <cellStyle name="Style 131" xfId="1990" xr:uid="{00000000-0005-0000-0000-00004A080000}"/>
    <cellStyle name="Style 132" xfId="1991" xr:uid="{00000000-0005-0000-0000-00004B080000}"/>
    <cellStyle name="Style 133" xfId="1992" xr:uid="{00000000-0005-0000-0000-00004C080000}"/>
    <cellStyle name="Style 134" xfId="1993" xr:uid="{00000000-0005-0000-0000-00004D080000}"/>
    <cellStyle name="Style 135" xfId="1994" xr:uid="{00000000-0005-0000-0000-00004E080000}"/>
    <cellStyle name="Style 136" xfId="1995" xr:uid="{00000000-0005-0000-0000-00004F080000}"/>
    <cellStyle name="Style 137" xfId="1996" xr:uid="{00000000-0005-0000-0000-000050080000}"/>
    <cellStyle name="Style 138" xfId="1997" xr:uid="{00000000-0005-0000-0000-000051080000}"/>
    <cellStyle name="Style 139" xfId="1998" xr:uid="{00000000-0005-0000-0000-000052080000}"/>
    <cellStyle name="Style 14" xfId="1999" xr:uid="{00000000-0005-0000-0000-000053080000}"/>
    <cellStyle name="Style 140" xfId="2000" xr:uid="{00000000-0005-0000-0000-000054080000}"/>
    <cellStyle name="Style 141" xfId="2001" xr:uid="{00000000-0005-0000-0000-000055080000}"/>
    <cellStyle name="Style 142" xfId="2002" xr:uid="{00000000-0005-0000-0000-000056080000}"/>
    <cellStyle name="Style 143" xfId="2003" xr:uid="{00000000-0005-0000-0000-000057080000}"/>
    <cellStyle name="Style 144" xfId="2004" xr:uid="{00000000-0005-0000-0000-000058080000}"/>
    <cellStyle name="Style 145" xfId="2005" xr:uid="{00000000-0005-0000-0000-000059080000}"/>
    <cellStyle name="Style 146" xfId="2006" xr:uid="{00000000-0005-0000-0000-00005A080000}"/>
    <cellStyle name="Style 147" xfId="2007" xr:uid="{00000000-0005-0000-0000-00005B080000}"/>
    <cellStyle name="Style 149" xfId="2008" xr:uid="{00000000-0005-0000-0000-00005C080000}"/>
    <cellStyle name="Style 15" xfId="2009" xr:uid="{00000000-0005-0000-0000-00005D080000}"/>
    <cellStyle name="Style 151" xfId="2010" xr:uid="{00000000-0005-0000-0000-00005E080000}"/>
    <cellStyle name="Style 153" xfId="2011" xr:uid="{00000000-0005-0000-0000-00005F080000}"/>
    <cellStyle name="Style 155" xfId="2012" xr:uid="{00000000-0005-0000-0000-000060080000}"/>
    <cellStyle name="Style 157" xfId="2013" xr:uid="{00000000-0005-0000-0000-000061080000}"/>
    <cellStyle name="Style 159" xfId="2014" xr:uid="{00000000-0005-0000-0000-000062080000}"/>
    <cellStyle name="Style 16" xfId="2015" xr:uid="{00000000-0005-0000-0000-000063080000}"/>
    <cellStyle name="Style 161" xfId="2016" xr:uid="{00000000-0005-0000-0000-000064080000}"/>
    <cellStyle name="Style 17" xfId="2017" xr:uid="{00000000-0005-0000-0000-000065080000}"/>
    <cellStyle name="Style 18" xfId="2018" xr:uid="{00000000-0005-0000-0000-000066080000}"/>
    <cellStyle name="Style 19" xfId="2019" xr:uid="{00000000-0005-0000-0000-000067080000}"/>
    <cellStyle name="Style 2" xfId="2020" xr:uid="{00000000-0005-0000-0000-000068080000}"/>
    <cellStyle name="Style 20" xfId="2021" xr:uid="{00000000-0005-0000-0000-000069080000}"/>
    <cellStyle name="Style 21" xfId="2022" xr:uid="{00000000-0005-0000-0000-00006A080000}"/>
    <cellStyle name="Style 22" xfId="2023" xr:uid="{00000000-0005-0000-0000-00006B080000}"/>
    <cellStyle name="Style 23" xfId="2024" xr:uid="{00000000-0005-0000-0000-00006C080000}"/>
    <cellStyle name="Style 24" xfId="2025" xr:uid="{00000000-0005-0000-0000-00006D080000}"/>
    <cellStyle name="Style 25" xfId="2026" xr:uid="{00000000-0005-0000-0000-00006E080000}"/>
    <cellStyle name="Style 26" xfId="2027" xr:uid="{00000000-0005-0000-0000-00006F080000}"/>
    <cellStyle name="Style 27" xfId="2028" xr:uid="{00000000-0005-0000-0000-000070080000}"/>
    <cellStyle name="Style 28" xfId="2029" xr:uid="{00000000-0005-0000-0000-000071080000}"/>
    <cellStyle name="Style 29" xfId="2030" xr:uid="{00000000-0005-0000-0000-000072080000}"/>
    <cellStyle name="Style 3" xfId="2031" xr:uid="{00000000-0005-0000-0000-000073080000}"/>
    <cellStyle name="Style 30" xfId="2032" xr:uid="{00000000-0005-0000-0000-000074080000}"/>
    <cellStyle name="Style 31" xfId="2033" xr:uid="{00000000-0005-0000-0000-000075080000}"/>
    <cellStyle name="Style 32" xfId="2034" xr:uid="{00000000-0005-0000-0000-000076080000}"/>
    <cellStyle name="Style 33" xfId="2035" xr:uid="{00000000-0005-0000-0000-000077080000}"/>
    <cellStyle name="Style 34" xfId="2036" xr:uid="{00000000-0005-0000-0000-000078080000}"/>
    <cellStyle name="Style 35" xfId="2037" xr:uid="{00000000-0005-0000-0000-000079080000}"/>
    <cellStyle name="Style 36" xfId="2038" xr:uid="{00000000-0005-0000-0000-00007A080000}"/>
    <cellStyle name="Style 37" xfId="2039" xr:uid="{00000000-0005-0000-0000-00007B080000}"/>
    <cellStyle name="Style 38" xfId="2040" xr:uid="{00000000-0005-0000-0000-00007C080000}"/>
    <cellStyle name="Style 39" xfId="2041" xr:uid="{00000000-0005-0000-0000-00007D080000}"/>
    <cellStyle name="Style 4" xfId="2042" xr:uid="{00000000-0005-0000-0000-00007E080000}"/>
    <cellStyle name="Style 40" xfId="2043" xr:uid="{00000000-0005-0000-0000-00007F080000}"/>
    <cellStyle name="Style 41" xfId="2044" xr:uid="{00000000-0005-0000-0000-000080080000}"/>
    <cellStyle name="Style 42" xfId="2045" xr:uid="{00000000-0005-0000-0000-000081080000}"/>
    <cellStyle name="Style 43" xfId="2046" xr:uid="{00000000-0005-0000-0000-000082080000}"/>
    <cellStyle name="Style 44" xfId="2047" xr:uid="{00000000-0005-0000-0000-000083080000}"/>
    <cellStyle name="Style 45" xfId="2048" xr:uid="{00000000-0005-0000-0000-000084080000}"/>
    <cellStyle name="Style 46" xfId="2049" xr:uid="{00000000-0005-0000-0000-000085080000}"/>
    <cellStyle name="Style 47" xfId="2050" xr:uid="{00000000-0005-0000-0000-000086080000}"/>
    <cellStyle name="Style 48" xfId="2051" xr:uid="{00000000-0005-0000-0000-000087080000}"/>
    <cellStyle name="Style 49" xfId="2052" xr:uid="{00000000-0005-0000-0000-000088080000}"/>
    <cellStyle name="Style 5" xfId="2053" xr:uid="{00000000-0005-0000-0000-000089080000}"/>
    <cellStyle name="Style 50" xfId="2054" xr:uid="{00000000-0005-0000-0000-00008A080000}"/>
    <cellStyle name="Style 51" xfId="2055" xr:uid="{00000000-0005-0000-0000-00008B080000}"/>
    <cellStyle name="Style 52" xfId="2056" xr:uid="{00000000-0005-0000-0000-00008C080000}"/>
    <cellStyle name="Style 53" xfId="2057" xr:uid="{00000000-0005-0000-0000-00008D080000}"/>
    <cellStyle name="Style 54" xfId="2058" xr:uid="{00000000-0005-0000-0000-00008E080000}"/>
    <cellStyle name="Style 55" xfId="2059" xr:uid="{00000000-0005-0000-0000-00008F080000}"/>
    <cellStyle name="Style 56" xfId="2060" xr:uid="{00000000-0005-0000-0000-000090080000}"/>
    <cellStyle name="Style 57" xfId="2061" xr:uid="{00000000-0005-0000-0000-000091080000}"/>
    <cellStyle name="Style 58" xfId="2062" xr:uid="{00000000-0005-0000-0000-000092080000}"/>
    <cellStyle name="Style 59" xfId="2063" xr:uid="{00000000-0005-0000-0000-000093080000}"/>
    <cellStyle name="Style 6" xfId="2064" xr:uid="{00000000-0005-0000-0000-000094080000}"/>
    <cellStyle name="Style 60" xfId="2065" xr:uid="{00000000-0005-0000-0000-000095080000}"/>
    <cellStyle name="Style 61" xfId="2066" xr:uid="{00000000-0005-0000-0000-000096080000}"/>
    <cellStyle name="Style 62" xfId="2067" xr:uid="{00000000-0005-0000-0000-000097080000}"/>
    <cellStyle name="Style 63" xfId="2068" xr:uid="{00000000-0005-0000-0000-000098080000}"/>
    <cellStyle name="Style 64" xfId="2069" xr:uid="{00000000-0005-0000-0000-000099080000}"/>
    <cellStyle name="Style 65" xfId="2070" xr:uid="{00000000-0005-0000-0000-00009A080000}"/>
    <cellStyle name="Style 66" xfId="2071" xr:uid="{00000000-0005-0000-0000-00009B080000}"/>
    <cellStyle name="Style 67" xfId="2072" xr:uid="{00000000-0005-0000-0000-00009C080000}"/>
    <cellStyle name="Style 68" xfId="2073" xr:uid="{00000000-0005-0000-0000-00009D080000}"/>
    <cellStyle name="Style 69" xfId="2074" xr:uid="{00000000-0005-0000-0000-00009E080000}"/>
    <cellStyle name="Style 7" xfId="2075" xr:uid="{00000000-0005-0000-0000-00009F080000}"/>
    <cellStyle name="Style 70" xfId="2076" xr:uid="{00000000-0005-0000-0000-0000A0080000}"/>
    <cellStyle name="Style 71" xfId="2077" xr:uid="{00000000-0005-0000-0000-0000A1080000}"/>
    <cellStyle name="Style 72" xfId="2078" xr:uid="{00000000-0005-0000-0000-0000A2080000}"/>
    <cellStyle name="Style 73" xfId="2079" xr:uid="{00000000-0005-0000-0000-0000A3080000}"/>
    <cellStyle name="Style 74" xfId="2080" xr:uid="{00000000-0005-0000-0000-0000A4080000}"/>
    <cellStyle name="Style 75" xfId="2081" xr:uid="{00000000-0005-0000-0000-0000A5080000}"/>
    <cellStyle name="Style 76" xfId="2082" xr:uid="{00000000-0005-0000-0000-0000A6080000}"/>
    <cellStyle name="Style 77" xfId="2083" xr:uid="{00000000-0005-0000-0000-0000A7080000}"/>
    <cellStyle name="Style 78" xfId="2084" xr:uid="{00000000-0005-0000-0000-0000A8080000}"/>
    <cellStyle name="Style 79" xfId="2085" xr:uid="{00000000-0005-0000-0000-0000A9080000}"/>
    <cellStyle name="Style 8" xfId="2086" xr:uid="{00000000-0005-0000-0000-0000AA080000}"/>
    <cellStyle name="Style 80" xfId="2087" xr:uid="{00000000-0005-0000-0000-0000AB080000}"/>
    <cellStyle name="Style 81" xfId="2088" xr:uid="{00000000-0005-0000-0000-0000AC080000}"/>
    <cellStyle name="Style 82" xfId="2089" xr:uid="{00000000-0005-0000-0000-0000AD080000}"/>
    <cellStyle name="Style 83" xfId="2090" xr:uid="{00000000-0005-0000-0000-0000AE080000}"/>
    <cellStyle name="Style 84" xfId="2091" xr:uid="{00000000-0005-0000-0000-0000AF080000}"/>
    <cellStyle name="Style 85" xfId="2092" xr:uid="{00000000-0005-0000-0000-0000B0080000}"/>
    <cellStyle name="Style 86" xfId="2093" xr:uid="{00000000-0005-0000-0000-0000B1080000}"/>
    <cellStyle name="Style 87" xfId="2094" xr:uid="{00000000-0005-0000-0000-0000B2080000}"/>
    <cellStyle name="Style 88" xfId="2095" xr:uid="{00000000-0005-0000-0000-0000B3080000}"/>
    <cellStyle name="Style 89" xfId="2096" xr:uid="{00000000-0005-0000-0000-0000B4080000}"/>
    <cellStyle name="Style 9" xfId="2097" xr:uid="{00000000-0005-0000-0000-0000B5080000}"/>
    <cellStyle name="Style 90" xfId="2098" xr:uid="{00000000-0005-0000-0000-0000B6080000}"/>
    <cellStyle name="Style 91" xfId="2099" xr:uid="{00000000-0005-0000-0000-0000B7080000}"/>
    <cellStyle name="Style 92" xfId="2100" xr:uid="{00000000-0005-0000-0000-0000B8080000}"/>
    <cellStyle name="Style 93" xfId="2101" xr:uid="{00000000-0005-0000-0000-0000B9080000}"/>
    <cellStyle name="Style 94" xfId="2102" xr:uid="{00000000-0005-0000-0000-0000BA080000}"/>
    <cellStyle name="Style 95" xfId="2103" xr:uid="{00000000-0005-0000-0000-0000BB080000}"/>
    <cellStyle name="Style 96" xfId="2104" xr:uid="{00000000-0005-0000-0000-0000BC080000}"/>
    <cellStyle name="Style 97" xfId="2105" xr:uid="{00000000-0005-0000-0000-0000BD080000}"/>
    <cellStyle name="Style 98" xfId="2106" xr:uid="{00000000-0005-0000-0000-0000BE080000}"/>
    <cellStyle name="Style 99" xfId="2107" xr:uid="{00000000-0005-0000-0000-0000BF080000}"/>
    <cellStyle name="STYLE1 - Style1" xfId="2108" xr:uid="{00000000-0005-0000-0000-0000C0080000}"/>
    <cellStyle name="Sub title" xfId="2109" xr:uid="{00000000-0005-0000-0000-0000C1080000}"/>
    <cellStyle name="SubDollar" xfId="2110" xr:uid="{00000000-0005-0000-0000-0000C2080000}"/>
    <cellStyle name="SubGrowth" xfId="2111" xr:uid="{00000000-0005-0000-0000-0000C3080000}"/>
    <cellStyle name="SubGrowthRate" xfId="2112" xr:uid="{00000000-0005-0000-0000-0000C4080000}"/>
    <cellStyle name="Subhead" xfId="2113" xr:uid="{00000000-0005-0000-0000-0000C5080000}"/>
    <cellStyle name="SubMargins" xfId="2114" xr:uid="{00000000-0005-0000-0000-0000C6080000}"/>
    <cellStyle name="SubPenetration" xfId="2115" xr:uid="{00000000-0005-0000-0000-0000C7080000}"/>
    <cellStyle name="Subscribers" xfId="2116" xr:uid="{00000000-0005-0000-0000-0000C8080000}"/>
    <cellStyle name="SubTitle" xfId="2117" xr:uid="{00000000-0005-0000-0000-0000C9080000}"/>
    <cellStyle name="Subtotal" xfId="2118" xr:uid="{00000000-0005-0000-0000-0000CA080000}"/>
    <cellStyle name="SubVariable" xfId="2119" xr:uid="{00000000-0005-0000-0000-0000CB080000}"/>
    <cellStyle name="sum" xfId="2120" xr:uid="{00000000-0005-0000-0000-0000CC080000}"/>
    <cellStyle name="sum 2" xfId="2495" xr:uid="{00000000-0005-0000-0000-0000CD080000}"/>
    <cellStyle name="t" xfId="2121" xr:uid="{00000000-0005-0000-0000-0000CE080000}"/>
    <cellStyle name="t_~6801188" xfId="2122" xr:uid="{00000000-0005-0000-0000-0000CF080000}"/>
    <cellStyle name="t_Areva October Compcos v6" xfId="2123" xr:uid="{00000000-0005-0000-0000-0000D0080000}"/>
    <cellStyle name="t_BRP Comp v7" xfId="2124" xr:uid="{00000000-0005-0000-0000-0000D1080000}"/>
    <cellStyle name="t_Comps - metals and mining (3-02-07)" xfId="2125" xr:uid="{00000000-0005-0000-0000-0000D2080000}"/>
    <cellStyle name="t_Coolidge Profile Backup" xfId="2126" xr:uid="{00000000-0005-0000-0000-0000D3080000}"/>
    <cellStyle name="t_Coolidge Profile Backup_Andina Model v1" xfId="2127" xr:uid="{00000000-0005-0000-0000-0000D4080000}"/>
    <cellStyle name="t_Coolidge Profile Backup_Comps 9 24 2009 v2" xfId="2128" xr:uid="{00000000-0005-0000-0000-0000D5080000}"/>
    <cellStyle name="t_Coolidge Profile Backup_Trading Comps vBlank" xfId="2129" xr:uid="{00000000-0005-0000-0000-0000D6080000}"/>
    <cellStyle name="t_Copy of WMG_Mod_080104v72" xfId="2130" xr:uid="{00000000-0005-0000-0000-0000D7080000}"/>
    <cellStyle name="t_CRG Jr Assoc_valuation model v4" xfId="2131" xr:uid="{00000000-0005-0000-0000-0000D8080000}"/>
    <cellStyle name="t_DTV_Oper_012405d" xfId="2132" xr:uid="{00000000-0005-0000-0000-0000D9080000}"/>
    <cellStyle name="t_FF" xfId="2133" xr:uid="{00000000-0005-0000-0000-0000DA080000}"/>
    <cellStyle name="t_Fortress LBO v1" xfId="2134" xr:uid="{00000000-0005-0000-0000-0000DB080000}"/>
    <cellStyle name="t_JPM Vulcan v34" xfId="2135" xr:uid="{00000000-0005-0000-0000-0000DC080000}"/>
    <cellStyle name="t_Large Cap Industrial Comps 08.16.06 with kaiser vcg" xfId="2136" xr:uid="{00000000-0005-0000-0000-0000DD080000}"/>
    <cellStyle name="t_Outputs" xfId="2137" xr:uid="{00000000-0005-0000-0000-0000DE080000}"/>
    <cellStyle name="t_PHNS_Main modele562cbb5" xfId="2138" xr:uid="{00000000-0005-0000-0000-0000DF080000}"/>
    <cellStyle name="t_Project Norman_DCF models" xfId="2139" xr:uid="{00000000-0005-0000-0000-0000E0080000}"/>
    <cellStyle name="t_Project Norman_DCF models_020905J" xfId="2140" xr:uid="{00000000-0005-0000-0000-0000E1080000}"/>
    <cellStyle name="t_Project Norman_main model_2605v22" xfId="2141" xr:uid="{00000000-0005-0000-0000-0000E2080000}"/>
    <cellStyle name="t_Project Query Merger Model_MD2" xfId="2142" xr:uid="{00000000-0005-0000-0000-0000E3080000}"/>
    <cellStyle name="t_Project White_main model" xfId="2143" xr:uid="{00000000-0005-0000-0000-0000E4080000}"/>
    <cellStyle name="t_Rebuilt Mountaineer model v41" xfId="2144" xr:uid="{00000000-0005-0000-0000-0000E5080000}"/>
    <cellStyle name="t_Rebuilt Mountaineer model v41_Andina Model v1" xfId="2145" xr:uid="{00000000-0005-0000-0000-0000E6080000}"/>
    <cellStyle name="t_Rebuilt Mountaineer model v41_Comps 9 24 2009 v2" xfId="2146" xr:uid="{00000000-0005-0000-0000-0000E7080000}"/>
    <cellStyle name="t_Rebuilt Mountaineer model v41_DET model v0.1" xfId="2147" xr:uid="{00000000-0005-0000-0000-0000E8080000}"/>
    <cellStyle name="t_Rebuilt Mountaineer model v41_GE model v0.5" xfId="2148" xr:uid="{00000000-0005-0000-0000-0000E9080000}"/>
    <cellStyle name="t_Rebuilt Mountaineer model v41_GE Plastics — DET model v13.0" xfId="2149" xr:uid="{00000000-0005-0000-0000-0000EA080000}"/>
    <cellStyle name="t_Safari_KKR LBO8526c8f4" xfId="2150" xr:uid="{00000000-0005-0000-0000-0000EB080000}"/>
    <cellStyle name="t_Safari_main modele2963a1a" xfId="2151" xr:uid="{00000000-0005-0000-0000-0000EC080000}"/>
    <cellStyle name="t_Salzgitter PMO" xfId="2152" xr:uid="{00000000-0005-0000-0000-0000ED080000}"/>
    <cellStyle name="t_Salzgitter PMO_Andina Model v1" xfId="2153" xr:uid="{00000000-0005-0000-0000-0000EE080000}"/>
    <cellStyle name="t_Salzgitter PMO_Comps 9 24 2009 v2" xfId="2154" xr:uid="{00000000-0005-0000-0000-0000EF080000}"/>
    <cellStyle name="t_Salzgitter PMO_Trading Comps vBlank" xfId="2155" xr:uid="{00000000-0005-0000-0000-0000F0080000}"/>
    <cellStyle name="t_Silver Trading Comps (09-30-06) vAutomated" xfId="2156" xr:uid="{00000000-0005-0000-0000-0000F1080000}"/>
    <cellStyle name="t_SkyItalia_Oper_012105 v7" xfId="2157" xr:uid="{00000000-0005-0000-0000-0000F2080000}"/>
    <cellStyle name="t_Snake chart EPS v3" xfId="2158" xr:uid="{00000000-0005-0000-0000-0000F3080000}"/>
    <cellStyle name="t_Summary of financial projections v6" xfId="2159" xr:uid="{00000000-0005-0000-0000-0000F4080000}"/>
    <cellStyle name="t_Vulcan v10" xfId="2160" xr:uid="{00000000-0005-0000-0000-0000F5080000}"/>
    <cellStyle name="t_X-ratio FF" xfId="2161" xr:uid="{00000000-0005-0000-0000-0000F6080000}"/>
    <cellStyle name="t_Yaman profile backup" xfId="2162" xr:uid="{00000000-0005-0000-0000-0000F7080000}"/>
    <cellStyle name="Table" xfId="2163" xr:uid="{00000000-0005-0000-0000-0000F8080000}"/>
    <cellStyle name="Table 10 (Col Numbers)" xfId="2164" xr:uid="{00000000-0005-0000-0000-0000F9080000}"/>
    <cellStyle name="Table 10-10" xfId="2165" xr:uid="{00000000-0005-0000-0000-0000FA080000}"/>
    <cellStyle name="Table 10-2" xfId="2166" xr:uid="{00000000-0005-0000-0000-0000FB080000}"/>
    <cellStyle name="table col ehad" xfId="2167" xr:uid="{00000000-0005-0000-0000-0000FC080000}"/>
    <cellStyle name="table col haed" xfId="2168" xr:uid="{00000000-0005-0000-0000-0000FD080000}"/>
    <cellStyle name="Table Col Head" xfId="2169" xr:uid="{00000000-0005-0000-0000-0000FE080000}"/>
    <cellStyle name="table col hed" xfId="2170" xr:uid="{00000000-0005-0000-0000-0000FF080000}"/>
    <cellStyle name="table cub head" xfId="2171" xr:uid="{00000000-0005-0000-0000-000000090000}"/>
    <cellStyle name="Table Footnotes" xfId="2172" xr:uid="{00000000-0005-0000-0000-000001090000}"/>
    <cellStyle name="Table Head" xfId="2173" xr:uid="{00000000-0005-0000-0000-000002090000}"/>
    <cellStyle name="Table Head Aligned" xfId="2174" xr:uid="{00000000-0005-0000-0000-000003090000}"/>
    <cellStyle name="Table Head Aligned 2" xfId="2496" xr:uid="{00000000-0005-0000-0000-000004090000}"/>
    <cellStyle name="Table Head Blue" xfId="2175" xr:uid="{00000000-0005-0000-0000-000005090000}"/>
    <cellStyle name="Table Head Green" xfId="2176" xr:uid="{00000000-0005-0000-0000-000006090000}"/>
    <cellStyle name="Table Head Green 2" xfId="2497" xr:uid="{00000000-0005-0000-0000-000007090000}"/>
    <cellStyle name="Table Head_% Change" xfId="2177" xr:uid="{00000000-0005-0000-0000-000008090000}"/>
    <cellStyle name="Table Heading" xfId="2178" xr:uid="{00000000-0005-0000-0000-000009090000}"/>
    <cellStyle name="Table Source" xfId="2179" xr:uid="{00000000-0005-0000-0000-00000A090000}"/>
    <cellStyle name="Table Sub Head" xfId="2180" xr:uid="{00000000-0005-0000-0000-00000B090000}"/>
    <cellStyle name="table sub head'" xfId="2181" xr:uid="{00000000-0005-0000-0000-00000C090000}"/>
    <cellStyle name="Table Sub Heading" xfId="2182" xr:uid="{00000000-0005-0000-0000-00000D090000}"/>
    <cellStyle name="Table Text" xfId="2183" xr:uid="{00000000-0005-0000-0000-00000E090000}"/>
    <cellStyle name="Table Text 10" xfId="2184" xr:uid="{00000000-0005-0000-0000-00000F090000}"/>
    <cellStyle name="Table Text_~6801188" xfId="2185" xr:uid="{00000000-0005-0000-0000-000010090000}"/>
    <cellStyle name="Table Title" xfId="2186" xr:uid="{00000000-0005-0000-0000-000011090000}"/>
    <cellStyle name="table uints" xfId="2187" xr:uid="{00000000-0005-0000-0000-000012090000}"/>
    <cellStyle name="Table Units" xfId="2188" xr:uid="{00000000-0005-0000-0000-000013090000}"/>
    <cellStyle name="Table Units 2" xfId="2586" xr:uid="{00000000-0005-0000-0000-000014090000}"/>
    <cellStyle name="Table_Header" xfId="2189" xr:uid="{00000000-0005-0000-0000-000015090000}"/>
    <cellStyle name="TableBody" xfId="2190" xr:uid="{00000000-0005-0000-0000-000016090000}"/>
    <cellStyle name="TableBodyR" xfId="2191" xr:uid="{00000000-0005-0000-0000-000017090000}"/>
    <cellStyle name="TableColHeads" xfId="2192" xr:uid="{00000000-0005-0000-0000-000018090000}"/>
    <cellStyle name="TableColumnHeading" xfId="2193" xr:uid="{00000000-0005-0000-0000-000019090000}"/>
    <cellStyle name="TableFootnotes" xfId="2194" xr:uid="{00000000-0005-0000-0000-00001A090000}"/>
    <cellStyle name="TableSubTitleItalic" xfId="2195" xr:uid="{00000000-0005-0000-0000-00001B090000}"/>
    <cellStyle name="TableText" xfId="2196" xr:uid="{00000000-0005-0000-0000-00001C090000}"/>
    <cellStyle name="TableTitle" xfId="2197" xr:uid="{00000000-0005-0000-0000-00001D090000}"/>
    <cellStyle name="TableTitleFormat" xfId="2198" xr:uid="{00000000-0005-0000-0000-00001E090000}"/>
    <cellStyle name="Tag" xfId="2199" xr:uid="{00000000-0005-0000-0000-00001F090000}"/>
    <cellStyle name="tcn" xfId="2200" xr:uid="{00000000-0005-0000-0000-000020090000}"/>
    <cellStyle name="Test" xfId="2201" xr:uid="{00000000-0005-0000-0000-000021090000}"/>
    <cellStyle name="Test [green]" xfId="2202" xr:uid="{00000000-0005-0000-0000-000022090000}"/>
    <cellStyle name="test_~3934249" xfId="2203" xr:uid="{00000000-0005-0000-0000-000023090000}"/>
    <cellStyle name="test1" xfId="2204" xr:uid="{00000000-0005-0000-0000-000024090000}"/>
    <cellStyle name="Text" xfId="2205" xr:uid="{00000000-0005-0000-0000-000025090000}"/>
    <cellStyle name="Text 1" xfId="2206" xr:uid="{00000000-0005-0000-0000-000026090000}"/>
    <cellStyle name="Text 2" xfId="2207" xr:uid="{00000000-0005-0000-0000-000027090000}"/>
    <cellStyle name="Text 3" xfId="2587" xr:uid="{00000000-0005-0000-0000-000028090000}"/>
    <cellStyle name="Text Head" xfId="2208" xr:uid="{00000000-0005-0000-0000-000029090000}"/>
    <cellStyle name="Text Head 1" xfId="2209" xr:uid="{00000000-0005-0000-0000-00002A090000}"/>
    <cellStyle name="Text Head 2" xfId="2210" xr:uid="{00000000-0005-0000-0000-00002B090000}"/>
    <cellStyle name="Text Head_Adlac-Charter Model_v2" xfId="2211" xr:uid="{00000000-0005-0000-0000-00002C090000}"/>
    <cellStyle name="Text Indent 1" xfId="2212" xr:uid="{00000000-0005-0000-0000-00002D090000}"/>
    <cellStyle name="Text Indent 2" xfId="2213" xr:uid="{00000000-0005-0000-0000-00002E090000}"/>
    <cellStyle name="Text Indent A" xfId="2214" xr:uid="{00000000-0005-0000-0000-00002F090000}"/>
    <cellStyle name="Text Indent B" xfId="2215" xr:uid="{00000000-0005-0000-0000-000030090000}"/>
    <cellStyle name="Text Indent C" xfId="2216" xr:uid="{00000000-0005-0000-0000-000031090000}"/>
    <cellStyle name="Text_~5877381" xfId="2217" xr:uid="{00000000-0005-0000-0000-000032090000}"/>
    <cellStyle name="Text-fin statements" xfId="2218" xr:uid="{00000000-0005-0000-0000-000033090000}"/>
    <cellStyle name="TFCF" xfId="2219" xr:uid="{00000000-0005-0000-0000-000034090000}"/>
    <cellStyle name="thenums" xfId="2220" xr:uid="{00000000-0005-0000-0000-000035090000}"/>
    <cellStyle name="Thousands" xfId="2221" xr:uid="{00000000-0005-0000-0000-000036090000}"/>
    <cellStyle name="Thousands $" xfId="2222" xr:uid="{00000000-0005-0000-0000-000037090000}"/>
    <cellStyle name="Thousands_~6801188" xfId="2223" xr:uid="{00000000-0005-0000-0000-000038090000}"/>
    <cellStyle name="Ticker" xfId="2224" xr:uid="{00000000-0005-0000-0000-000039090000}"/>
    <cellStyle name="Tickmark" xfId="2225" xr:uid="{00000000-0005-0000-0000-00003A090000}"/>
    <cellStyle name="time" xfId="2226" xr:uid="{00000000-0005-0000-0000-00003B090000}"/>
    <cellStyle name="Time Strip" xfId="2227" xr:uid="{00000000-0005-0000-0000-00003C090000}"/>
    <cellStyle name="Time Strip 2" xfId="2588" xr:uid="{00000000-0005-0000-0000-00003D090000}"/>
    <cellStyle name="Times" xfId="2228" xr:uid="{00000000-0005-0000-0000-00003E090000}"/>
    <cellStyle name="Times [0]" xfId="2229" xr:uid="{00000000-0005-0000-0000-00003F090000}"/>
    <cellStyle name="Times [1]" xfId="2230" xr:uid="{00000000-0005-0000-0000-000040090000}"/>
    <cellStyle name="Times [2]" xfId="2231" xr:uid="{00000000-0005-0000-0000-000041090000}"/>
    <cellStyle name="Times_~2885965" xfId="2232" xr:uid="{00000000-0005-0000-0000-000042090000}"/>
    <cellStyle name="Title - PROJECT" xfId="2233" xr:uid="{00000000-0005-0000-0000-000043090000}"/>
    <cellStyle name="Title - Underline" xfId="2234" xr:uid="{00000000-0005-0000-0000-000044090000}"/>
    <cellStyle name="Title II" xfId="2235" xr:uid="{00000000-0005-0000-0000-000045090000}"/>
    <cellStyle name="Title Line" xfId="2236" xr:uid="{00000000-0005-0000-0000-000046090000}"/>
    <cellStyle name="Title1" xfId="2237" xr:uid="{00000000-0005-0000-0000-000047090000}"/>
    <cellStyle name="Title2" xfId="2238" xr:uid="{00000000-0005-0000-0000-000048090000}"/>
    <cellStyle name="TitleII" xfId="2239" xr:uid="{00000000-0005-0000-0000-000049090000}"/>
    <cellStyle name="Titles" xfId="2240" xr:uid="{00000000-0005-0000-0000-00004A090000}"/>
    <cellStyle name="Titles - Col. Headings" xfId="2241" xr:uid="{00000000-0005-0000-0000-00004B090000}"/>
    <cellStyle name="Titles - Other" xfId="2242" xr:uid="{00000000-0005-0000-0000-00004C090000}"/>
    <cellStyle name="Titles_Areva October Compcos v6" xfId="2243" xr:uid="{00000000-0005-0000-0000-00004D090000}"/>
    <cellStyle name="TitleSub" xfId="2244" xr:uid="{00000000-0005-0000-0000-00004E090000}"/>
    <cellStyle name="titre_col" xfId="2245" xr:uid="{00000000-0005-0000-0000-00004F090000}"/>
    <cellStyle name="tn" xfId="2246" xr:uid="{00000000-0005-0000-0000-000050090000}"/>
    <cellStyle name="TOC 1" xfId="2247" xr:uid="{00000000-0005-0000-0000-000051090000}"/>
    <cellStyle name="TOC 2" xfId="2248" xr:uid="{00000000-0005-0000-0000-000052090000}"/>
    <cellStyle name="Toggle" xfId="2249" xr:uid="{00000000-0005-0000-0000-000053090000}"/>
    <cellStyle name="tom" xfId="2250" xr:uid="{00000000-0005-0000-0000-000054090000}"/>
    <cellStyle name="Top" xfId="2251" xr:uid="{00000000-0005-0000-0000-000055090000}"/>
    <cellStyle name="Top Edge" xfId="2252" xr:uid="{00000000-0005-0000-0000-000056090000}"/>
    <cellStyle name="Top Row" xfId="2253" xr:uid="{00000000-0005-0000-0000-000057090000}"/>
    <cellStyle name="Top Row 2" xfId="2589" xr:uid="{00000000-0005-0000-0000-000058090000}"/>
    <cellStyle name="Top_Champion_detailed JPM 4.19.02 v.15" xfId="2254" xr:uid="{00000000-0005-0000-0000-000059090000}"/>
    <cellStyle name="TopCaption" xfId="2255" xr:uid="{00000000-0005-0000-0000-00005A090000}"/>
    <cellStyle name="TopGrey" xfId="2256" xr:uid="{00000000-0005-0000-0000-00005B090000}"/>
    <cellStyle name="Topline" xfId="2257" xr:uid="{00000000-0005-0000-0000-00005C090000}"/>
    <cellStyle name="Topline 2" xfId="2590" xr:uid="{00000000-0005-0000-0000-00005D090000}"/>
    <cellStyle name="Total" xfId="34" builtinId="25" customBuiltin="1"/>
    <cellStyle name="Total 2" xfId="2591" xr:uid="{00000000-0005-0000-0000-00005F090000}"/>
    <cellStyle name="Total Currency" xfId="2258" xr:uid="{00000000-0005-0000-0000-000060090000}"/>
    <cellStyle name="Total Normal" xfId="2259" xr:uid="{00000000-0005-0000-0000-000061090000}"/>
    <cellStyle name="Total Row" xfId="2260" xr:uid="{00000000-0005-0000-0000-000062090000}"/>
    <cellStyle name="Total Row 2" xfId="2498" xr:uid="{00000000-0005-0000-0000-000063090000}"/>
    <cellStyle name="Total4 - Style4" xfId="2261" xr:uid="{00000000-0005-0000-0000-000064090000}"/>
    <cellStyle name="TotalCurrency" xfId="2262" xr:uid="{00000000-0005-0000-0000-000065090000}"/>
    <cellStyle name="TwoDecimal" xfId="2263" xr:uid="{00000000-0005-0000-0000-000066090000}"/>
    <cellStyle name="u" xfId="2264" xr:uid="{00000000-0005-0000-0000-000067090000}"/>
    <cellStyle name="ubordinated Debt" xfId="2265" xr:uid="{00000000-0005-0000-0000-000068090000}"/>
    <cellStyle name="ubtotal:" xfId="2266" xr:uid="{00000000-0005-0000-0000-000069090000}"/>
    <cellStyle name="underline" xfId="2267" xr:uid="{00000000-0005-0000-0000-00006A090000}"/>
    <cellStyle name="UnitPrice" xfId="2268" xr:uid="{00000000-0005-0000-0000-00006B090000}"/>
    <cellStyle name="Units" xfId="2269" xr:uid="{00000000-0005-0000-0000-00006C090000}"/>
    <cellStyle name="Unprot" xfId="2270" xr:uid="{00000000-0005-0000-0000-00006D090000}"/>
    <cellStyle name="Unprot$" xfId="2271" xr:uid="{00000000-0005-0000-0000-00006E090000}"/>
    <cellStyle name="Unprotect" xfId="2272" xr:uid="{00000000-0005-0000-0000-00006F090000}"/>
    <cellStyle name="Unprotected" xfId="2273" xr:uid="{00000000-0005-0000-0000-000070090000}"/>
    <cellStyle name="Upload Only" xfId="2274" xr:uid="{00000000-0005-0000-0000-000071090000}"/>
    <cellStyle name="v" xfId="2275" xr:uid="{00000000-0005-0000-0000-000072090000}"/>
    <cellStyle name="Validation" xfId="2276" xr:uid="{00000000-0005-0000-0000-000073090000}"/>
    <cellStyle name="Valuation" xfId="2277" xr:uid="{00000000-0005-0000-0000-000074090000}"/>
    <cellStyle name="Valuation Bold" xfId="2278" xr:uid="{00000000-0005-0000-0000-000075090000}"/>
    <cellStyle name="Valuation_Safari_KKR LBO8526c8f4" xfId="2279" xr:uid="{00000000-0005-0000-0000-000076090000}"/>
    <cellStyle name="Valuta (0)_07 Deut - FS0699HY" xfId="2280" xr:uid="{00000000-0005-0000-0000-000077090000}"/>
    <cellStyle name="Valuta [0]_ABBA version 1.4 dd 27-06-2000" xfId="2281" xr:uid="{00000000-0005-0000-0000-000078090000}"/>
    <cellStyle name="Valuta_07 Deut - FS0699HY" xfId="2282" xr:uid="{00000000-0005-0000-0000-000079090000}"/>
    <cellStyle name="w" xfId="2283" xr:uid="{00000000-0005-0000-0000-00007A090000}"/>
    <cellStyle name="Währung [0]_laroux" xfId="2284" xr:uid="{00000000-0005-0000-0000-00007B090000}"/>
    <cellStyle name="Währung_laroux" xfId="2285" xr:uid="{00000000-0005-0000-0000-00007C090000}"/>
    <cellStyle name="Walutowy [0]_1" xfId="2286" xr:uid="{00000000-0005-0000-0000-00007D090000}"/>
    <cellStyle name="Walutowy_1" xfId="2287" xr:uid="{00000000-0005-0000-0000-00007E090000}"/>
    <cellStyle name="Warning Text" xfId="35" builtinId="11" customBuiltin="1"/>
    <cellStyle name="White" xfId="2288" xr:uid="{00000000-0005-0000-0000-000080090000}"/>
    <cellStyle name="White Table Head" xfId="2289" xr:uid="{00000000-0005-0000-0000-000081090000}"/>
    <cellStyle name="White Table Head 2" xfId="2592" xr:uid="{00000000-0005-0000-0000-000082090000}"/>
    <cellStyle name="White_Andina Model v1" xfId="2290" xr:uid="{00000000-0005-0000-0000-000083090000}"/>
    <cellStyle name="WhiteCells" xfId="2291" xr:uid="{00000000-0005-0000-0000-000084090000}"/>
    <cellStyle name="WholeNumber" xfId="2292" xr:uid="{00000000-0005-0000-0000-000085090000}"/>
    <cellStyle name="WingDing" xfId="2293" xr:uid="{00000000-0005-0000-0000-000086090000}"/>
    <cellStyle name="wingdins" xfId="2294" xr:uid="{00000000-0005-0000-0000-000087090000}"/>
    <cellStyle name="WP" xfId="2295" xr:uid="{00000000-0005-0000-0000-000088090000}"/>
    <cellStyle name="Wrap" xfId="2296" xr:uid="{00000000-0005-0000-0000-000089090000}"/>
    <cellStyle name="WrappedBold" xfId="2297" xr:uid="{00000000-0005-0000-0000-00008A090000}"/>
    <cellStyle name="x" xfId="2298" xr:uid="{00000000-0005-0000-0000-00008B090000}"/>
    <cellStyle name="x (1)" xfId="2299" xr:uid="{00000000-0005-0000-0000-00008C090000}"/>
    <cellStyle name="x (2)" xfId="2300" xr:uid="{00000000-0005-0000-0000-00008D090000}"/>
    <cellStyle name="x Men" xfId="2301" xr:uid="{00000000-0005-0000-0000-00008E090000}"/>
    <cellStyle name="x_~6370135" xfId="2302" xr:uid="{00000000-0005-0000-0000-00008F090000}"/>
    <cellStyle name="x_~7370169" xfId="2303" xr:uid="{00000000-0005-0000-0000-000090090000}"/>
    <cellStyle name="x_AC_DL_NEW12_09" xfId="2304" xr:uid="{00000000-0005-0000-0000-000091090000}"/>
    <cellStyle name="x_AC_DL_NEW12_09_Andina Model v1" xfId="2305" xr:uid="{00000000-0005-0000-0000-000092090000}"/>
    <cellStyle name="x_AC_DL_NEW12_09_Comps 9 24 2009 v2" xfId="2306" xr:uid="{00000000-0005-0000-0000-000093090000}"/>
    <cellStyle name="x_Alro accretion-dilutionv1 - rev'd MA" xfId="2307" xr:uid="{00000000-0005-0000-0000-000094090000}"/>
    <cellStyle name="x_Andina Model v1" xfId="2308" xr:uid="{00000000-0005-0000-0000-000095090000}"/>
    <cellStyle name="x_Armstrong model 11-04 v18" xfId="2309" xr:uid="{00000000-0005-0000-0000-000096090000}"/>
    <cellStyle name="x_Backup v 4" xfId="2310" xr:uid="{00000000-0005-0000-0000-000097090000}"/>
    <cellStyle name="x_Backup v 4_Yaman profile backup" xfId="2311" xr:uid="{00000000-0005-0000-0000-000098090000}"/>
    <cellStyle name="x_Black Hawk Down redux" xfId="2312" xr:uid="{00000000-0005-0000-0000-000099090000}"/>
    <cellStyle name="x_Book2" xfId="2313" xr:uid="{00000000-0005-0000-0000-00009A090000}"/>
    <cellStyle name="x_Book2_AC_DL_NEW12_09" xfId="2314" xr:uid="{00000000-0005-0000-0000-00009B090000}"/>
    <cellStyle name="x_Book2_AC_DL_NEW12_09_Andina Model v1" xfId="2315" xr:uid="{00000000-0005-0000-0000-00009C090000}"/>
    <cellStyle name="x_Book2_AC_DL_NEW12_09_Comps 9 24 2009 v2" xfId="2316" xr:uid="{00000000-0005-0000-0000-00009D090000}"/>
    <cellStyle name="x_Book2_AC_DL_NEW12_09_Kaiser 270 v41" xfId="2317" xr:uid="{00000000-0005-0000-0000-00009E090000}"/>
    <cellStyle name="x_Book2_AC_DL_NEW12_09_Yaman profile backup" xfId="2318" xr:uid="{00000000-0005-0000-0000-00009F090000}"/>
    <cellStyle name="x_Book2_Andina Model v1" xfId="2319" xr:uid="{00000000-0005-0000-0000-0000A0090000}"/>
    <cellStyle name="x_Book2_Comps 9 24 2009 v2" xfId="2320" xr:uid="{00000000-0005-0000-0000-0000A1090000}"/>
    <cellStyle name="x_Book2_OSK projections" xfId="2321" xr:uid="{00000000-0005-0000-0000-0000A2090000}"/>
    <cellStyle name="x_Book2_OSK projections_PLL_model v30" xfId="2322" xr:uid="{00000000-0005-0000-0000-0000A3090000}"/>
    <cellStyle name="x_Book2_PF cap with JLF 9 30 numbers" xfId="2323" xr:uid="{00000000-0005-0000-0000-0000A4090000}"/>
    <cellStyle name="x_Book2_Project Tandoor Model v.93.Elise sessions" xfId="2324" xr:uid="{00000000-0005-0000-0000-0000A5090000}"/>
    <cellStyle name="x_Book2_Project Tandoor Model v.93.Elise sessions_Kaiser 270 v41" xfId="2325" xr:uid="{00000000-0005-0000-0000-0000A6090000}"/>
    <cellStyle name="x_Book2_Project_ifrah_v1" xfId="2326" xr:uid="{00000000-0005-0000-0000-0000A7090000}"/>
    <cellStyle name="x_Book2_Project_ifrah_v1_~6801188" xfId="2327" xr:uid="{00000000-0005-0000-0000-0000A8090000}"/>
    <cellStyle name="x_Book2_Project_ifrah_v1_~6801188_Summary of financial projections v6" xfId="2328" xr:uid="{00000000-0005-0000-0000-0000A9090000}"/>
    <cellStyle name="x_Book2_Project_ifrah_v1_CRG Jr Assoc_valuation model v4" xfId="2329" xr:uid="{00000000-0005-0000-0000-0000AA090000}"/>
    <cellStyle name="x_Book2_Project_ifrah_v1_PLL_model v30" xfId="2330" xr:uid="{00000000-0005-0000-0000-0000AB090000}"/>
    <cellStyle name="x_Book2_Project_ifrah_v1_Power project" xfId="2331" xr:uid="{00000000-0005-0000-0000-0000AC090000}"/>
    <cellStyle name="x_Book2_Project_ifrah_v1_Summary of financial projections v6" xfId="2332" xr:uid="{00000000-0005-0000-0000-0000AD090000}"/>
    <cellStyle name="x_Book2_Safelite LBO" xfId="2333" xr:uid="{00000000-0005-0000-0000-0000AE090000}"/>
    <cellStyle name="x_Book2_Silver Trading Comps (09-30-06) vAutomated" xfId="2334" xr:uid="{00000000-0005-0000-0000-0000AF090000}"/>
    <cellStyle name="x_Book2_SRI Valuation v.7" xfId="2335" xr:uid="{00000000-0005-0000-0000-0000B0090000}"/>
    <cellStyle name="x_Book2_SWK DBD Merger Model - Updated v" xfId="2336" xr:uid="{00000000-0005-0000-0000-0000B1090000}"/>
    <cellStyle name="x_Book2_Tower 2008E November v6c26d12c" xfId="2337" xr:uid="{00000000-0005-0000-0000-0000B2090000}"/>
    <cellStyle name="x_Book2_Tower 2008E November v6c26d12c_Andina Model v1" xfId="2338" xr:uid="{00000000-0005-0000-0000-0000B3090000}"/>
    <cellStyle name="x_Book2_Tower 2008E November v6c26d12c_Comps 9 24 2009 v2" xfId="2339" xr:uid="{00000000-0005-0000-0000-0000B4090000}"/>
    <cellStyle name="x_Book2_Tower 2008E November v6c26d12c_Kaiser 270 v41" xfId="2340" xr:uid="{00000000-0005-0000-0000-0000B5090000}"/>
    <cellStyle name="x_Book2_Tower 2008E November v6c26d12c_Kaiser 270 v41_1" xfId="2341" xr:uid="{00000000-0005-0000-0000-0000B6090000}"/>
    <cellStyle name="x_Book2_Tower 2008E November v6c26d12c_PLL_model v30" xfId="2342" xr:uid="{00000000-0005-0000-0000-0000B7090000}"/>
    <cellStyle name="x_Book2_Yaman profile backup" xfId="2343" xr:uid="{00000000-0005-0000-0000-0000B8090000}"/>
    <cellStyle name="x_Book4" xfId="2344" xr:uid="{00000000-0005-0000-0000-0000B9090000}"/>
    <cellStyle name="x_BRP Comp v7" xfId="2345" xr:uid="{00000000-0005-0000-0000-0000BA090000}"/>
    <cellStyle name="x_Comps - metals and mining (3-02-07)" xfId="2346" xr:uid="{00000000-0005-0000-0000-0000BB090000}"/>
    <cellStyle name="x_Comps 9 24 2009 v2" xfId="2347" xr:uid="{00000000-0005-0000-0000-0000BC090000}"/>
    <cellStyle name="x_Copy of TYC -- Flow Aug-04 (v06)" xfId="2348" xr:uid="{00000000-0005-0000-0000-0000BD090000}"/>
    <cellStyle name="x_Copy of TYC -- Flow Aug-04 (v06)_Andina Model v1" xfId="2349" xr:uid="{00000000-0005-0000-0000-0000BE090000}"/>
    <cellStyle name="x_Copy of TYC -- Flow Aug-04 (v06)_Comps 9 24 2009 v2" xfId="2350" xr:uid="{00000000-0005-0000-0000-0000BF090000}"/>
    <cellStyle name="x_DCF and LBO model" xfId="2351" xr:uid="{00000000-0005-0000-0000-0000C0090000}"/>
    <cellStyle name="x_DCF and LBO model_Andina Model v1" xfId="2352" xr:uid="{00000000-0005-0000-0000-0000C1090000}"/>
    <cellStyle name="x_DCF and LBO model_Comps 9 24 2009 v2" xfId="2353" xr:uid="{00000000-0005-0000-0000-0000C2090000}"/>
    <cellStyle name="x_DD model v38" xfId="2354" xr:uid="{00000000-0005-0000-0000-0000C3090000}"/>
    <cellStyle name="x_EMR model v1" xfId="2355" xr:uid="{00000000-0005-0000-0000-0000C4090000}"/>
    <cellStyle name="x_EMR model v1_Comps - metals and mining (3-02-07)" xfId="2356" xr:uid="{00000000-0005-0000-0000-0000C5090000}"/>
    <cellStyle name="x_EMR model v1_Large Cap Industrial Comps 08.16.06 with kaiser vcg" xfId="2357" xr:uid="{00000000-0005-0000-0000-0000C6090000}"/>
    <cellStyle name="x_EMR model v1_Metals comps v8" xfId="2358" xr:uid="{00000000-0005-0000-0000-0000C7090000}"/>
    <cellStyle name="x_Engineered products separation" xfId="2359" xr:uid="{00000000-0005-0000-0000-0000C8090000}"/>
    <cellStyle name="x_Engineered products separation_Andina Model v1" xfId="2360" xr:uid="{00000000-0005-0000-0000-0000C9090000}"/>
    <cellStyle name="x_Engineered products separation_Comps 9 24 2009 v2" xfId="2361" xr:uid="{00000000-0005-0000-0000-0000CA090000}"/>
    <cellStyle name="x_FLS model w segment breakdown v 7" xfId="2362" xr:uid="{00000000-0005-0000-0000-0000CB090000}"/>
    <cellStyle name="x_FLS model w segment breakdown v 7_Andina Model v1" xfId="2363" xr:uid="{00000000-0005-0000-0000-0000CC090000}"/>
    <cellStyle name="x_FLS model w segment breakdown v 7_Comps 9 24 2009 v2" xfId="2364" xr:uid="{00000000-0005-0000-0000-0000CD090000}"/>
    <cellStyle name="x_Fortress LBO v1" xfId="2365" xr:uid="{00000000-0005-0000-0000-0000CE090000}"/>
    <cellStyle name="x_Fortress LBO v1_Yaman profile backup" xfId="2366" xr:uid="{00000000-0005-0000-0000-0000CF090000}"/>
    <cellStyle name="x_Fortress LBO v1_Yaman profile backup_Comps 9 24 2009 v2" xfId="2367" xr:uid="{00000000-0005-0000-0000-0000D0090000}"/>
    <cellStyle name="x_Grace-IDEX model Jun-03 v3" xfId="2368" xr:uid="{00000000-0005-0000-0000-0000D1090000}"/>
    <cellStyle name="x_Grace-IDEX model Jun-03 v3_Andina Model v1" xfId="2369" xr:uid="{00000000-0005-0000-0000-0000D2090000}"/>
    <cellStyle name="x_Grace-IDEX model Jun-03 v3_Comps 9 24 2009 v2" xfId="2370" xr:uid="{00000000-0005-0000-0000-0000D3090000}"/>
    <cellStyle name="x_Grace-IDEX model Jun-03 v3_Kaiser 270 v41" xfId="2371" xr:uid="{00000000-0005-0000-0000-0000D4090000}"/>
    <cellStyle name="x_Grace-IDEX model Jun-03 v3_Yaman profile backup" xfId="2372" xr:uid="{00000000-0005-0000-0000-0000D5090000}"/>
    <cellStyle name="x_Grace-IDEX model Jun-03 v3_Yaman profile backup_Comps 9 24 2009 v2" xfId="2373" xr:uid="{00000000-0005-0000-0000-0000D6090000}"/>
    <cellStyle name="x_graco-IDEX CURRENT model" xfId="2374" xr:uid="{00000000-0005-0000-0000-0000D7090000}"/>
    <cellStyle name="x_graco-IDEX CURRENT model_Andina Model v1" xfId="2375" xr:uid="{00000000-0005-0000-0000-0000D8090000}"/>
    <cellStyle name="x_graco-IDEX CURRENT model_Comps 9 24 2009 v2" xfId="2376" xr:uid="{00000000-0005-0000-0000-0000D9090000}"/>
    <cellStyle name="x_graco-IDEX CURRENT model_Kaiser 270 v41" xfId="2377" xr:uid="{00000000-0005-0000-0000-0000DA090000}"/>
    <cellStyle name="x_graco-IDEX CURRENT model_Yaman profile backup" xfId="2378" xr:uid="{00000000-0005-0000-0000-0000DB090000}"/>
    <cellStyle name="x_graco-IDEX CURRENT model_Yaman profile backup_Comps 9 24 2009 v2" xfId="2379" xr:uid="{00000000-0005-0000-0000-0000DC090000}"/>
    <cellStyle name="x_hubbell-legrand NA model 10-19-03 V3" xfId="2380" xr:uid="{00000000-0005-0000-0000-0000DD090000}"/>
    <cellStyle name="x_hubbell-legrand NA model 10-19-03 V3_Andina Model v1" xfId="2381" xr:uid="{00000000-0005-0000-0000-0000DE090000}"/>
    <cellStyle name="x_hubbell-legrand NA model 10-19-03 V3_Comps 9 24 2009 v2" xfId="2382" xr:uid="{00000000-0005-0000-0000-0000DF090000}"/>
    <cellStyle name="x_hubbell-legrand NA model 10-19-03 V3_Kaiser 270 v41" xfId="2383" xr:uid="{00000000-0005-0000-0000-0000E0090000}"/>
    <cellStyle name="x_hubbell-legrand NA model 10-19-03 V3_Kaiser 270 v41_1" xfId="2384" xr:uid="{00000000-0005-0000-0000-0000E1090000}"/>
    <cellStyle name="x_hubbell-legrand NA model 10-19-03 V3_PLL_model v30" xfId="2385" xr:uid="{00000000-0005-0000-0000-0000E2090000}"/>
    <cellStyle name="x_hubbell-legrand NA model 10-19-03 V3_Project_ifrah_v1" xfId="2386" xr:uid="{00000000-0005-0000-0000-0000E3090000}"/>
    <cellStyle name="x_hubbell-legrand NA model 10-19-03 V3_Silver Trading Comps (09-30-06) vAutomated" xfId="2387" xr:uid="{00000000-0005-0000-0000-0000E4090000}"/>
    <cellStyle name="x_HUN projections v1.2" xfId="2388" xr:uid="{00000000-0005-0000-0000-0000E5090000}"/>
    <cellStyle name="x_HYNI Trading Comps v28" xfId="2389" xr:uid="{00000000-0005-0000-0000-0000E6090000}"/>
    <cellStyle name="x_Invista model RL v4.7 (no downloads)" xfId="2390" xr:uid="{00000000-0005-0000-0000-0000E7090000}"/>
    <cellStyle name="x_Invista model RL v4.7 (no downloads)_1" xfId="2391" xr:uid="{00000000-0005-0000-0000-0000E8090000}"/>
    <cellStyle name="x_Kaiser 270 v41" xfId="2392" xr:uid="{00000000-0005-0000-0000-0000E9090000}"/>
    <cellStyle name="x_Kester model v4" xfId="2393" xr:uid="{00000000-0005-0000-0000-0000EA090000}"/>
    <cellStyle name="x_Large Cap Industrial Comps 08.16.06 with kaiser vcg" xfId="2394" xr:uid="{00000000-0005-0000-0000-0000EB090000}"/>
    <cellStyle name="x_Metals comps v8" xfId="2395" xr:uid="{00000000-0005-0000-0000-0000EC090000}"/>
    <cellStyle name="x_Model v6" xfId="2396" xr:uid="{00000000-0005-0000-0000-0000ED090000}"/>
    <cellStyle name="x_Multi_industry_comps v5" xfId="2397" xr:uid="{00000000-0005-0000-0000-0000EE090000}"/>
    <cellStyle name="x_OSK projections" xfId="2398" xr:uid="{00000000-0005-0000-0000-0000EF090000}"/>
    <cellStyle name="x_OSK projections_~6801188" xfId="2399" xr:uid="{00000000-0005-0000-0000-0000F0090000}"/>
    <cellStyle name="x_OSK projections_CRG Jr Assoc_valuation model v4" xfId="2400" xr:uid="{00000000-0005-0000-0000-0000F1090000}"/>
    <cellStyle name="x_OSK projections_PLL_model v30" xfId="2401" xr:uid="{00000000-0005-0000-0000-0000F2090000}"/>
    <cellStyle name="x_OSK projections_Power project" xfId="2402" xr:uid="{00000000-0005-0000-0000-0000F3090000}"/>
    <cellStyle name="x_OSK projections_Summary of financial projections v6" xfId="2403" xr:uid="{00000000-0005-0000-0000-0000F4090000}"/>
    <cellStyle name="x_PBI Comps and Market" xfId="2404" xr:uid="{00000000-0005-0000-0000-0000F5090000}"/>
    <cellStyle name="x_PBI Comps and Market_Yaman profile backup" xfId="2405" xr:uid="{00000000-0005-0000-0000-0000F6090000}"/>
    <cellStyle name="x_PBI trading comps July 05" xfId="2406" xr:uid="{00000000-0005-0000-0000-0000F7090000}"/>
    <cellStyle name="x_PF cap with JLF 9 30 numbers" xfId="2407" xr:uid="{00000000-0005-0000-0000-0000F8090000}"/>
    <cellStyle name="x_PF cap with JLF 9 30 numbers_~6801188" xfId="2408" xr:uid="{00000000-0005-0000-0000-0000F9090000}"/>
    <cellStyle name="x_PF cap with JLF 9 30 numbers_CRG Jr Assoc_valuation model v4" xfId="2409" xr:uid="{00000000-0005-0000-0000-0000FA090000}"/>
    <cellStyle name="x_PF cap with JLF 9 30 numbers_Kaiser 270 v41" xfId="2410" xr:uid="{00000000-0005-0000-0000-0000FB090000}"/>
    <cellStyle name="x_PF cap with JLF 9 30 numbers_Kaiser 270 v41_1" xfId="2411" xr:uid="{00000000-0005-0000-0000-0000FC090000}"/>
    <cellStyle name="x_PF cap with JLF 9 30 numbers_PLL_model v30" xfId="2412" xr:uid="{00000000-0005-0000-0000-0000FD090000}"/>
    <cellStyle name="x_PF cap with JLF 9 30 numbers_Power project" xfId="2413" xr:uid="{00000000-0005-0000-0000-0000FE090000}"/>
    <cellStyle name="x_PF cap with JLF 9 30 numbers_Power project_PLL_model v30" xfId="2414" xr:uid="{00000000-0005-0000-0000-0000FF090000}"/>
    <cellStyle name="x_PF cap with JLF 9 30 numbers_Summary of financial projections v6" xfId="2415" xr:uid="{00000000-0005-0000-0000-0000000A0000}"/>
    <cellStyle name="x_PLL_model v30" xfId="2416" xr:uid="{00000000-0005-0000-0000-0000010A0000}"/>
    <cellStyle name="x_PPG Model April 10 v32 (version 1)" xfId="2417" xr:uid="{00000000-0005-0000-0000-0000020A0000}"/>
    <cellStyle name="x_Project Tandoor Model v.93.Elise sessions" xfId="2418" xr:uid="{00000000-0005-0000-0000-0000030A0000}"/>
    <cellStyle name="x_Project Tandoor Model v.93.Elise sessions_Kaiser 270 v41" xfId="2419" xr:uid="{00000000-0005-0000-0000-0000040A0000}"/>
    <cellStyle name="x_Project_ifrah_v1" xfId="2420" xr:uid="{00000000-0005-0000-0000-0000050A0000}"/>
    <cellStyle name="x_Project_ifrah_v1_Power project" xfId="2421" xr:uid="{00000000-0005-0000-0000-0000060A0000}"/>
    <cellStyle name="x_psg" xfId="2422" xr:uid="{00000000-0005-0000-0000-0000070A0000}"/>
    <cellStyle name="x_psg_Andina Model v1" xfId="2423" xr:uid="{00000000-0005-0000-0000-0000080A0000}"/>
    <cellStyle name="x_psg_Comps 9 24 2009 v2" xfId="2424" xr:uid="{00000000-0005-0000-0000-0000090A0000}"/>
    <cellStyle name="x_Sheet1" xfId="2425" xr:uid="{00000000-0005-0000-0000-00000A0A0000}"/>
    <cellStyle name="x_SRI Valuation v.7" xfId="2426" xr:uid="{00000000-0005-0000-0000-00000B0A0000}"/>
    <cellStyle name="x_Standalone model from Rob" xfId="2427" xr:uid="{00000000-0005-0000-0000-00000C0A0000}"/>
    <cellStyle name="x_Standalone model from Rob_Rebuilt Mountaineer model v41" xfId="2428" xr:uid="{00000000-0005-0000-0000-00000D0A0000}"/>
    <cellStyle name="x_Standalone model from Rob_Rebuilt Mountaineer model v41_Andina Model v1" xfId="2429" xr:uid="{00000000-0005-0000-0000-00000E0A0000}"/>
    <cellStyle name="x_Standalone model from Rob_Rebuilt Mountaineer model v41_Comps 9 24 2009 v2" xfId="2430" xr:uid="{00000000-0005-0000-0000-00000F0A0000}"/>
    <cellStyle name="x_Standalone model from Rob_Rebuilt Mountaineer model v41_Yaman profile backup" xfId="2431" xr:uid="{00000000-0005-0000-0000-0000100A0000}"/>
    <cellStyle name="x_SWK DBD Merger Model - Updated v" xfId="2432" xr:uid="{00000000-0005-0000-0000-0000110A0000}"/>
    <cellStyle name="x_tower - crap model 1117" xfId="2433" xr:uid="{00000000-0005-0000-0000-0000120A0000}"/>
    <cellStyle name="x_tower - crap model 1117_Andina Model v1" xfId="2434" xr:uid="{00000000-0005-0000-0000-0000130A0000}"/>
    <cellStyle name="x_tower - crap model 1117_Comps 9 24 2009 v2" xfId="2435" xr:uid="{00000000-0005-0000-0000-0000140A0000}"/>
    <cellStyle name="x_tower - crap model 1117_PLL_model v30" xfId="2436" xr:uid="{00000000-0005-0000-0000-0000150A0000}"/>
    <cellStyle name="x_tower - crap model 1117_Yaman profile backup" xfId="2437" xr:uid="{00000000-0005-0000-0000-0000160A0000}"/>
    <cellStyle name="x_tower - crap model 1117_Yaman profile backup_Comps 9 24 2009 v2" xfId="2438" xr:uid="{00000000-0005-0000-0000-0000170A0000}"/>
    <cellStyle name="x_tower - crap model 111700ab6724" xfId="2439" xr:uid="{00000000-0005-0000-0000-0000180A0000}"/>
    <cellStyle name="x_tower - crap model 111700ab6724_Andina Model v1" xfId="2440" xr:uid="{00000000-0005-0000-0000-0000190A0000}"/>
    <cellStyle name="x_tower - crap model 111700ab6724_Comps 9 24 2009 v2" xfId="2441" xr:uid="{00000000-0005-0000-0000-00001A0A0000}"/>
    <cellStyle name="x_tower - crap model 111700ab6724_PLL_model v30" xfId="2442" xr:uid="{00000000-0005-0000-0000-00001B0A0000}"/>
    <cellStyle name="x_tower - crap model 111700ab6724_Yaman profile backup" xfId="2443" xr:uid="{00000000-0005-0000-0000-00001C0A0000}"/>
    <cellStyle name="x_tower - crap model 111700ab6724_Yaman profile backup_Comps 9 24 2009 v2" xfId="2444" xr:uid="{00000000-0005-0000-0000-00001D0A0000}"/>
    <cellStyle name="x_Tower 2008E November v6c26d12c" xfId="2445" xr:uid="{00000000-0005-0000-0000-00001E0A0000}"/>
    <cellStyle name="x_Tower 2008E November v6c26d12c_Andina Model v1" xfId="2446" xr:uid="{00000000-0005-0000-0000-00001F0A0000}"/>
    <cellStyle name="x_Tower 2008E November v6c26d12c_Comps 9 24 2009 v2" xfId="2447" xr:uid="{00000000-0005-0000-0000-0000200A0000}"/>
    <cellStyle name="x_Tower 2008E November v6c26d12c_Kaiser 270 v41" xfId="2448" xr:uid="{00000000-0005-0000-0000-0000210A0000}"/>
    <cellStyle name="x_Tower 2008E November v6c26d12c_Kaiser 270 v41_1" xfId="2449" xr:uid="{00000000-0005-0000-0000-0000220A0000}"/>
    <cellStyle name="x_Trading comps v2" xfId="2450" xr:uid="{00000000-0005-0000-0000-0000230A0000}"/>
    <cellStyle name="x_Trading comps v2_Andina Model v1" xfId="2451" xr:uid="{00000000-0005-0000-0000-0000240A0000}"/>
    <cellStyle name="x_Trading comps v2_Comps 9 24 2009 v2" xfId="2452" xr:uid="{00000000-0005-0000-0000-0000250A0000}"/>
    <cellStyle name="x_Trading comps v2_Rebuilt Mountaineer model v41" xfId="2453" xr:uid="{00000000-0005-0000-0000-0000260A0000}"/>
    <cellStyle name="x_Trading comps v2_Rebuilt Mountaineer model v41_Andina Model v1" xfId="2454" xr:uid="{00000000-0005-0000-0000-0000270A0000}"/>
    <cellStyle name="x_Trading comps v2_Rebuilt Mountaineer model v41_Comps 9 24 2009 v2" xfId="2455" xr:uid="{00000000-0005-0000-0000-0000280A0000}"/>
    <cellStyle name="x_Trading Comps vBlank" xfId="2456" xr:uid="{00000000-0005-0000-0000-0000290A0000}"/>
    <cellStyle name="x_transaction comps" xfId="2457" xr:uid="{00000000-0005-0000-0000-00002A0A0000}"/>
    <cellStyle name="x_transaction comps_Andina Model v1" xfId="2458" xr:uid="{00000000-0005-0000-0000-00002B0A0000}"/>
    <cellStyle name="x_transaction comps_Comps 9 24 2009 v2" xfId="2459" xr:uid="{00000000-0005-0000-0000-00002C0A0000}"/>
    <cellStyle name="x_transaction comps_OSK projections" xfId="2460" xr:uid="{00000000-0005-0000-0000-00002D0A0000}"/>
    <cellStyle name="x_transaction comps_Project_ifrah_v1" xfId="2461" xr:uid="{00000000-0005-0000-0000-00002E0A0000}"/>
    <cellStyle name="x_transaction comps_Silver Trading Comps (09-30-06) vAutomated" xfId="2462" xr:uid="{00000000-0005-0000-0000-00002F0A0000}"/>
    <cellStyle name="x_Tyco model v11" xfId="2463" xr:uid="{00000000-0005-0000-0000-0000300A0000}"/>
    <cellStyle name="x_UAL_Update" xfId="2464" xr:uid="{00000000-0005-0000-0000-0000310A0000}"/>
    <cellStyle name="x_Wheelbarrow model Txn June 04.25.04 v2" xfId="2465" xr:uid="{00000000-0005-0000-0000-0000320A0000}"/>
    <cellStyle name="Year" xfId="2466" xr:uid="{00000000-0005-0000-0000-0000330A0000}"/>
    <cellStyle name="Year&quot;E&quot;" xfId="2467" xr:uid="{00000000-0005-0000-0000-0000340A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3366FF"/>
      <color rgb="FF33CC33"/>
      <color rgb="FF66FFFF"/>
      <color rgb="FF006336"/>
      <color rgb="FF000000"/>
      <color rgb="FF1C5A98"/>
      <color rgb="FFC5D9F1"/>
      <color rgb="FF0063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Annual Projections (2019-2023) ($M)</a:t>
            </a:r>
          </a:p>
        </c:rich>
      </c:tx>
      <c:layout>
        <c:manualLayout>
          <c:xMode val="edge"/>
          <c:yMode val="edge"/>
          <c:x val="0.32237028097816062"/>
          <c:y val="4.0294346417647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86431753838984"/>
          <c:y val="3.9023768783181513E-2"/>
          <c:w val="0.85004938156379772"/>
          <c:h val="0.84478481986322251"/>
        </c:manualLayout>
      </c:layout>
      <c:barChart>
        <c:barDir val="col"/>
        <c:grouping val="stacked"/>
        <c:varyColors val="0"/>
        <c:ser>
          <c:idx val="9"/>
          <c:order val="0"/>
          <c:tx>
            <c:strRef>
              <c:f>Dashboard!$N$38</c:f>
              <c:strCache>
                <c:ptCount val="1"/>
                <c:pt idx="0">
                  <c:v>Cultivation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Dashboard!$O$3:$S$3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Dashboard!$O$38:$S$38</c:f>
              <c:numCache>
                <c:formatCode>"$"#,##0.0</c:formatCode>
                <c:ptCount val="5"/>
                <c:pt idx="0">
                  <c:v>1.7256802308153651</c:v>
                </c:pt>
                <c:pt idx="1">
                  <c:v>6.5187162566631303</c:v>
                </c:pt>
                <c:pt idx="2">
                  <c:v>15.223163395620137</c:v>
                </c:pt>
                <c:pt idx="3">
                  <c:v>14.641035183086755</c:v>
                </c:pt>
                <c:pt idx="4">
                  <c:v>14.627384022814772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6-4BA7-8536-10DBC1BE085F}"/>
            </c:ext>
          </c:extLst>
        </c:ser>
        <c:ser>
          <c:idx val="0"/>
          <c:order val="2"/>
          <c:tx>
            <c:strRef>
              <c:f>Dashboard!$N$40</c:f>
              <c:strCache>
                <c:ptCount val="1"/>
                <c:pt idx="0">
                  <c:v>Dispensaries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val>
            <c:numRef>
              <c:f>Dashboard!$O$40:$S$40</c:f>
              <c:numCache>
                <c:formatCode>"$"#,##0.0</c:formatCode>
                <c:ptCount val="5"/>
                <c:pt idx="0">
                  <c:v>0</c:v>
                </c:pt>
                <c:pt idx="1">
                  <c:v>14.452125000000001</c:v>
                </c:pt>
                <c:pt idx="2">
                  <c:v>24.860431870312503</c:v>
                </c:pt>
                <c:pt idx="3">
                  <c:v>29.204318221124254</c:v>
                </c:pt>
                <c:pt idx="4">
                  <c:v>31.611693253418885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0-4509-8972-994561D420AA}"/>
            </c:ext>
          </c:extLst>
        </c:ser>
        <c:ser>
          <c:idx val="2"/>
          <c:order val="3"/>
          <c:tx>
            <c:strRef>
              <c:f>Dashboard!$N$39</c:f>
              <c:strCache>
                <c:ptCount val="1"/>
                <c:pt idx="0">
                  <c:v>Processing</c:v>
                </c:pt>
              </c:strCache>
            </c:strRef>
          </c:tx>
          <c:invertIfNegative val="0"/>
          <c:val>
            <c:numRef>
              <c:f>Dashboard!$O$39:$S$39</c:f>
              <c:numCache>
                <c:formatCode>"$"#,##0.0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0.75360914828734782</c:v>
                </c:pt>
                <c:pt idx="3">
                  <c:v>2.9370339701713921</c:v>
                </c:pt>
                <c:pt idx="4">
                  <c:v>2.6422532425156802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7-4BA3-93E2-0638C20DC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435448"/>
        <c:axId val="848435840"/>
      </c:barChart>
      <c:lineChart>
        <c:grouping val="standard"/>
        <c:varyColors val="0"/>
        <c:ser>
          <c:idx val="1"/>
          <c:order val="1"/>
          <c:tx>
            <c:strRef>
              <c:f>Dashboard!$N$21</c:f>
              <c:strCache>
                <c:ptCount val="1"/>
                <c:pt idx="0">
                  <c:v>EBITDA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Dashboard!$O$21:$S$21</c:f>
              <c:numCache>
                <c:formatCode>_("$"* #,##0.00_);_("$"* \(#,##0.00\);_("$"* "-"??_);_(@_)</c:formatCode>
                <c:ptCount val="5"/>
                <c:pt idx="0">
                  <c:v>-0.30976499677343078</c:v>
                </c:pt>
                <c:pt idx="1">
                  <c:v>0.31471932091803101</c:v>
                </c:pt>
                <c:pt idx="2">
                  <c:v>5.7566824959240677</c:v>
                </c:pt>
                <c:pt idx="3">
                  <c:v>18.608583426177059</c:v>
                </c:pt>
                <c:pt idx="4">
                  <c:v>19.903550259355974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1-4C6F-99B8-4B8551184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435448"/>
        <c:axId val="848435840"/>
      </c:lineChart>
      <c:catAx>
        <c:axId val="84843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48435840"/>
        <c:crosses val="autoZero"/>
        <c:auto val="1"/>
        <c:lblAlgn val="ctr"/>
        <c:lblOffset val="100"/>
        <c:noMultiLvlLbl val="0"/>
      </c:catAx>
      <c:valAx>
        <c:axId val="848435840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crossAx val="84843544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14316881591895456"/>
          <c:y val="0.1981127309389559"/>
          <c:w val="0.31136934375605047"/>
          <c:h val="0.207272982034264"/>
        </c:manualLayout>
      </c:layout>
      <c:overlay val="0"/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>
          <a:latin typeface="Tahoma" pitchFamily="34" charset="0"/>
          <a:cs typeface="Tahoma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34966203577705"/>
          <c:y val="7.6684627104158132E-2"/>
          <c:w val="0.70629282473546229"/>
          <c:h val="0.813323176396269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</c:spPr>
          <c:invertIfNegative val="0"/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535-4CBF-B5E0-147853E07BC7}"/>
            </c:ext>
          </c:extLst>
        </c:ser>
        <c:ser>
          <c:idx val="5"/>
          <c:order val="1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</c:spPr>
          <c:invertIfNegative val="0"/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535-4CBF-B5E0-147853E07BC7}"/>
            </c:ext>
          </c:extLst>
        </c:ser>
        <c:ser>
          <c:idx val="1"/>
          <c:order val="2"/>
          <c:spPr>
            <a:solidFill>
              <a:srgbClr val="3C80BF"/>
            </a:solidFill>
            <a:ln>
              <a:noFill/>
            </a:ln>
          </c:spPr>
          <c:invertIfNegative val="0"/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535-4CBF-B5E0-147853E07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8435448"/>
        <c:axId val="848435840"/>
      </c:barChart>
      <c:lineChart>
        <c:grouping val="stacked"/>
        <c:varyColors val="0"/>
        <c:ser>
          <c:idx val="2"/>
          <c:order val="3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D535-4CBF-B5E0-147853E07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033776"/>
        <c:axId val="884685488"/>
      </c:lineChart>
      <c:catAx>
        <c:axId val="84843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48435840"/>
        <c:crosses val="autoZero"/>
        <c:auto val="1"/>
        <c:lblAlgn val="ctr"/>
        <c:lblOffset val="100"/>
        <c:noMultiLvlLbl val="0"/>
      </c:catAx>
      <c:valAx>
        <c:axId val="848435840"/>
        <c:scaling>
          <c:orientation val="minMax"/>
          <c:max val="3400"/>
          <c:min val="2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Revenue per lb</a:t>
                </a:r>
              </a:p>
            </c:rich>
          </c:tx>
          <c:layout>
            <c:manualLayout>
              <c:xMode val="edge"/>
              <c:yMode val="edge"/>
              <c:x val="2.1773053303434223E-2"/>
              <c:y val="0.318461130102307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48435448"/>
        <c:crosses val="autoZero"/>
        <c:crossBetween val="between"/>
      </c:valAx>
      <c:valAx>
        <c:axId val="884685488"/>
        <c:scaling>
          <c:orientation val="minMax"/>
          <c:max val="800"/>
          <c:min val="4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Cost per lb</a:t>
                </a:r>
              </a:p>
            </c:rich>
          </c:tx>
          <c:layout>
            <c:manualLayout>
              <c:xMode val="edge"/>
              <c:yMode val="edge"/>
              <c:x val="0.94888172730879305"/>
              <c:y val="0.400037283443414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71033776"/>
        <c:crosses val="max"/>
        <c:crossBetween val="between"/>
      </c:valAx>
      <c:catAx>
        <c:axId val="871033776"/>
        <c:scaling>
          <c:orientation val="minMax"/>
        </c:scaling>
        <c:delete val="1"/>
        <c:axPos val="b"/>
        <c:majorTickMark val="out"/>
        <c:minorTickMark val="none"/>
        <c:tickLblPos val="nextTo"/>
        <c:crossAx val="884685488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52362104281911959"/>
          <c:y val="3.4566977498489998E-2"/>
          <c:w val="0.32335160903891047"/>
          <c:h val="0.14985135204938804"/>
        </c:manualLayout>
      </c:layout>
      <c:overlay val="0"/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>
          <a:latin typeface="Tahoma" pitchFamily="34" charset="0"/>
          <a:cs typeface="Tahoma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5025526884193"/>
          <c:y val="5.334621463554106E-2"/>
          <c:w val="0.73857770303973391"/>
          <c:h val="0.842274329075196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Dashboard!$V$130:$V$131</c:f>
              <c:strCache>
                <c:ptCount val="2"/>
                <c:pt idx="0">
                  <c:v>Total</c:v>
                </c:pt>
                <c:pt idx="1">
                  <c:v>sq. ft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Dashboard!$U$132:$U$134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Dashboard!$V$132:$V$134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9-4954-BE80-A4D241FA48C3}"/>
            </c:ext>
          </c:extLst>
        </c:ser>
        <c:ser>
          <c:idx val="3"/>
          <c:order val="1"/>
          <c:tx>
            <c:strRef>
              <c:f>Dashboard!$W$130:$W$131</c:f>
              <c:strCache>
                <c:ptCount val="2"/>
                <c:pt idx="0">
                  <c:v>Canopy</c:v>
                </c:pt>
                <c:pt idx="1">
                  <c:v>sq. ft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2700">
              <a:solidFill>
                <a:schemeClr val="tx1"/>
              </a:solidFill>
              <a:prstDash val="dash"/>
            </a:ln>
          </c:spPr>
          <c:invertIfNegative val="0"/>
          <c:cat>
            <c:numRef>
              <c:f>Dashboard!$U$132:$U$134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Dashboard!$W$132:$W$134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9-4954-BE80-A4D241FA4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96096"/>
        <c:axId val="47014272"/>
      </c:barChart>
      <c:lineChart>
        <c:grouping val="standard"/>
        <c:varyColors val="0"/>
        <c:ser>
          <c:idx val="4"/>
          <c:order val="2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elete val="1"/>
          </c:dLbls>
          <c:cat>
            <c:numRef>
              <c:f>Dashboard!$U$132:$U$136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Dashboard!$AA$132:$AA$134</c:f>
              <c:numCache>
                <c:formatCode>"$"#,##0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B9-4954-BE80-A4D241FA48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018368"/>
        <c:axId val="47016192"/>
      </c:lineChart>
      <c:catAx>
        <c:axId val="469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7014272"/>
        <c:crosses val="autoZero"/>
        <c:auto val="1"/>
        <c:lblAlgn val="ctr"/>
        <c:lblOffset val="100"/>
        <c:noMultiLvlLbl val="0"/>
      </c:catAx>
      <c:valAx>
        <c:axId val="470142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Sq. ft</a:t>
                </a:r>
              </a:p>
            </c:rich>
          </c:tx>
          <c:layout>
            <c:manualLayout>
              <c:xMode val="edge"/>
              <c:yMode val="edge"/>
              <c:x val="1.6937323900190777E-2"/>
              <c:y val="0.3939461673860008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46996096"/>
        <c:crosses val="autoZero"/>
        <c:crossBetween val="between"/>
      </c:valAx>
      <c:valAx>
        <c:axId val="470161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Grams per sq. ft</a:t>
                </a:r>
              </a:p>
            </c:rich>
          </c:tx>
          <c:layout>
            <c:manualLayout>
              <c:xMode val="edge"/>
              <c:yMode val="edge"/>
              <c:x val="0.95110821286650937"/>
              <c:y val="0.3236790121471008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47018368"/>
        <c:crosses val="max"/>
        <c:crossBetween val="between"/>
      </c:valAx>
      <c:catAx>
        <c:axId val="4701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7016192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10237507829502472"/>
          <c:y val="5.4690102086008947E-2"/>
          <c:w val="0.84055285868629359"/>
          <c:h val="5.4629981627989599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06092516613073"/>
          <c:y val="7.6684627104158132E-2"/>
          <c:w val="0.79227544398192384"/>
          <c:h val="0.8133231763962691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</c:spPr>
          <c:invertIfNegative val="0"/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615-4F23-A7FA-B512C24F862E}"/>
            </c:ext>
          </c:extLst>
        </c:ser>
        <c:ser>
          <c:idx val="5"/>
          <c:order val="1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</c:spPr>
          <c:invertIfNegative val="0"/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615-4F23-A7FA-B512C24F862E}"/>
            </c:ext>
          </c:extLst>
        </c:ser>
        <c:ser>
          <c:idx val="1"/>
          <c:order val="2"/>
          <c:spPr>
            <a:solidFill>
              <a:srgbClr val="3C80BF"/>
            </a:solidFill>
            <a:ln>
              <a:noFill/>
            </a:ln>
          </c:spPr>
          <c:invertIfNegative val="0"/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615-4F23-A7FA-B512C24F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435448"/>
        <c:axId val="848435840"/>
      </c:barChart>
      <c:lineChart>
        <c:grouping val="standard"/>
        <c:varyColors val="0"/>
        <c:ser>
          <c:idx val="2"/>
          <c:order val="3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615-4F23-A7FA-B512C24F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435448"/>
        <c:axId val="848435840"/>
      </c:lineChart>
      <c:catAx>
        <c:axId val="84843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48435840"/>
        <c:crosses val="autoZero"/>
        <c:auto val="1"/>
        <c:lblAlgn val="ctr"/>
        <c:lblOffset val="100"/>
        <c:noMultiLvlLbl val="0"/>
      </c:catAx>
      <c:valAx>
        <c:axId val="848435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crossAx val="84843544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25534564315279185"/>
          <c:y val="0.10276651844494798"/>
          <c:w val="0.45316220769948146"/>
          <c:h val="0.15309891133879527"/>
        </c:manualLayout>
      </c:layout>
      <c:overlay val="0"/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>
          <a:latin typeface="Tahoma" pitchFamily="34" charset="0"/>
          <a:cs typeface="Tahoma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Annual Sales Projection</a:t>
            </a:r>
            <a:r>
              <a:rPr lang="en-CA" baseline="0"/>
              <a:t> by Vertical</a:t>
            </a:r>
            <a:endParaRPr lang="en-CA"/>
          </a:p>
        </c:rich>
      </c:tx>
      <c:layout>
        <c:manualLayout>
          <c:xMode val="edge"/>
          <c:yMode val="edge"/>
          <c:x val="0.30490819610183212"/>
          <c:y val="3.24759760884758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306092516613073"/>
          <c:y val="9.9417912878974821E-2"/>
          <c:w val="0.79227544398192384"/>
          <c:h val="0.7905900475709121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E03-4CF6-9DBB-080D5C4C6175}"/>
            </c:ext>
          </c:extLst>
        </c:ser>
        <c:ser>
          <c:idx val="5"/>
          <c:order val="1"/>
          <c:spPr>
            <a:solidFill>
              <a:schemeClr val="accent4">
                <a:lumMod val="75000"/>
              </a:schemeClr>
            </a:solidFill>
            <a:ln>
              <a:noFill/>
            </a:ln>
          </c:spPr>
          <c:invertIfNegative val="0"/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E03-4CF6-9DBB-080D5C4C6175}"/>
            </c:ext>
          </c:extLst>
        </c:ser>
        <c:ser>
          <c:idx val="1"/>
          <c:order val="2"/>
          <c:spPr>
            <a:solidFill>
              <a:schemeClr val="accent4">
                <a:lumMod val="50000"/>
              </a:schemeClr>
            </a:solidFill>
            <a:ln>
              <a:noFill/>
            </a:ln>
          </c:spPr>
          <c:invertIfNegative val="0"/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E03-4CF6-9DBB-080D5C4C6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435448"/>
        <c:axId val="848435840"/>
      </c:barChart>
      <c:lineChart>
        <c:grouping val="standard"/>
        <c:varyColors val="0"/>
        <c:ser>
          <c:idx val="2"/>
          <c:order val="3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E03-4CF6-9DBB-080D5C4C6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435448"/>
        <c:axId val="848435840"/>
      </c:lineChart>
      <c:catAx>
        <c:axId val="84843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48435840"/>
        <c:crosses val="autoZero"/>
        <c:auto val="1"/>
        <c:lblAlgn val="ctr"/>
        <c:lblOffset val="100"/>
        <c:noMultiLvlLbl val="0"/>
      </c:catAx>
      <c:valAx>
        <c:axId val="848435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crossAx val="84843544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19839423896756789"/>
          <c:y val="0.21318483714576572"/>
          <c:w val="0.33546255914876011"/>
          <c:h val="0.34145957265195498"/>
        </c:manualLayout>
      </c:layout>
      <c:overlay val="0"/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>
          <a:latin typeface="Tahoma" pitchFamily="34" charset="0"/>
          <a:cs typeface="Tahoma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Annual Sq.</a:t>
            </a:r>
            <a:r>
              <a:rPr lang="en-CA" baseline="0"/>
              <a:t> Ft Buildout Projections</a:t>
            </a:r>
            <a:endParaRPr lang="en-CA"/>
          </a:p>
        </c:rich>
      </c:tx>
      <c:layout>
        <c:manualLayout>
          <c:xMode val="edge"/>
          <c:yMode val="edge"/>
          <c:x val="0.31986571141616793"/>
          <c:y val="3.16982174397879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545025526884193"/>
          <c:y val="0.1378747662499123"/>
          <c:w val="0.73857770303973391"/>
          <c:h val="0.757745749235762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Dashboard!$V$130:$V$131</c:f>
              <c:strCache>
                <c:ptCount val="2"/>
                <c:pt idx="0">
                  <c:v>Total</c:v>
                </c:pt>
                <c:pt idx="1">
                  <c:v>sq. ft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Dashboard!$U$132:$U$136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Dashboard!$V$141:$V$143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B-475F-B052-1B68B2564F7C}"/>
            </c:ext>
          </c:extLst>
        </c:ser>
        <c:ser>
          <c:idx val="3"/>
          <c:order val="1"/>
          <c:tx>
            <c:strRef>
              <c:f>Dashboard!$W$130:$W$131</c:f>
              <c:strCache>
                <c:ptCount val="2"/>
                <c:pt idx="0">
                  <c:v>Canopy</c:v>
                </c:pt>
                <c:pt idx="1">
                  <c:v>sq. ft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2700">
              <a:solidFill>
                <a:schemeClr val="tx1"/>
              </a:solidFill>
              <a:prstDash val="dash"/>
            </a:ln>
          </c:spPr>
          <c:invertIfNegative val="0"/>
          <c:cat>
            <c:numRef>
              <c:f>Dashboard!$U$132:$U$136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Dashboard!$W$141:$W$143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B-475F-B052-1B68B2564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96096"/>
        <c:axId val="47014272"/>
      </c:barChart>
      <c:lineChart>
        <c:grouping val="standard"/>
        <c:varyColors val="0"/>
        <c:ser>
          <c:idx val="4"/>
          <c:order val="2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elete val="1"/>
          </c:dLbls>
          <c:cat>
            <c:numRef>
              <c:f>Dashboard!$U$132:$U$136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Dashboard!$AA$141:$AA$143</c:f>
              <c:numCache>
                <c:formatCode>"$"#,##0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B-475F-B052-1B68B2564F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018368"/>
        <c:axId val="47016192"/>
      </c:lineChart>
      <c:catAx>
        <c:axId val="469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7014272"/>
        <c:crosses val="autoZero"/>
        <c:auto val="1"/>
        <c:lblAlgn val="ctr"/>
        <c:lblOffset val="100"/>
        <c:noMultiLvlLbl val="0"/>
      </c:catAx>
      <c:valAx>
        <c:axId val="470142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Sq. ft</a:t>
                </a:r>
              </a:p>
            </c:rich>
          </c:tx>
          <c:layout>
            <c:manualLayout>
              <c:xMode val="edge"/>
              <c:yMode val="edge"/>
              <c:x val="1.6937323900190777E-2"/>
              <c:y val="0.3939461673860008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46996096"/>
        <c:crosses val="autoZero"/>
        <c:crossBetween val="between"/>
      </c:valAx>
      <c:valAx>
        <c:axId val="470161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Grams per sq. ft</a:t>
                </a:r>
              </a:p>
            </c:rich>
          </c:tx>
          <c:layout>
            <c:manualLayout>
              <c:xMode val="edge"/>
              <c:yMode val="edge"/>
              <c:x val="0.95110821286650937"/>
              <c:y val="0.3236790121471008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47018368"/>
        <c:crosses val="max"/>
        <c:crossBetween val="between"/>
      </c:valAx>
      <c:catAx>
        <c:axId val="4701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7016192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19526128230940551"/>
          <c:y val="0.18500499600513717"/>
          <c:w val="0.22193073995051721"/>
          <c:h val="0.2483412514167827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>
          <a:latin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Annual</a:t>
            </a:r>
            <a:r>
              <a:rPr lang="en-CA" baseline="0"/>
              <a:t> Production &amp; Cost Projections</a:t>
            </a:r>
            <a:endParaRPr lang="en-CA"/>
          </a:p>
        </c:rich>
      </c:tx>
      <c:layout>
        <c:manualLayout>
          <c:xMode val="edge"/>
          <c:yMode val="edge"/>
          <c:x val="0.288705441865304"/>
          <c:y val="2.59807808707806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008728963848851"/>
          <c:y val="0.11240830331436515"/>
          <c:w val="0.6916612654994565"/>
          <c:h val="0.74837127865589348"/>
        </c:manualLayout>
      </c:layout>
      <c:barChart>
        <c:barDir val="col"/>
        <c:grouping val="stacked"/>
        <c:varyColors val="0"/>
        <c:ser>
          <c:idx val="5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A6A-42FE-A892-0A716CCC6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435448"/>
        <c:axId val="848435840"/>
      </c:barChart>
      <c:lineChart>
        <c:grouping val="stacked"/>
        <c:varyColors val="0"/>
        <c:ser>
          <c:idx val="2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A6A-42FE-A892-0A716CCC6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014672"/>
        <c:axId val="797524736"/>
      </c:lineChart>
      <c:catAx>
        <c:axId val="84843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48435840"/>
        <c:crosses val="autoZero"/>
        <c:auto val="1"/>
        <c:lblAlgn val="ctr"/>
        <c:lblOffset val="100"/>
        <c:noMultiLvlLbl val="0"/>
      </c:catAx>
      <c:valAx>
        <c:axId val="84843584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Production</a:t>
                </a:r>
                <a:r>
                  <a:rPr lang="en-CA" baseline="0"/>
                  <a:t> (lbs)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3.2803869467939194E-2"/>
              <c:y val="0.3137892738755321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48435448"/>
        <c:crosses val="autoZero"/>
        <c:crossBetween val="between"/>
      </c:valAx>
      <c:valAx>
        <c:axId val="797524736"/>
        <c:scaling>
          <c:orientation val="minMax"/>
          <c:max val="800"/>
          <c:min val="4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Cost</a:t>
                </a:r>
                <a:r>
                  <a:rPr lang="en-CA" baseline="0"/>
                  <a:t> per Lb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93925181676530278"/>
              <c:y val="0.361106771036441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99014672"/>
        <c:crosses val="max"/>
        <c:crossBetween val="between"/>
      </c:valAx>
      <c:catAx>
        <c:axId val="599014672"/>
        <c:scaling>
          <c:orientation val="minMax"/>
        </c:scaling>
        <c:delete val="1"/>
        <c:axPos val="b"/>
        <c:majorTickMark val="out"/>
        <c:minorTickMark val="none"/>
        <c:tickLblPos val="nextTo"/>
        <c:crossAx val="797524736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5534564315279185"/>
          <c:y val="0.10276651844494798"/>
          <c:w val="0.45316220769948146"/>
          <c:h val="0.15309891133879527"/>
        </c:manualLayout>
      </c:layout>
      <c:overlay val="0"/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>
          <a:latin typeface="Tahoma" pitchFamily="34" charset="0"/>
          <a:cs typeface="Tahoma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41619</xdr:colOff>
      <xdr:row>3</xdr:row>
      <xdr:rowOff>101565</xdr:rowOff>
    </xdr:from>
    <xdr:to>
      <xdr:col>30</xdr:col>
      <xdr:colOff>14065</xdr:colOff>
      <xdr:row>24</xdr:row>
      <xdr:rowOff>90090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346821</xdr:colOff>
      <xdr:row>206</xdr:row>
      <xdr:rowOff>53789</xdr:rowOff>
    </xdr:from>
    <xdr:to>
      <xdr:col>29</xdr:col>
      <xdr:colOff>131667</xdr:colOff>
      <xdr:row>231</xdr:row>
      <xdr:rowOff>42312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C42736-4B15-4AB0-BED3-7828B8AEC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421341</xdr:colOff>
      <xdr:row>152</xdr:row>
      <xdr:rowOff>115980</xdr:rowOff>
    </xdr:from>
    <xdr:to>
      <xdr:col>28</xdr:col>
      <xdr:colOff>343634</xdr:colOff>
      <xdr:row>175</xdr:row>
      <xdr:rowOff>113567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55860C-83EC-47BF-B358-CD399106D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123265</xdr:colOff>
      <xdr:row>178</xdr:row>
      <xdr:rowOff>67235</xdr:rowOff>
    </xdr:from>
    <xdr:to>
      <xdr:col>18</xdr:col>
      <xdr:colOff>526677</xdr:colOff>
      <xdr:row>203</xdr:row>
      <xdr:rowOff>55759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BE823C-1555-44E2-AE86-654A690C4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481853</xdr:colOff>
      <xdr:row>179</xdr:row>
      <xdr:rowOff>134470</xdr:rowOff>
    </xdr:from>
    <xdr:to>
      <xdr:col>28</xdr:col>
      <xdr:colOff>257736</xdr:colOff>
      <xdr:row>204</xdr:row>
      <xdr:rowOff>122994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1542C1-F753-4250-84A0-395372C30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627530</xdr:colOff>
      <xdr:row>152</xdr:row>
      <xdr:rowOff>134471</xdr:rowOff>
    </xdr:from>
    <xdr:to>
      <xdr:col>41</xdr:col>
      <xdr:colOff>460175</xdr:colOff>
      <xdr:row>175</xdr:row>
      <xdr:rowOff>132058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9249A55-2D31-482B-B831-74641513C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526677</xdr:colOff>
      <xdr:row>177</xdr:row>
      <xdr:rowOff>156881</xdr:rowOff>
    </xdr:from>
    <xdr:to>
      <xdr:col>41</xdr:col>
      <xdr:colOff>212912</xdr:colOff>
      <xdr:row>202</xdr:row>
      <xdr:rowOff>145405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B890692-5FB2-4630-8F38-58A39A2F9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tricks\Desktop\Timeless%20Herbal%20Care\Timeless%20Herbal%20Care%20Financials%20April%205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R-SBS-001\Users\Rhonda%20Dyce\Broadcasting\Performance%20After%20Downtur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honda%20Dyce\Broadcasting\Performance%20After%20Downtur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NDREW~1\LOCALS~1\Temp\Daily%20She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ogle%20Drive\DD\Justice%20Stuff\Models\20200716%20-%20Justice%20Full%20Model%20(No%20Florida)%20-%20wi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Research\Research%20Data\MINING\Comparables\Mining%20Master%20Comp%20Table%20-%20wi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ents"/>
      <sheetName val="DashBoard"/>
      <sheetName val="BE"/>
      <sheetName val="Investors"/>
      <sheetName val="Summary"/>
      <sheetName val="Summary_M"/>
      <sheetName val="Top_Exp"/>
      <sheetName val="Top_Rev"/>
      <sheetName val="Valuation"/>
      <sheetName val="IS"/>
      <sheetName val="CF"/>
      <sheetName val="BS"/>
      <sheetName val="CapTable"/>
      <sheetName val="Seasonality"/>
      <sheetName val="Pre Launch"/>
      <sheetName val="Salaries"/>
      <sheetName val="Variable Exp"/>
      <sheetName val="Fixed Exp"/>
      <sheetName val="Output old"/>
      <sheetName val="Cloning"/>
      <sheetName val="Vegetating"/>
      <sheetName val="Flowering"/>
      <sheetName val="Drying"/>
      <sheetName val="Extraction"/>
      <sheetName val="Machines_E"/>
      <sheetName val="Machines_R"/>
      <sheetName val="Operational"/>
      <sheetName val="Outputs"/>
      <sheetName val="Capital"/>
      <sheetName val="Assets"/>
      <sheetName val="BookAssets"/>
      <sheetName val="TimeSeries"/>
      <sheetName val="Checks"/>
      <sheetName val="TS_LU"/>
      <sheetName val="OO_LU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um"/>
      <sheetName val="Astral"/>
      <sheetName val="Sheet1"/>
      <sheetName val="Charts"/>
      <sheetName val="Sheet3 (2)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um"/>
      <sheetName val="Astral"/>
      <sheetName val="Sheet1"/>
      <sheetName val="Charts"/>
      <sheetName val="Sheet3 (2)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lver spec positions"/>
      <sheetName val="Sheet2"/>
      <sheetName val="Base Metals"/>
      <sheetName val="Precious Metals"/>
      <sheetName val="Base Raw data"/>
      <sheetName val="plat spec positions"/>
      <sheetName val="spot gold, dxy"/>
      <sheetName val="tse indexes"/>
      <sheetName val="gold spec positions"/>
      <sheetName val="lease rates, libor"/>
      <sheetName val="1 week data"/>
      <sheetName val="1 month data"/>
      <sheetName val="6 months"/>
      <sheetName val="1 year data"/>
      <sheetName val="test"/>
      <sheetName val="PM yest"/>
      <sheetName val="Sheet1"/>
      <sheetName val="BM yest"/>
      <sheetName val="Base Graph Data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Range Setup"/>
      <sheetName val="Model - Quarterly"/>
      <sheetName val="Model - Annual"/>
      <sheetName val="Tearsheet - PA, IL, NJ"/>
      <sheetName val="Dispensary Information"/>
      <sheetName val="Tearsheet - All States"/>
      <sheetName val="Expense Proportions"/>
      <sheetName val="Model - Quarterly (2)"/>
      <sheetName val="Price Deck"/>
      <sheetName val="Global_Master"/>
      <sheetName val="Tearsheet "/>
      <sheetName val="Valuation"/>
      <sheetName val="Sensitivity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oomberg Input"/>
      <sheetName val="Large Comp Table"/>
      <sheetName val="Sheet7"/>
      <sheetName val="Sheet1 (2)"/>
      <sheetName val="_CIQHiddenCacheSheet"/>
      <sheetName val="Morning Package Comp Table"/>
      <sheetName val="Resource Input"/>
      <sheetName val="Coverage Input"/>
      <sheetName val="Comparable Tables"/>
      <sheetName val="SK-Launch1"/>
      <sheetName val="Cabral Comps"/>
      <sheetName val="Histogram"/>
      <sheetName val="FCF Excercise"/>
      <sheetName val="Sheet9"/>
      <sheetName val="Sheet1"/>
      <sheetName val="Sheet2"/>
      <sheetName val="Sheet3"/>
      <sheetName val="Sheet4"/>
      <sheetName val="P.NAV Sheet"/>
      <sheetName val="Sheet5"/>
      <sheetName val="Sheet6"/>
      <sheetName val="Historic Multiples"/>
      <sheetName val="Sheet8"/>
      <sheetName val="Comparable Tables (2)"/>
      <sheetName val="Marketing Calander Comps"/>
      <sheetName val="Sheet20"/>
      <sheetName val="Morning Package Comp Table (2)"/>
      <sheetName val="Valaution Graphs"/>
      <sheetName val="Developer Cheat"/>
      <sheetName val="Morning Package Comp Table - C"/>
      <sheetName val="#REF"/>
    </sheetNames>
  </externalBook>
</externalLink>
</file>

<file path=xl/theme/theme1.xml><?xml version="1.0" encoding="utf-8"?>
<a:theme xmlns:a="http://schemas.openxmlformats.org/drawingml/2006/main" name="Office Theme">
  <a:themeElements>
    <a:clrScheme name="Muted and antique 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A4CABC"/>
      </a:accent1>
      <a:accent2>
        <a:srgbClr val="EAB364"/>
      </a:accent2>
      <a:accent3>
        <a:srgbClr val="B2473E"/>
      </a:accent3>
      <a:accent4>
        <a:srgbClr val="ACBD7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78"/>
  <sheetViews>
    <sheetView tabSelected="1" zoomScale="155" zoomScaleNormal="155" workbookViewId="0">
      <selection activeCell="F12" sqref="F12"/>
    </sheetView>
  </sheetViews>
  <sheetFormatPr defaultColWidth="9.109375" defaultRowHeight="13.8"/>
  <cols>
    <col min="2" max="2" width="0.88671875" customWidth="1"/>
    <col min="3" max="3" width="22.33203125" customWidth="1"/>
    <col min="4" max="4" width="3.44140625" customWidth="1"/>
    <col min="5" max="8" width="8.44140625" customWidth="1"/>
    <col min="9" max="9" width="0.88671875" customWidth="1"/>
    <col min="11" max="13" width="0" hidden="1" customWidth="1"/>
    <col min="14" max="14" width="33.6640625" customWidth="1"/>
    <col min="15" max="15" width="15.5546875" customWidth="1"/>
    <col min="16" max="19" width="11.88671875" customWidth="1"/>
    <col min="20" max="20" width="10.88671875" customWidth="1"/>
    <col min="23" max="23" width="15.88671875" bestFit="1" customWidth="1"/>
    <col min="24" max="24" width="8.5546875" bestFit="1" customWidth="1"/>
    <col min="25" max="29" width="9.5546875" bestFit="1" customWidth="1"/>
    <col min="33" max="33" width="1.5546875" customWidth="1"/>
    <col min="35" max="35" width="15.44140625" customWidth="1"/>
    <col min="36" max="36" width="10.5546875" customWidth="1"/>
    <col min="37" max="37" width="10.44140625" customWidth="1"/>
    <col min="38" max="38" width="1.44140625" customWidth="1"/>
    <col min="40" max="40" width="1.5546875" customWidth="1"/>
    <col min="43" max="43" width="11.109375" customWidth="1"/>
    <col min="44" max="44" width="9.6640625" customWidth="1"/>
    <col min="45" max="45" width="1.5546875" customWidth="1"/>
    <col min="46" max="46" width="12.88671875" customWidth="1"/>
    <col min="47" max="47" width="8.88671875" customWidth="1"/>
    <col min="48" max="48" width="10" customWidth="1"/>
    <col min="50" max="50" width="41" customWidth="1"/>
    <col min="51" max="51" width="2" customWidth="1"/>
    <col min="54" max="54" width="1.88671875" customWidth="1"/>
  </cols>
  <sheetData>
    <row r="1" spans="1:25" ht="18.600000000000001">
      <c r="A1" s="284"/>
      <c r="B1" s="284"/>
      <c r="C1" s="59"/>
      <c r="Q1" s="289"/>
    </row>
    <row r="2" spans="1:25">
      <c r="A2" s="284"/>
      <c r="B2" s="284"/>
      <c r="C2" s="55"/>
      <c r="I2" s="284"/>
      <c r="J2" s="284"/>
      <c r="R2" s="54"/>
    </row>
    <row r="3" spans="1:25">
      <c r="A3" s="284"/>
      <c r="B3" s="298"/>
      <c r="C3" s="75" t="s">
        <v>217</v>
      </c>
      <c r="D3" s="76"/>
      <c r="E3" s="141">
        <v>2020</v>
      </c>
      <c r="F3" s="340">
        <v>2021</v>
      </c>
      <c r="G3" s="141">
        <f>F3+1</f>
        <v>2022</v>
      </c>
      <c r="H3" s="344">
        <f>G3+1</f>
        <v>2023</v>
      </c>
      <c r="I3" s="298"/>
      <c r="J3" s="284"/>
      <c r="N3" s="243" t="s">
        <v>312</v>
      </c>
      <c r="O3" s="243">
        <v>2019</v>
      </c>
      <c r="P3" s="243">
        <f>O3+1</f>
        <v>2020</v>
      </c>
      <c r="Q3" s="243">
        <f>P3+1</f>
        <v>2021</v>
      </c>
      <c r="R3" s="243">
        <f>Q3+1</f>
        <v>2022</v>
      </c>
      <c r="S3" s="243">
        <f>R3+1</f>
        <v>2023</v>
      </c>
      <c r="U3" s="3"/>
      <c r="V3" s="3"/>
    </row>
    <row r="4" spans="1:25">
      <c r="A4" s="284"/>
      <c r="B4" s="298"/>
      <c r="C4" s="77" t="s">
        <v>187</v>
      </c>
      <c r="D4" s="338"/>
      <c r="E4" s="242">
        <f>P11</f>
        <v>544.65583561643837</v>
      </c>
      <c r="F4" s="341">
        <f>Q11</f>
        <v>2574.4888356164383</v>
      </c>
      <c r="G4" s="242">
        <f>R11</f>
        <v>3330.6534246575338</v>
      </c>
      <c r="H4" s="345">
        <f>S11</f>
        <v>3330.6534246575338</v>
      </c>
      <c r="I4" s="298"/>
      <c r="J4" s="284"/>
      <c r="L4" s="86"/>
      <c r="N4" s="163" t="s">
        <v>309</v>
      </c>
      <c r="O4" s="164">
        <f>'Model - Annual'!E28</f>
        <v>837.58452148800006</v>
      </c>
      <c r="P4" s="164">
        <f>'Model - Annual'!F28</f>
        <v>1440.9109779800551</v>
      </c>
      <c r="Q4" s="164">
        <f>'Model - Annual'!G28</f>
        <v>6810.923492132054</v>
      </c>
      <c r="R4" s="164">
        <f>'Model - Annual'!H28</f>
        <v>8811.3901836821897</v>
      </c>
      <c r="S4" s="164">
        <f>'Model - Annual'!I28</f>
        <v>8811.3901836821915</v>
      </c>
      <c r="T4" s="3"/>
      <c r="U4" s="3"/>
      <c r="V4" s="3"/>
    </row>
    <row r="5" spans="1:25">
      <c r="A5" s="284"/>
      <c r="B5" s="298"/>
      <c r="C5" s="77" t="s">
        <v>264</v>
      </c>
      <c r="D5" s="338"/>
      <c r="E5" s="291">
        <f>P17</f>
        <v>1200.7591483167125</v>
      </c>
      <c r="F5" s="342">
        <f>Q17</f>
        <v>5675.7695767767118</v>
      </c>
      <c r="G5" s="291">
        <f>R17</f>
        <v>7342.825153068492</v>
      </c>
      <c r="H5" s="346">
        <f>S17</f>
        <v>7342.8251530684929</v>
      </c>
      <c r="I5" s="298"/>
      <c r="J5" s="284"/>
      <c r="N5" t="s">
        <v>310</v>
      </c>
      <c r="O5" s="3">
        <v>0</v>
      </c>
      <c r="P5" s="3">
        <f>'Model - Annual'!F29</f>
        <v>653585.69232392916</v>
      </c>
      <c r="Q5" s="3">
        <f>'Model - Annual'!G29</f>
        <v>3089380.4086431623</v>
      </c>
      <c r="R5" s="3">
        <f>'Model - Annual'!H29</f>
        <v>3996776.0961967716</v>
      </c>
      <c r="S5" s="3">
        <f>'Model - Annual'!I29</f>
        <v>3996776.0961967725</v>
      </c>
      <c r="T5" s="3"/>
      <c r="U5" s="3"/>
      <c r="V5" s="3"/>
      <c r="X5" s="3"/>
      <c r="Y5" s="3"/>
    </row>
    <row r="6" spans="1:25">
      <c r="A6" s="284"/>
      <c r="B6" s="298"/>
      <c r="C6" s="77" t="s">
        <v>191</v>
      </c>
      <c r="D6" s="338"/>
      <c r="E6" s="294">
        <f>P20</f>
        <v>1.7256802308153651</v>
      </c>
      <c r="F6" s="343">
        <f t="shared" ref="F6:H6" si="0">Q20</f>
        <v>20.970841256663132</v>
      </c>
      <c r="G6" s="294">
        <f t="shared" si="0"/>
        <v>40.083595265932644</v>
      </c>
      <c r="H6" s="347">
        <f t="shared" si="0"/>
        <v>43.845353404211004</v>
      </c>
      <c r="I6" s="298"/>
      <c r="J6" s="284"/>
      <c r="N6" s="163" t="s">
        <v>311</v>
      </c>
      <c r="O6" s="164">
        <f>O5/10^3</f>
        <v>0</v>
      </c>
      <c r="P6" s="164">
        <f>P5/10^3</f>
        <v>653.58569232392915</v>
      </c>
      <c r="Q6" s="164">
        <f>Q5/10^3</f>
        <v>3089.3804086431624</v>
      </c>
      <c r="R6" s="164">
        <f>R5/10^3</f>
        <v>3996.7760961967715</v>
      </c>
      <c r="S6" s="164">
        <f>S5/10^3</f>
        <v>3996.7760961967724</v>
      </c>
      <c r="T6" s="3"/>
      <c r="U6" s="3"/>
      <c r="V6" s="3"/>
    </row>
    <row r="7" spans="1:25">
      <c r="A7" s="284"/>
      <c r="B7" s="298"/>
      <c r="C7" s="77" t="s">
        <v>190</v>
      </c>
      <c r="D7" s="338"/>
      <c r="E7" s="294">
        <f>'Model - Annual'!F101/1000</f>
        <v>0.31471932091803101</v>
      </c>
      <c r="F7" s="343">
        <f>'Model - Annual'!G101/1000</f>
        <v>5.7566824959240677</v>
      </c>
      <c r="G7" s="294">
        <f>'Model - Annual'!H101/1000</f>
        <v>18.608583426177059</v>
      </c>
      <c r="H7" s="347">
        <f>'Model - Annual'!I101/1000</f>
        <v>19.903550259355974</v>
      </c>
      <c r="I7" s="298"/>
      <c r="J7" s="284"/>
      <c r="U7" s="3"/>
      <c r="V7" s="3"/>
    </row>
    <row r="8" spans="1:25">
      <c r="A8" s="284"/>
      <c r="B8" s="298"/>
      <c r="C8" s="77" t="s">
        <v>96</v>
      </c>
      <c r="D8" s="338"/>
      <c r="E8" s="294">
        <f>'Model - Annual'!F130/1000</f>
        <v>-2.9002940104319239</v>
      </c>
      <c r="F8" s="343">
        <f>'Model - Annual'!G130/1000</f>
        <v>-1.970007877468182</v>
      </c>
      <c r="G8" s="294">
        <f>'Model - Annual'!H130/1000</f>
        <v>14.270791627301181</v>
      </c>
      <c r="H8" s="347">
        <f>'Model - Annual'!I130/1000</f>
        <v>15.313025093844317</v>
      </c>
      <c r="I8" s="298"/>
      <c r="J8" s="284"/>
      <c r="N8" s="243" t="s">
        <v>251</v>
      </c>
      <c r="T8" s="82"/>
      <c r="U8" s="3"/>
      <c r="V8" s="3"/>
      <c r="W8" s="3"/>
    </row>
    <row r="9" spans="1:25">
      <c r="A9" s="284"/>
      <c r="B9" s="298"/>
      <c r="C9" s="77" t="s">
        <v>93</v>
      </c>
      <c r="D9" s="338"/>
      <c r="E9" s="294">
        <f>-SUM('Model - Annual'!F112:F114)/10^3</f>
        <v>2.95</v>
      </c>
      <c r="F9" s="343">
        <f>-SUM('Model - Annual'!G112:G114)/10^3</f>
        <v>5.1829999999999998</v>
      </c>
      <c r="G9" s="294">
        <f>-SUM('Model - Annual'!H112:H114)/10^3</f>
        <v>0.3</v>
      </c>
      <c r="H9" s="347">
        <f>-SUM('Model - Annual'!I112:I114)/10^3</f>
        <v>0.3</v>
      </c>
      <c r="I9" s="298"/>
      <c r="J9" s="284"/>
      <c r="N9" t="str">
        <f>'Model - Quarterly'!B433</f>
        <v>California</v>
      </c>
      <c r="O9" s="3">
        <f>'Model - Annual'!E12/1000</f>
        <v>316.60199999999998</v>
      </c>
      <c r="P9" s="3">
        <f>'Model - Annual'!F12/1000</f>
        <v>544.65583561643837</v>
      </c>
      <c r="Q9" s="3">
        <f>'Model - Annual'!G12/1000</f>
        <v>2574.4888356164383</v>
      </c>
      <c r="R9" s="3">
        <f>'Model - Annual'!H12/1000</f>
        <v>3330.6534246575338</v>
      </c>
      <c r="S9" s="3">
        <f>'Model - Annual'!I12/1000</f>
        <v>3330.6534246575338</v>
      </c>
      <c r="U9" s="3"/>
      <c r="V9" s="3"/>
    </row>
    <row r="10" spans="1:25">
      <c r="A10" s="284"/>
      <c r="B10" s="298"/>
      <c r="C10" s="78" t="s">
        <v>94</v>
      </c>
      <c r="D10" s="338"/>
      <c r="E10" s="294">
        <f>'Model - Quarterly'!P569/1000</f>
        <v>4.6899409927946456</v>
      </c>
      <c r="F10" s="343">
        <f>'Model - Quarterly'!T569/10^3</f>
        <v>2.7199331153264636</v>
      </c>
      <c r="G10" s="294">
        <f>'Model - Quarterly'!X569/10^3</f>
        <v>16.990724742627648</v>
      </c>
      <c r="H10" s="347">
        <f>'Model - Quarterly'!AB569/10^3</f>
        <v>32.303749836471958</v>
      </c>
      <c r="I10" s="298"/>
      <c r="J10" s="284"/>
      <c r="O10" s="3"/>
      <c r="P10" s="3"/>
      <c r="Q10" s="3"/>
      <c r="R10" s="3"/>
      <c r="S10" s="3"/>
      <c r="T10" s="166"/>
      <c r="U10" s="3"/>
      <c r="V10" s="3"/>
    </row>
    <row r="11" spans="1:25">
      <c r="A11" s="284"/>
      <c r="B11" s="298"/>
      <c r="C11" s="140" t="s">
        <v>95</v>
      </c>
      <c r="D11" s="339"/>
      <c r="E11" s="294">
        <f>0</f>
        <v>0</v>
      </c>
      <c r="F11" s="343">
        <f>0</f>
        <v>0</v>
      </c>
      <c r="G11" s="294">
        <f>0</f>
        <v>0</v>
      </c>
      <c r="H11" s="347">
        <f>0</f>
        <v>0</v>
      </c>
      <c r="I11" s="298"/>
      <c r="J11" s="306"/>
      <c r="K11" s="85"/>
      <c r="N11" s="248" t="s">
        <v>47</v>
      </c>
      <c r="O11" s="271">
        <f>SUM(O9:O10)</f>
        <v>316.60199999999998</v>
      </c>
      <c r="P11" s="271">
        <f>SUM(P9:P10)</f>
        <v>544.65583561643837</v>
      </c>
      <c r="Q11" s="271">
        <f>SUM(Q9:Q10)</f>
        <v>2574.4888356164383</v>
      </c>
      <c r="R11" s="271">
        <f>SUM(R9:R10)</f>
        <v>3330.6534246575338</v>
      </c>
      <c r="S11" s="271">
        <f>SUM(S9:S10)</f>
        <v>3330.6534246575338</v>
      </c>
      <c r="T11" s="166"/>
      <c r="U11" s="3"/>
      <c r="V11" s="3"/>
    </row>
    <row r="12" spans="1:25">
      <c r="A12" s="284"/>
      <c r="B12" s="298"/>
      <c r="C12" s="75" t="s">
        <v>307</v>
      </c>
      <c r="D12" s="76"/>
      <c r="E12" s="286" t="s">
        <v>258</v>
      </c>
      <c r="F12" s="287" t="s">
        <v>131</v>
      </c>
      <c r="G12" s="286" t="s">
        <v>258</v>
      </c>
      <c r="H12" s="287" t="s">
        <v>131</v>
      </c>
      <c r="I12" s="298"/>
      <c r="J12" s="307"/>
      <c r="K12" s="84"/>
      <c r="O12" s="3"/>
      <c r="P12" s="3"/>
      <c r="Q12" s="3"/>
      <c r="R12" s="3"/>
      <c r="S12" s="3"/>
      <c r="T12" s="26"/>
      <c r="U12" s="26"/>
      <c r="V12" s="26"/>
      <c r="W12" s="26"/>
      <c r="X12" s="26"/>
    </row>
    <row r="13" spans="1:25">
      <c r="A13" s="284"/>
      <c r="B13" s="298"/>
      <c r="C13" s="142" t="s">
        <v>308</v>
      </c>
      <c r="D13" s="56"/>
      <c r="E13" s="83">
        <v>2021</v>
      </c>
      <c r="F13" s="336">
        <v>2021</v>
      </c>
      <c r="G13" s="83">
        <v>2022</v>
      </c>
      <c r="H13" s="336">
        <v>2022</v>
      </c>
      <c r="I13" s="308"/>
      <c r="J13" s="307"/>
      <c r="K13" s="84"/>
      <c r="N13" s="243" t="s">
        <v>252</v>
      </c>
      <c r="R13" s="228"/>
    </row>
    <row r="14" spans="1:25">
      <c r="A14" s="284"/>
      <c r="B14" s="298"/>
      <c r="C14" s="79"/>
      <c r="D14" s="80"/>
      <c r="E14" s="143" t="s">
        <v>185</v>
      </c>
      <c r="F14" s="81" t="s">
        <v>185</v>
      </c>
      <c r="G14" s="143" t="s">
        <v>185</v>
      </c>
      <c r="H14" s="81" t="s">
        <v>185</v>
      </c>
      <c r="I14" s="308"/>
      <c r="J14" s="309"/>
      <c r="K14" s="54"/>
      <c r="N14" t="str">
        <f>N17</f>
        <v>California</v>
      </c>
      <c r="O14" s="3">
        <f>MROUND(('Model - Annual'!E26*lbs_grams)/1000,10)</f>
        <v>380</v>
      </c>
      <c r="P14" s="3">
        <f>MROUND(('Model - Annual'!F26*lbs_grams)/1000,10)</f>
        <v>650</v>
      </c>
      <c r="Q14" s="3">
        <f>MROUND(('Model - Annual'!G26*lbs_grams)/1000,10)</f>
        <v>3090</v>
      </c>
      <c r="R14" s="3">
        <f>MROUND(('Model - Annual'!H26*lbs_grams)/1000,10)</f>
        <v>4000</v>
      </c>
      <c r="S14" s="3">
        <f>MROUND(('Model - Annual'!I26*lbs_grams)/1000,10)</f>
        <v>4000</v>
      </c>
    </row>
    <row r="15" spans="1:25">
      <c r="A15" s="284"/>
      <c r="B15" s="298"/>
      <c r="C15" s="57" t="s">
        <v>256</v>
      </c>
      <c r="D15" s="58"/>
      <c r="E15" s="229">
        <v>1.8</v>
      </c>
      <c r="F15" s="230">
        <v>7.5</v>
      </c>
      <c r="G15" s="229">
        <v>1.8</v>
      </c>
      <c r="H15" s="230">
        <v>7</v>
      </c>
      <c r="I15" s="298"/>
      <c r="J15" s="284"/>
      <c r="K15" s="86"/>
    </row>
    <row r="16" spans="1:25">
      <c r="A16" s="284"/>
      <c r="B16" s="298"/>
      <c r="C16" s="379" t="s">
        <v>257</v>
      </c>
      <c r="D16" s="231"/>
      <c r="E16" s="232">
        <v>2.2999999999999998</v>
      </c>
      <c r="F16" s="337">
        <v>6.4</v>
      </c>
      <c r="G16" s="232">
        <v>1.9</v>
      </c>
      <c r="H16" s="337">
        <v>9.6</v>
      </c>
      <c r="I16" s="298"/>
      <c r="J16" s="307"/>
      <c r="K16" s="84"/>
      <c r="N16" s="243" t="s">
        <v>259</v>
      </c>
    </row>
    <row r="17" spans="1:19">
      <c r="A17" s="284"/>
      <c r="B17" s="298"/>
      <c r="I17" s="298"/>
      <c r="J17" s="307"/>
      <c r="K17" s="87"/>
      <c r="N17" t="str">
        <f>'Model - Annual'!B9</f>
        <v>California</v>
      </c>
      <c r="O17" s="3">
        <f>'Model - Annual'!E9</f>
        <v>697.98710124000002</v>
      </c>
      <c r="P17" s="3">
        <f>'Model - Annual'!F9</f>
        <v>1200.7591483167125</v>
      </c>
      <c r="Q17" s="3">
        <f>'Model - Annual'!G9</f>
        <v>5675.7695767767118</v>
      </c>
      <c r="R17" s="3">
        <f>'Model - Annual'!H9</f>
        <v>7342.825153068492</v>
      </c>
      <c r="S17" s="3">
        <f>'Model - Annual'!I9</f>
        <v>7342.8251530684929</v>
      </c>
    </row>
    <row r="18" spans="1:19">
      <c r="A18" s="284"/>
      <c r="B18" s="298"/>
      <c r="C18" t="s">
        <v>326</v>
      </c>
      <c r="I18" s="298"/>
      <c r="J18" s="305"/>
    </row>
    <row r="19" spans="1:19">
      <c r="A19" s="284"/>
      <c r="B19" s="298"/>
      <c r="C19" s="284"/>
      <c r="D19" s="284"/>
      <c r="E19" s="284"/>
      <c r="F19" s="284"/>
      <c r="G19" s="284"/>
      <c r="H19" s="284"/>
      <c r="I19" s="298"/>
      <c r="J19" s="284"/>
      <c r="K19" s="86"/>
      <c r="N19" s="243"/>
      <c r="O19" s="243">
        <v>2019</v>
      </c>
      <c r="P19" s="243">
        <v>2020</v>
      </c>
      <c r="Q19" s="243">
        <v>2021</v>
      </c>
      <c r="R19" s="243">
        <v>2022</v>
      </c>
      <c r="S19" s="243">
        <v>2023</v>
      </c>
    </row>
    <row r="20" spans="1:19">
      <c r="A20" s="284"/>
      <c r="B20" s="298"/>
      <c r="C20" s="284"/>
      <c r="D20" s="284"/>
      <c r="E20" s="284"/>
      <c r="F20" s="284"/>
      <c r="G20" s="284"/>
      <c r="H20" s="284"/>
      <c r="I20" s="298"/>
      <c r="J20" s="305"/>
      <c r="K20" s="86"/>
      <c r="L20" s="86"/>
      <c r="N20" s="2" t="s">
        <v>191</v>
      </c>
      <c r="O20" s="377">
        <f>'Model - Annual'!E76/10^3</f>
        <v>0</v>
      </c>
      <c r="P20" s="377">
        <f>'Model - Annual'!F76/10^3</f>
        <v>1.7256802308153651</v>
      </c>
      <c r="Q20" s="377">
        <f>'Model - Annual'!G76/10^3</f>
        <v>20.970841256663132</v>
      </c>
      <c r="R20" s="377">
        <f>'Model - Annual'!H76/10^3</f>
        <v>40.083595265932644</v>
      </c>
      <c r="S20" s="377">
        <f>'Model - Annual'!I76/10^3</f>
        <v>43.845353404211004</v>
      </c>
    </row>
    <row r="21" spans="1:19">
      <c r="A21" s="284"/>
      <c r="B21" s="298"/>
      <c r="C21" s="284"/>
      <c r="D21" s="284"/>
      <c r="E21" s="284"/>
      <c r="F21" s="284"/>
      <c r="G21" s="284"/>
      <c r="H21" s="284"/>
      <c r="I21" s="298"/>
      <c r="J21" s="305"/>
      <c r="K21" s="86"/>
      <c r="L21" s="86"/>
      <c r="N21" s="2" t="s">
        <v>131</v>
      </c>
      <c r="O21" s="377">
        <f>'Model - Annual'!E101/10^3</f>
        <v>-0.30976499677343078</v>
      </c>
      <c r="P21" s="377">
        <f>'Model - Annual'!F101/10^3</f>
        <v>0.31471932091803101</v>
      </c>
      <c r="Q21" s="377">
        <f>'Model - Annual'!G101/10^3</f>
        <v>5.7566824959240677</v>
      </c>
      <c r="R21" s="377">
        <f>'Model - Annual'!H101/10^3</f>
        <v>18.608583426177059</v>
      </c>
      <c r="S21" s="377">
        <f>'Model - Annual'!I101/10^3</f>
        <v>19.903550259355974</v>
      </c>
    </row>
    <row r="22" spans="1:19">
      <c r="A22" s="284"/>
      <c r="B22" s="298"/>
      <c r="C22" s="284"/>
      <c r="D22" s="284"/>
      <c r="E22" s="284"/>
      <c r="F22" s="284"/>
      <c r="G22" s="284"/>
      <c r="H22" s="284"/>
      <c r="I22" s="298"/>
      <c r="J22" s="305"/>
      <c r="K22" s="86"/>
      <c r="L22" s="86"/>
      <c r="N22" s="2"/>
    </row>
    <row r="23" spans="1:19">
      <c r="A23" s="284"/>
      <c r="B23" s="298"/>
      <c r="C23" s="284"/>
      <c r="D23" s="284"/>
      <c r="E23" s="284"/>
      <c r="F23" s="284"/>
      <c r="G23" s="284"/>
      <c r="H23" s="284"/>
      <c r="I23" s="298"/>
      <c r="J23" s="284"/>
      <c r="N23" s="243"/>
    </row>
    <row r="24" spans="1:19">
      <c r="A24" s="284"/>
      <c r="B24" s="298"/>
      <c r="C24" s="284"/>
      <c r="D24" s="284"/>
      <c r="E24" s="284"/>
      <c r="F24" s="284"/>
      <c r="G24" s="284"/>
      <c r="H24" s="284"/>
      <c r="I24" s="298"/>
      <c r="J24" s="284"/>
      <c r="O24" s="243">
        <v>2019</v>
      </c>
      <c r="P24" s="243">
        <v>2020</v>
      </c>
      <c r="Q24" s="243">
        <v>2021</v>
      </c>
      <c r="R24" s="243">
        <v>2022</v>
      </c>
      <c r="S24" s="243">
        <v>2023</v>
      </c>
    </row>
    <row r="25" spans="1:19">
      <c r="A25" s="284"/>
      <c r="B25" s="298"/>
      <c r="C25" s="284"/>
      <c r="D25" s="284"/>
      <c r="E25" s="284"/>
      <c r="F25" s="284"/>
      <c r="G25" s="284"/>
      <c r="H25" s="284"/>
      <c r="I25" s="298"/>
      <c r="J25" s="284"/>
      <c r="N25" s="243" t="s">
        <v>253</v>
      </c>
    </row>
    <row r="26" spans="1:19">
      <c r="A26" s="284"/>
      <c r="B26" s="298"/>
      <c r="C26" s="284"/>
      <c r="D26" s="284"/>
      <c r="E26" s="284"/>
      <c r="F26" s="284"/>
      <c r="G26" s="284"/>
      <c r="H26" s="284"/>
      <c r="I26" s="298"/>
      <c r="J26" s="284"/>
      <c r="N26" s="243"/>
    </row>
    <row r="27" spans="1:19">
      <c r="A27" s="284"/>
      <c r="B27" s="298"/>
      <c r="C27" s="284"/>
      <c r="D27" s="284"/>
      <c r="E27" s="284"/>
      <c r="F27" s="284"/>
      <c r="G27" s="284"/>
      <c r="H27" s="284"/>
      <c r="I27" s="298"/>
      <c r="J27" s="284"/>
      <c r="N27" s="243" t="s">
        <v>220</v>
      </c>
    </row>
    <row r="28" spans="1:19">
      <c r="A28" s="284"/>
      <c r="B28" s="298"/>
      <c r="C28" s="284"/>
      <c r="D28" s="284"/>
      <c r="E28" s="284"/>
      <c r="F28" s="284"/>
      <c r="G28" s="284"/>
      <c r="H28" s="284"/>
      <c r="I28" s="298"/>
      <c r="J28" s="284"/>
      <c r="N28" s="334" t="s">
        <v>156</v>
      </c>
      <c r="O28" s="244">
        <f>-'Model - Annual'!E112</f>
        <v>150</v>
      </c>
      <c r="P28" s="244">
        <f>-'Model - Annual'!F112</f>
        <v>2350</v>
      </c>
      <c r="Q28" s="244">
        <f>-'Model - Annual'!G112</f>
        <v>4500</v>
      </c>
      <c r="R28" s="244">
        <f>-'Model - Annual'!H112</f>
        <v>200</v>
      </c>
      <c r="S28" s="244">
        <f>-'Model - Annual'!I112</f>
        <v>200</v>
      </c>
    </row>
    <row r="29" spans="1:19">
      <c r="A29" s="284"/>
      <c r="B29" s="298"/>
      <c r="C29" s="284"/>
      <c r="D29" s="284"/>
      <c r="E29" s="284"/>
      <c r="F29" s="284"/>
      <c r="G29" s="284"/>
      <c r="H29" s="284"/>
      <c r="I29" s="298"/>
      <c r="J29" s="284"/>
      <c r="N29" s="265"/>
      <c r="O29" s="244"/>
      <c r="P29" s="244"/>
      <c r="Q29" s="244"/>
      <c r="R29" s="244"/>
      <c r="S29" s="244"/>
    </row>
    <row r="30" spans="1:19">
      <c r="A30" s="284"/>
      <c r="B30" s="298"/>
      <c r="C30" s="284"/>
      <c r="D30" s="284"/>
      <c r="E30" s="284"/>
      <c r="F30" s="284"/>
      <c r="G30" s="284"/>
      <c r="H30" s="284"/>
      <c r="I30" s="298"/>
      <c r="J30" s="284"/>
      <c r="N30" s="243" t="s">
        <v>403</v>
      </c>
      <c r="O30" s="244"/>
      <c r="P30" s="244"/>
      <c r="Q30" s="244"/>
      <c r="R30" s="244"/>
      <c r="S30" s="244"/>
    </row>
    <row r="31" spans="1:19">
      <c r="A31" s="284"/>
      <c r="B31" s="298"/>
      <c r="C31" s="284"/>
      <c r="D31" s="284"/>
      <c r="E31" s="284"/>
      <c r="F31" s="284"/>
      <c r="G31" s="284"/>
      <c r="H31" s="284"/>
      <c r="I31" s="298"/>
      <c r="J31" s="284"/>
      <c r="N31" s="334" t="s">
        <v>156</v>
      </c>
      <c r="O31" s="244">
        <f>-'Model - Annual'!E113</f>
        <v>0</v>
      </c>
      <c r="P31" s="244">
        <f>-'Model - Annual'!F113</f>
        <v>0</v>
      </c>
      <c r="Q31" s="244">
        <f>-'Model - Annual'!G113</f>
        <v>583</v>
      </c>
      <c r="R31" s="244">
        <f>-'Model - Annual'!H113</f>
        <v>0</v>
      </c>
      <c r="S31" s="244">
        <f>-'Model - Annual'!I113</f>
        <v>0</v>
      </c>
    </row>
    <row r="32" spans="1:19">
      <c r="A32" s="284"/>
      <c r="B32" s="298"/>
      <c r="C32" s="284"/>
      <c r="D32" s="284"/>
      <c r="E32" s="284"/>
      <c r="F32" s="284"/>
      <c r="G32" s="284"/>
      <c r="H32" s="284"/>
      <c r="I32" s="298"/>
      <c r="J32" s="284"/>
      <c r="N32" s="334"/>
      <c r="O32" s="244"/>
      <c r="P32" s="244"/>
      <c r="Q32" s="244"/>
      <c r="R32" s="244"/>
      <c r="S32" s="244"/>
    </row>
    <row r="33" spans="1:19">
      <c r="A33" s="284"/>
      <c r="B33" s="298"/>
      <c r="I33" s="298"/>
      <c r="J33" s="284"/>
      <c r="N33" s="243" t="s">
        <v>221</v>
      </c>
      <c r="O33" s="244"/>
      <c r="P33" s="244"/>
      <c r="Q33" s="244"/>
      <c r="R33" s="244"/>
      <c r="S33" s="244"/>
    </row>
    <row r="34" spans="1:19">
      <c r="A34" s="284"/>
      <c r="B34" s="298"/>
      <c r="I34" s="298"/>
      <c r="J34" s="284"/>
      <c r="N34" s="334" t="s">
        <v>156</v>
      </c>
      <c r="O34" s="244">
        <f>-'Model - Annual'!E114</f>
        <v>0</v>
      </c>
      <c r="P34" s="244">
        <f>-'Model - Annual'!F114</f>
        <v>600</v>
      </c>
      <c r="Q34" s="244">
        <f>-'Model - Annual'!G114</f>
        <v>100</v>
      </c>
      <c r="R34" s="244">
        <f>-'Model - Annual'!H114</f>
        <v>100</v>
      </c>
      <c r="S34" s="244">
        <f>-'Model - Annual'!I114</f>
        <v>100</v>
      </c>
    </row>
    <row r="35" spans="1:19">
      <c r="A35" s="284"/>
      <c r="B35" s="298"/>
      <c r="I35" s="298"/>
      <c r="J35" s="284"/>
      <c r="N35" s="265"/>
      <c r="O35" s="244"/>
      <c r="P35" s="244"/>
      <c r="Q35" s="244"/>
      <c r="R35" s="244"/>
      <c r="S35" s="244"/>
    </row>
    <row r="36" spans="1:19">
      <c r="A36" s="284"/>
      <c r="B36" s="298"/>
      <c r="I36" s="298"/>
      <c r="J36" s="284"/>
    </row>
    <row r="37" spans="1:19">
      <c r="A37" s="284"/>
      <c r="B37" s="298"/>
      <c r="I37" s="298"/>
      <c r="J37" s="284"/>
      <c r="N37" s="243" t="s">
        <v>325</v>
      </c>
    </row>
    <row r="38" spans="1:19">
      <c r="A38" s="284"/>
      <c r="B38" s="284"/>
      <c r="E38" s="3"/>
      <c r="I38" s="284"/>
      <c r="J38" s="284"/>
      <c r="N38" s="334" t="s">
        <v>220</v>
      </c>
      <c r="O38" s="378">
        <f>'Model - Annual'!F34/10^3</f>
        <v>1.7256802308153651</v>
      </c>
      <c r="P38" s="378">
        <f>'Model - Annual'!G34/10^3</f>
        <v>6.5187162566631303</v>
      </c>
      <c r="Q38" s="378">
        <f>'Model - Annual'!H34/10^3</f>
        <v>15.223163395620137</v>
      </c>
      <c r="R38" s="378">
        <f>'Model - Annual'!I34/10^3</f>
        <v>14.641035183086755</v>
      </c>
      <c r="S38" s="378">
        <f>'Model - Annual'!J34/10^3</f>
        <v>14.627384022814772</v>
      </c>
    </row>
    <row r="39" spans="1:19">
      <c r="A39" s="284"/>
      <c r="B39" s="284"/>
      <c r="I39" s="284"/>
      <c r="J39" s="284"/>
      <c r="N39" s="334" t="s">
        <v>403</v>
      </c>
      <c r="O39" s="378">
        <f>'Model - Annual'!E37/10^3</f>
        <v>0</v>
      </c>
      <c r="P39" s="378">
        <f>'Model - Annual'!F37/10^3</f>
        <v>0</v>
      </c>
      <c r="Q39" s="378">
        <f>'Model - Annual'!G37/10^3</f>
        <v>0.75360914828734782</v>
      </c>
      <c r="R39" s="378">
        <f>'Model - Annual'!H37/10^3</f>
        <v>2.9370339701713921</v>
      </c>
      <c r="S39" s="378">
        <f>'Model - Annual'!I37/10^3</f>
        <v>2.6422532425156802</v>
      </c>
    </row>
    <row r="40" spans="1:19">
      <c r="A40" s="284"/>
      <c r="B40" s="284"/>
      <c r="E40" s="228"/>
      <c r="I40" s="284"/>
      <c r="J40" s="284"/>
      <c r="N40" s="334" t="s">
        <v>221</v>
      </c>
      <c r="O40" s="378">
        <f>'Model - Annual'!F40/10^3</f>
        <v>0</v>
      </c>
      <c r="P40" s="378">
        <f>'Model - Annual'!G40/10^3</f>
        <v>14.452125000000001</v>
      </c>
      <c r="Q40" s="378">
        <f>'Model - Annual'!H40/10^3</f>
        <v>24.860431870312503</v>
      </c>
      <c r="R40" s="378">
        <f>'Model - Annual'!I40/10^3</f>
        <v>29.204318221124254</v>
      </c>
      <c r="S40" s="378">
        <f>'Model - Annual'!J40/10^3</f>
        <v>31.611693253418885</v>
      </c>
    </row>
    <row r="41" spans="1:19">
      <c r="A41" s="284"/>
      <c r="B41" s="284"/>
      <c r="I41" s="284"/>
      <c r="J41" s="284"/>
    </row>
    <row r="44" spans="1:19">
      <c r="G44" s="82"/>
    </row>
    <row r="45" spans="1:19">
      <c r="G45" s="82"/>
    </row>
    <row r="46" spans="1:19">
      <c r="G46" s="82"/>
    </row>
    <row r="47" spans="1:19">
      <c r="G47" s="82"/>
    </row>
    <row r="48" spans="1:19">
      <c r="G48" s="82"/>
    </row>
    <row r="49" spans="3:7">
      <c r="G49" s="82"/>
    </row>
    <row r="50" spans="3:7">
      <c r="G50" s="82"/>
    </row>
    <row r="51" spans="3:7">
      <c r="G51" s="82"/>
    </row>
    <row r="52" spans="3:7">
      <c r="G52" s="82"/>
    </row>
    <row r="62" spans="3:7">
      <c r="C62" s="284"/>
      <c r="D62" s="284"/>
      <c r="E62" s="284"/>
      <c r="F62" s="284"/>
    </row>
    <row r="63" spans="3:7">
      <c r="C63" s="284"/>
      <c r="D63" s="284"/>
      <c r="E63" s="284"/>
      <c r="F63" s="284"/>
    </row>
    <row r="64" spans="3:7">
      <c r="C64" s="284"/>
      <c r="D64" s="284"/>
      <c r="E64" s="284"/>
      <c r="F64" s="284"/>
    </row>
    <row r="65" spans="3:6">
      <c r="C65" s="284"/>
      <c r="D65" s="284"/>
      <c r="E65" s="284"/>
      <c r="F65" s="284"/>
    </row>
    <row r="66" spans="3:6">
      <c r="C66" s="284"/>
      <c r="D66" s="284"/>
      <c r="E66" s="284"/>
      <c r="F66" s="284"/>
    </row>
    <row r="67" spans="3:6">
      <c r="C67" s="285"/>
      <c r="D67" s="284"/>
      <c r="E67" s="284"/>
      <c r="F67" s="284"/>
    </row>
    <row r="68" spans="3:6">
      <c r="C68" s="284"/>
      <c r="D68" s="284"/>
      <c r="E68" s="284"/>
      <c r="F68" s="284"/>
    </row>
    <row r="69" spans="3:6">
      <c r="C69" s="284"/>
      <c r="D69" s="284"/>
      <c r="E69" s="284"/>
      <c r="F69" s="284"/>
    </row>
    <row r="70" spans="3:6">
      <c r="C70" s="284"/>
      <c r="D70" s="284"/>
      <c r="E70" s="284"/>
      <c r="F70" s="284"/>
    </row>
    <row r="71" spans="3:6">
      <c r="C71" s="284"/>
      <c r="D71" s="284"/>
      <c r="E71" s="284"/>
      <c r="F71" s="284"/>
    </row>
    <row r="72" spans="3:6">
      <c r="C72" s="284"/>
      <c r="D72" s="284"/>
      <c r="E72" s="284"/>
      <c r="F72" s="284"/>
    </row>
    <row r="73" spans="3:6">
      <c r="C73" s="284"/>
      <c r="D73" s="284"/>
      <c r="E73" s="284"/>
      <c r="F73" s="284"/>
    </row>
    <row r="74" spans="3:6">
      <c r="C74" s="284"/>
      <c r="D74" s="284"/>
      <c r="E74" s="284"/>
      <c r="F74" s="284"/>
    </row>
    <row r="75" spans="3:6">
      <c r="C75" s="284"/>
      <c r="D75" s="284"/>
      <c r="E75" s="284"/>
      <c r="F75" s="284"/>
    </row>
    <row r="76" spans="3:6">
      <c r="C76" s="284"/>
      <c r="D76" s="284"/>
      <c r="E76" s="284"/>
      <c r="F76" s="284"/>
    </row>
    <row r="77" spans="3:6">
      <c r="C77" s="284"/>
      <c r="D77" s="284"/>
      <c r="E77" s="284"/>
      <c r="F77" s="284"/>
    </row>
    <row r="78" spans="3:6">
      <c r="C78" s="284"/>
      <c r="D78" s="284"/>
      <c r="E78" s="284"/>
      <c r="F78" s="284"/>
    </row>
    <row r="79" spans="3:6">
      <c r="C79" s="284"/>
      <c r="D79" s="284"/>
      <c r="E79" s="284"/>
      <c r="F79" s="284"/>
    </row>
    <row r="80" spans="3:6">
      <c r="C80" s="284"/>
      <c r="D80" s="284"/>
      <c r="E80" s="284"/>
      <c r="F80" s="284"/>
    </row>
    <row r="81" spans="3:20">
      <c r="C81" s="284"/>
      <c r="D81" s="284"/>
      <c r="E81" s="284"/>
      <c r="F81" s="284"/>
    </row>
    <row r="82" spans="3:20">
      <c r="C82" s="284"/>
      <c r="D82" s="284"/>
      <c r="E82" s="284"/>
      <c r="F82" s="284"/>
    </row>
    <row r="83" spans="3:20">
      <c r="C83" s="284"/>
      <c r="D83" s="284"/>
      <c r="E83" s="284"/>
      <c r="F83" s="284"/>
    </row>
    <row r="84" spans="3:20">
      <c r="C84" s="284"/>
      <c r="D84" s="284"/>
      <c r="E84" s="284"/>
      <c r="F84" s="284"/>
    </row>
    <row r="85" spans="3:20">
      <c r="C85" s="284"/>
      <c r="D85" s="284"/>
      <c r="E85" s="284"/>
      <c r="F85" s="284"/>
    </row>
    <row r="86" spans="3:20">
      <c r="C86" s="284"/>
      <c r="D86" s="284"/>
      <c r="E86" s="284"/>
      <c r="F86" s="284"/>
    </row>
    <row r="88" spans="3:20">
      <c r="T88" s="284"/>
    </row>
    <row r="89" spans="3:20">
      <c r="T89" s="284"/>
    </row>
    <row r="90" spans="3:20">
      <c r="T90" s="284"/>
    </row>
    <row r="91" spans="3:20">
      <c r="T91" s="284"/>
    </row>
    <row r="92" spans="3:20">
      <c r="T92" s="284"/>
    </row>
    <row r="93" spans="3:20">
      <c r="T93" s="284"/>
    </row>
    <row r="94" spans="3:20">
      <c r="T94" s="284"/>
    </row>
    <row r="95" spans="3:20">
      <c r="T95" s="284"/>
    </row>
    <row r="96" spans="3:20">
      <c r="T96" s="284"/>
    </row>
    <row r="97" spans="20:20">
      <c r="T97" s="284"/>
    </row>
    <row r="98" spans="20:20">
      <c r="T98" s="284"/>
    </row>
    <row r="99" spans="20:20">
      <c r="T99" s="284"/>
    </row>
    <row r="100" spans="20:20">
      <c r="T100" s="284"/>
    </row>
    <row r="101" spans="20:20">
      <c r="T101" s="284"/>
    </row>
    <row r="102" spans="20:20">
      <c r="T102" s="284"/>
    </row>
    <row r="103" spans="20:20">
      <c r="T103" s="284"/>
    </row>
    <row r="104" spans="20:20">
      <c r="T104" s="284"/>
    </row>
    <row r="105" spans="20:20">
      <c r="T105" s="284"/>
    </row>
    <row r="106" spans="20:20">
      <c r="T106" s="284"/>
    </row>
    <row r="107" spans="20:20">
      <c r="T107" s="284"/>
    </row>
    <row r="108" spans="20:20">
      <c r="T108" s="284"/>
    </row>
    <row r="109" spans="20:20">
      <c r="T109" s="284"/>
    </row>
    <row r="110" spans="20:20">
      <c r="T110" s="284"/>
    </row>
    <row r="111" spans="20:20">
      <c r="T111" s="284"/>
    </row>
    <row r="112" spans="20:20">
      <c r="T112" s="284"/>
    </row>
    <row r="113" spans="20:25">
      <c r="T113" s="284"/>
    </row>
    <row r="114" spans="20:25">
      <c r="T114" s="284"/>
    </row>
    <row r="115" spans="20:25">
      <c r="T115" s="284"/>
    </row>
    <row r="116" spans="20:25">
      <c r="T116" s="284"/>
    </row>
    <row r="117" spans="20:25">
      <c r="T117" s="284"/>
    </row>
    <row r="118" spans="20:25">
      <c r="T118" s="284"/>
    </row>
    <row r="119" spans="20:25">
      <c r="T119" s="284"/>
    </row>
    <row r="120" spans="20:25">
      <c r="T120" s="284"/>
    </row>
    <row r="121" spans="20:25">
      <c r="T121" s="284"/>
    </row>
    <row r="122" spans="20:25">
      <c r="T122" s="284"/>
    </row>
    <row r="123" spans="20:25">
      <c r="T123" s="284"/>
    </row>
    <row r="124" spans="20:25">
      <c r="T124" s="284"/>
    </row>
    <row r="125" spans="20:25">
      <c r="T125" s="284"/>
    </row>
    <row r="126" spans="20:25">
      <c r="T126" s="284"/>
      <c r="X126" s="284"/>
      <c r="Y126" s="284"/>
    </row>
    <row r="127" spans="20:25">
      <c r="T127" s="284"/>
      <c r="X127" s="284"/>
      <c r="Y127" s="284"/>
    </row>
    <row r="128" spans="20:25">
      <c r="T128" s="284"/>
      <c r="X128" s="284"/>
      <c r="Y128" s="284"/>
    </row>
    <row r="129" spans="20:27">
      <c r="T129" s="284"/>
      <c r="V129" s="243" t="s">
        <v>47</v>
      </c>
      <c r="X129" s="284"/>
      <c r="Y129" s="284"/>
    </row>
    <row r="130" spans="20:27">
      <c r="T130" s="284"/>
      <c r="V130" t="s">
        <v>47</v>
      </c>
      <c r="W130" t="s">
        <v>299</v>
      </c>
      <c r="X130" s="284"/>
      <c r="Y130" s="284"/>
    </row>
    <row r="131" spans="20:27">
      <c r="T131" s="284"/>
      <c r="V131" t="s">
        <v>298</v>
      </c>
      <c r="W131" t="s">
        <v>298</v>
      </c>
      <c r="X131" s="284"/>
      <c r="Y131" s="284"/>
    </row>
    <row r="132" spans="20:27">
      <c r="T132" s="284"/>
      <c r="U132">
        <v>2020</v>
      </c>
      <c r="V132" s="228" t="e">
        <f>#REF!</f>
        <v>#REF!</v>
      </c>
      <c r="W132" s="228" t="e">
        <f>#REF!</f>
        <v>#REF!</v>
      </c>
      <c r="X132" s="284"/>
      <c r="Y132" s="284"/>
      <c r="Z132" s="82"/>
      <c r="AA132" s="82"/>
    </row>
    <row r="133" spans="20:27">
      <c r="T133" s="284"/>
      <c r="U133">
        <f>U132+1</f>
        <v>2021</v>
      </c>
      <c r="V133" s="228" t="e">
        <f>#REF!</f>
        <v>#REF!</v>
      </c>
      <c r="W133" s="228" t="e">
        <f>#REF!</f>
        <v>#REF!</v>
      </c>
      <c r="X133" s="284"/>
      <c r="Y133" s="284"/>
      <c r="Z133" s="82"/>
      <c r="AA133" s="82"/>
    </row>
    <row r="134" spans="20:27">
      <c r="T134" s="284"/>
      <c r="U134">
        <f>U133+1</f>
        <v>2022</v>
      </c>
      <c r="V134" s="228" t="e">
        <f>#REF!</f>
        <v>#REF!</v>
      </c>
      <c r="W134" s="228" t="e">
        <f>#REF!</f>
        <v>#REF!</v>
      </c>
      <c r="X134" s="284"/>
      <c r="Y134" s="284"/>
      <c r="Z134" s="82"/>
      <c r="AA134" s="82"/>
    </row>
    <row r="135" spans="20:27">
      <c r="T135" s="284"/>
      <c r="V135" s="228"/>
      <c r="W135" s="228"/>
      <c r="X135" s="284"/>
      <c r="Y135" s="284"/>
      <c r="Z135" s="82"/>
      <c r="AA135" s="82"/>
    </row>
    <row r="136" spans="20:27">
      <c r="T136" s="284"/>
      <c r="V136" s="228"/>
      <c r="W136" s="228"/>
      <c r="X136" s="284"/>
      <c r="Y136" s="284"/>
      <c r="Z136" s="82"/>
      <c r="AA136" s="82"/>
    </row>
    <row r="137" spans="20:27">
      <c r="T137" s="284"/>
      <c r="X137" s="284"/>
      <c r="Y137" s="284"/>
    </row>
    <row r="138" spans="20:27">
      <c r="T138" s="284"/>
      <c r="V138" s="243" t="s">
        <v>201</v>
      </c>
      <c r="X138" s="284"/>
      <c r="Y138" s="284"/>
    </row>
    <row r="139" spans="20:27">
      <c r="T139" s="284"/>
      <c r="V139" t="s">
        <v>47</v>
      </c>
      <c r="W139" t="s">
        <v>299</v>
      </c>
      <c r="X139" s="284"/>
      <c r="Y139" s="284"/>
    </row>
    <row r="140" spans="20:27">
      <c r="T140" s="284"/>
      <c r="V140" t="s">
        <v>298</v>
      </c>
      <c r="W140" t="s">
        <v>298</v>
      </c>
      <c r="X140" s="284"/>
      <c r="Y140" s="284"/>
    </row>
    <row r="141" spans="20:27">
      <c r="T141" s="284"/>
      <c r="U141">
        <v>2020</v>
      </c>
      <c r="V141" s="228" t="e">
        <f>#REF!</f>
        <v>#REF!</v>
      </c>
      <c r="W141" s="228" t="e">
        <f>#REF!</f>
        <v>#REF!</v>
      </c>
      <c r="X141" s="284"/>
      <c r="Y141" s="284"/>
      <c r="Z141" s="82"/>
      <c r="AA141" s="82"/>
    </row>
    <row r="142" spans="20:27">
      <c r="T142" s="284"/>
      <c r="U142">
        <f>U141+1</f>
        <v>2021</v>
      </c>
      <c r="V142" s="228" t="e">
        <f>#REF!</f>
        <v>#REF!</v>
      </c>
      <c r="W142" s="228" t="e">
        <f>#REF!</f>
        <v>#REF!</v>
      </c>
      <c r="X142" s="284"/>
      <c r="Y142" s="284"/>
      <c r="Z142" s="82"/>
      <c r="AA142" s="82"/>
    </row>
    <row r="143" spans="20:27">
      <c r="T143" s="284"/>
      <c r="U143">
        <f>U142+1</f>
        <v>2022</v>
      </c>
      <c r="V143" s="228" t="e">
        <f>#REF!</f>
        <v>#REF!</v>
      </c>
      <c r="W143" s="228" t="e">
        <f>#REF!</f>
        <v>#REF!</v>
      </c>
      <c r="X143" s="284"/>
      <c r="Y143" s="284"/>
      <c r="Z143" s="82"/>
      <c r="AA143" s="82"/>
    </row>
    <row r="144" spans="20:27">
      <c r="T144" s="284"/>
      <c r="V144" s="228"/>
      <c r="W144" s="228"/>
      <c r="X144" s="284"/>
      <c r="Y144" s="284"/>
      <c r="Z144" s="82"/>
      <c r="AA144" s="82"/>
    </row>
    <row r="145" spans="20:38">
      <c r="T145" s="284"/>
      <c r="V145" s="228"/>
      <c r="W145" s="228"/>
      <c r="X145" s="284"/>
      <c r="Y145" s="284"/>
      <c r="Z145" s="82"/>
      <c r="AA145" s="82"/>
    </row>
    <row r="146" spans="20:38">
      <c r="T146" s="284"/>
      <c r="X146" s="284"/>
      <c r="Y146" s="284"/>
    </row>
    <row r="147" spans="20:38">
      <c r="T147" s="284"/>
      <c r="X147" s="284"/>
      <c r="Y147" s="284"/>
    </row>
    <row r="152" spans="20:38">
      <c r="T152" s="248" t="s">
        <v>300</v>
      </c>
      <c r="U152" s="329"/>
      <c r="V152" s="426"/>
      <c r="W152" s="427"/>
      <c r="X152" s="164"/>
      <c r="Y152" s="248"/>
      <c r="Z152" s="329"/>
      <c r="AA152" s="426"/>
      <c r="AB152" s="427"/>
      <c r="AD152" s="424" t="s">
        <v>302</v>
      </c>
      <c r="AE152" s="425"/>
      <c r="AF152" s="425"/>
      <c r="AG152" s="425"/>
      <c r="AH152" s="425"/>
      <c r="AI152" s="425"/>
      <c r="AJ152" s="425"/>
      <c r="AK152" s="425"/>
      <c r="AL152" s="425"/>
    </row>
    <row r="177" spans="20:38">
      <c r="AD177" s="424" t="s">
        <v>303</v>
      </c>
      <c r="AE177" s="425"/>
      <c r="AF177" s="425"/>
      <c r="AG177" s="425"/>
      <c r="AH177" s="425"/>
      <c r="AI177" s="425"/>
      <c r="AJ177" s="425"/>
      <c r="AK177" s="425"/>
      <c r="AL177" s="425"/>
    </row>
    <row r="178" spans="20:38">
      <c r="T178" s="424" t="s">
        <v>301</v>
      </c>
      <c r="U178" s="425"/>
      <c r="V178" s="425"/>
      <c r="W178" s="425"/>
      <c r="X178" s="425"/>
      <c r="Y178" s="425"/>
      <c r="Z178" s="425"/>
      <c r="AA178" s="425"/>
      <c r="AB178" s="425"/>
    </row>
  </sheetData>
  <mergeCells count="5">
    <mergeCell ref="T178:AB178"/>
    <mergeCell ref="AD177:AL177"/>
    <mergeCell ref="AD152:AL152"/>
    <mergeCell ref="V152:W152"/>
    <mergeCell ref="AA152:AB152"/>
  </mergeCells>
  <phoneticPr fontId="1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6"/>
  <sheetViews>
    <sheetView workbookViewId="0">
      <selection activeCell="I58" sqref="I58"/>
    </sheetView>
  </sheetViews>
  <sheetFormatPr defaultRowHeight="13.8"/>
  <sheetData>
    <row r="2" spans="2:8">
      <c r="B2" t="s">
        <v>49</v>
      </c>
      <c r="E2" t="s">
        <v>50</v>
      </c>
      <c r="F2" t="s">
        <v>51</v>
      </c>
      <c r="G2" t="s">
        <v>52</v>
      </c>
      <c r="H2" t="s">
        <v>33</v>
      </c>
    </row>
    <row r="3" spans="2:8">
      <c r="B3" t="s">
        <v>58</v>
      </c>
      <c r="D3" t="s">
        <v>54</v>
      </c>
      <c r="E3" t="e">
        <f>INDEX('Model - Quarterly'!4:4,COLUMN(last_reported_quarter))</f>
        <v>#NAME?</v>
      </c>
      <c r="F3" t="e">
        <f>MATCH(B6,'Model - Quarterly'!4:4,0)</f>
        <v>#N/A</v>
      </c>
      <c r="G3">
        <v>1760</v>
      </c>
      <c r="H3" t="e">
        <f>IF(E3&lt;&gt;B6,"PROBLEM","OK")</f>
        <v>#NAME?</v>
      </c>
    </row>
    <row r="4" spans="2:8">
      <c r="D4" t="s">
        <v>55</v>
      </c>
      <c r="E4" t="e">
        <v>#VALUE!</v>
      </c>
    </row>
    <row r="5" spans="2:8">
      <c r="B5" t="s">
        <v>56</v>
      </c>
      <c r="D5" t="s">
        <v>57</v>
      </c>
      <c r="E5" t="e">
        <v>#VALUE!</v>
      </c>
      <c r="F5" t="e">
        <f>MATCH(B3,'Model - Quarterly'!4:4,0)</f>
        <v>#N/A</v>
      </c>
      <c r="G5">
        <f>G3</f>
        <v>1760</v>
      </c>
      <c r="H5" t="e">
        <f>IF(E5&lt;&gt;B3,"PROBLEM","OK")</f>
        <v>#VALUE!</v>
      </c>
    </row>
    <row r="6" spans="2:8">
      <c r="B6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  <pageSetUpPr fitToPage="1"/>
  </sheetPr>
  <dimension ref="A1:DW591"/>
  <sheetViews>
    <sheetView zoomScale="74" zoomScaleNormal="74" workbookViewId="0">
      <pane ySplit="4" topLeftCell="A5" activePane="bottomLeft" state="frozen"/>
      <selection activeCell="G1" sqref="G1"/>
      <selection pane="bottomLeft" activeCell="B529" sqref="B529"/>
    </sheetView>
  </sheetViews>
  <sheetFormatPr defaultColWidth="0" defaultRowHeight="13.8" outlineLevelRow="2" outlineLevelCol="1"/>
  <cols>
    <col min="1" max="1" width="2.5546875" style="171" customWidth="1"/>
    <col min="2" max="2" width="53.33203125" customWidth="1"/>
    <col min="3" max="3" width="15.44140625" style="1" customWidth="1"/>
    <col min="4" max="4" width="5.33203125" style="1" customWidth="1" collapsed="1"/>
    <col min="5" max="10" width="14" style="5" hidden="1" customWidth="1" outlineLevel="1"/>
    <col min="11" max="17" width="14" style="5" customWidth="1"/>
    <col min="18" max="18" width="13.5546875" style="5" customWidth="1"/>
    <col min="19" max="19" width="13.6640625" style="5" customWidth="1"/>
    <col min="20" max="32" width="14" style="5" customWidth="1"/>
    <col min="33" max="48" width="14" style="5" customWidth="1" outlineLevel="1"/>
    <col min="49" max="49" width="13.6640625" style="11" customWidth="1"/>
    <col min="50" max="50" width="9.6640625" style="3" customWidth="1"/>
    <col min="51" max="51" width="9.6640625" style="3" hidden="1" customWidth="1"/>
    <col min="52" max="70" width="0" style="3" hidden="1" customWidth="1"/>
    <col min="71" max="71" width="9.6640625" style="3" hidden="1" customWidth="1"/>
    <col min="72" max="73" width="0" style="3" hidden="1" customWidth="1"/>
    <col min="74" max="75" width="9.6640625" style="3" hidden="1" customWidth="1"/>
    <col min="76" max="86" width="0" style="3" hidden="1" customWidth="1"/>
    <col min="87" max="87" width="9.6640625" style="3" hidden="1" customWidth="1"/>
    <col min="88" max="106" width="0" style="3" hidden="1" customWidth="1"/>
    <col min="107" max="107" width="9.6640625" style="3" hidden="1" customWidth="1"/>
    <col min="108" max="109" width="0" style="3" hidden="1" customWidth="1"/>
    <col min="110" max="111" width="9.6640625" style="3" hidden="1" customWidth="1"/>
    <col min="112" max="114" width="0" style="3" hidden="1" customWidth="1"/>
    <col min="115" max="115" width="9.6640625" style="3" hidden="1" customWidth="1"/>
    <col min="116" max="117" width="0" style="3" hidden="1" customWidth="1"/>
    <col min="118" max="119" width="9.6640625" style="3" hidden="1" customWidth="1"/>
    <col min="120" max="122" width="0" style="3" hidden="1" customWidth="1"/>
    <col min="123" max="123" width="9.6640625" style="3" hidden="1" customWidth="1"/>
    <col min="124" max="125" width="0" style="3" hidden="1" customWidth="1"/>
    <col min="126" max="127" width="9.6640625" style="3" hidden="1" customWidth="1"/>
    <col min="128" max="16384" width="9.109375" style="3" hidden="1"/>
  </cols>
  <sheetData>
    <row r="1" spans="1:50" customFormat="1">
      <c r="A1" s="169"/>
      <c r="B1" s="13"/>
      <c r="C1" s="428" t="s">
        <v>1</v>
      </c>
      <c r="D1" s="144"/>
      <c r="E1" s="430">
        <f>2018</f>
        <v>2018</v>
      </c>
      <c r="F1" s="430"/>
      <c r="G1" s="430"/>
      <c r="H1" s="430"/>
      <c r="I1" s="431">
        <f>E1+1</f>
        <v>2019</v>
      </c>
      <c r="J1" s="431"/>
      <c r="K1" s="431"/>
      <c r="L1" s="431"/>
      <c r="M1" s="430">
        <f>I1+1</f>
        <v>2020</v>
      </c>
      <c r="N1" s="430"/>
      <c r="O1" s="430"/>
      <c r="P1" s="430"/>
      <c r="Q1" s="431">
        <f>M1+1</f>
        <v>2021</v>
      </c>
      <c r="R1" s="431"/>
      <c r="S1" s="431"/>
      <c r="T1" s="431"/>
      <c r="U1" s="430">
        <f>Q1+1</f>
        <v>2022</v>
      </c>
      <c r="V1" s="430"/>
      <c r="W1" s="430"/>
      <c r="X1" s="430"/>
      <c r="Y1" s="431">
        <f>U1+1</f>
        <v>2023</v>
      </c>
      <c r="Z1" s="431"/>
      <c r="AA1" s="431"/>
      <c r="AB1" s="431"/>
      <c r="AC1" s="430">
        <f>Y1+1</f>
        <v>2024</v>
      </c>
      <c r="AD1" s="430"/>
      <c r="AE1" s="430"/>
      <c r="AF1" s="430"/>
      <c r="AG1" s="431">
        <f>AC1+1</f>
        <v>2025</v>
      </c>
      <c r="AH1" s="431"/>
      <c r="AI1" s="431"/>
      <c r="AJ1" s="431"/>
      <c r="AK1" s="430">
        <f>AG1+1</f>
        <v>2026</v>
      </c>
      <c r="AL1" s="430"/>
      <c r="AM1" s="430"/>
      <c r="AN1" s="430"/>
      <c r="AO1" s="431">
        <f>AK1+1</f>
        <v>2027</v>
      </c>
      <c r="AP1" s="431"/>
      <c r="AQ1" s="431"/>
      <c r="AR1" s="431"/>
      <c r="AS1" s="430">
        <f>AO1+1</f>
        <v>2028</v>
      </c>
      <c r="AT1" s="430"/>
      <c r="AU1" s="430"/>
      <c r="AV1" s="430"/>
      <c r="AW1" s="432"/>
      <c r="AX1" s="14"/>
    </row>
    <row r="2" spans="1:50" customFormat="1">
      <c r="A2" s="169"/>
      <c r="B2" s="15"/>
      <c r="C2" s="428"/>
      <c r="D2" s="144"/>
      <c r="E2" s="16" t="s">
        <v>11</v>
      </c>
      <c r="F2" s="16" t="s">
        <v>14</v>
      </c>
      <c r="G2" s="16" t="s">
        <v>13</v>
      </c>
      <c r="H2" s="16" t="s">
        <v>12</v>
      </c>
      <c r="I2" s="235" t="s">
        <v>11</v>
      </c>
      <c r="J2" s="235" t="s">
        <v>14</v>
      </c>
      <c r="K2" s="235" t="s">
        <v>13</v>
      </c>
      <c r="L2" s="235" t="s">
        <v>12</v>
      </c>
      <c r="M2" s="16" t="s">
        <v>11</v>
      </c>
      <c r="N2" s="16" t="s">
        <v>14</v>
      </c>
      <c r="O2" s="16" t="s">
        <v>13</v>
      </c>
      <c r="P2" s="16" t="s">
        <v>12</v>
      </c>
      <c r="Q2" s="235" t="s">
        <v>11</v>
      </c>
      <c r="R2" s="235" t="s">
        <v>14</v>
      </c>
      <c r="S2" s="235" t="s">
        <v>13</v>
      </c>
      <c r="T2" s="235" t="s">
        <v>12</v>
      </c>
      <c r="U2" s="16" t="s">
        <v>11</v>
      </c>
      <c r="V2" s="16" t="s">
        <v>14</v>
      </c>
      <c r="W2" s="16" t="s">
        <v>13</v>
      </c>
      <c r="X2" s="16" t="s">
        <v>12</v>
      </c>
      <c r="Y2" s="235" t="s">
        <v>11</v>
      </c>
      <c r="Z2" s="235" t="s">
        <v>14</v>
      </c>
      <c r="AA2" s="235" t="s">
        <v>13</v>
      </c>
      <c r="AB2" s="235" t="s">
        <v>12</v>
      </c>
      <c r="AC2" s="16" t="s">
        <v>11</v>
      </c>
      <c r="AD2" s="16" t="s">
        <v>14</v>
      </c>
      <c r="AE2" s="16" t="s">
        <v>13</v>
      </c>
      <c r="AF2" s="16" t="s">
        <v>12</v>
      </c>
      <c r="AG2" s="235" t="s">
        <v>11</v>
      </c>
      <c r="AH2" s="235" t="s">
        <v>14</v>
      </c>
      <c r="AI2" s="235" t="s">
        <v>13</v>
      </c>
      <c r="AJ2" s="235" t="s">
        <v>12</v>
      </c>
      <c r="AK2" s="16" t="s">
        <v>11</v>
      </c>
      <c r="AL2" s="16" t="s">
        <v>14</v>
      </c>
      <c r="AM2" s="16" t="s">
        <v>13</v>
      </c>
      <c r="AN2" s="16" t="s">
        <v>12</v>
      </c>
      <c r="AO2" s="235" t="s">
        <v>11</v>
      </c>
      <c r="AP2" s="235" t="s">
        <v>14</v>
      </c>
      <c r="AQ2" s="235" t="s">
        <v>13</v>
      </c>
      <c r="AR2" s="235" t="s">
        <v>12</v>
      </c>
      <c r="AS2" s="16" t="s">
        <v>11</v>
      </c>
      <c r="AT2" s="16" t="s">
        <v>14</v>
      </c>
      <c r="AU2" s="16" t="s">
        <v>13</v>
      </c>
      <c r="AV2" s="16" t="s">
        <v>12</v>
      </c>
      <c r="AW2" s="432"/>
      <c r="AX2" s="14"/>
    </row>
    <row r="3" spans="1:50" customFormat="1" collapsed="1">
      <c r="A3" s="169"/>
      <c r="B3" s="18" t="s">
        <v>195</v>
      </c>
      <c r="C3" s="429"/>
      <c r="D3" s="144"/>
      <c r="E3" s="19" t="s">
        <v>23</v>
      </c>
      <c r="F3" s="174" t="s">
        <v>24</v>
      </c>
      <c r="G3" s="19" t="s">
        <v>25</v>
      </c>
      <c r="H3" s="174" t="s">
        <v>20</v>
      </c>
      <c r="I3" s="236" t="s">
        <v>23</v>
      </c>
      <c r="J3" s="236" t="s">
        <v>24</v>
      </c>
      <c r="K3" s="249" t="s">
        <v>25</v>
      </c>
      <c r="L3" s="236" t="s">
        <v>20</v>
      </c>
      <c r="M3" s="19" t="s">
        <v>23</v>
      </c>
      <c r="N3" s="174" t="s">
        <v>24</v>
      </c>
      <c r="O3" s="174" t="s">
        <v>25</v>
      </c>
      <c r="P3" s="174"/>
      <c r="Q3" s="249" t="s">
        <v>23</v>
      </c>
      <c r="R3" s="236" t="s">
        <v>24</v>
      </c>
      <c r="S3" s="249" t="s">
        <v>25</v>
      </c>
      <c r="T3" s="236" t="s">
        <v>20</v>
      </c>
      <c r="U3" s="19" t="s">
        <v>23</v>
      </c>
      <c r="V3" s="174" t="s">
        <v>24</v>
      </c>
      <c r="W3" s="19" t="s">
        <v>25</v>
      </c>
      <c r="X3" s="174" t="s">
        <v>20</v>
      </c>
      <c r="Y3" s="236" t="s">
        <v>23</v>
      </c>
      <c r="Z3" s="236" t="s">
        <v>24</v>
      </c>
      <c r="AA3" s="236" t="s">
        <v>25</v>
      </c>
      <c r="AB3" s="236" t="s">
        <v>20</v>
      </c>
      <c r="AC3" s="19" t="s">
        <v>23</v>
      </c>
      <c r="AD3" s="19" t="s">
        <v>24</v>
      </c>
      <c r="AE3" s="19" t="s">
        <v>25</v>
      </c>
      <c r="AF3" s="19" t="s">
        <v>20</v>
      </c>
      <c r="AG3" s="236" t="s">
        <v>23</v>
      </c>
      <c r="AH3" s="236" t="s">
        <v>24</v>
      </c>
      <c r="AI3" s="236" t="s">
        <v>25</v>
      </c>
      <c r="AJ3" s="236" t="s">
        <v>20</v>
      </c>
      <c r="AK3" s="19" t="s">
        <v>23</v>
      </c>
      <c r="AL3" s="19" t="s">
        <v>24</v>
      </c>
      <c r="AM3" s="19" t="s">
        <v>25</v>
      </c>
      <c r="AN3" s="19" t="s">
        <v>20</v>
      </c>
      <c r="AO3" s="236" t="s">
        <v>23</v>
      </c>
      <c r="AP3" s="236" t="s">
        <v>24</v>
      </c>
      <c r="AQ3" s="236" t="s">
        <v>25</v>
      </c>
      <c r="AR3" s="236" t="s">
        <v>20</v>
      </c>
      <c r="AS3" s="19" t="s">
        <v>23</v>
      </c>
      <c r="AT3" s="19" t="s">
        <v>24</v>
      </c>
      <c r="AU3" s="19" t="s">
        <v>25</v>
      </c>
      <c r="AV3" s="19" t="s">
        <v>20</v>
      </c>
      <c r="AW3" s="432"/>
      <c r="AX3" s="14"/>
    </row>
    <row r="4" spans="1:50" customFormat="1" ht="12.75" hidden="1" customHeight="1" outlineLevel="1">
      <c r="A4" s="169"/>
      <c r="B4" s="18"/>
      <c r="C4" s="51"/>
      <c r="D4" s="144"/>
      <c r="E4" s="19" t="str">
        <f>"Q1 "&amp;E1</f>
        <v>Q1 2018</v>
      </c>
      <c r="F4" s="19" t="str">
        <f>"Q2 "&amp;E1</f>
        <v>Q2 2018</v>
      </c>
      <c r="G4" s="19" t="str">
        <f>"Q3 "&amp;E1</f>
        <v>Q3 2018</v>
      </c>
      <c r="H4" s="191" t="str">
        <f>"Q4 "&amp;E1</f>
        <v>Q4 2018</v>
      </c>
      <c r="I4" s="174" t="str">
        <f>"Q1 "&amp;I1</f>
        <v>Q1 2019</v>
      </c>
      <c r="J4" s="174" t="str">
        <f>"Q2 "&amp;I1</f>
        <v>Q2 2019</v>
      </c>
      <c r="K4" s="174" t="str">
        <f>"Q3 "&amp;I1</f>
        <v>Q3 2019</v>
      </c>
      <c r="L4" s="174" t="str">
        <f>"Q4 "&amp;I1</f>
        <v>Q4 2019</v>
      </c>
      <c r="M4" s="174" t="str">
        <f>"Q1 "&amp;M1</f>
        <v>Q1 2020</v>
      </c>
      <c r="N4" s="174" t="str">
        <f>"Q2 "&amp;M1</f>
        <v>Q2 2020</v>
      </c>
      <c r="O4" s="174" t="str">
        <f>"Q3 "&amp;M1</f>
        <v>Q3 2020</v>
      </c>
      <c r="P4" s="174" t="str">
        <f>"Q4 "&amp;M1</f>
        <v>Q4 2020</v>
      </c>
      <c r="Q4" s="174" t="str">
        <f>"Q1 "&amp;Q1</f>
        <v>Q1 2021</v>
      </c>
      <c r="R4" s="174" t="str">
        <f>"Q2 "&amp;Q1</f>
        <v>Q2 2021</v>
      </c>
      <c r="S4" s="174" t="str">
        <f>"Q3 "&amp;Q1</f>
        <v>Q3 2021</v>
      </c>
      <c r="T4" s="174" t="str">
        <f>"Q4 "&amp;Q1</f>
        <v>Q4 2021</v>
      </c>
      <c r="U4" s="174" t="str">
        <f>"Q1 "&amp;U1</f>
        <v>Q1 2022</v>
      </c>
      <c r="V4" s="174" t="str">
        <f>"Q2 "&amp;U1</f>
        <v>Q2 2022</v>
      </c>
      <c r="W4" s="174" t="str">
        <f>"Q3 "&amp;U1</f>
        <v>Q3 2022</v>
      </c>
      <c r="X4" s="174" t="str">
        <f>"Q4 "&amp;U1</f>
        <v>Q4 2022</v>
      </c>
      <c r="Y4" s="174" t="str">
        <f>"Q1 "&amp;Y1</f>
        <v>Q1 2023</v>
      </c>
      <c r="Z4" s="174" t="str">
        <f>"Q2 "&amp;Y1</f>
        <v>Q2 2023</v>
      </c>
      <c r="AA4" s="174" t="str">
        <f>"Q3 "&amp;Y1</f>
        <v>Q3 2023</v>
      </c>
      <c r="AB4" s="174" t="str">
        <f>"Q4 "&amp;Y1</f>
        <v>Q4 2023</v>
      </c>
      <c r="AC4" s="174" t="str">
        <f>"Q1 "&amp;AC1</f>
        <v>Q1 2024</v>
      </c>
      <c r="AD4" s="174" t="str">
        <f>"Q2 "&amp;AC1</f>
        <v>Q2 2024</v>
      </c>
      <c r="AE4" s="174" t="str">
        <f>"Q3 "&amp;AC1</f>
        <v>Q3 2024</v>
      </c>
      <c r="AF4" s="174" t="str">
        <f>"Q4 "&amp;AC1</f>
        <v>Q4 2024</v>
      </c>
      <c r="AG4" s="174" t="str">
        <f>"Q1 "&amp;AG1</f>
        <v>Q1 2025</v>
      </c>
      <c r="AH4" s="174" t="str">
        <f>"Q2 "&amp;AG1</f>
        <v>Q2 2025</v>
      </c>
      <c r="AI4" s="174" t="str">
        <f>"Q3 "&amp;AG1</f>
        <v>Q3 2025</v>
      </c>
      <c r="AJ4" s="174" t="str">
        <f>"Q4 "&amp;AG1</f>
        <v>Q4 2025</v>
      </c>
      <c r="AK4" s="174" t="str">
        <f>"Q1 "&amp;AK1</f>
        <v>Q1 2026</v>
      </c>
      <c r="AL4" s="174" t="str">
        <f>"Q2 "&amp;AK1</f>
        <v>Q2 2026</v>
      </c>
      <c r="AM4" s="174" t="str">
        <f>"Q3 "&amp;AK1</f>
        <v>Q3 2026</v>
      </c>
      <c r="AN4" s="174" t="str">
        <f>"Q4 "&amp;AK1</f>
        <v>Q4 2026</v>
      </c>
      <c r="AO4" s="174" t="str">
        <f>"Q1 "&amp;AO1</f>
        <v>Q1 2027</v>
      </c>
      <c r="AP4" s="174" t="str">
        <f>"Q2 "&amp;AO1</f>
        <v>Q2 2027</v>
      </c>
      <c r="AQ4" s="174" t="str">
        <f>"Q3 "&amp;AO1</f>
        <v>Q3 2027</v>
      </c>
      <c r="AR4" s="174" t="str">
        <f>"Q4 "&amp;AO1</f>
        <v>Q4 2027</v>
      </c>
      <c r="AS4" s="174" t="str">
        <f>"Q1 "&amp;AS1</f>
        <v>Q1 2028</v>
      </c>
      <c r="AT4" s="174" t="str">
        <f>"Q2 "&amp;AS1</f>
        <v>Q2 2028</v>
      </c>
      <c r="AU4" s="174" t="str">
        <f>"Q3 "&amp;AS1</f>
        <v>Q3 2028</v>
      </c>
      <c r="AV4" s="174" t="str">
        <f>"Q4 "&amp;AS1</f>
        <v>Q4 2028</v>
      </c>
      <c r="AW4" s="20"/>
      <c r="AX4" s="14"/>
    </row>
    <row r="5" spans="1:50" customFormat="1" collapsed="1">
      <c r="A5" s="295" t="s">
        <v>138</v>
      </c>
      <c r="B5" s="60"/>
      <c r="C5" s="22"/>
      <c r="D5" s="145"/>
      <c r="E5" s="66">
        <f>E1</f>
        <v>2018</v>
      </c>
      <c r="F5" s="66">
        <f>E1</f>
        <v>2018</v>
      </c>
      <c r="G5" s="66">
        <f>E1</f>
        <v>2018</v>
      </c>
      <c r="H5" s="66">
        <f>E1</f>
        <v>2018</v>
      </c>
      <c r="I5" s="66">
        <f>I1</f>
        <v>2019</v>
      </c>
      <c r="J5" s="66">
        <f>I1</f>
        <v>2019</v>
      </c>
      <c r="K5" s="66">
        <f>I1</f>
        <v>2019</v>
      </c>
      <c r="L5" s="66">
        <f>I1</f>
        <v>2019</v>
      </c>
      <c r="M5" s="66">
        <f>M1</f>
        <v>2020</v>
      </c>
      <c r="N5" s="66">
        <f>M1</f>
        <v>2020</v>
      </c>
      <c r="O5" s="66">
        <f>M1</f>
        <v>2020</v>
      </c>
      <c r="P5" s="66">
        <f>M1</f>
        <v>2020</v>
      </c>
      <c r="Q5" s="66">
        <f>Q1</f>
        <v>2021</v>
      </c>
      <c r="R5" s="66">
        <f>Q1</f>
        <v>2021</v>
      </c>
      <c r="S5" s="66">
        <f>Q1</f>
        <v>2021</v>
      </c>
      <c r="T5" s="66">
        <f>Q1</f>
        <v>2021</v>
      </c>
      <c r="U5" s="66">
        <f>U1</f>
        <v>2022</v>
      </c>
      <c r="V5" s="66">
        <f>U1</f>
        <v>2022</v>
      </c>
      <c r="W5" s="66">
        <f>U1</f>
        <v>2022</v>
      </c>
      <c r="X5" s="66">
        <f>U1</f>
        <v>2022</v>
      </c>
      <c r="Y5" s="66">
        <f>Y1</f>
        <v>2023</v>
      </c>
      <c r="Z5" s="66">
        <f>Y1</f>
        <v>2023</v>
      </c>
      <c r="AA5" s="66">
        <f>Y1</f>
        <v>2023</v>
      </c>
      <c r="AB5" s="66">
        <f>Y1</f>
        <v>2023</v>
      </c>
      <c r="AC5" s="66">
        <f>AC1</f>
        <v>2024</v>
      </c>
      <c r="AD5" s="66">
        <f>AC1</f>
        <v>2024</v>
      </c>
      <c r="AE5" s="66">
        <f>AC1</f>
        <v>2024</v>
      </c>
      <c r="AF5" s="66">
        <f>AC1</f>
        <v>2024</v>
      </c>
      <c r="AG5" s="66">
        <f>AG1</f>
        <v>2025</v>
      </c>
      <c r="AH5" s="66">
        <f>AG1</f>
        <v>2025</v>
      </c>
      <c r="AI5" s="66">
        <f>AG1</f>
        <v>2025</v>
      </c>
      <c r="AJ5" s="66">
        <f>AG1</f>
        <v>2025</v>
      </c>
      <c r="AK5" s="66">
        <f>AK1</f>
        <v>2026</v>
      </c>
      <c r="AL5" s="66">
        <f>AK1</f>
        <v>2026</v>
      </c>
      <c r="AM5" s="66">
        <f>AK1</f>
        <v>2026</v>
      </c>
      <c r="AN5" s="66">
        <f>AK1</f>
        <v>2026</v>
      </c>
      <c r="AO5" s="66">
        <f>AO1</f>
        <v>2027</v>
      </c>
      <c r="AP5" s="66">
        <f>AO1</f>
        <v>2027</v>
      </c>
      <c r="AQ5" s="66">
        <f>AO1</f>
        <v>2027</v>
      </c>
      <c r="AR5" s="66">
        <f>AO1</f>
        <v>2027</v>
      </c>
      <c r="AS5" s="66">
        <f>AS1</f>
        <v>2028</v>
      </c>
      <c r="AT5" s="66">
        <f>AS1</f>
        <v>2028</v>
      </c>
      <c r="AU5" s="66">
        <f>AS1</f>
        <v>2028</v>
      </c>
      <c r="AV5" s="66">
        <f>AS1</f>
        <v>2028</v>
      </c>
      <c r="AW5" s="20"/>
      <c r="AX5" s="2"/>
    </row>
    <row r="6" spans="1:50" ht="12.75" hidden="1" customHeight="1" outlineLevel="1">
      <c r="A6" s="296"/>
      <c r="B6" s="13" t="s">
        <v>134</v>
      </c>
      <c r="C6" s="23"/>
      <c r="D6" s="23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6"/>
      <c r="AX6" s="10"/>
    </row>
    <row r="7" spans="1:50" ht="12.75" hidden="1" customHeight="1" outlineLevel="1">
      <c r="A7" s="296"/>
      <c r="B7" s="28" t="s">
        <v>108</v>
      </c>
      <c r="C7" s="23" t="s">
        <v>105</v>
      </c>
      <c r="D7" s="23"/>
      <c r="E7" s="24"/>
      <c r="F7" s="24"/>
      <c r="G7" s="24"/>
      <c r="H7" s="24"/>
      <c r="I7" s="24" t="e">
        <f>('Price Deck'!#REF!)</f>
        <v>#REF!</v>
      </c>
      <c r="J7" s="24" t="e">
        <f>('Price Deck'!#REF!)</f>
        <v>#REF!</v>
      </c>
      <c r="K7" s="24" t="e">
        <f>('Price Deck'!#REF!)</f>
        <v>#REF!</v>
      </c>
      <c r="L7" s="24" t="e">
        <f>('Price Deck'!#REF!)</f>
        <v>#REF!</v>
      </c>
      <c r="M7" s="24" t="e">
        <f>('Price Deck'!#REF!)</f>
        <v>#REF!</v>
      </c>
      <c r="N7" s="24" t="e">
        <f>('Price Deck'!#REF!)</f>
        <v>#REF!</v>
      </c>
      <c r="O7" s="24" t="e">
        <f>('Price Deck'!#REF!)</f>
        <v>#REF!</v>
      </c>
      <c r="P7" s="24" t="e">
        <f>('Price Deck'!#REF!)</f>
        <v>#REF!</v>
      </c>
      <c r="Q7" s="24" t="e">
        <f>('Price Deck'!#REF!)</f>
        <v>#REF!</v>
      </c>
      <c r="R7" s="24" t="e">
        <f>('Price Deck'!#REF!)</f>
        <v>#REF!</v>
      </c>
      <c r="S7" s="24" t="e">
        <f>('Price Deck'!#REF!)</f>
        <v>#REF!</v>
      </c>
      <c r="T7" s="24" t="e">
        <f>('Price Deck'!#REF!)</f>
        <v>#REF!</v>
      </c>
      <c r="U7" s="24" t="e">
        <f t="shared" ref="U7:AV7" si="0">T7</f>
        <v>#REF!</v>
      </c>
      <c r="V7" s="24" t="e">
        <f t="shared" si="0"/>
        <v>#REF!</v>
      </c>
      <c r="W7" s="24" t="e">
        <f t="shared" si="0"/>
        <v>#REF!</v>
      </c>
      <c r="X7" s="24" t="e">
        <f t="shared" si="0"/>
        <v>#REF!</v>
      </c>
      <c r="Y7" s="24" t="e">
        <f t="shared" si="0"/>
        <v>#REF!</v>
      </c>
      <c r="Z7" s="24" t="e">
        <f t="shared" si="0"/>
        <v>#REF!</v>
      </c>
      <c r="AA7" s="24" t="e">
        <f t="shared" si="0"/>
        <v>#REF!</v>
      </c>
      <c r="AB7" s="24" t="e">
        <f t="shared" si="0"/>
        <v>#REF!</v>
      </c>
      <c r="AC7" s="24" t="e">
        <f t="shared" si="0"/>
        <v>#REF!</v>
      </c>
      <c r="AD7" s="24" t="e">
        <f t="shared" si="0"/>
        <v>#REF!</v>
      </c>
      <c r="AE7" s="24" t="e">
        <f t="shared" si="0"/>
        <v>#REF!</v>
      </c>
      <c r="AF7" s="24" t="e">
        <f t="shared" si="0"/>
        <v>#REF!</v>
      </c>
      <c r="AG7" s="24" t="e">
        <f t="shared" si="0"/>
        <v>#REF!</v>
      </c>
      <c r="AH7" s="24" t="e">
        <f t="shared" si="0"/>
        <v>#REF!</v>
      </c>
      <c r="AI7" s="24" t="e">
        <f t="shared" si="0"/>
        <v>#REF!</v>
      </c>
      <c r="AJ7" s="24" t="e">
        <f t="shared" si="0"/>
        <v>#REF!</v>
      </c>
      <c r="AK7" s="24" t="e">
        <f t="shared" si="0"/>
        <v>#REF!</v>
      </c>
      <c r="AL7" s="24" t="e">
        <f t="shared" si="0"/>
        <v>#REF!</v>
      </c>
      <c r="AM7" s="24" t="e">
        <f t="shared" si="0"/>
        <v>#REF!</v>
      </c>
      <c r="AN7" s="24" t="e">
        <f t="shared" si="0"/>
        <v>#REF!</v>
      </c>
      <c r="AO7" s="24" t="e">
        <f t="shared" si="0"/>
        <v>#REF!</v>
      </c>
      <c r="AP7" s="24" t="e">
        <f t="shared" si="0"/>
        <v>#REF!</v>
      </c>
      <c r="AQ7" s="24" t="e">
        <f t="shared" si="0"/>
        <v>#REF!</v>
      </c>
      <c r="AR7" s="24" t="e">
        <f t="shared" si="0"/>
        <v>#REF!</v>
      </c>
      <c r="AS7" s="24" t="e">
        <f t="shared" si="0"/>
        <v>#REF!</v>
      </c>
      <c r="AT7" s="24" t="e">
        <f t="shared" si="0"/>
        <v>#REF!</v>
      </c>
      <c r="AU7" s="24" t="e">
        <f t="shared" si="0"/>
        <v>#REF!</v>
      </c>
      <c r="AV7" s="24" t="e">
        <f t="shared" si="0"/>
        <v>#REF!</v>
      </c>
      <c r="AW7" s="26"/>
      <c r="AX7" s="10"/>
    </row>
    <row r="8" spans="1:50" ht="12.75" hidden="1" customHeight="1" outlineLevel="1">
      <c r="A8" s="296"/>
      <c r="B8" s="28" t="s">
        <v>122</v>
      </c>
      <c r="C8" s="23" t="s">
        <v>105</v>
      </c>
      <c r="D8" s="23"/>
      <c r="E8" s="9"/>
      <c r="F8" s="9"/>
      <c r="G8" s="9"/>
      <c r="H8" s="9"/>
      <c r="I8" s="9" t="e">
        <f>'Price Deck'!#REF!</f>
        <v>#REF!</v>
      </c>
      <c r="J8" s="9" t="e">
        <f>'Price Deck'!#REF!</f>
        <v>#REF!</v>
      </c>
      <c r="K8" s="9" t="e">
        <f>'Price Deck'!#REF!</f>
        <v>#REF!</v>
      </c>
      <c r="L8" s="9" t="e">
        <f>'Price Deck'!#REF!</f>
        <v>#REF!</v>
      </c>
      <c r="M8" s="9" t="e">
        <f>'Price Deck'!#REF!</f>
        <v>#REF!</v>
      </c>
      <c r="N8" s="9" t="e">
        <f>'Price Deck'!#REF!</f>
        <v>#REF!</v>
      </c>
      <c r="O8" s="9" t="e">
        <f>'Price Deck'!#REF!</f>
        <v>#REF!</v>
      </c>
      <c r="P8" s="9" t="e">
        <f>'Price Deck'!#REF!</f>
        <v>#REF!</v>
      </c>
      <c r="Q8" s="9" t="e">
        <f>'Price Deck'!#REF!</f>
        <v>#REF!</v>
      </c>
      <c r="R8" s="24" t="e">
        <f t="shared" ref="R8:AV8" si="1">IF(R7&gt;0,Q8,0)</f>
        <v>#REF!</v>
      </c>
      <c r="S8" s="24" t="e">
        <f t="shared" si="1"/>
        <v>#REF!</v>
      </c>
      <c r="T8" s="24" t="e">
        <f t="shared" si="1"/>
        <v>#REF!</v>
      </c>
      <c r="U8" s="24" t="e">
        <f t="shared" si="1"/>
        <v>#REF!</v>
      </c>
      <c r="V8" s="24" t="e">
        <f t="shared" si="1"/>
        <v>#REF!</v>
      </c>
      <c r="W8" s="24" t="e">
        <f t="shared" si="1"/>
        <v>#REF!</v>
      </c>
      <c r="X8" s="24" t="e">
        <f t="shared" si="1"/>
        <v>#REF!</v>
      </c>
      <c r="Y8" s="24" t="e">
        <f t="shared" si="1"/>
        <v>#REF!</v>
      </c>
      <c r="Z8" s="24" t="e">
        <f t="shared" si="1"/>
        <v>#REF!</v>
      </c>
      <c r="AA8" s="24" t="e">
        <f t="shared" si="1"/>
        <v>#REF!</v>
      </c>
      <c r="AB8" s="24" t="e">
        <f t="shared" si="1"/>
        <v>#REF!</v>
      </c>
      <c r="AC8" s="24" t="e">
        <f t="shared" si="1"/>
        <v>#REF!</v>
      </c>
      <c r="AD8" s="24" t="e">
        <f t="shared" si="1"/>
        <v>#REF!</v>
      </c>
      <c r="AE8" s="24" t="e">
        <f t="shared" si="1"/>
        <v>#REF!</v>
      </c>
      <c r="AF8" s="24" t="e">
        <f t="shared" si="1"/>
        <v>#REF!</v>
      </c>
      <c r="AG8" s="24" t="e">
        <f t="shared" si="1"/>
        <v>#REF!</v>
      </c>
      <c r="AH8" s="24" t="e">
        <f t="shared" si="1"/>
        <v>#REF!</v>
      </c>
      <c r="AI8" s="24" t="e">
        <f t="shared" si="1"/>
        <v>#REF!</v>
      </c>
      <c r="AJ8" s="24" t="e">
        <f t="shared" si="1"/>
        <v>#REF!</v>
      </c>
      <c r="AK8" s="24" t="e">
        <f t="shared" si="1"/>
        <v>#REF!</v>
      </c>
      <c r="AL8" s="24" t="e">
        <f t="shared" si="1"/>
        <v>#REF!</v>
      </c>
      <c r="AM8" s="24" t="e">
        <f t="shared" si="1"/>
        <v>#REF!</v>
      </c>
      <c r="AN8" s="24" t="e">
        <f t="shared" si="1"/>
        <v>#REF!</v>
      </c>
      <c r="AO8" s="24" t="e">
        <f t="shared" si="1"/>
        <v>#REF!</v>
      </c>
      <c r="AP8" s="24" t="e">
        <f t="shared" si="1"/>
        <v>#REF!</v>
      </c>
      <c r="AQ8" s="24" t="e">
        <f t="shared" si="1"/>
        <v>#REF!</v>
      </c>
      <c r="AR8" s="24" t="e">
        <f t="shared" si="1"/>
        <v>#REF!</v>
      </c>
      <c r="AS8" s="24" t="e">
        <f t="shared" si="1"/>
        <v>#REF!</v>
      </c>
      <c r="AT8" s="24" t="e">
        <f t="shared" si="1"/>
        <v>#REF!</v>
      </c>
      <c r="AU8" s="24" t="e">
        <f t="shared" si="1"/>
        <v>#REF!</v>
      </c>
      <c r="AV8" s="24" t="e">
        <f t="shared" si="1"/>
        <v>#REF!</v>
      </c>
      <c r="AW8" s="26"/>
      <c r="AX8" s="10"/>
    </row>
    <row r="9" spans="1:50" ht="12.75" hidden="1" customHeight="1" outlineLevel="1">
      <c r="A9" s="296"/>
      <c r="B9" s="28"/>
      <c r="C9" s="23"/>
      <c r="D9" s="23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26"/>
      <c r="AX9" s="10"/>
    </row>
    <row r="10" spans="1:50" ht="12.75" hidden="1" customHeight="1" outlineLevel="1">
      <c r="A10" s="296"/>
      <c r="B10" s="32"/>
      <c r="C10" s="23"/>
      <c r="D10" s="23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6"/>
      <c r="AX10" s="27"/>
    </row>
    <row r="11" spans="1:50" ht="12.75" hidden="1" customHeight="1" outlineLevel="1">
      <c r="A11" s="296"/>
      <c r="B11" s="13" t="s">
        <v>123</v>
      </c>
      <c r="C11" s="23"/>
      <c r="D11" s="23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6"/>
      <c r="AX11" s="27"/>
    </row>
    <row r="12" spans="1:50" ht="12.75" hidden="1" customHeight="1" outlineLevel="1">
      <c r="A12" s="296"/>
      <c r="B12" s="28" t="s">
        <v>109</v>
      </c>
      <c r="C12" s="23" t="s">
        <v>100</v>
      </c>
      <c r="D12" s="23"/>
      <c r="E12" s="24" t="e">
        <f>#REF!</f>
        <v>#REF!</v>
      </c>
      <c r="F12" s="24" t="e">
        <f>#REF!</f>
        <v>#REF!</v>
      </c>
      <c r="G12" s="24" t="e">
        <f>#REF!</f>
        <v>#REF!</v>
      </c>
      <c r="H12" s="24" t="e">
        <f>#REF!</f>
        <v>#REF!</v>
      </c>
      <c r="I12" s="24" t="e">
        <f>#REF!</f>
        <v>#REF!</v>
      </c>
      <c r="J12" s="24" t="e">
        <f>#REF!</f>
        <v>#REF!</v>
      </c>
      <c r="K12" s="24" t="e">
        <f>#REF!</f>
        <v>#REF!</v>
      </c>
      <c r="L12" s="24" t="e">
        <f>#REF!</f>
        <v>#REF!</v>
      </c>
      <c r="M12" s="24" t="e">
        <f>#REF!</f>
        <v>#REF!</v>
      </c>
      <c r="N12" s="24" t="e">
        <f>#REF!</f>
        <v>#REF!</v>
      </c>
      <c r="O12" s="24" t="e">
        <f>#REF!</f>
        <v>#REF!</v>
      </c>
      <c r="P12" s="24" t="e">
        <f>#REF!</f>
        <v>#REF!</v>
      </c>
      <c r="Q12" s="24" t="e">
        <f>#REF!</f>
        <v>#REF!</v>
      </c>
      <c r="R12" s="24" t="e">
        <f>#REF!</f>
        <v>#REF!</v>
      </c>
      <c r="S12" s="24" t="e">
        <f>#REF!</f>
        <v>#REF!</v>
      </c>
      <c r="T12" s="24" t="e">
        <f>#REF!</f>
        <v>#REF!</v>
      </c>
      <c r="U12" s="24" t="e">
        <f>#REF!</f>
        <v>#REF!</v>
      </c>
      <c r="V12" s="24" t="e">
        <f>#REF!</f>
        <v>#REF!</v>
      </c>
      <c r="W12" s="24" t="e">
        <f>#REF!</f>
        <v>#REF!</v>
      </c>
      <c r="X12" s="24" t="e">
        <f>#REF!</f>
        <v>#REF!</v>
      </c>
      <c r="Y12" s="24" t="e">
        <f>#REF!</f>
        <v>#REF!</v>
      </c>
      <c r="Z12" s="24" t="e">
        <f>#REF!</f>
        <v>#REF!</v>
      </c>
      <c r="AA12" s="24" t="e">
        <f>#REF!</f>
        <v>#REF!</v>
      </c>
      <c r="AB12" s="24" t="e">
        <f>#REF!</f>
        <v>#REF!</v>
      </c>
      <c r="AC12" s="24" t="e">
        <f>#REF!</f>
        <v>#REF!</v>
      </c>
      <c r="AD12" s="24" t="e">
        <f>#REF!</f>
        <v>#REF!</v>
      </c>
      <c r="AE12" s="24" t="e">
        <f>#REF!</f>
        <v>#REF!</v>
      </c>
      <c r="AF12" s="24" t="e">
        <f>#REF!</f>
        <v>#REF!</v>
      </c>
      <c r="AG12" s="24" t="e">
        <f>#REF!</f>
        <v>#REF!</v>
      </c>
      <c r="AH12" s="24" t="e">
        <f>#REF!</f>
        <v>#REF!</v>
      </c>
      <c r="AI12" s="24" t="e">
        <f>#REF!</f>
        <v>#REF!</v>
      </c>
      <c r="AJ12" s="24" t="e">
        <f>#REF!</f>
        <v>#REF!</v>
      </c>
      <c r="AK12" s="24" t="e">
        <f>#REF!</f>
        <v>#REF!</v>
      </c>
      <c r="AL12" s="24" t="e">
        <f>#REF!</f>
        <v>#REF!</v>
      </c>
      <c r="AM12" s="24" t="e">
        <f>#REF!</f>
        <v>#REF!</v>
      </c>
      <c r="AN12" s="24" t="e">
        <f>#REF!</f>
        <v>#REF!</v>
      </c>
      <c r="AO12" s="24" t="e">
        <f>#REF!</f>
        <v>#REF!</v>
      </c>
      <c r="AP12" s="24" t="e">
        <f>#REF!</f>
        <v>#REF!</v>
      </c>
      <c r="AQ12" s="24" t="e">
        <f>#REF!</f>
        <v>#REF!</v>
      </c>
      <c r="AR12" s="24" t="e">
        <f>#REF!</f>
        <v>#REF!</v>
      </c>
      <c r="AS12" s="24" t="e">
        <f>#REF!</f>
        <v>#REF!</v>
      </c>
      <c r="AT12" s="24" t="e">
        <f>#REF!</f>
        <v>#REF!</v>
      </c>
      <c r="AU12" s="24" t="e">
        <f>#REF!</f>
        <v>#REF!</v>
      </c>
      <c r="AV12" s="24" t="e">
        <f>#REF!</f>
        <v>#REF!</v>
      </c>
      <c r="AW12" s="26"/>
      <c r="AX12" s="27"/>
    </row>
    <row r="13" spans="1:50" ht="12.75" hidden="1" customHeight="1" outlineLevel="1">
      <c r="A13" s="296"/>
      <c r="B13" s="28" t="s">
        <v>99</v>
      </c>
      <c r="C13" s="23" t="s">
        <v>100</v>
      </c>
      <c r="D13" s="23"/>
      <c r="E13" s="24"/>
      <c r="F13" s="24" t="e">
        <f>#REF!</f>
        <v>#REF!</v>
      </c>
      <c r="G13" s="24" t="e">
        <f>#REF!</f>
        <v>#REF!</v>
      </c>
      <c r="H13" s="24" t="e">
        <f>#REF!</f>
        <v>#REF!</v>
      </c>
      <c r="I13" s="24" t="e">
        <f>#REF!</f>
        <v>#REF!</v>
      </c>
      <c r="J13" s="24" t="e">
        <f>#REF!</f>
        <v>#REF!</v>
      </c>
      <c r="K13" s="24" t="e">
        <f>#REF!</f>
        <v>#REF!</v>
      </c>
      <c r="L13" s="24" t="e">
        <f>#REF!</f>
        <v>#REF!</v>
      </c>
      <c r="M13" s="24" t="e">
        <f>#REF!</f>
        <v>#REF!</v>
      </c>
      <c r="N13" s="24" t="e">
        <f>#REF!</f>
        <v>#REF!</v>
      </c>
      <c r="O13" s="24" t="e">
        <f>#REF!</f>
        <v>#REF!</v>
      </c>
      <c r="P13" s="24" t="e">
        <f>#REF!</f>
        <v>#REF!</v>
      </c>
      <c r="Q13" s="24" t="e">
        <f>#REF!</f>
        <v>#REF!</v>
      </c>
      <c r="R13" s="24" t="e">
        <f>#REF!</f>
        <v>#REF!</v>
      </c>
      <c r="S13" s="24" t="e">
        <f>#REF!</f>
        <v>#REF!</v>
      </c>
      <c r="T13" s="24" t="e">
        <f>#REF!</f>
        <v>#REF!</v>
      </c>
      <c r="U13" s="24" t="e">
        <f>#REF!</f>
        <v>#REF!</v>
      </c>
      <c r="V13" s="24" t="e">
        <f>#REF!</f>
        <v>#REF!</v>
      </c>
      <c r="W13" s="24" t="e">
        <f>#REF!</f>
        <v>#REF!</v>
      </c>
      <c r="X13" s="24" t="e">
        <f>#REF!</f>
        <v>#REF!</v>
      </c>
      <c r="Y13" s="24" t="e">
        <f>#REF!</f>
        <v>#REF!</v>
      </c>
      <c r="Z13" s="24" t="e">
        <f>#REF!</f>
        <v>#REF!</v>
      </c>
      <c r="AA13" s="24" t="e">
        <f>#REF!</f>
        <v>#REF!</v>
      </c>
      <c r="AB13" s="24" t="e">
        <f>#REF!</f>
        <v>#REF!</v>
      </c>
      <c r="AC13" s="24" t="e">
        <f>#REF!</f>
        <v>#REF!</v>
      </c>
      <c r="AD13" s="24" t="e">
        <f>#REF!</f>
        <v>#REF!</v>
      </c>
      <c r="AE13" s="24" t="e">
        <f>#REF!</f>
        <v>#REF!</v>
      </c>
      <c r="AF13" s="24" t="e">
        <f>#REF!</f>
        <v>#REF!</v>
      </c>
      <c r="AG13" s="24" t="e">
        <f>#REF!</f>
        <v>#REF!</v>
      </c>
      <c r="AH13" s="24" t="e">
        <f>#REF!</f>
        <v>#REF!</v>
      </c>
      <c r="AI13" s="24" t="e">
        <f>#REF!</f>
        <v>#REF!</v>
      </c>
      <c r="AJ13" s="24" t="e">
        <f>#REF!</f>
        <v>#REF!</v>
      </c>
      <c r="AK13" s="24" t="e">
        <f>#REF!</f>
        <v>#REF!</v>
      </c>
      <c r="AL13" s="24" t="e">
        <f>#REF!</f>
        <v>#REF!</v>
      </c>
      <c r="AM13" s="24" t="e">
        <f>#REF!</f>
        <v>#REF!</v>
      </c>
      <c r="AN13" s="24" t="e">
        <f>#REF!</f>
        <v>#REF!</v>
      </c>
      <c r="AO13" s="24" t="e">
        <f>#REF!</f>
        <v>#REF!</v>
      </c>
      <c r="AP13" s="24" t="e">
        <f>#REF!</f>
        <v>#REF!</v>
      </c>
      <c r="AQ13" s="24" t="e">
        <f>#REF!</f>
        <v>#REF!</v>
      </c>
      <c r="AR13" s="24" t="e">
        <f>#REF!</f>
        <v>#REF!</v>
      </c>
      <c r="AS13" s="24" t="e">
        <f>#REF!</f>
        <v>#REF!</v>
      </c>
      <c r="AT13" s="24" t="e">
        <f>#REF!</f>
        <v>#REF!</v>
      </c>
      <c r="AU13" s="24" t="e">
        <f>#REF!</f>
        <v>#REF!</v>
      </c>
      <c r="AV13" s="24" t="e">
        <f>#REF!</f>
        <v>#REF!</v>
      </c>
      <c r="AW13" s="26"/>
      <c r="AX13" s="27"/>
    </row>
    <row r="14" spans="1:50" ht="12.75" hidden="1" customHeight="1" outlineLevel="1">
      <c r="A14" s="296"/>
      <c r="B14" s="28"/>
      <c r="C14" s="23"/>
      <c r="D14" s="23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6"/>
      <c r="AX14" s="27"/>
    </row>
    <row r="15" spans="1:50" ht="12.75" hidden="1" customHeight="1" outlineLevel="1">
      <c r="A15" s="296"/>
      <c r="B15" s="199" t="s">
        <v>152</v>
      </c>
      <c r="C15" s="23" t="s">
        <v>100</v>
      </c>
      <c r="D15" s="23"/>
      <c r="E15" s="24"/>
      <c r="F15" s="24" t="e">
        <f>#REF!</f>
        <v>#REF!</v>
      </c>
      <c r="G15" s="24" t="e">
        <f>#REF!</f>
        <v>#REF!</v>
      </c>
      <c r="H15" s="24" t="e">
        <f>#REF!</f>
        <v>#REF!</v>
      </c>
      <c r="I15" s="24" t="e">
        <f>#REF!</f>
        <v>#REF!</v>
      </c>
      <c r="J15" s="24" t="e">
        <f>#REF!</f>
        <v>#REF!</v>
      </c>
      <c r="K15" s="24" t="e">
        <f>#REF!</f>
        <v>#REF!</v>
      </c>
      <c r="L15" s="24" t="e">
        <f>#REF!</f>
        <v>#REF!</v>
      </c>
      <c r="M15" s="24" t="e">
        <f>#REF!</f>
        <v>#REF!</v>
      </c>
      <c r="N15" s="24" t="e">
        <f>#REF!</f>
        <v>#REF!</v>
      </c>
      <c r="O15" s="24" t="e">
        <f>#REF!</f>
        <v>#REF!</v>
      </c>
      <c r="P15" s="24" t="e">
        <f>#REF!</f>
        <v>#REF!</v>
      </c>
      <c r="Q15" s="24" t="e">
        <f>#REF!</f>
        <v>#REF!</v>
      </c>
      <c r="R15" s="24" t="e">
        <f>#REF!</f>
        <v>#REF!</v>
      </c>
      <c r="S15" s="24" t="e">
        <f>#REF!</f>
        <v>#REF!</v>
      </c>
      <c r="T15" s="24" t="e">
        <f>#REF!</f>
        <v>#REF!</v>
      </c>
      <c r="U15" s="24" t="e">
        <f>#REF!</f>
        <v>#REF!</v>
      </c>
      <c r="V15" s="24" t="e">
        <f>#REF!</f>
        <v>#REF!</v>
      </c>
      <c r="W15" s="24" t="e">
        <f>#REF!</f>
        <v>#REF!</v>
      </c>
      <c r="X15" s="24" t="e">
        <f>#REF!</f>
        <v>#REF!</v>
      </c>
      <c r="Y15" s="24" t="e">
        <f>#REF!</f>
        <v>#REF!</v>
      </c>
      <c r="Z15" s="24" t="e">
        <f>#REF!</f>
        <v>#REF!</v>
      </c>
      <c r="AA15" s="24" t="e">
        <f>#REF!</f>
        <v>#REF!</v>
      </c>
      <c r="AB15" s="24" t="e">
        <f>#REF!</f>
        <v>#REF!</v>
      </c>
      <c r="AC15" s="24" t="e">
        <f>#REF!</f>
        <v>#REF!</v>
      </c>
      <c r="AD15" s="24" t="e">
        <f>#REF!</f>
        <v>#REF!</v>
      </c>
      <c r="AE15" s="24" t="e">
        <f>#REF!</f>
        <v>#REF!</v>
      </c>
      <c r="AF15" s="24" t="e">
        <f>#REF!</f>
        <v>#REF!</v>
      </c>
      <c r="AG15" s="24" t="e">
        <f>#REF!</f>
        <v>#REF!</v>
      </c>
      <c r="AH15" s="24" t="e">
        <f>#REF!</f>
        <v>#REF!</v>
      </c>
      <c r="AI15" s="24" t="e">
        <f>#REF!</f>
        <v>#REF!</v>
      </c>
      <c r="AJ15" s="24" t="e">
        <f>#REF!</f>
        <v>#REF!</v>
      </c>
      <c r="AK15" s="24" t="e">
        <f>#REF!</f>
        <v>#REF!</v>
      </c>
      <c r="AL15" s="24" t="e">
        <f>#REF!</f>
        <v>#REF!</v>
      </c>
      <c r="AM15" s="24" t="e">
        <f>#REF!</f>
        <v>#REF!</v>
      </c>
      <c r="AN15" s="24" t="e">
        <f>#REF!</f>
        <v>#REF!</v>
      </c>
      <c r="AO15" s="24" t="e">
        <f>#REF!</f>
        <v>#REF!</v>
      </c>
      <c r="AP15" s="24" t="e">
        <f>#REF!</f>
        <v>#REF!</v>
      </c>
      <c r="AQ15" s="24" t="e">
        <f>#REF!</f>
        <v>#REF!</v>
      </c>
      <c r="AR15" s="24" t="e">
        <f>#REF!</f>
        <v>#REF!</v>
      </c>
      <c r="AS15" s="24" t="e">
        <f>#REF!</f>
        <v>#REF!</v>
      </c>
      <c r="AT15" s="24" t="e">
        <f>#REF!</f>
        <v>#REF!</v>
      </c>
      <c r="AU15" s="24" t="e">
        <f>#REF!</f>
        <v>#REF!</v>
      </c>
      <c r="AV15" s="24" t="e">
        <f>#REF!</f>
        <v>#REF!</v>
      </c>
      <c r="AW15" s="26"/>
      <c r="AX15" s="27"/>
    </row>
    <row r="16" spans="1:50" ht="12.75" hidden="1" customHeight="1" outlineLevel="1">
      <c r="A16" s="296"/>
      <c r="B16" s="199" t="s">
        <v>154</v>
      </c>
      <c r="C16" s="23"/>
      <c r="D16" s="23"/>
      <c r="E16" s="24"/>
      <c r="F16" s="24" t="e">
        <f>#REF!</f>
        <v>#REF!</v>
      </c>
      <c r="G16" s="24" t="e">
        <f>#REF!</f>
        <v>#REF!</v>
      </c>
      <c r="H16" s="24" t="e">
        <f>#REF!</f>
        <v>#REF!</v>
      </c>
      <c r="I16" s="24" t="e">
        <f>#REF!</f>
        <v>#REF!</v>
      </c>
      <c r="J16" s="24" t="e">
        <f>#REF!</f>
        <v>#REF!</v>
      </c>
      <c r="K16" s="24" t="e">
        <f>#REF!</f>
        <v>#REF!</v>
      </c>
      <c r="L16" s="24" t="e">
        <f>#REF!</f>
        <v>#REF!</v>
      </c>
      <c r="M16" s="24" t="e">
        <f>#REF!</f>
        <v>#REF!</v>
      </c>
      <c r="N16" s="24" t="e">
        <f>#REF!</f>
        <v>#REF!</v>
      </c>
      <c r="O16" s="24" t="e">
        <f>#REF!</f>
        <v>#REF!</v>
      </c>
      <c r="P16" s="24" t="e">
        <f>#REF!</f>
        <v>#REF!</v>
      </c>
      <c r="Q16" s="24" t="e">
        <f>#REF!</f>
        <v>#REF!</v>
      </c>
      <c r="R16" s="24" t="e">
        <f>#REF!</f>
        <v>#REF!</v>
      </c>
      <c r="S16" s="24" t="e">
        <f>#REF!</f>
        <v>#REF!</v>
      </c>
      <c r="T16" s="24" t="e">
        <f>#REF!</f>
        <v>#REF!</v>
      </c>
      <c r="U16" s="24" t="e">
        <f>#REF!</f>
        <v>#REF!</v>
      </c>
      <c r="V16" s="24" t="e">
        <f>#REF!</f>
        <v>#REF!</v>
      </c>
      <c r="W16" s="24" t="e">
        <f>#REF!</f>
        <v>#REF!</v>
      </c>
      <c r="X16" s="24" t="e">
        <f>#REF!</f>
        <v>#REF!</v>
      </c>
      <c r="Y16" s="24" t="e">
        <f>#REF!</f>
        <v>#REF!</v>
      </c>
      <c r="Z16" s="24" t="e">
        <f>#REF!</f>
        <v>#REF!</v>
      </c>
      <c r="AA16" s="24" t="e">
        <f>#REF!</f>
        <v>#REF!</v>
      </c>
      <c r="AB16" s="24" t="e">
        <f>#REF!</f>
        <v>#REF!</v>
      </c>
      <c r="AC16" s="24" t="e">
        <f>#REF!</f>
        <v>#REF!</v>
      </c>
      <c r="AD16" s="24" t="e">
        <f>#REF!</f>
        <v>#REF!</v>
      </c>
      <c r="AE16" s="24" t="e">
        <f>#REF!</f>
        <v>#REF!</v>
      </c>
      <c r="AF16" s="24" t="e">
        <f>#REF!</f>
        <v>#REF!</v>
      </c>
      <c r="AG16" s="24" t="e">
        <f>#REF!</f>
        <v>#REF!</v>
      </c>
      <c r="AH16" s="24" t="e">
        <f>#REF!</f>
        <v>#REF!</v>
      </c>
      <c r="AI16" s="24" t="e">
        <f>#REF!</f>
        <v>#REF!</v>
      </c>
      <c r="AJ16" s="24" t="e">
        <f>#REF!</f>
        <v>#REF!</v>
      </c>
      <c r="AK16" s="24" t="e">
        <f>#REF!</f>
        <v>#REF!</v>
      </c>
      <c r="AL16" s="24" t="e">
        <f>#REF!</f>
        <v>#REF!</v>
      </c>
      <c r="AM16" s="24" t="e">
        <f>#REF!</f>
        <v>#REF!</v>
      </c>
      <c r="AN16" s="24" t="e">
        <f>#REF!</f>
        <v>#REF!</v>
      </c>
      <c r="AO16" s="24" t="e">
        <f>#REF!</f>
        <v>#REF!</v>
      </c>
      <c r="AP16" s="24" t="e">
        <f>#REF!</f>
        <v>#REF!</v>
      </c>
      <c r="AQ16" s="24" t="e">
        <f>#REF!</f>
        <v>#REF!</v>
      </c>
      <c r="AR16" s="24" t="e">
        <f>#REF!</f>
        <v>#REF!</v>
      </c>
      <c r="AS16" s="24" t="e">
        <f>#REF!</f>
        <v>#REF!</v>
      </c>
      <c r="AT16" s="24" t="e">
        <f>#REF!</f>
        <v>#REF!</v>
      </c>
      <c r="AU16" s="24" t="e">
        <f>#REF!</f>
        <v>#REF!</v>
      </c>
      <c r="AV16" s="24" t="e">
        <f>#REF!</f>
        <v>#REF!</v>
      </c>
      <c r="AW16" s="26"/>
      <c r="AX16" s="27"/>
    </row>
    <row r="17" spans="1:50" ht="12.75" hidden="1" customHeight="1" outlineLevel="1">
      <c r="A17" s="296"/>
      <c r="B17" s="28"/>
      <c r="C17" s="23"/>
      <c r="D17" s="23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6"/>
      <c r="AX17" s="27"/>
    </row>
    <row r="18" spans="1:50" ht="12.75" hidden="1" customHeight="1" outlineLevel="1">
      <c r="A18" s="296"/>
      <c r="B18" s="13" t="s">
        <v>206</v>
      </c>
      <c r="C18" s="23"/>
      <c r="D18" s="23"/>
      <c r="E18" s="24"/>
      <c r="F18" s="139"/>
      <c r="G18" s="139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6"/>
      <c r="AX18" s="27"/>
    </row>
    <row r="19" spans="1:50" ht="12.75" hidden="1" customHeight="1" outlineLevel="1">
      <c r="A19" s="296"/>
      <c r="B19" s="28" t="s">
        <v>126</v>
      </c>
      <c r="C19" s="23" t="s">
        <v>100</v>
      </c>
      <c r="D19" s="23"/>
      <c r="E19" s="24"/>
      <c r="F19" s="157"/>
      <c r="G19" s="157"/>
      <c r="H19" s="157"/>
      <c r="I19" s="157"/>
      <c r="J19" s="157"/>
      <c r="K19" s="157">
        <f>0</f>
        <v>0</v>
      </c>
      <c r="L19" s="157">
        <f>0</f>
        <v>0</v>
      </c>
      <c r="M19" s="157">
        <f>0</f>
        <v>0</v>
      </c>
      <c r="N19" s="157">
        <f>0</f>
        <v>0</v>
      </c>
      <c r="O19" s="157">
        <f>0</f>
        <v>0</v>
      </c>
      <c r="P19" s="157">
        <f>0</f>
        <v>0</v>
      </c>
      <c r="Q19" s="157">
        <f>0</f>
        <v>0</v>
      </c>
      <c r="R19" s="157">
        <f>0</f>
        <v>0</v>
      </c>
      <c r="S19" s="157">
        <f>0</f>
        <v>0</v>
      </c>
      <c r="T19" s="157">
        <f>0</f>
        <v>0</v>
      </c>
      <c r="U19" s="157">
        <f>0</f>
        <v>0</v>
      </c>
      <c r="V19" s="157">
        <f>0</f>
        <v>0</v>
      </c>
      <c r="W19" s="157">
        <f>0</f>
        <v>0</v>
      </c>
      <c r="X19" s="157">
        <f>0</f>
        <v>0</v>
      </c>
      <c r="Y19" s="157">
        <f>0</f>
        <v>0</v>
      </c>
      <c r="Z19" s="157">
        <f>0</f>
        <v>0</v>
      </c>
      <c r="AA19" s="157">
        <f>0</f>
        <v>0</v>
      </c>
      <c r="AB19" s="157">
        <f>0</f>
        <v>0</v>
      </c>
      <c r="AC19" s="157">
        <f>0</f>
        <v>0</v>
      </c>
      <c r="AD19" s="157">
        <f>0</f>
        <v>0</v>
      </c>
      <c r="AE19" s="157">
        <f>0</f>
        <v>0</v>
      </c>
      <c r="AF19" s="157">
        <f>0</f>
        <v>0</v>
      </c>
      <c r="AG19" s="157">
        <f>0</f>
        <v>0</v>
      </c>
      <c r="AH19" s="157">
        <f>0</f>
        <v>0</v>
      </c>
      <c r="AI19" s="157">
        <f>0</f>
        <v>0</v>
      </c>
      <c r="AJ19" s="157">
        <f>0</f>
        <v>0</v>
      </c>
      <c r="AK19" s="157">
        <f>0</f>
        <v>0</v>
      </c>
      <c r="AL19" s="157">
        <f>0</f>
        <v>0</v>
      </c>
      <c r="AM19" s="157">
        <f>0</f>
        <v>0</v>
      </c>
      <c r="AN19" s="157">
        <f>0</f>
        <v>0</v>
      </c>
      <c r="AO19" s="157">
        <f>0</f>
        <v>0</v>
      </c>
      <c r="AP19" s="157">
        <f>0</f>
        <v>0</v>
      </c>
      <c r="AQ19" s="157">
        <f>0</f>
        <v>0</v>
      </c>
      <c r="AR19" s="157">
        <f>0</f>
        <v>0</v>
      </c>
      <c r="AS19" s="157">
        <f>0</f>
        <v>0</v>
      </c>
      <c r="AT19" s="157">
        <f>0</f>
        <v>0</v>
      </c>
      <c r="AU19" s="157">
        <f>0</f>
        <v>0</v>
      </c>
      <c r="AV19" s="157">
        <f>0</f>
        <v>0</v>
      </c>
      <c r="AW19" s="26"/>
      <c r="AX19" s="27"/>
    </row>
    <row r="20" spans="1:50" ht="12.75" hidden="1" customHeight="1" outlineLevel="1">
      <c r="A20" s="296"/>
      <c r="B20" s="30" t="s">
        <v>129</v>
      </c>
      <c r="C20" s="23" t="s">
        <v>102</v>
      </c>
      <c r="D20" s="23"/>
      <c r="E20" s="24"/>
      <c r="F20" s="153"/>
      <c r="G20" s="153"/>
      <c r="H20" s="153"/>
      <c r="I20" s="153"/>
      <c r="J20" s="153"/>
      <c r="K20" s="139">
        <v>0</v>
      </c>
      <c r="L20" s="153" t="e">
        <f t="shared" ref="L20" si="2">IF(L13&gt;0,K20,0)</f>
        <v>#REF!</v>
      </c>
      <c r="M20" s="153" t="e">
        <f>IF(M13&gt;0,L20,0)</f>
        <v>#REF!</v>
      </c>
      <c r="N20" s="153" t="e">
        <f t="shared" ref="N20" si="3">IF(N13&gt;0,M20,0)</f>
        <v>#REF!</v>
      </c>
      <c r="O20" s="153" t="e">
        <f t="shared" ref="O20" si="4">IF(O13&gt;0,N20,0)</f>
        <v>#REF!</v>
      </c>
      <c r="P20" s="153" t="e">
        <f t="shared" ref="P20" si="5">IF(P13&gt;0,O20,0)</f>
        <v>#REF!</v>
      </c>
      <c r="Q20" s="153" t="e">
        <f t="shared" ref="Q20" si="6">IF(Q13&gt;0,P20,0)</f>
        <v>#REF!</v>
      </c>
      <c r="R20" s="153" t="e">
        <f t="shared" ref="R20" si="7">IF(R13&gt;0,Q20,0)</f>
        <v>#REF!</v>
      </c>
      <c r="S20" s="153" t="e">
        <f t="shared" ref="S20" si="8">IF(S13&gt;0,R20,0)</f>
        <v>#REF!</v>
      </c>
      <c r="T20" s="153" t="e">
        <f t="shared" ref="T20" si="9">IF(T13&gt;0,S20,0)</f>
        <v>#REF!</v>
      </c>
      <c r="U20" s="153" t="e">
        <f t="shared" ref="U20" si="10">IF(U13&gt;0,T20,0)</f>
        <v>#REF!</v>
      </c>
      <c r="V20" s="153" t="e">
        <f t="shared" ref="V20" si="11">IF(V13&gt;0,U20,0)</f>
        <v>#REF!</v>
      </c>
      <c r="W20" s="153" t="e">
        <f t="shared" ref="W20" si="12">IF(W13&gt;0,V20,0)</f>
        <v>#REF!</v>
      </c>
      <c r="X20" s="153" t="e">
        <f t="shared" ref="X20" si="13">IF(X13&gt;0,W20,0)</f>
        <v>#REF!</v>
      </c>
      <c r="Y20" s="153" t="e">
        <f t="shared" ref="Y20" si="14">IF(Y13&gt;0,X20,0)</f>
        <v>#REF!</v>
      </c>
      <c r="Z20" s="153" t="e">
        <f t="shared" ref="Z20" si="15">IF(Z13&gt;0,Y20,0)</f>
        <v>#REF!</v>
      </c>
      <c r="AA20" s="153" t="e">
        <f t="shared" ref="AA20" si="16">IF(AA13&gt;0,Z20,0)</f>
        <v>#REF!</v>
      </c>
      <c r="AB20" s="153" t="e">
        <f t="shared" ref="AB20" si="17">IF(AB13&gt;0,AA20,0)</f>
        <v>#REF!</v>
      </c>
      <c r="AC20" s="153" t="e">
        <f t="shared" ref="AC20" si="18">IF(AC13&gt;0,AB20,0)</f>
        <v>#REF!</v>
      </c>
      <c r="AD20" s="153" t="e">
        <f t="shared" ref="AD20" si="19">IF(AD13&gt;0,AC20,0)</f>
        <v>#REF!</v>
      </c>
      <c r="AE20" s="153" t="e">
        <f t="shared" ref="AE20" si="20">IF(AE13&gt;0,AD20,0)</f>
        <v>#REF!</v>
      </c>
      <c r="AF20" s="153" t="e">
        <f t="shared" ref="AF20" si="21">IF(AF13&gt;0,AE20,0)</f>
        <v>#REF!</v>
      </c>
      <c r="AG20" s="153" t="e">
        <f t="shared" ref="AG20" si="22">IF(AG13&gt;0,AF20,0)</f>
        <v>#REF!</v>
      </c>
      <c r="AH20" s="153" t="e">
        <f t="shared" ref="AH20" si="23">IF(AH13&gt;0,AG20,0)</f>
        <v>#REF!</v>
      </c>
      <c r="AI20" s="153" t="e">
        <f t="shared" ref="AI20" si="24">IF(AI13&gt;0,AH20,0)</f>
        <v>#REF!</v>
      </c>
      <c r="AJ20" s="153" t="e">
        <f t="shared" ref="AJ20" si="25">IF(AJ13&gt;0,AI20,0)</f>
        <v>#REF!</v>
      </c>
      <c r="AK20" s="153" t="e">
        <f t="shared" ref="AK20" si="26">IF(AK13&gt;0,AJ20,0)</f>
        <v>#REF!</v>
      </c>
      <c r="AL20" s="153" t="e">
        <f t="shared" ref="AL20" si="27">IF(AL13&gt;0,AK20,0)</f>
        <v>#REF!</v>
      </c>
      <c r="AM20" s="153" t="e">
        <f t="shared" ref="AM20" si="28">IF(AM13&gt;0,AL20,0)</f>
        <v>#REF!</v>
      </c>
      <c r="AN20" s="153" t="e">
        <f t="shared" ref="AN20" si="29">IF(AN13&gt;0,AM20,0)</f>
        <v>#REF!</v>
      </c>
      <c r="AO20" s="153" t="e">
        <f t="shared" ref="AO20" si="30">IF(AO13&gt;0,AN20,0)</f>
        <v>#REF!</v>
      </c>
      <c r="AP20" s="153" t="e">
        <f t="shared" ref="AP20" si="31">IF(AP13&gt;0,AO20,0)</f>
        <v>#REF!</v>
      </c>
      <c r="AQ20" s="153" t="e">
        <f t="shared" ref="AQ20" si="32">IF(AQ13&gt;0,AP20,0)</f>
        <v>#REF!</v>
      </c>
      <c r="AR20" s="153" t="e">
        <f t="shared" ref="AR20" si="33">IF(AR13&gt;0,AQ20,0)</f>
        <v>#REF!</v>
      </c>
      <c r="AS20" s="153" t="e">
        <f t="shared" ref="AS20" si="34">IF(AS13&gt;0,AR20,0)</f>
        <v>#REF!</v>
      </c>
      <c r="AT20" s="153" t="e">
        <f t="shared" ref="AT20" si="35">IF(AT13&gt;0,AS20,0)</f>
        <v>#REF!</v>
      </c>
      <c r="AU20" s="153" t="e">
        <f t="shared" ref="AU20" si="36">IF(AU13&gt;0,AT20,0)</f>
        <v>#REF!</v>
      </c>
      <c r="AV20" s="153" t="e">
        <f t="shared" ref="AV20" si="37">IF(AV13&gt;0,AU20,0)</f>
        <v>#REF!</v>
      </c>
      <c r="AW20" s="26"/>
      <c r="AX20" s="27"/>
    </row>
    <row r="21" spans="1:50" ht="12.75" hidden="1" customHeight="1" outlineLevel="1">
      <c r="A21" s="296"/>
      <c r="B21" s="28" t="s">
        <v>204</v>
      </c>
      <c r="C21" s="23" t="s">
        <v>100</v>
      </c>
      <c r="D21" s="23"/>
      <c r="E21" s="24"/>
      <c r="F21" s="24"/>
      <c r="G21" s="24"/>
      <c r="H21" s="24"/>
      <c r="I21" s="24"/>
      <c r="J21" s="24"/>
      <c r="K21" s="24">
        <f t="shared" ref="K21:Q21" si="38">K19*(1+K20)</f>
        <v>0</v>
      </c>
      <c r="L21" s="24" t="e">
        <f t="shared" ref="L21:P21" si="39">L19*(1+L20)</f>
        <v>#REF!</v>
      </c>
      <c r="M21" s="24" t="e">
        <f t="shared" si="39"/>
        <v>#REF!</v>
      </c>
      <c r="N21" s="24" t="e">
        <f t="shared" si="39"/>
        <v>#REF!</v>
      </c>
      <c r="O21" s="24" t="e">
        <f t="shared" si="39"/>
        <v>#REF!</v>
      </c>
      <c r="P21" s="24" t="e">
        <f t="shared" si="39"/>
        <v>#REF!</v>
      </c>
      <c r="Q21" s="24" t="e">
        <f t="shared" si="38"/>
        <v>#REF!</v>
      </c>
      <c r="R21" s="24" t="e">
        <f t="shared" ref="R21:AV21" si="40">R19*(1+R20)</f>
        <v>#REF!</v>
      </c>
      <c r="S21" s="24" t="e">
        <f t="shared" si="40"/>
        <v>#REF!</v>
      </c>
      <c r="T21" s="24" t="e">
        <f t="shared" si="40"/>
        <v>#REF!</v>
      </c>
      <c r="U21" s="24" t="e">
        <f t="shared" si="40"/>
        <v>#REF!</v>
      </c>
      <c r="V21" s="24" t="e">
        <f t="shared" si="40"/>
        <v>#REF!</v>
      </c>
      <c r="W21" s="24" t="e">
        <f t="shared" si="40"/>
        <v>#REF!</v>
      </c>
      <c r="X21" s="24" t="e">
        <f t="shared" si="40"/>
        <v>#REF!</v>
      </c>
      <c r="Y21" s="24" t="e">
        <f t="shared" si="40"/>
        <v>#REF!</v>
      </c>
      <c r="Z21" s="24" t="e">
        <f t="shared" si="40"/>
        <v>#REF!</v>
      </c>
      <c r="AA21" s="24" t="e">
        <f t="shared" si="40"/>
        <v>#REF!</v>
      </c>
      <c r="AB21" s="24" t="e">
        <f t="shared" si="40"/>
        <v>#REF!</v>
      </c>
      <c r="AC21" s="24" t="e">
        <f t="shared" si="40"/>
        <v>#REF!</v>
      </c>
      <c r="AD21" s="24" t="e">
        <f t="shared" si="40"/>
        <v>#REF!</v>
      </c>
      <c r="AE21" s="24" t="e">
        <f t="shared" si="40"/>
        <v>#REF!</v>
      </c>
      <c r="AF21" s="24" t="e">
        <f t="shared" si="40"/>
        <v>#REF!</v>
      </c>
      <c r="AG21" s="24" t="e">
        <f t="shared" si="40"/>
        <v>#REF!</v>
      </c>
      <c r="AH21" s="24" t="e">
        <f t="shared" si="40"/>
        <v>#REF!</v>
      </c>
      <c r="AI21" s="24" t="e">
        <f t="shared" si="40"/>
        <v>#REF!</v>
      </c>
      <c r="AJ21" s="24" t="e">
        <f t="shared" si="40"/>
        <v>#REF!</v>
      </c>
      <c r="AK21" s="24" t="e">
        <f t="shared" si="40"/>
        <v>#REF!</v>
      </c>
      <c r="AL21" s="24" t="e">
        <f t="shared" si="40"/>
        <v>#REF!</v>
      </c>
      <c r="AM21" s="24" t="e">
        <f t="shared" si="40"/>
        <v>#REF!</v>
      </c>
      <c r="AN21" s="24" t="e">
        <f t="shared" si="40"/>
        <v>#REF!</v>
      </c>
      <c r="AO21" s="24" t="e">
        <f t="shared" si="40"/>
        <v>#REF!</v>
      </c>
      <c r="AP21" s="24" t="e">
        <f t="shared" si="40"/>
        <v>#REF!</v>
      </c>
      <c r="AQ21" s="24" t="e">
        <f t="shared" si="40"/>
        <v>#REF!</v>
      </c>
      <c r="AR21" s="24" t="e">
        <f t="shared" si="40"/>
        <v>#REF!</v>
      </c>
      <c r="AS21" s="24" t="e">
        <f t="shared" si="40"/>
        <v>#REF!</v>
      </c>
      <c r="AT21" s="24" t="e">
        <f t="shared" si="40"/>
        <v>#REF!</v>
      </c>
      <c r="AU21" s="24" t="e">
        <f t="shared" si="40"/>
        <v>#REF!</v>
      </c>
      <c r="AV21" s="24" t="e">
        <f t="shared" si="40"/>
        <v>#REF!</v>
      </c>
      <c r="AW21" s="26"/>
      <c r="AX21" s="27"/>
    </row>
    <row r="22" spans="1:50" ht="12.75" hidden="1" customHeight="1" outlineLevel="1">
      <c r="A22" s="296"/>
      <c r="B22" s="28"/>
      <c r="C22" s="23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6"/>
      <c r="AX22" s="27"/>
    </row>
    <row r="23" spans="1:50" ht="12.75" hidden="1" customHeight="1" outlineLevel="1">
      <c r="A23" s="296"/>
      <c r="B23" s="28" t="s">
        <v>127</v>
      </c>
      <c r="C23" s="23" t="s">
        <v>100</v>
      </c>
      <c r="D23" s="23"/>
      <c r="E23" s="157"/>
      <c r="F23" s="157"/>
      <c r="G23" s="157"/>
      <c r="H23" s="157"/>
      <c r="I23" s="157"/>
      <c r="J23" s="157"/>
      <c r="K23" s="157">
        <f>0</f>
        <v>0</v>
      </c>
      <c r="L23" s="157">
        <f>0</f>
        <v>0</v>
      </c>
      <c r="M23" s="157">
        <f>0</f>
        <v>0</v>
      </c>
      <c r="N23" s="157">
        <f>0</f>
        <v>0</v>
      </c>
      <c r="O23" s="157">
        <f>0</f>
        <v>0</v>
      </c>
      <c r="P23" s="157">
        <f>0</f>
        <v>0</v>
      </c>
      <c r="Q23" s="157">
        <f>0</f>
        <v>0</v>
      </c>
      <c r="R23" s="157">
        <f>0</f>
        <v>0</v>
      </c>
      <c r="S23" s="157">
        <f>0</f>
        <v>0</v>
      </c>
      <c r="T23" s="157">
        <f>0</f>
        <v>0</v>
      </c>
      <c r="U23" s="157">
        <f>0</f>
        <v>0</v>
      </c>
      <c r="V23" s="157">
        <f>0</f>
        <v>0</v>
      </c>
      <c r="W23" s="157">
        <f>0</f>
        <v>0</v>
      </c>
      <c r="X23" s="157">
        <f>0</f>
        <v>0</v>
      </c>
      <c r="Y23" s="157">
        <f>0</f>
        <v>0</v>
      </c>
      <c r="Z23" s="157">
        <f>0</f>
        <v>0</v>
      </c>
      <c r="AA23" s="157">
        <f>0</f>
        <v>0</v>
      </c>
      <c r="AB23" s="157">
        <f>0</f>
        <v>0</v>
      </c>
      <c r="AC23" s="157">
        <f>0</f>
        <v>0</v>
      </c>
      <c r="AD23" s="157">
        <f>0</f>
        <v>0</v>
      </c>
      <c r="AE23" s="157">
        <f>0</f>
        <v>0</v>
      </c>
      <c r="AF23" s="157">
        <f>0</f>
        <v>0</v>
      </c>
      <c r="AG23" s="157">
        <f>0</f>
        <v>0</v>
      </c>
      <c r="AH23" s="157">
        <f>0</f>
        <v>0</v>
      </c>
      <c r="AI23" s="157">
        <f>0</f>
        <v>0</v>
      </c>
      <c r="AJ23" s="157">
        <f>0</f>
        <v>0</v>
      </c>
      <c r="AK23" s="157">
        <f>0</f>
        <v>0</v>
      </c>
      <c r="AL23" s="157">
        <f>0</f>
        <v>0</v>
      </c>
      <c r="AM23" s="157">
        <f>0</f>
        <v>0</v>
      </c>
      <c r="AN23" s="157">
        <f>0</f>
        <v>0</v>
      </c>
      <c r="AO23" s="157">
        <f>0</f>
        <v>0</v>
      </c>
      <c r="AP23" s="157">
        <f>0</f>
        <v>0</v>
      </c>
      <c r="AQ23" s="157">
        <f>0</f>
        <v>0</v>
      </c>
      <c r="AR23" s="157">
        <f>0</f>
        <v>0</v>
      </c>
      <c r="AS23" s="157">
        <f>0</f>
        <v>0</v>
      </c>
      <c r="AT23" s="157">
        <f>0</f>
        <v>0</v>
      </c>
      <c r="AU23" s="157">
        <f>0</f>
        <v>0</v>
      </c>
      <c r="AV23" s="157">
        <f>0</f>
        <v>0</v>
      </c>
      <c r="AW23" s="26"/>
      <c r="AX23" s="27"/>
    </row>
    <row r="24" spans="1:50" ht="12.75" hidden="1" customHeight="1" outlineLevel="1">
      <c r="A24" s="296"/>
      <c r="B24" s="30" t="s">
        <v>129</v>
      </c>
      <c r="C24" s="23" t="s">
        <v>102</v>
      </c>
      <c r="D24" s="23"/>
      <c r="E24" s="153"/>
      <c r="F24" s="153"/>
      <c r="G24" s="153"/>
      <c r="H24" s="153"/>
      <c r="I24" s="153"/>
      <c r="J24" s="153"/>
      <c r="K24" s="139">
        <v>0</v>
      </c>
      <c r="L24" s="153" t="e">
        <f t="shared" ref="L24:AV24" si="41">IF(L12&gt;0,K24,0)</f>
        <v>#REF!</v>
      </c>
      <c r="M24" s="153" t="e">
        <f>IF(M12&gt;0,L24,0)</f>
        <v>#REF!</v>
      </c>
      <c r="N24" s="153" t="e">
        <f t="shared" si="41"/>
        <v>#REF!</v>
      </c>
      <c r="O24" s="153" t="e">
        <f t="shared" si="41"/>
        <v>#REF!</v>
      </c>
      <c r="P24" s="153" t="e">
        <f t="shared" si="41"/>
        <v>#REF!</v>
      </c>
      <c r="Q24" s="153" t="e">
        <f t="shared" si="41"/>
        <v>#REF!</v>
      </c>
      <c r="R24" s="153" t="e">
        <f t="shared" si="41"/>
        <v>#REF!</v>
      </c>
      <c r="S24" s="153" t="e">
        <f t="shared" si="41"/>
        <v>#REF!</v>
      </c>
      <c r="T24" s="153" t="e">
        <f t="shared" si="41"/>
        <v>#REF!</v>
      </c>
      <c r="U24" s="153" t="e">
        <f t="shared" si="41"/>
        <v>#REF!</v>
      </c>
      <c r="V24" s="153" t="e">
        <f t="shared" si="41"/>
        <v>#REF!</v>
      </c>
      <c r="W24" s="153" t="e">
        <f t="shared" si="41"/>
        <v>#REF!</v>
      </c>
      <c r="X24" s="153" t="e">
        <f t="shared" si="41"/>
        <v>#REF!</v>
      </c>
      <c r="Y24" s="153" t="e">
        <f t="shared" si="41"/>
        <v>#REF!</v>
      </c>
      <c r="Z24" s="153" t="e">
        <f t="shared" si="41"/>
        <v>#REF!</v>
      </c>
      <c r="AA24" s="153" t="e">
        <f t="shared" si="41"/>
        <v>#REF!</v>
      </c>
      <c r="AB24" s="153" t="e">
        <f t="shared" si="41"/>
        <v>#REF!</v>
      </c>
      <c r="AC24" s="153" t="e">
        <f t="shared" si="41"/>
        <v>#REF!</v>
      </c>
      <c r="AD24" s="153" t="e">
        <f t="shared" si="41"/>
        <v>#REF!</v>
      </c>
      <c r="AE24" s="153" t="e">
        <f t="shared" si="41"/>
        <v>#REF!</v>
      </c>
      <c r="AF24" s="153" t="e">
        <f t="shared" si="41"/>
        <v>#REF!</v>
      </c>
      <c r="AG24" s="153" t="e">
        <f t="shared" si="41"/>
        <v>#REF!</v>
      </c>
      <c r="AH24" s="153" t="e">
        <f t="shared" si="41"/>
        <v>#REF!</v>
      </c>
      <c r="AI24" s="153" t="e">
        <f t="shared" si="41"/>
        <v>#REF!</v>
      </c>
      <c r="AJ24" s="153" t="e">
        <f t="shared" si="41"/>
        <v>#REF!</v>
      </c>
      <c r="AK24" s="153" t="e">
        <f t="shared" si="41"/>
        <v>#REF!</v>
      </c>
      <c r="AL24" s="153" t="e">
        <f t="shared" si="41"/>
        <v>#REF!</v>
      </c>
      <c r="AM24" s="153" t="e">
        <f t="shared" si="41"/>
        <v>#REF!</v>
      </c>
      <c r="AN24" s="153" t="e">
        <f t="shared" si="41"/>
        <v>#REF!</v>
      </c>
      <c r="AO24" s="153" t="e">
        <f t="shared" si="41"/>
        <v>#REF!</v>
      </c>
      <c r="AP24" s="153" t="e">
        <f t="shared" si="41"/>
        <v>#REF!</v>
      </c>
      <c r="AQ24" s="153" t="e">
        <f t="shared" si="41"/>
        <v>#REF!</v>
      </c>
      <c r="AR24" s="153" t="e">
        <f t="shared" si="41"/>
        <v>#REF!</v>
      </c>
      <c r="AS24" s="153" t="e">
        <f t="shared" si="41"/>
        <v>#REF!</v>
      </c>
      <c r="AT24" s="153" t="e">
        <f t="shared" si="41"/>
        <v>#REF!</v>
      </c>
      <c r="AU24" s="153" t="e">
        <f t="shared" si="41"/>
        <v>#REF!</v>
      </c>
      <c r="AV24" s="153" t="e">
        <f t="shared" si="41"/>
        <v>#REF!</v>
      </c>
      <c r="AW24" s="26"/>
      <c r="AX24" s="27"/>
    </row>
    <row r="25" spans="1:50" ht="12.75" hidden="1" customHeight="1" outlineLevel="1">
      <c r="A25" s="296"/>
      <c r="B25" s="28" t="s">
        <v>205</v>
      </c>
      <c r="C25" s="23" t="s">
        <v>100</v>
      </c>
      <c r="D25" s="23"/>
      <c r="E25" s="24"/>
      <c r="F25" s="24"/>
      <c r="G25" s="24"/>
      <c r="H25" s="24"/>
      <c r="I25" s="24"/>
      <c r="J25" s="24"/>
      <c r="K25" s="24">
        <f t="shared" ref="K25:P25" si="42">K23*(1+K24)</f>
        <v>0</v>
      </c>
      <c r="L25" s="24" t="e">
        <f t="shared" si="42"/>
        <v>#REF!</v>
      </c>
      <c r="M25" s="24" t="e">
        <f t="shared" si="42"/>
        <v>#REF!</v>
      </c>
      <c r="N25" s="24" t="e">
        <f t="shared" si="42"/>
        <v>#REF!</v>
      </c>
      <c r="O25" s="24" t="e">
        <f t="shared" si="42"/>
        <v>#REF!</v>
      </c>
      <c r="P25" s="24" t="e">
        <f t="shared" si="42"/>
        <v>#REF!</v>
      </c>
      <c r="Q25" s="24" t="e">
        <f t="shared" ref="Q25:AV25" si="43">Q23*(1+Q24)</f>
        <v>#REF!</v>
      </c>
      <c r="R25" s="24" t="e">
        <f t="shared" si="43"/>
        <v>#REF!</v>
      </c>
      <c r="S25" s="24" t="e">
        <f t="shared" si="43"/>
        <v>#REF!</v>
      </c>
      <c r="T25" s="24" t="e">
        <f t="shared" si="43"/>
        <v>#REF!</v>
      </c>
      <c r="U25" s="24" t="e">
        <f t="shared" si="43"/>
        <v>#REF!</v>
      </c>
      <c r="V25" s="24" t="e">
        <f t="shared" si="43"/>
        <v>#REF!</v>
      </c>
      <c r="W25" s="24" t="e">
        <f t="shared" si="43"/>
        <v>#REF!</v>
      </c>
      <c r="X25" s="24" t="e">
        <f t="shared" si="43"/>
        <v>#REF!</v>
      </c>
      <c r="Y25" s="24" t="e">
        <f t="shared" si="43"/>
        <v>#REF!</v>
      </c>
      <c r="Z25" s="24" t="e">
        <f t="shared" si="43"/>
        <v>#REF!</v>
      </c>
      <c r="AA25" s="24" t="e">
        <f t="shared" si="43"/>
        <v>#REF!</v>
      </c>
      <c r="AB25" s="24" t="e">
        <f t="shared" si="43"/>
        <v>#REF!</v>
      </c>
      <c r="AC25" s="24" t="e">
        <f t="shared" si="43"/>
        <v>#REF!</v>
      </c>
      <c r="AD25" s="24" t="e">
        <f t="shared" si="43"/>
        <v>#REF!</v>
      </c>
      <c r="AE25" s="24" t="e">
        <f t="shared" si="43"/>
        <v>#REF!</v>
      </c>
      <c r="AF25" s="24" t="e">
        <f t="shared" si="43"/>
        <v>#REF!</v>
      </c>
      <c r="AG25" s="24" t="e">
        <f t="shared" si="43"/>
        <v>#REF!</v>
      </c>
      <c r="AH25" s="24" t="e">
        <f t="shared" si="43"/>
        <v>#REF!</v>
      </c>
      <c r="AI25" s="24" t="e">
        <f t="shared" si="43"/>
        <v>#REF!</v>
      </c>
      <c r="AJ25" s="24" t="e">
        <f t="shared" si="43"/>
        <v>#REF!</v>
      </c>
      <c r="AK25" s="24" t="e">
        <f t="shared" si="43"/>
        <v>#REF!</v>
      </c>
      <c r="AL25" s="24" t="e">
        <f t="shared" si="43"/>
        <v>#REF!</v>
      </c>
      <c r="AM25" s="24" t="e">
        <f t="shared" si="43"/>
        <v>#REF!</v>
      </c>
      <c r="AN25" s="24" t="e">
        <f t="shared" si="43"/>
        <v>#REF!</v>
      </c>
      <c r="AO25" s="24" t="e">
        <f t="shared" si="43"/>
        <v>#REF!</v>
      </c>
      <c r="AP25" s="24" t="e">
        <f t="shared" si="43"/>
        <v>#REF!</v>
      </c>
      <c r="AQ25" s="24" t="e">
        <f t="shared" si="43"/>
        <v>#REF!</v>
      </c>
      <c r="AR25" s="24" t="e">
        <f t="shared" si="43"/>
        <v>#REF!</v>
      </c>
      <c r="AS25" s="24" t="e">
        <f t="shared" si="43"/>
        <v>#REF!</v>
      </c>
      <c r="AT25" s="24" t="e">
        <f t="shared" si="43"/>
        <v>#REF!</v>
      </c>
      <c r="AU25" s="24" t="e">
        <f t="shared" si="43"/>
        <v>#REF!</v>
      </c>
      <c r="AV25" s="24" t="e">
        <f t="shared" si="43"/>
        <v>#REF!</v>
      </c>
      <c r="AW25" s="26"/>
      <c r="AX25" s="27"/>
    </row>
    <row r="26" spans="1:50" ht="12.75" hidden="1" customHeight="1" outlineLevel="1">
      <c r="A26" s="296"/>
      <c r="B26" s="13" t="s">
        <v>47</v>
      </c>
      <c r="C26" s="23" t="s">
        <v>100</v>
      </c>
      <c r="D26" s="23"/>
      <c r="E26" s="43"/>
      <c r="F26" s="43"/>
      <c r="G26" s="43"/>
      <c r="H26" s="43"/>
      <c r="I26" s="43"/>
      <c r="J26" s="43"/>
      <c r="K26" s="43">
        <f t="shared" ref="K26:P26" si="44">K21+K25</f>
        <v>0</v>
      </c>
      <c r="L26" s="43" t="e">
        <f t="shared" si="44"/>
        <v>#REF!</v>
      </c>
      <c r="M26" s="43" t="e">
        <f t="shared" si="44"/>
        <v>#REF!</v>
      </c>
      <c r="N26" s="43" t="e">
        <f t="shared" si="44"/>
        <v>#REF!</v>
      </c>
      <c r="O26" s="43" t="e">
        <f>O21+O25</f>
        <v>#REF!</v>
      </c>
      <c r="P26" s="43" t="e">
        <f t="shared" si="44"/>
        <v>#REF!</v>
      </c>
      <c r="Q26" s="43" t="e">
        <f t="shared" ref="Q26:AV26" si="45">Q21+Q25</f>
        <v>#REF!</v>
      </c>
      <c r="R26" s="43" t="e">
        <f t="shared" si="45"/>
        <v>#REF!</v>
      </c>
      <c r="S26" s="43" t="e">
        <f t="shared" si="45"/>
        <v>#REF!</v>
      </c>
      <c r="T26" s="43" t="e">
        <f t="shared" si="45"/>
        <v>#REF!</v>
      </c>
      <c r="U26" s="43" t="e">
        <f t="shared" si="45"/>
        <v>#REF!</v>
      </c>
      <c r="V26" s="43" t="e">
        <f t="shared" si="45"/>
        <v>#REF!</v>
      </c>
      <c r="W26" s="43" t="e">
        <f t="shared" si="45"/>
        <v>#REF!</v>
      </c>
      <c r="X26" s="43" t="e">
        <f t="shared" si="45"/>
        <v>#REF!</v>
      </c>
      <c r="Y26" s="43" t="e">
        <f t="shared" si="45"/>
        <v>#REF!</v>
      </c>
      <c r="Z26" s="43" t="e">
        <f t="shared" si="45"/>
        <v>#REF!</v>
      </c>
      <c r="AA26" s="43" t="e">
        <f t="shared" si="45"/>
        <v>#REF!</v>
      </c>
      <c r="AB26" s="43" t="e">
        <f t="shared" si="45"/>
        <v>#REF!</v>
      </c>
      <c r="AC26" s="43" t="e">
        <f t="shared" si="45"/>
        <v>#REF!</v>
      </c>
      <c r="AD26" s="43" t="e">
        <f t="shared" si="45"/>
        <v>#REF!</v>
      </c>
      <c r="AE26" s="43" t="e">
        <f t="shared" si="45"/>
        <v>#REF!</v>
      </c>
      <c r="AF26" s="43" t="e">
        <f t="shared" si="45"/>
        <v>#REF!</v>
      </c>
      <c r="AG26" s="43" t="e">
        <f t="shared" si="45"/>
        <v>#REF!</v>
      </c>
      <c r="AH26" s="43" t="e">
        <f t="shared" si="45"/>
        <v>#REF!</v>
      </c>
      <c r="AI26" s="43" t="e">
        <f t="shared" si="45"/>
        <v>#REF!</v>
      </c>
      <c r="AJ26" s="43" t="e">
        <f t="shared" si="45"/>
        <v>#REF!</v>
      </c>
      <c r="AK26" s="43" t="e">
        <f t="shared" si="45"/>
        <v>#REF!</v>
      </c>
      <c r="AL26" s="43" t="e">
        <f t="shared" si="45"/>
        <v>#REF!</v>
      </c>
      <c r="AM26" s="43" t="e">
        <f t="shared" si="45"/>
        <v>#REF!</v>
      </c>
      <c r="AN26" s="43" t="e">
        <f t="shared" si="45"/>
        <v>#REF!</v>
      </c>
      <c r="AO26" s="43" t="e">
        <f t="shared" si="45"/>
        <v>#REF!</v>
      </c>
      <c r="AP26" s="43" t="e">
        <f t="shared" si="45"/>
        <v>#REF!</v>
      </c>
      <c r="AQ26" s="43" t="e">
        <f t="shared" si="45"/>
        <v>#REF!</v>
      </c>
      <c r="AR26" s="43" t="e">
        <f t="shared" si="45"/>
        <v>#REF!</v>
      </c>
      <c r="AS26" s="43" t="e">
        <f t="shared" si="45"/>
        <v>#REF!</v>
      </c>
      <c r="AT26" s="43" t="e">
        <f t="shared" si="45"/>
        <v>#REF!</v>
      </c>
      <c r="AU26" s="43" t="e">
        <f t="shared" si="45"/>
        <v>#REF!</v>
      </c>
      <c r="AV26" s="43" t="e">
        <f t="shared" si="45"/>
        <v>#REF!</v>
      </c>
      <c r="AW26" s="26"/>
      <c r="AX26" s="27"/>
    </row>
    <row r="27" spans="1:50" ht="12.75" hidden="1" customHeight="1" outlineLevel="1">
      <c r="A27" s="296"/>
      <c r="B27" s="32"/>
      <c r="C27" s="23"/>
      <c r="D27" s="23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6"/>
      <c r="AX27" s="27"/>
    </row>
    <row r="28" spans="1:50" ht="12.75" hidden="1" customHeight="1" outlineLevel="1">
      <c r="A28" s="296"/>
      <c r="B28" s="13" t="s">
        <v>124</v>
      </c>
      <c r="C28" s="23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6"/>
      <c r="AX28" s="27"/>
    </row>
    <row r="29" spans="1:50" ht="12.75" hidden="1" customHeight="1" outlineLevel="1">
      <c r="A29" s="296"/>
      <c r="B29" s="28" t="s">
        <v>109</v>
      </c>
      <c r="C29" s="23" t="s">
        <v>100</v>
      </c>
      <c r="D29" s="23"/>
      <c r="E29" s="24">
        <f t="shared" ref="E29:K29" si="46">E15-E21</f>
        <v>0</v>
      </c>
      <c r="F29" s="24" t="e">
        <f t="shared" si="46"/>
        <v>#REF!</v>
      </c>
      <c r="G29" s="24" t="e">
        <f t="shared" si="46"/>
        <v>#REF!</v>
      </c>
      <c r="H29" s="24" t="e">
        <f t="shared" si="46"/>
        <v>#REF!</v>
      </c>
      <c r="I29" s="24" t="e">
        <f t="shared" si="46"/>
        <v>#REF!</v>
      </c>
      <c r="J29" s="24" t="e">
        <f t="shared" si="46"/>
        <v>#REF!</v>
      </c>
      <c r="K29" s="24" t="e">
        <f t="shared" si="46"/>
        <v>#REF!</v>
      </c>
      <c r="L29" s="24" t="e">
        <f t="shared" ref="L29:AV29" si="47">L15-L21</f>
        <v>#REF!</v>
      </c>
      <c r="M29" s="24" t="e">
        <f t="shared" si="47"/>
        <v>#REF!</v>
      </c>
      <c r="N29" s="24" t="e">
        <f t="shared" si="47"/>
        <v>#REF!</v>
      </c>
      <c r="O29" s="24" t="e">
        <f>O15-O21</f>
        <v>#REF!</v>
      </c>
      <c r="P29" s="24" t="e">
        <f t="shared" si="47"/>
        <v>#REF!</v>
      </c>
      <c r="Q29" s="24" t="e">
        <f t="shared" si="47"/>
        <v>#REF!</v>
      </c>
      <c r="R29" s="24" t="e">
        <f t="shared" si="47"/>
        <v>#REF!</v>
      </c>
      <c r="S29" s="24" t="e">
        <f t="shared" si="47"/>
        <v>#REF!</v>
      </c>
      <c r="T29" s="24" t="e">
        <f t="shared" si="47"/>
        <v>#REF!</v>
      </c>
      <c r="U29" s="24" t="e">
        <f t="shared" si="47"/>
        <v>#REF!</v>
      </c>
      <c r="V29" s="24" t="e">
        <f>V15-V21</f>
        <v>#REF!</v>
      </c>
      <c r="W29" s="24" t="e">
        <f t="shared" si="47"/>
        <v>#REF!</v>
      </c>
      <c r="X29" s="24" t="e">
        <f t="shared" si="47"/>
        <v>#REF!</v>
      </c>
      <c r="Y29" s="24" t="e">
        <f t="shared" si="47"/>
        <v>#REF!</v>
      </c>
      <c r="Z29" s="24" t="e">
        <f t="shared" si="47"/>
        <v>#REF!</v>
      </c>
      <c r="AA29" s="24" t="e">
        <f t="shared" si="47"/>
        <v>#REF!</v>
      </c>
      <c r="AB29" s="24" t="e">
        <f t="shared" si="47"/>
        <v>#REF!</v>
      </c>
      <c r="AC29" s="24" t="e">
        <f t="shared" si="47"/>
        <v>#REF!</v>
      </c>
      <c r="AD29" s="24" t="e">
        <f t="shared" si="47"/>
        <v>#REF!</v>
      </c>
      <c r="AE29" s="24" t="e">
        <f t="shared" si="47"/>
        <v>#REF!</v>
      </c>
      <c r="AF29" s="24" t="e">
        <f t="shared" si="47"/>
        <v>#REF!</v>
      </c>
      <c r="AG29" s="24" t="e">
        <f t="shared" si="47"/>
        <v>#REF!</v>
      </c>
      <c r="AH29" s="24" t="e">
        <f t="shared" si="47"/>
        <v>#REF!</v>
      </c>
      <c r="AI29" s="24" t="e">
        <f t="shared" si="47"/>
        <v>#REF!</v>
      </c>
      <c r="AJ29" s="24" t="e">
        <f t="shared" si="47"/>
        <v>#REF!</v>
      </c>
      <c r="AK29" s="24" t="e">
        <f t="shared" si="47"/>
        <v>#REF!</v>
      </c>
      <c r="AL29" s="24" t="e">
        <f t="shared" si="47"/>
        <v>#REF!</v>
      </c>
      <c r="AM29" s="24" t="e">
        <f t="shared" si="47"/>
        <v>#REF!</v>
      </c>
      <c r="AN29" s="24" t="e">
        <f t="shared" si="47"/>
        <v>#REF!</v>
      </c>
      <c r="AO29" s="24" t="e">
        <f t="shared" si="47"/>
        <v>#REF!</v>
      </c>
      <c r="AP29" s="24" t="e">
        <f t="shared" si="47"/>
        <v>#REF!</v>
      </c>
      <c r="AQ29" s="24" t="e">
        <f t="shared" si="47"/>
        <v>#REF!</v>
      </c>
      <c r="AR29" s="24" t="e">
        <f t="shared" si="47"/>
        <v>#REF!</v>
      </c>
      <c r="AS29" s="24" t="e">
        <f t="shared" si="47"/>
        <v>#REF!</v>
      </c>
      <c r="AT29" s="24" t="e">
        <f t="shared" si="47"/>
        <v>#REF!</v>
      </c>
      <c r="AU29" s="24" t="e">
        <f t="shared" si="47"/>
        <v>#REF!</v>
      </c>
      <c r="AV29" s="24" t="e">
        <f t="shared" si="47"/>
        <v>#REF!</v>
      </c>
      <c r="AW29" s="26"/>
      <c r="AX29" s="27"/>
    </row>
    <row r="30" spans="1:50" ht="12.75" hidden="1" customHeight="1" outlineLevel="1">
      <c r="A30" s="296"/>
      <c r="B30" s="28" t="s">
        <v>99</v>
      </c>
      <c r="C30" s="23" t="s">
        <v>100</v>
      </c>
      <c r="D30" s="23"/>
      <c r="E30" s="63">
        <f t="shared" ref="E30:J30" si="48">E16-E25</f>
        <v>0</v>
      </c>
      <c r="F30" s="63" t="e">
        <f t="shared" si="48"/>
        <v>#REF!</v>
      </c>
      <c r="G30" s="63" t="e">
        <f t="shared" si="48"/>
        <v>#REF!</v>
      </c>
      <c r="H30" s="63" t="e">
        <f t="shared" si="48"/>
        <v>#REF!</v>
      </c>
      <c r="I30" s="63" t="e">
        <f t="shared" si="48"/>
        <v>#REF!</v>
      </c>
      <c r="J30" s="63" t="e">
        <f t="shared" si="48"/>
        <v>#REF!</v>
      </c>
      <c r="K30" s="63" t="e">
        <f t="shared" ref="K30:AV30" si="49">K16-K25</f>
        <v>#REF!</v>
      </c>
      <c r="L30" s="63" t="e">
        <f t="shared" si="49"/>
        <v>#REF!</v>
      </c>
      <c r="M30" s="63" t="e">
        <f t="shared" si="49"/>
        <v>#REF!</v>
      </c>
      <c r="N30" s="63" t="e">
        <f t="shared" si="49"/>
        <v>#REF!</v>
      </c>
      <c r="O30" s="63" t="e">
        <f t="shared" si="49"/>
        <v>#REF!</v>
      </c>
      <c r="P30" s="63" t="e">
        <f t="shared" si="49"/>
        <v>#REF!</v>
      </c>
      <c r="Q30" s="63" t="e">
        <f>Q16-Q25</f>
        <v>#REF!</v>
      </c>
      <c r="R30" s="63" t="e">
        <f t="shared" si="49"/>
        <v>#REF!</v>
      </c>
      <c r="S30" s="63" t="e">
        <f t="shared" si="49"/>
        <v>#REF!</v>
      </c>
      <c r="T30" s="63" t="e">
        <f t="shared" si="49"/>
        <v>#REF!</v>
      </c>
      <c r="U30" s="63" t="e">
        <f t="shared" si="49"/>
        <v>#REF!</v>
      </c>
      <c r="V30" s="63" t="e">
        <f t="shared" si="49"/>
        <v>#REF!</v>
      </c>
      <c r="W30" s="63" t="e">
        <f t="shared" si="49"/>
        <v>#REF!</v>
      </c>
      <c r="X30" s="63" t="e">
        <f t="shared" si="49"/>
        <v>#REF!</v>
      </c>
      <c r="Y30" s="63" t="e">
        <f t="shared" si="49"/>
        <v>#REF!</v>
      </c>
      <c r="Z30" s="63" t="e">
        <f t="shared" si="49"/>
        <v>#REF!</v>
      </c>
      <c r="AA30" s="63" t="e">
        <f t="shared" si="49"/>
        <v>#REF!</v>
      </c>
      <c r="AB30" s="63" t="e">
        <f t="shared" si="49"/>
        <v>#REF!</v>
      </c>
      <c r="AC30" s="63" t="e">
        <f t="shared" si="49"/>
        <v>#REF!</v>
      </c>
      <c r="AD30" s="63" t="e">
        <f t="shared" si="49"/>
        <v>#REF!</v>
      </c>
      <c r="AE30" s="63" t="e">
        <f t="shared" si="49"/>
        <v>#REF!</v>
      </c>
      <c r="AF30" s="63" t="e">
        <f t="shared" si="49"/>
        <v>#REF!</v>
      </c>
      <c r="AG30" s="63" t="e">
        <f t="shared" si="49"/>
        <v>#REF!</v>
      </c>
      <c r="AH30" s="63" t="e">
        <f t="shared" si="49"/>
        <v>#REF!</v>
      </c>
      <c r="AI30" s="63" t="e">
        <f t="shared" si="49"/>
        <v>#REF!</v>
      </c>
      <c r="AJ30" s="63" t="e">
        <f t="shared" si="49"/>
        <v>#REF!</v>
      </c>
      <c r="AK30" s="63" t="e">
        <f t="shared" si="49"/>
        <v>#REF!</v>
      </c>
      <c r="AL30" s="63" t="e">
        <f t="shared" si="49"/>
        <v>#REF!</v>
      </c>
      <c r="AM30" s="63" t="e">
        <f t="shared" si="49"/>
        <v>#REF!</v>
      </c>
      <c r="AN30" s="63" t="e">
        <f t="shared" si="49"/>
        <v>#REF!</v>
      </c>
      <c r="AO30" s="63" t="e">
        <f t="shared" si="49"/>
        <v>#REF!</v>
      </c>
      <c r="AP30" s="63" t="e">
        <f t="shared" si="49"/>
        <v>#REF!</v>
      </c>
      <c r="AQ30" s="63" t="e">
        <f t="shared" si="49"/>
        <v>#REF!</v>
      </c>
      <c r="AR30" s="63" t="e">
        <f t="shared" si="49"/>
        <v>#REF!</v>
      </c>
      <c r="AS30" s="63" t="e">
        <f t="shared" si="49"/>
        <v>#REF!</v>
      </c>
      <c r="AT30" s="63" t="e">
        <f t="shared" si="49"/>
        <v>#REF!</v>
      </c>
      <c r="AU30" s="63" t="e">
        <f t="shared" si="49"/>
        <v>#REF!</v>
      </c>
      <c r="AV30" s="63" t="e">
        <f t="shared" si="49"/>
        <v>#REF!</v>
      </c>
      <c r="AW30" s="26"/>
      <c r="AX30" s="27"/>
    </row>
    <row r="31" spans="1:50" ht="12.75" hidden="1" customHeight="1" outlineLevel="1">
      <c r="A31" s="296"/>
      <c r="B31" s="13" t="s">
        <v>47</v>
      </c>
      <c r="C31" s="23" t="s">
        <v>100</v>
      </c>
      <c r="D31" s="23"/>
      <c r="E31" s="12">
        <f>E29+E30</f>
        <v>0</v>
      </c>
      <c r="F31" s="12" t="e">
        <f>F29+F30</f>
        <v>#REF!</v>
      </c>
      <c r="G31" s="12" t="e">
        <f>G29+G30</f>
        <v>#REF!</v>
      </c>
      <c r="H31" s="24" t="e">
        <f t="shared" ref="H31:AV31" si="50">H29+H30</f>
        <v>#REF!</v>
      </c>
      <c r="I31" s="24" t="e">
        <f t="shared" si="50"/>
        <v>#REF!</v>
      </c>
      <c r="J31" s="24" t="e">
        <f t="shared" si="50"/>
        <v>#REF!</v>
      </c>
      <c r="K31" s="24" t="e">
        <f t="shared" si="50"/>
        <v>#REF!</v>
      </c>
      <c r="L31" s="24" t="e">
        <f t="shared" si="50"/>
        <v>#REF!</v>
      </c>
      <c r="M31" s="24" t="e">
        <f t="shared" si="50"/>
        <v>#REF!</v>
      </c>
      <c r="N31" s="24" t="e">
        <f t="shared" si="50"/>
        <v>#REF!</v>
      </c>
      <c r="O31" s="24" t="e">
        <f t="shared" si="50"/>
        <v>#REF!</v>
      </c>
      <c r="P31" s="24" t="e">
        <f t="shared" si="50"/>
        <v>#REF!</v>
      </c>
      <c r="Q31" s="24" t="e">
        <f t="shared" si="50"/>
        <v>#REF!</v>
      </c>
      <c r="R31" s="24" t="e">
        <f t="shared" si="50"/>
        <v>#REF!</v>
      </c>
      <c r="S31" s="24" t="e">
        <f t="shared" si="50"/>
        <v>#REF!</v>
      </c>
      <c r="T31" s="24" t="e">
        <f t="shared" si="50"/>
        <v>#REF!</v>
      </c>
      <c r="U31" s="24" t="e">
        <f t="shared" si="50"/>
        <v>#REF!</v>
      </c>
      <c r="V31" s="24" t="e">
        <f t="shared" si="50"/>
        <v>#REF!</v>
      </c>
      <c r="W31" s="24" t="e">
        <f t="shared" si="50"/>
        <v>#REF!</v>
      </c>
      <c r="X31" s="24" t="e">
        <f t="shared" si="50"/>
        <v>#REF!</v>
      </c>
      <c r="Y31" s="24" t="e">
        <f t="shared" si="50"/>
        <v>#REF!</v>
      </c>
      <c r="Z31" s="24" t="e">
        <f t="shared" si="50"/>
        <v>#REF!</v>
      </c>
      <c r="AA31" s="24" t="e">
        <f t="shared" si="50"/>
        <v>#REF!</v>
      </c>
      <c r="AB31" s="24" t="e">
        <f t="shared" si="50"/>
        <v>#REF!</v>
      </c>
      <c r="AC31" s="24" t="e">
        <f t="shared" si="50"/>
        <v>#REF!</v>
      </c>
      <c r="AD31" s="24" t="e">
        <f t="shared" si="50"/>
        <v>#REF!</v>
      </c>
      <c r="AE31" s="24" t="e">
        <f t="shared" si="50"/>
        <v>#REF!</v>
      </c>
      <c r="AF31" s="24" t="e">
        <f t="shared" si="50"/>
        <v>#REF!</v>
      </c>
      <c r="AG31" s="24" t="e">
        <f t="shared" si="50"/>
        <v>#REF!</v>
      </c>
      <c r="AH31" s="24" t="e">
        <f t="shared" si="50"/>
        <v>#REF!</v>
      </c>
      <c r="AI31" s="24" t="e">
        <f t="shared" si="50"/>
        <v>#REF!</v>
      </c>
      <c r="AJ31" s="24" t="e">
        <f t="shared" si="50"/>
        <v>#REF!</v>
      </c>
      <c r="AK31" s="24" t="e">
        <f t="shared" si="50"/>
        <v>#REF!</v>
      </c>
      <c r="AL31" s="24" t="e">
        <f t="shared" si="50"/>
        <v>#REF!</v>
      </c>
      <c r="AM31" s="24" t="e">
        <f t="shared" si="50"/>
        <v>#REF!</v>
      </c>
      <c r="AN31" s="24" t="e">
        <f t="shared" si="50"/>
        <v>#REF!</v>
      </c>
      <c r="AO31" s="24" t="e">
        <f t="shared" si="50"/>
        <v>#REF!</v>
      </c>
      <c r="AP31" s="24" t="e">
        <f t="shared" si="50"/>
        <v>#REF!</v>
      </c>
      <c r="AQ31" s="24" t="e">
        <f t="shared" si="50"/>
        <v>#REF!</v>
      </c>
      <c r="AR31" s="24" t="e">
        <f t="shared" si="50"/>
        <v>#REF!</v>
      </c>
      <c r="AS31" s="24" t="e">
        <f t="shared" si="50"/>
        <v>#REF!</v>
      </c>
      <c r="AT31" s="24" t="e">
        <f t="shared" si="50"/>
        <v>#REF!</v>
      </c>
      <c r="AU31" s="24" t="e">
        <f t="shared" si="50"/>
        <v>#REF!</v>
      </c>
      <c r="AV31" s="24" t="e">
        <f t="shared" si="50"/>
        <v>#REF!</v>
      </c>
      <c r="AW31" s="26"/>
      <c r="AX31" s="27"/>
    </row>
    <row r="32" spans="1:50" ht="12.75" hidden="1" customHeight="1" outlineLevel="1">
      <c r="A32" s="296"/>
      <c r="B32" s="32"/>
      <c r="C32" s="23"/>
      <c r="D32" s="23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6"/>
      <c r="AX32" s="27"/>
    </row>
    <row r="33" spans="1:50" ht="12.75" hidden="1" customHeight="1" outlineLevel="1">
      <c r="A33" s="296"/>
      <c r="B33" s="13" t="s">
        <v>46</v>
      </c>
      <c r="C33" s="23"/>
      <c r="D33" s="23"/>
      <c r="E33" s="167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6"/>
      <c r="AX33" s="27"/>
    </row>
    <row r="34" spans="1:50" ht="12.75" hidden="1" customHeight="1" outlineLevel="1">
      <c r="A34" s="296"/>
      <c r="B34" s="28" t="s">
        <v>109</v>
      </c>
      <c r="C34" s="23" t="s">
        <v>42</v>
      </c>
      <c r="D34" s="23"/>
      <c r="E34" s="24">
        <f t="shared" ref="E34:AV34" si="51">ROUND(E7*E29/10^3,0)</f>
        <v>0</v>
      </c>
      <c r="F34" s="24" t="e">
        <f t="shared" si="51"/>
        <v>#REF!</v>
      </c>
      <c r="G34" s="24" t="e">
        <f t="shared" si="51"/>
        <v>#REF!</v>
      </c>
      <c r="H34" s="24" t="e">
        <f t="shared" si="51"/>
        <v>#REF!</v>
      </c>
      <c r="I34" s="24" t="e">
        <f t="shared" si="51"/>
        <v>#REF!</v>
      </c>
      <c r="J34" s="24" t="e">
        <f t="shared" ref="J34:O34" si="52">ROUND(J7*J29/10^3,0)</f>
        <v>#REF!</v>
      </c>
      <c r="K34" s="24" t="e">
        <f t="shared" si="52"/>
        <v>#REF!</v>
      </c>
      <c r="L34" s="24" t="e">
        <f t="shared" si="52"/>
        <v>#REF!</v>
      </c>
      <c r="M34" s="24" t="e">
        <f t="shared" si="52"/>
        <v>#REF!</v>
      </c>
      <c r="N34" s="24" t="e">
        <f t="shared" si="52"/>
        <v>#REF!</v>
      </c>
      <c r="O34" s="24" t="e">
        <f t="shared" si="52"/>
        <v>#REF!</v>
      </c>
      <c r="P34" s="24" t="e">
        <f t="shared" si="51"/>
        <v>#REF!</v>
      </c>
      <c r="Q34" s="24" t="e">
        <f t="shared" si="51"/>
        <v>#REF!</v>
      </c>
      <c r="R34" s="24" t="e">
        <f t="shared" si="51"/>
        <v>#REF!</v>
      </c>
      <c r="S34" s="24" t="e">
        <f t="shared" si="51"/>
        <v>#REF!</v>
      </c>
      <c r="T34" s="24" t="e">
        <f t="shared" si="51"/>
        <v>#REF!</v>
      </c>
      <c r="U34" s="24" t="e">
        <f>ROUND(U7*U29/10^3,0)</f>
        <v>#REF!</v>
      </c>
      <c r="V34" s="24" t="e">
        <f t="shared" si="51"/>
        <v>#REF!</v>
      </c>
      <c r="W34" s="24" t="e">
        <f t="shared" si="51"/>
        <v>#REF!</v>
      </c>
      <c r="X34" s="24" t="e">
        <f t="shared" si="51"/>
        <v>#REF!</v>
      </c>
      <c r="Y34" s="24" t="e">
        <f t="shared" si="51"/>
        <v>#REF!</v>
      </c>
      <c r="Z34" s="24" t="e">
        <f t="shared" si="51"/>
        <v>#REF!</v>
      </c>
      <c r="AA34" s="24" t="e">
        <f t="shared" si="51"/>
        <v>#REF!</v>
      </c>
      <c r="AB34" s="24" t="e">
        <f t="shared" si="51"/>
        <v>#REF!</v>
      </c>
      <c r="AC34" s="24" t="e">
        <f t="shared" si="51"/>
        <v>#REF!</v>
      </c>
      <c r="AD34" s="24" t="e">
        <f t="shared" si="51"/>
        <v>#REF!</v>
      </c>
      <c r="AE34" s="24" t="e">
        <f t="shared" si="51"/>
        <v>#REF!</v>
      </c>
      <c r="AF34" s="24" t="e">
        <f t="shared" si="51"/>
        <v>#REF!</v>
      </c>
      <c r="AG34" s="24" t="e">
        <f t="shared" si="51"/>
        <v>#REF!</v>
      </c>
      <c r="AH34" s="24" t="e">
        <f t="shared" si="51"/>
        <v>#REF!</v>
      </c>
      <c r="AI34" s="24" t="e">
        <f t="shared" si="51"/>
        <v>#REF!</v>
      </c>
      <c r="AJ34" s="24" t="e">
        <f t="shared" si="51"/>
        <v>#REF!</v>
      </c>
      <c r="AK34" s="24" t="e">
        <f t="shared" si="51"/>
        <v>#REF!</v>
      </c>
      <c r="AL34" s="24" t="e">
        <f t="shared" si="51"/>
        <v>#REF!</v>
      </c>
      <c r="AM34" s="24" t="e">
        <f t="shared" si="51"/>
        <v>#REF!</v>
      </c>
      <c r="AN34" s="24" t="e">
        <f t="shared" si="51"/>
        <v>#REF!</v>
      </c>
      <c r="AO34" s="24" t="e">
        <f t="shared" si="51"/>
        <v>#REF!</v>
      </c>
      <c r="AP34" s="24" t="e">
        <f t="shared" si="51"/>
        <v>#REF!</v>
      </c>
      <c r="AQ34" s="24" t="e">
        <f t="shared" si="51"/>
        <v>#REF!</v>
      </c>
      <c r="AR34" s="24" t="e">
        <f t="shared" si="51"/>
        <v>#REF!</v>
      </c>
      <c r="AS34" s="24" t="e">
        <f t="shared" si="51"/>
        <v>#REF!</v>
      </c>
      <c r="AT34" s="24" t="e">
        <f t="shared" si="51"/>
        <v>#REF!</v>
      </c>
      <c r="AU34" s="24" t="e">
        <f t="shared" si="51"/>
        <v>#REF!</v>
      </c>
      <c r="AV34" s="24" t="e">
        <f t="shared" si="51"/>
        <v>#REF!</v>
      </c>
      <c r="AW34" s="26"/>
      <c r="AX34" s="27"/>
    </row>
    <row r="35" spans="1:50" ht="12.75" hidden="1" customHeight="1" outlineLevel="1">
      <c r="A35" s="296"/>
      <c r="B35" s="28" t="s">
        <v>99</v>
      </c>
      <c r="C35" s="23" t="s">
        <v>42</v>
      </c>
      <c r="D35" s="23"/>
      <c r="E35" s="24">
        <f>IF(E30&gt;0,0,ROUND(E8*E30/10^3,0))</f>
        <v>0</v>
      </c>
      <c r="F35" s="24" t="e">
        <f>IF(F30&gt;0,0,ROUND(F8*F30/10^3,0))</f>
        <v>#REF!</v>
      </c>
      <c r="G35" s="24" t="e">
        <f>IF(G30&gt;0,0,ROUND(G8*G30/10^3,0))</f>
        <v>#REF!</v>
      </c>
      <c r="H35" s="24" t="e">
        <f>IF(H30&gt;0,0,ROUND(H8*H30/10^3,0))</f>
        <v>#REF!</v>
      </c>
      <c r="I35" s="24" t="e">
        <f>IF(I30&gt;0,0,ROUND(I8*I30/10^3,0))</f>
        <v>#REF!</v>
      </c>
      <c r="J35" s="24" t="e">
        <f t="shared" ref="J35:O35" si="53">(J30*J8)/10^3</f>
        <v>#REF!</v>
      </c>
      <c r="K35" s="24" t="e">
        <f t="shared" si="53"/>
        <v>#REF!</v>
      </c>
      <c r="L35" s="24" t="e">
        <f t="shared" si="53"/>
        <v>#REF!</v>
      </c>
      <c r="M35" s="24" t="e">
        <f t="shared" si="53"/>
        <v>#REF!</v>
      </c>
      <c r="N35" s="24" t="e">
        <f t="shared" si="53"/>
        <v>#REF!</v>
      </c>
      <c r="O35" s="24" t="e">
        <f t="shared" si="53"/>
        <v>#REF!</v>
      </c>
      <c r="P35" s="24" t="e">
        <f>(P30*P8)/10^3</f>
        <v>#REF!</v>
      </c>
      <c r="Q35" s="24" t="e">
        <f t="shared" ref="Q35:AV35" si="54">(Q30*Q8)/10^3</f>
        <v>#REF!</v>
      </c>
      <c r="R35" s="24" t="e">
        <f t="shared" si="54"/>
        <v>#REF!</v>
      </c>
      <c r="S35" s="24" t="e">
        <f t="shared" si="54"/>
        <v>#REF!</v>
      </c>
      <c r="T35" s="24" t="e">
        <f t="shared" si="54"/>
        <v>#REF!</v>
      </c>
      <c r="U35" s="24" t="e">
        <f t="shared" si="54"/>
        <v>#REF!</v>
      </c>
      <c r="V35" s="24" t="e">
        <f t="shared" si="54"/>
        <v>#REF!</v>
      </c>
      <c r="W35" s="24" t="e">
        <f t="shared" si="54"/>
        <v>#REF!</v>
      </c>
      <c r="X35" s="24" t="e">
        <f t="shared" si="54"/>
        <v>#REF!</v>
      </c>
      <c r="Y35" s="24" t="e">
        <f t="shared" si="54"/>
        <v>#REF!</v>
      </c>
      <c r="Z35" s="24" t="e">
        <f t="shared" si="54"/>
        <v>#REF!</v>
      </c>
      <c r="AA35" s="24" t="e">
        <f t="shared" si="54"/>
        <v>#REF!</v>
      </c>
      <c r="AB35" s="24" t="e">
        <f t="shared" si="54"/>
        <v>#REF!</v>
      </c>
      <c r="AC35" s="24" t="e">
        <f t="shared" si="54"/>
        <v>#REF!</v>
      </c>
      <c r="AD35" s="24" t="e">
        <f t="shared" si="54"/>
        <v>#REF!</v>
      </c>
      <c r="AE35" s="24" t="e">
        <f t="shared" si="54"/>
        <v>#REF!</v>
      </c>
      <c r="AF35" s="24" t="e">
        <f t="shared" si="54"/>
        <v>#REF!</v>
      </c>
      <c r="AG35" s="24" t="e">
        <f t="shared" si="54"/>
        <v>#REF!</v>
      </c>
      <c r="AH35" s="24" t="e">
        <f t="shared" si="54"/>
        <v>#REF!</v>
      </c>
      <c r="AI35" s="24" t="e">
        <f t="shared" si="54"/>
        <v>#REF!</v>
      </c>
      <c r="AJ35" s="24" t="e">
        <f t="shared" si="54"/>
        <v>#REF!</v>
      </c>
      <c r="AK35" s="24" t="e">
        <f t="shared" si="54"/>
        <v>#REF!</v>
      </c>
      <c r="AL35" s="24" t="e">
        <f t="shared" si="54"/>
        <v>#REF!</v>
      </c>
      <c r="AM35" s="24" t="e">
        <f t="shared" si="54"/>
        <v>#REF!</v>
      </c>
      <c r="AN35" s="24" t="e">
        <f t="shared" si="54"/>
        <v>#REF!</v>
      </c>
      <c r="AO35" s="24" t="e">
        <f t="shared" si="54"/>
        <v>#REF!</v>
      </c>
      <c r="AP35" s="24" t="e">
        <f t="shared" si="54"/>
        <v>#REF!</v>
      </c>
      <c r="AQ35" s="24" t="e">
        <f t="shared" si="54"/>
        <v>#REF!</v>
      </c>
      <c r="AR35" s="24" t="e">
        <f t="shared" si="54"/>
        <v>#REF!</v>
      </c>
      <c r="AS35" s="24" t="e">
        <f t="shared" si="54"/>
        <v>#REF!</v>
      </c>
      <c r="AT35" s="24" t="e">
        <f t="shared" si="54"/>
        <v>#REF!</v>
      </c>
      <c r="AU35" s="24" t="e">
        <f t="shared" si="54"/>
        <v>#REF!</v>
      </c>
      <c r="AV35" s="24" t="e">
        <f t="shared" si="54"/>
        <v>#REF!</v>
      </c>
      <c r="AW35" s="26"/>
      <c r="AX35" s="27"/>
    </row>
    <row r="36" spans="1:50" ht="12.75" hidden="1" customHeight="1" outlineLevel="1">
      <c r="A36" s="296"/>
      <c r="B36" s="33" t="s">
        <v>110</v>
      </c>
      <c r="C36" s="20" t="s">
        <v>42</v>
      </c>
      <c r="D36" s="20"/>
      <c r="E36" s="39">
        <f t="shared" ref="E36:AB36" si="55">SUM(E34:E35)</f>
        <v>0</v>
      </c>
      <c r="F36" s="39" t="e">
        <f t="shared" si="55"/>
        <v>#REF!</v>
      </c>
      <c r="G36" s="39" t="e">
        <f t="shared" si="55"/>
        <v>#REF!</v>
      </c>
      <c r="H36" s="39" t="e">
        <f t="shared" si="55"/>
        <v>#REF!</v>
      </c>
      <c r="I36" s="39" t="e">
        <f t="shared" si="55"/>
        <v>#REF!</v>
      </c>
      <c r="J36" s="39" t="e">
        <f t="shared" ref="J36:O36" si="56">SUM(J34:J35)</f>
        <v>#REF!</v>
      </c>
      <c r="K36" s="39" t="e">
        <f t="shared" si="56"/>
        <v>#REF!</v>
      </c>
      <c r="L36" s="39" t="e">
        <f t="shared" si="56"/>
        <v>#REF!</v>
      </c>
      <c r="M36" s="39" t="e">
        <f t="shared" si="56"/>
        <v>#REF!</v>
      </c>
      <c r="N36" s="39" t="e">
        <f t="shared" si="56"/>
        <v>#REF!</v>
      </c>
      <c r="O36" s="39" t="e">
        <f t="shared" si="56"/>
        <v>#REF!</v>
      </c>
      <c r="P36" s="39" t="e">
        <f t="shared" si="55"/>
        <v>#REF!</v>
      </c>
      <c r="Q36" s="39" t="e">
        <f t="shared" si="55"/>
        <v>#REF!</v>
      </c>
      <c r="R36" s="39" t="e">
        <f t="shared" si="55"/>
        <v>#REF!</v>
      </c>
      <c r="S36" s="39" t="e">
        <f t="shared" si="55"/>
        <v>#REF!</v>
      </c>
      <c r="T36" s="39" t="e">
        <f t="shared" si="55"/>
        <v>#REF!</v>
      </c>
      <c r="U36" s="39" t="e">
        <f t="shared" si="55"/>
        <v>#REF!</v>
      </c>
      <c r="V36" s="39" t="e">
        <f t="shared" si="55"/>
        <v>#REF!</v>
      </c>
      <c r="W36" s="39" t="e">
        <f t="shared" si="55"/>
        <v>#REF!</v>
      </c>
      <c r="X36" s="39" t="e">
        <f t="shared" si="55"/>
        <v>#REF!</v>
      </c>
      <c r="Y36" s="39" t="e">
        <f t="shared" si="55"/>
        <v>#REF!</v>
      </c>
      <c r="Z36" s="39" t="e">
        <f t="shared" si="55"/>
        <v>#REF!</v>
      </c>
      <c r="AA36" s="39" t="e">
        <f t="shared" si="55"/>
        <v>#REF!</v>
      </c>
      <c r="AB36" s="39" t="e">
        <f t="shared" si="55"/>
        <v>#REF!</v>
      </c>
      <c r="AC36" s="39" t="e">
        <f t="shared" ref="AC36:AV36" si="57">SUM(AC34:AC35)</f>
        <v>#REF!</v>
      </c>
      <c r="AD36" s="39" t="e">
        <f t="shared" si="57"/>
        <v>#REF!</v>
      </c>
      <c r="AE36" s="39" t="e">
        <f t="shared" si="57"/>
        <v>#REF!</v>
      </c>
      <c r="AF36" s="39" t="e">
        <f t="shared" si="57"/>
        <v>#REF!</v>
      </c>
      <c r="AG36" s="39" t="e">
        <f t="shared" si="57"/>
        <v>#REF!</v>
      </c>
      <c r="AH36" s="39" t="e">
        <f t="shared" si="57"/>
        <v>#REF!</v>
      </c>
      <c r="AI36" s="39" t="e">
        <f t="shared" si="57"/>
        <v>#REF!</v>
      </c>
      <c r="AJ36" s="39" t="e">
        <f t="shared" si="57"/>
        <v>#REF!</v>
      </c>
      <c r="AK36" s="39" t="e">
        <f t="shared" si="57"/>
        <v>#REF!</v>
      </c>
      <c r="AL36" s="39" t="e">
        <f t="shared" si="57"/>
        <v>#REF!</v>
      </c>
      <c r="AM36" s="39" t="e">
        <f t="shared" si="57"/>
        <v>#REF!</v>
      </c>
      <c r="AN36" s="39" t="e">
        <f t="shared" si="57"/>
        <v>#REF!</v>
      </c>
      <c r="AO36" s="39" t="e">
        <f t="shared" si="57"/>
        <v>#REF!</v>
      </c>
      <c r="AP36" s="39" t="e">
        <f t="shared" si="57"/>
        <v>#REF!</v>
      </c>
      <c r="AQ36" s="39" t="e">
        <f t="shared" si="57"/>
        <v>#REF!</v>
      </c>
      <c r="AR36" s="39" t="e">
        <f t="shared" si="57"/>
        <v>#REF!</v>
      </c>
      <c r="AS36" s="39" t="e">
        <f t="shared" si="57"/>
        <v>#REF!</v>
      </c>
      <c r="AT36" s="39" t="e">
        <f t="shared" si="57"/>
        <v>#REF!</v>
      </c>
      <c r="AU36" s="39" t="e">
        <f t="shared" si="57"/>
        <v>#REF!</v>
      </c>
      <c r="AV36" s="39" t="e">
        <f t="shared" si="57"/>
        <v>#REF!</v>
      </c>
      <c r="AW36" s="26"/>
      <c r="AX36" s="27"/>
    </row>
    <row r="37" spans="1:50" ht="12.75" hidden="1" customHeight="1" outlineLevel="1">
      <c r="A37" s="296"/>
      <c r="B37" s="33"/>
      <c r="C37" s="20"/>
      <c r="D37" s="20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7"/>
    </row>
    <row r="38" spans="1:50" ht="12.75" hidden="1" customHeight="1" outlineLevel="1">
      <c r="A38" s="296"/>
      <c r="B38" s="33" t="s">
        <v>194</v>
      </c>
      <c r="C38" s="20"/>
      <c r="D38" s="20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7"/>
    </row>
    <row r="39" spans="1:50" ht="12.75" hidden="1" customHeight="1" outlineLevel="1">
      <c r="A39" s="296"/>
      <c r="B39" s="28" t="s">
        <v>109</v>
      </c>
      <c r="C39" s="20" t="s">
        <v>102</v>
      </c>
      <c r="D39" s="20"/>
      <c r="E39" s="25">
        <f t="shared" ref="E39:AV39" si="58">IFERROR(E21/E15,0)</f>
        <v>0</v>
      </c>
      <c r="F39" s="25">
        <f t="shared" si="58"/>
        <v>0</v>
      </c>
      <c r="G39" s="25">
        <f t="shared" si="58"/>
        <v>0</v>
      </c>
      <c r="H39" s="25">
        <f t="shared" si="58"/>
        <v>0</v>
      </c>
      <c r="I39" s="25">
        <f t="shared" si="58"/>
        <v>0</v>
      </c>
      <c r="J39" s="25">
        <f t="shared" si="58"/>
        <v>0</v>
      </c>
      <c r="K39" s="25">
        <f t="shared" si="58"/>
        <v>0</v>
      </c>
      <c r="L39" s="25">
        <f t="shared" si="58"/>
        <v>0</v>
      </c>
      <c r="M39" s="25">
        <f t="shared" si="58"/>
        <v>0</v>
      </c>
      <c r="N39" s="25">
        <f t="shared" si="58"/>
        <v>0</v>
      </c>
      <c r="O39" s="25">
        <f t="shared" si="58"/>
        <v>0</v>
      </c>
      <c r="P39" s="25">
        <f t="shared" si="58"/>
        <v>0</v>
      </c>
      <c r="Q39" s="25">
        <f t="shared" si="58"/>
        <v>0</v>
      </c>
      <c r="R39" s="25">
        <f t="shared" si="58"/>
        <v>0</v>
      </c>
      <c r="S39" s="25">
        <f t="shared" si="58"/>
        <v>0</v>
      </c>
      <c r="T39" s="25">
        <f t="shared" si="58"/>
        <v>0</v>
      </c>
      <c r="U39" s="25">
        <f t="shared" si="58"/>
        <v>0</v>
      </c>
      <c r="V39" s="25">
        <f t="shared" si="58"/>
        <v>0</v>
      </c>
      <c r="W39" s="25">
        <f t="shared" si="58"/>
        <v>0</v>
      </c>
      <c r="X39" s="25">
        <f t="shared" si="58"/>
        <v>0</v>
      </c>
      <c r="Y39" s="25">
        <f t="shared" si="58"/>
        <v>0</v>
      </c>
      <c r="Z39" s="25">
        <f t="shared" si="58"/>
        <v>0</v>
      </c>
      <c r="AA39" s="25">
        <f t="shared" si="58"/>
        <v>0</v>
      </c>
      <c r="AB39" s="25">
        <f t="shared" si="58"/>
        <v>0</v>
      </c>
      <c r="AC39" s="25">
        <f t="shared" si="58"/>
        <v>0</v>
      </c>
      <c r="AD39" s="25">
        <f t="shared" si="58"/>
        <v>0</v>
      </c>
      <c r="AE39" s="25">
        <f t="shared" si="58"/>
        <v>0</v>
      </c>
      <c r="AF39" s="25">
        <f t="shared" si="58"/>
        <v>0</v>
      </c>
      <c r="AG39" s="25">
        <f t="shared" si="58"/>
        <v>0</v>
      </c>
      <c r="AH39" s="25">
        <f t="shared" si="58"/>
        <v>0</v>
      </c>
      <c r="AI39" s="25">
        <f t="shared" si="58"/>
        <v>0</v>
      </c>
      <c r="AJ39" s="25">
        <f t="shared" si="58"/>
        <v>0</v>
      </c>
      <c r="AK39" s="25">
        <f t="shared" si="58"/>
        <v>0</v>
      </c>
      <c r="AL39" s="25">
        <f t="shared" si="58"/>
        <v>0</v>
      </c>
      <c r="AM39" s="25">
        <f t="shared" si="58"/>
        <v>0</v>
      </c>
      <c r="AN39" s="25">
        <f t="shared" si="58"/>
        <v>0</v>
      </c>
      <c r="AO39" s="25">
        <f t="shared" si="58"/>
        <v>0</v>
      </c>
      <c r="AP39" s="25">
        <f t="shared" si="58"/>
        <v>0</v>
      </c>
      <c r="AQ39" s="25">
        <f t="shared" si="58"/>
        <v>0</v>
      </c>
      <c r="AR39" s="25">
        <f t="shared" si="58"/>
        <v>0</v>
      </c>
      <c r="AS39" s="25">
        <f t="shared" si="58"/>
        <v>0</v>
      </c>
      <c r="AT39" s="25">
        <f t="shared" si="58"/>
        <v>0</v>
      </c>
      <c r="AU39" s="25">
        <f t="shared" si="58"/>
        <v>0</v>
      </c>
      <c r="AV39" s="25">
        <f t="shared" si="58"/>
        <v>0</v>
      </c>
      <c r="AW39" s="26"/>
      <c r="AX39" s="27"/>
    </row>
    <row r="40" spans="1:50" ht="12.75" hidden="1" customHeight="1" outlineLevel="1">
      <c r="A40" s="296"/>
      <c r="B40" s="28" t="s">
        <v>99</v>
      </c>
      <c r="C40" s="20" t="s">
        <v>102</v>
      </c>
      <c r="D40" s="20"/>
      <c r="E40" s="25">
        <f t="shared" ref="E40:AV40" si="59">IFERROR(E25/E16,0)</f>
        <v>0</v>
      </c>
      <c r="F40" s="25">
        <f t="shared" si="59"/>
        <v>0</v>
      </c>
      <c r="G40" s="25">
        <f t="shared" si="59"/>
        <v>0</v>
      </c>
      <c r="H40" s="25">
        <f t="shared" si="59"/>
        <v>0</v>
      </c>
      <c r="I40" s="25">
        <f t="shared" si="59"/>
        <v>0</v>
      </c>
      <c r="J40" s="25">
        <f t="shared" si="59"/>
        <v>0</v>
      </c>
      <c r="K40" s="25">
        <f t="shared" si="59"/>
        <v>0</v>
      </c>
      <c r="L40" s="25">
        <f t="shared" si="59"/>
        <v>0</v>
      </c>
      <c r="M40" s="25">
        <f t="shared" si="59"/>
        <v>0</v>
      </c>
      <c r="N40" s="25">
        <f t="shared" si="59"/>
        <v>0</v>
      </c>
      <c r="O40" s="25">
        <f t="shared" si="59"/>
        <v>0</v>
      </c>
      <c r="P40" s="25">
        <f t="shared" si="59"/>
        <v>0</v>
      </c>
      <c r="Q40" s="25">
        <f t="shared" si="59"/>
        <v>0</v>
      </c>
      <c r="R40" s="25">
        <f t="shared" si="59"/>
        <v>0</v>
      </c>
      <c r="S40" s="25">
        <f t="shared" si="59"/>
        <v>0</v>
      </c>
      <c r="T40" s="25">
        <f t="shared" si="59"/>
        <v>0</v>
      </c>
      <c r="U40" s="25">
        <f t="shared" si="59"/>
        <v>0</v>
      </c>
      <c r="V40" s="25">
        <f t="shared" si="59"/>
        <v>0</v>
      </c>
      <c r="W40" s="25">
        <f t="shared" si="59"/>
        <v>0</v>
      </c>
      <c r="X40" s="25">
        <f t="shared" si="59"/>
        <v>0</v>
      </c>
      <c r="Y40" s="25">
        <f t="shared" si="59"/>
        <v>0</v>
      </c>
      <c r="Z40" s="25">
        <f t="shared" si="59"/>
        <v>0</v>
      </c>
      <c r="AA40" s="25">
        <f t="shared" si="59"/>
        <v>0</v>
      </c>
      <c r="AB40" s="25">
        <f t="shared" si="59"/>
        <v>0</v>
      </c>
      <c r="AC40" s="25">
        <f t="shared" si="59"/>
        <v>0</v>
      </c>
      <c r="AD40" s="25">
        <f t="shared" si="59"/>
        <v>0</v>
      </c>
      <c r="AE40" s="25">
        <f t="shared" si="59"/>
        <v>0</v>
      </c>
      <c r="AF40" s="25">
        <f t="shared" si="59"/>
        <v>0</v>
      </c>
      <c r="AG40" s="25">
        <f t="shared" si="59"/>
        <v>0</v>
      </c>
      <c r="AH40" s="25">
        <f t="shared" si="59"/>
        <v>0</v>
      </c>
      <c r="AI40" s="25">
        <f t="shared" si="59"/>
        <v>0</v>
      </c>
      <c r="AJ40" s="25">
        <f t="shared" si="59"/>
        <v>0</v>
      </c>
      <c r="AK40" s="25">
        <f t="shared" si="59"/>
        <v>0</v>
      </c>
      <c r="AL40" s="25">
        <f t="shared" si="59"/>
        <v>0</v>
      </c>
      <c r="AM40" s="25">
        <f t="shared" si="59"/>
        <v>0</v>
      </c>
      <c r="AN40" s="25">
        <f t="shared" si="59"/>
        <v>0</v>
      </c>
      <c r="AO40" s="25">
        <f t="shared" si="59"/>
        <v>0</v>
      </c>
      <c r="AP40" s="25">
        <f t="shared" si="59"/>
        <v>0</v>
      </c>
      <c r="AQ40" s="25">
        <f t="shared" si="59"/>
        <v>0</v>
      </c>
      <c r="AR40" s="25">
        <f t="shared" si="59"/>
        <v>0</v>
      </c>
      <c r="AS40" s="25">
        <f t="shared" si="59"/>
        <v>0</v>
      </c>
      <c r="AT40" s="25">
        <f t="shared" si="59"/>
        <v>0</v>
      </c>
      <c r="AU40" s="25">
        <f t="shared" si="59"/>
        <v>0</v>
      </c>
      <c r="AV40" s="25">
        <f t="shared" si="59"/>
        <v>0</v>
      </c>
      <c r="AW40" s="26"/>
      <c r="AX40" s="27"/>
    </row>
    <row r="41" spans="1:50" ht="12.75" hidden="1" customHeight="1" outlineLevel="1">
      <c r="A41" s="296"/>
      <c r="B41" s="33" t="s">
        <v>47</v>
      </c>
      <c r="C41" s="20" t="s">
        <v>102</v>
      </c>
      <c r="D41" s="20"/>
      <c r="E41" s="234">
        <f t="shared" ref="E41:AV41" si="60">IFERROR((E25+E21)/(E15+E16),0)</f>
        <v>0</v>
      </c>
      <c r="F41" s="234">
        <f t="shared" si="60"/>
        <v>0</v>
      </c>
      <c r="G41" s="234">
        <f t="shared" si="60"/>
        <v>0</v>
      </c>
      <c r="H41" s="234">
        <f t="shared" si="60"/>
        <v>0</v>
      </c>
      <c r="I41" s="234">
        <f t="shared" si="60"/>
        <v>0</v>
      </c>
      <c r="J41" s="234">
        <f t="shared" si="60"/>
        <v>0</v>
      </c>
      <c r="K41" s="234">
        <f t="shared" si="60"/>
        <v>0</v>
      </c>
      <c r="L41" s="234">
        <f t="shared" si="60"/>
        <v>0</v>
      </c>
      <c r="M41" s="234">
        <f t="shared" si="60"/>
        <v>0</v>
      </c>
      <c r="N41" s="234">
        <f t="shared" si="60"/>
        <v>0</v>
      </c>
      <c r="O41" s="234">
        <f t="shared" si="60"/>
        <v>0</v>
      </c>
      <c r="P41" s="234">
        <f t="shared" si="60"/>
        <v>0</v>
      </c>
      <c r="Q41" s="234">
        <f t="shared" si="60"/>
        <v>0</v>
      </c>
      <c r="R41" s="234">
        <f t="shared" si="60"/>
        <v>0</v>
      </c>
      <c r="S41" s="234">
        <f t="shared" si="60"/>
        <v>0</v>
      </c>
      <c r="T41" s="234">
        <f t="shared" si="60"/>
        <v>0</v>
      </c>
      <c r="U41" s="234">
        <f t="shared" si="60"/>
        <v>0</v>
      </c>
      <c r="V41" s="234">
        <f t="shared" si="60"/>
        <v>0</v>
      </c>
      <c r="W41" s="234">
        <f t="shared" si="60"/>
        <v>0</v>
      </c>
      <c r="X41" s="234">
        <f t="shared" si="60"/>
        <v>0</v>
      </c>
      <c r="Y41" s="234">
        <f t="shared" si="60"/>
        <v>0</v>
      </c>
      <c r="Z41" s="234">
        <f t="shared" si="60"/>
        <v>0</v>
      </c>
      <c r="AA41" s="234">
        <f t="shared" si="60"/>
        <v>0</v>
      </c>
      <c r="AB41" s="234">
        <f t="shared" si="60"/>
        <v>0</v>
      </c>
      <c r="AC41" s="234">
        <f t="shared" si="60"/>
        <v>0</v>
      </c>
      <c r="AD41" s="234">
        <f t="shared" si="60"/>
        <v>0</v>
      </c>
      <c r="AE41" s="234">
        <f t="shared" si="60"/>
        <v>0</v>
      </c>
      <c r="AF41" s="234">
        <f t="shared" si="60"/>
        <v>0</v>
      </c>
      <c r="AG41" s="234">
        <f t="shared" si="60"/>
        <v>0</v>
      </c>
      <c r="AH41" s="234">
        <f t="shared" si="60"/>
        <v>0</v>
      </c>
      <c r="AI41" s="234">
        <f t="shared" si="60"/>
        <v>0</v>
      </c>
      <c r="AJ41" s="234">
        <f t="shared" si="60"/>
        <v>0</v>
      </c>
      <c r="AK41" s="234">
        <f t="shared" si="60"/>
        <v>0</v>
      </c>
      <c r="AL41" s="234">
        <f t="shared" si="60"/>
        <v>0</v>
      </c>
      <c r="AM41" s="234">
        <f t="shared" si="60"/>
        <v>0</v>
      </c>
      <c r="AN41" s="234">
        <f t="shared" si="60"/>
        <v>0</v>
      </c>
      <c r="AO41" s="234">
        <f t="shared" si="60"/>
        <v>0</v>
      </c>
      <c r="AP41" s="234">
        <f t="shared" si="60"/>
        <v>0</v>
      </c>
      <c r="AQ41" s="234">
        <f t="shared" si="60"/>
        <v>0</v>
      </c>
      <c r="AR41" s="234">
        <f t="shared" si="60"/>
        <v>0</v>
      </c>
      <c r="AS41" s="234">
        <f t="shared" si="60"/>
        <v>0</v>
      </c>
      <c r="AT41" s="234">
        <f t="shared" si="60"/>
        <v>0</v>
      </c>
      <c r="AU41" s="234">
        <f t="shared" si="60"/>
        <v>0</v>
      </c>
      <c r="AV41" s="234">
        <f t="shared" si="60"/>
        <v>0</v>
      </c>
      <c r="AW41" s="26"/>
      <c r="AX41" s="27"/>
    </row>
    <row r="42" spans="1:50" ht="12.75" hidden="1" customHeight="1" outlineLevel="1">
      <c r="A42" s="296"/>
      <c r="B42" s="33"/>
      <c r="C42" s="20"/>
      <c r="D42" s="20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7"/>
    </row>
    <row r="43" spans="1:50" customFormat="1" collapsed="1">
      <c r="A43" s="295" t="s">
        <v>138</v>
      </c>
      <c r="B43" s="21" t="s">
        <v>266</v>
      </c>
      <c r="C43" s="22"/>
      <c r="D43" s="145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20"/>
      <c r="AX43" s="2"/>
    </row>
    <row r="44" spans="1:50" ht="12.75" hidden="1" customHeight="1" outlineLevel="1">
      <c r="A44" s="296"/>
      <c r="B44" s="197" t="s">
        <v>101</v>
      </c>
      <c r="C44" s="203"/>
      <c r="D44" s="32"/>
      <c r="E44" s="12"/>
      <c r="F44" s="12"/>
      <c r="G44" s="12"/>
      <c r="H44" s="12"/>
      <c r="I44" s="12"/>
      <c r="J44" s="25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26"/>
      <c r="AX44" s="10"/>
    </row>
    <row r="45" spans="1:50" ht="12.75" hidden="1" customHeight="1" outlineLevel="1">
      <c r="A45" s="296"/>
      <c r="B45" s="300" t="s">
        <v>265</v>
      </c>
      <c r="C45" s="206" t="s">
        <v>149</v>
      </c>
      <c r="D45" s="32"/>
      <c r="E45" s="12"/>
      <c r="F45" s="12"/>
      <c r="G45" s="12"/>
      <c r="H45" s="12"/>
      <c r="I45" s="12"/>
      <c r="J45" s="25"/>
      <c r="K45" s="26">
        <f>K47+K50</f>
        <v>8000</v>
      </c>
      <c r="L45" s="26">
        <f t="shared" ref="L45:AV45" si="61">L47+L50</f>
        <v>9280</v>
      </c>
      <c r="M45" s="26">
        <f t="shared" si="61"/>
        <v>9280</v>
      </c>
      <c r="N45" s="26">
        <f t="shared" si="61"/>
        <v>9280</v>
      </c>
      <c r="O45" s="26">
        <f t="shared" si="61"/>
        <v>9280</v>
      </c>
      <c r="P45" s="26">
        <f t="shared" si="61"/>
        <v>9280</v>
      </c>
      <c r="Q45" s="26">
        <f t="shared" si="61"/>
        <v>9280</v>
      </c>
      <c r="R45" s="26">
        <f t="shared" si="61"/>
        <v>16250</v>
      </c>
      <c r="S45" s="26">
        <f t="shared" si="61"/>
        <v>24500</v>
      </c>
      <c r="T45" s="26">
        <f t="shared" si="61"/>
        <v>24500</v>
      </c>
      <c r="U45" s="26">
        <f t="shared" si="61"/>
        <v>24500</v>
      </c>
      <c r="V45" s="26">
        <f t="shared" si="61"/>
        <v>24500</v>
      </c>
      <c r="W45" s="26">
        <f t="shared" si="61"/>
        <v>24500</v>
      </c>
      <c r="X45" s="26">
        <f t="shared" si="61"/>
        <v>24500</v>
      </c>
      <c r="Y45" s="26">
        <f t="shared" si="61"/>
        <v>24500</v>
      </c>
      <c r="Z45" s="26">
        <f t="shared" si="61"/>
        <v>24500</v>
      </c>
      <c r="AA45" s="26">
        <f t="shared" si="61"/>
        <v>24500</v>
      </c>
      <c r="AB45" s="26">
        <f t="shared" si="61"/>
        <v>24500</v>
      </c>
      <c r="AC45" s="26">
        <f t="shared" si="61"/>
        <v>24500</v>
      </c>
      <c r="AD45" s="26">
        <f t="shared" si="61"/>
        <v>24500</v>
      </c>
      <c r="AE45" s="26">
        <f t="shared" si="61"/>
        <v>24500</v>
      </c>
      <c r="AF45" s="26">
        <f t="shared" si="61"/>
        <v>24500</v>
      </c>
      <c r="AG45" s="26">
        <f t="shared" si="61"/>
        <v>24500</v>
      </c>
      <c r="AH45" s="26">
        <f t="shared" si="61"/>
        <v>24500</v>
      </c>
      <c r="AI45" s="26">
        <f t="shared" si="61"/>
        <v>24500</v>
      </c>
      <c r="AJ45" s="26">
        <f t="shared" si="61"/>
        <v>24500</v>
      </c>
      <c r="AK45" s="26">
        <f t="shared" si="61"/>
        <v>24500</v>
      </c>
      <c r="AL45" s="26">
        <f t="shared" si="61"/>
        <v>24500</v>
      </c>
      <c r="AM45" s="26">
        <f t="shared" si="61"/>
        <v>24500</v>
      </c>
      <c r="AN45" s="26">
        <f t="shared" si="61"/>
        <v>24500</v>
      </c>
      <c r="AO45" s="26">
        <f t="shared" si="61"/>
        <v>24500</v>
      </c>
      <c r="AP45" s="26">
        <f t="shared" si="61"/>
        <v>24500</v>
      </c>
      <c r="AQ45" s="26">
        <f t="shared" si="61"/>
        <v>24500</v>
      </c>
      <c r="AR45" s="26">
        <f t="shared" si="61"/>
        <v>24500</v>
      </c>
      <c r="AS45" s="26">
        <f t="shared" si="61"/>
        <v>24500</v>
      </c>
      <c r="AT45" s="26">
        <f t="shared" si="61"/>
        <v>24500</v>
      </c>
      <c r="AU45" s="26">
        <f t="shared" si="61"/>
        <v>24500</v>
      </c>
      <c r="AV45" s="26">
        <f t="shared" si="61"/>
        <v>24500</v>
      </c>
      <c r="AW45" s="26"/>
      <c r="AX45" s="10"/>
    </row>
    <row r="46" spans="1:50" ht="12.75" hidden="1" customHeight="1" outlineLevel="1">
      <c r="A46" s="296"/>
      <c r="B46" s="197"/>
      <c r="C46" s="203"/>
      <c r="D46" s="32"/>
      <c r="E46" s="12"/>
      <c r="F46" s="12"/>
      <c r="G46" s="12"/>
      <c r="H46" s="12"/>
      <c r="I46" s="12"/>
      <c r="J46" s="25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26"/>
      <c r="AX46" s="10"/>
    </row>
    <row r="47" spans="1:50" ht="12.75" hidden="1" customHeight="1" outlineLevel="1">
      <c r="A47" s="296"/>
      <c r="B47" s="200" t="s">
        <v>305</v>
      </c>
      <c r="C47" s="204" t="s">
        <v>149</v>
      </c>
      <c r="D47" s="32"/>
      <c r="E47" s="9"/>
      <c r="F47" s="9"/>
      <c r="G47" s="9"/>
      <c r="H47" s="9"/>
      <c r="I47" s="9"/>
      <c r="J47" s="9"/>
      <c r="K47" s="280">
        <v>8000</v>
      </c>
      <c r="L47" s="260">
        <f>K47</f>
        <v>8000</v>
      </c>
      <c r="M47" s="260">
        <f t="shared" ref="M47:AV47" si="62">L47</f>
        <v>8000</v>
      </c>
      <c r="N47" s="260">
        <f t="shared" si="62"/>
        <v>8000</v>
      </c>
      <c r="O47" s="260">
        <f t="shared" si="62"/>
        <v>8000</v>
      </c>
      <c r="P47" s="260">
        <f t="shared" si="62"/>
        <v>8000</v>
      </c>
      <c r="Q47" s="260">
        <f t="shared" si="62"/>
        <v>8000</v>
      </c>
      <c r="R47" s="260">
        <f t="shared" si="62"/>
        <v>8000</v>
      </c>
      <c r="S47" s="260">
        <f t="shared" si="62"/>
        <v>8000</v>
      </c>
      <c r="T47" s="260">
        <f t="shared" si="62"/>
        <v>8000</v>
      </c>
      <c r="U47" s="260">
        <f t="shared" si="62"/>
        <v>8000</v>
      </c>
      <c r="V47" s="260">
        <f t="shared" si="62"/>
        <v>8000</v>
      </c>
      <c r="W47" s="260">
        <f t="shared" si="62"/>
        <v>8000</v>
      </c>
      <c r="X47" s="260">
        <f t="shared" si="62"/>
        <v>8000</v>
      </c>
      <c r="Y47" s="260">
        <f t="shared" si="62"/>
        <v>8000</v>
      </c>
      <c r="Z47" s="260">
        <f t="shared" si="62"/>
        <v>8000</v>
      </c>
      <c r="AA47" s="260">
        <f t="shared" si="62"/>
        <v>8000</v>
      </c>
      <c r="AB47" s="260">
        <f t="shared" si="62"/>
        <v>8000</v>
      </c>
      <c r="AC47" s="260">
        <f t="shared" si="62"/>
        <v>8000</v>
      </c>
      <c r="AD47" s="260">
        <f t="shared" si="62"/>
        <v>8000</v>
      </c>
      <c r="AE47" s="260">
        <f t="shared" si="62"/>
        <v>8000</v>
      </c>
      <c r="AF47" s="260">
        <f t="shared" si="62"/>
        <v>8000</v>
      </c>
      <c r="AG47" s="260">
        <f t="shared" si="62"/>
        <v>8000</v>
      </c>
      <c r="AH47" s="260">
        <f t="shared" si="62"/>
        <v>8000</v>
      </c>
      <c r="AI47" s="260">
        <f t="shared" si="62"/>
        <v>8000</v>
      </c>
      <c r="AJ47" s="260">
        <f t="shared" si="62"/>
        <v>8000</v>
      </c>
      <c r="AK47" s="260">
        <f t="shared" si="62"/>
        <v>8000</v>
      </c>
      <c r="AL47" s="260">
        <f t="shared" si="62"/>
        <v>8000</v>
      </c>
      <c r="AM47" s="260">
        <f t="shared" si="62"/>
        <v>8000</v>
      </c>
      <c r="AN47" s="260">
        <f t="shared" si="62"/>
        <v>8000</v>
      </c>
      <c r="AO47" s="260">
        <f t="shared" si="62"/>
        <v>8000</v>
      </c>
      <c r="AP47" s="260">
        <f t="shared" si="62"/>
        <v>8000</v>
      </c>
      <c r="AQ47" s="260">
        <f t="shared" si="62"/>
        <v>8000</v>
      </c>
      <c r="AR47" s="260">
        <f t="shared" si="62"/>
        <v>8000</v>
      </c>
      <c r="AS47" s="260">
        <f t="shared" si="62"/>
        <v>8000</v>
      </c>
      <c r="AT47" s="260">
        <f t="shared" si="62"/>
        <v>8000</v>
      </c>
      <c r="AU47" s="260">
        <f t="shared" si="62"/>
        <v>8000</v>
      </c>
      <c r="AV47" s="260">
        <f t="shared" si="62"/>
        <v>8000</v>
      </c>
      <c r="AW47" s="26"/>
      <c r="AX47" s="10"/>
    </row>
    <row r="48" spans="1:50" ht="12.75" hidden="1" customHeight="1" outlineLevel="1">
      <c r="A48" s="296"/>
      <c r="B48" s="200" t="s">
        <v>97</v>
      </c>
      <c r="C48" s="204" t="s">
        <v>102</v>
      </c>
      <c r="D48" s="32"/>
      <c r="E48" s="84"/>
      <c r="F48" s="84"/>
      <c r="G48" s="84"/>
      <c r="H48" s="84"/>
      <c r="I48" s="84"/>
      <c r="J48" s="84"/>
      <c r="K48" s="423">
        <f>K47/K55</f>
        <v>0.7441860465116279</v>
      </c>
      <c r="L48" s="423">
        <f t="shared" ref="L48:AV48" si="63">L47/L55</f>
        <v>0.7441860465116279</v>
      </c>
      <c r="M48" s="423">
        <f t="shared" si="63"/>
        <v>0.7441860465116279</v>
      </c>
      <c r="N48" s="423">
        <f t="shared" si="63"/>
        <v>0.7441860465116279</v>
      </c>
      <c r="O48" s="423">
        <f t="shared" si="63"/>
        <v>0.7441860465116279</v>
      </c>
      <c r="P48" s="423">
        <f t="shared" si="63"/>
        <v>0.7441860465116279</v>
      </c>
      <c r="Q48" s="423">
        <f t="shared" si="63"/>
        <v>0.7441860465116279</v>
      </c>
      <c r="R48" s="423">
        <f t="shared" si="63"/>
        <v>0.7441860465116279</v>
      </c>
      <c r="S48" s="423">
        <f t="shared" si="63"/>
        <v>0.7441860465116279</v>
      </c>
      <c r="T48" s="423">
        <f t="shared" si="63"/>
        <v>0.7441860465116279</v>
      </c>
      <c r="U48" s="423">
        <f t="shared" si="63"/>
        <v>0.7441860465116279</v>
      </c>
      <c r="V48" s="423">
        <f t="shared" si="63"/>
        <v>0.7441860465116279</v>
      </c>
      <c r="W48" s="423">
        <f t="shared" si="63"/>
        <v>0.7441860465116279</v>
      </c>
      <c r="X48" s="423">
        <f t="shared" si="63"/>
        <v>0.7441860465116279</v>
      </c>
      <c r="Y48" s="423">
        <f t="shared" si="63"/>
        <v>0.7441860465116279</v>
      </c>
      <c r="Z48" s="423">
        <f t="shared" si="63"/>
        <v>0.7441860465116279</v>
      </c>
      <c r="AA48" s="423">
        <f t="shared" si="63"/>
        <v>0.7441860465116279</v>
      </c>
      <c r="AB48" s="423">
        <f t="shared" si="63"/>
        <v>0.7441860465116279</v>
      </c>
      <c r="AC48" s="423">
        <f t="shared" si="63"/>
        <v>0.7441860465116279</v>
      </c>
      <c r="AD48" s="423">
        <f t="shared" si="63"/>
        <v>0.7441860465116279</v>
      </c>
      <c r="AE48" s="423">
        <f t="shared" si="63"/>
        <v>0.7441860465116279</v>
      </c>
      <c r="AF48" s="423">
        <f t="shared" si="63"/>
        <v>0.7441860465116279</v>
      </c>
      <c r="AG48" s="423">
        <f t="shared" si="63"/>
        <v>0.7441860465116279</v>
      </c>
      <c r="AH48" s="423">
        <f t="shared" si="63"/>
        <v>0.7441860465116279</v>
      </c>
      <c r="AI48" s="423">
        <f t="shared" si="63"/>
        <v>0.7441860465116279</v>
      </c>
      <c r="AJ48" s="423">
        <f t="shared" si="63"/>
        <v>0.7441860465116279</v>
      </c>
      <c r="AK48" s="423">
        <f t="shared" si="63"/>
        <v>0.7441860465116279</v>
      </c>
      <c r="AL48" s="423">
        <f t="shared" si="63"/>
        <v>0.7441860465116279</v>
      </c>
      <c r="AM48" s="423">
        <f t="shared" si="63"/>
        <v>0.7441860465116279</v>
      </c>
      <c r="AN48" s="423">
        <f t="shared" si="63"/>
        <v>0.7441860465116279</v>
      </c>
      <c r="AO48" s="423">
        <f t="shared" si="63"/>
        <v>0.7441860465116279</v>
      </c>
      <c r="AP48" s="423">
        <f t="shared" si="63"/>
        <v>0.7441860465116279</v>
      </c>
      <c r="AQ48" s="423">
        <f t="shared" si="63"/>
        <v>0.7441860465116279</v>
      </c>
      <c r="AR48" s="423">
        <f t="shared" si="63"/>
        <v>0.7441860465116279</v>
      </c>
      <c r="AS48" s="423">
        <f t="shared" si="63"/>
        <v>0.7441860465116279</v>
      </c>
      <c r="AT48" s="423">
        <f t="shared" si="63"/>
        <v>0.7441860465116279</v>
      </c>
      <c r="AU48" s="423">
        <f t="shared" si="63"/>
        <v>0.7441860465116279</v>
      </c>
      <c r="AV48" s="423">
        <f t="shared" si="63"/>
        <v>0.7441860465116279</v>
      </c>
      <c r="AW48" s="26"/>
      <c r="AX48" s="10"/>
    </row>
    <row r="49" spans="1:50" ht="12.75" hidden="1" customHeight="1" outlineLevel="1">
      <c r="A49" s="296"/>
      <c r="B49" s="198"/>
      <c r="C49" s="204"/>
      <c r="D49" s="32"/>
      <c r="E49" s="25"/>
      <c r="F49" s="26"/>
      <c r="G49" s="26"/>
      <c r="H49" s="26"/>
      <c r="I49" s="26"/>
      <c r="J49" s="26"/>
      <c r="K49" s="260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10"/>
    </row>
    <row r="50" spans="1:50" ht="12.75" hidden="1" customHeight="1" outlineLevel="1">
      <c r="A50" s="296"/>
      <c r="B50" s="200" t="s">
        <v>304</v>
      </c>
      <c r="C50" s="204" t="s">
        <v>149</v>
      </c>
      <c r="D50" s="32"/>
      <c r="E50" s="84"/>
      <c r="F50" s="84"/>
      <c r="G50" s="84"/>
      <c r="H50" s="84"/>
      <c r="I50" s="84"/>
      <c r="J50" s="84"/>
      <c r="K50" s="9">
        <f t="shared" ref="K50" si="64">K56*K51</f>
        <v>0</v>
      </c>
      <c r="L50" s="280">
        <v>1280</v>
      </c>
      <c r="M50" s="9">
        <f>L50</f>
        <v>1280</v>
      </c>
      <c r="N50" s="9">
        <f t="shared" ref="N50:AV50" si="65">M50</f>
        <v>1280</v>
      </c>
      <c r="O50" s="9">
        <f t="shared" si="65"/>
        <v>1280</v>
      </c>
      <c r="P50" s="9">
        <f t="shared" si="65"/>
        <v>1280</v>
      </c>
      <c r="Q50" s="9">
        <f t="shared" si="65"/>
        <v>1280</v>
      </c>
      <c r="R50" s="280">
        <f>R56*75%</f>
        <v>8250</v>
      </c>
      <c r="S50" s="280">
        <f>S56*75%</f>
        <v>16500</v>
      </c>
      <c r="T50" s="9">
        <f t="shared" ref="T50" si="66">S50</f>
        <v>16500</v>
      </c>
      <c r="U50" s="9">
        <f t="shared" si="65"/>
        <v>16500</v>
      </c>
      <c r="V50" s="9">
        <f t="shared" si="65"/>
        <v>16500</v>
      </c>
      <c r="W50" s="9">
        <f t="shared" si="65"/>
        <v>16500</v>
      </c>
      <c r="X50" s="9">
        <f t="shared" si="65"/>
        <v>16500</v>
      </c>
      <c r="Y50" s="9">
        <f t="shared" si="65"/>
        <v>16500</v>
      </c>
      <c r="Z50" s="9">
        <f t="shared" si="65"/>
        <v>16500</v>
      </c>
      <c r="AA50" s="9">
        <f t="shared" si="65"/>
        <v>16500</v>
      </c>
      <c r="AB50" s="9">
        <f t="shared" si="65"/>
        <v>16500</v>
      </c>
      <c r="AC50" s="9">
        <f t="shared" si="65"/>
        <v>16500</v>
      </c>
      <c r="AD50" s="9">
        <f t="shared" si="65"/>
        <v>16500</v>
      </c>
      <c r="AE50" s="9">
        <f t="shared" si="65"/>
        <v>16500</v>
      </c>
      <c r="AF50" s="9">
        <f t="shared" si="65"/>
        <v>16500</v>
      </c>
      <c r="AG50" s="9">
        <f t="shared" si="65"/>
        <v>16500</v>
      </c>
      <c r="AH50" s="9">
        <f t="shared" si="65"/>
        <v>16500</v>
      </c>
      <c r="AI50" s="9">
        <f t="shared" si="65"/>
        <v>16500</v>
      </c>
      <c r="AJ50" s="9">
        <f t="shared" si="65"/>
        <v>16500</v>
      </c>
      <c r="AK50" s="9">
        <f t="shared" si="65"/>
        <v>16500</v>
      </c>
      <c r="AL50" s="9">
        <f t="shared" si="65"/>
        <v>16500</v>
      </c>
      <c r="AM50" s="9">
        <f t="shared" si="65"/>
        <v>16500</v>
      </c>
      <c r="AN50" s="9">
        <f t="shared" si="65"/>
        <v>16500</v>
      </c>
      <c r="AO50" s="9">
        <f t="shared" si="65"/>
        <v>16500</v>
      </c>
      <c r="AP50" s="9">
        <f t="shared" si="65"/>
        <v>16500</v>
      </c>
      <c r="AQ50" s="9">
        <f t="shared" si="65"/>
        <v>16500</v>
      </c>
      <c r="AR50" s="9">
        <f t="shared" si="65"/>
        <v>16500</v>
      </c>
      <c r="AS50" s="9">
        <f t="shared" si="65"/>
        <v>16500</v>
      </c>
      <c r="AT50" s="9">
        <f t="shared" si="65"/>
        <v>16500</v>
      </c>
      <c r="AU50" s="9">
        <f t="shared" si="65"/>
        <v>16500</v>
      </c>
      <c r="AV50" s="9">
        <f t="shared" si="65"/>
        <v>16500</v>
      </c>
      <c r="AW50" s="26"/>
      <c r="AX50" s="10"/>
    </row>
    <row r="51" spans="1:50" ht="12.75" hidden="1" customHeight="1" outlineLevel="1">
      <c r="A51" s="296"/>
      <c r="B51" s="200" t="s">
        <v>97</v>
      </c>
      <c r="C51" s="204" t="s">
        <v>102</v>
      </c>
      <c r="D51" s="32"/>
      <c r="E51" s="84"/>
      <c r="F51" s="84"/>
      <c r="G51" s="84"/>
      <c r="H51" s="84"/>
      <c r="I51" s="84"/>
      <c r="J51" s="84"/>
      <c r="K51" s="281"/>
      <c r="L51" s="423">
        <f>L50/L56</f>
        <v>0.75294117647058822</v>
      </c>
      <c r="M51" s="423">
        <f t="shared" ref="M51:AV51" si="67">M50/M56</f>
        <v>0.75294117647058822</v>
      </c>
      <c r="N51" s="423">
        <f t="shared" si="67"/>
        <v>0.75294117647058822</v>
      </c>
      <c r="O51" s="423">
        <f t="shared" si="67"/>
        <v>0.75294117647058822</v>
      </c>
      <c r="P51" s="423">
        <f t="shared" si="67"/>
        <v>0.75294117647058822</v>
      </c>
      <c r="Q51" s="423">
        <f t="shared" si="67"/>
        <v>0.75294117647058822</v>
      </c>
      <c r="R51" s="423">
        <f t="shared" ref="R51" si="68">R50/R56</f>
        <v>0.75</v>
      </c>
      <c r="S51" s="423">
        <f t="shared" ref="S51" si="69">S50/S56</f>
        <v>0.75</v>
      </c>
      <c r="T51" s="423">
        <f t="shared" si="67"/>
        <v>0.75</v>
      </c>
      <c r="U51" s="423">
        <f t="shared" si="67"/>
        <v>0.75</v>
      </c>
      <c r="V51" s="423">
        <f t="shared" si="67"/>
        <v>0.75</v>
      </c>
      <c r="W51" s="423">
        <f t="shared" si="67"/>
        <v>0.75</v>
      </c>
      <c r="X51" s="423">
        <f t="shared" si="67"/>
        <v>0.75</v>
      </c>
      <c r="Y51" s="423">
        <f t="shared" si="67"/>
        <v>0.75</v>
      </c>
      <c r="Z51" s="423">
        <f t="shared" si="67"/>
        <v>0.75</v>
      </c>
      <c r="AA51" s="423">
        <f t="shared" si="67"/>
        <v>0.75</v>
      </c>
      <c r="AB51" s="423">
        <f t="shared" si="67"/>
        <v>0.75</v>
      </c>
      <c r="AC51" s="423">
        <f t="shared" si="67"/>
        <v>0.75</v>
      </c>
      <c r="AD51" s="423">
        <f t="shared" si="67"/>
        <v>0.75</v>
      </c>
      <c r="AE51" s="423">
        <f t="shared" si="67"/>
        <v>0.75</v>
      </c>
      <c r="AF51" s="423">
        <f t="shared" si="67"/>
        <v>0.75</v>
      </c>
      <c r="AG51" s="423">
        <f t="shared" si="67"/>
        <v>0.75</v>
      </c>
      <c r="AH51" s="423">
        <f t="shared" si="67"/>
        <v>0.75</v>
      </c>
      <c r="AI51" s="423">
        <f t="shared" si="67"/>
        <v>0.75</v>
      </c>
      <c r="AJ51" s="423">
        <f t="shared" si="67"/>
        <v>0.75</v>
      </c>
      <c r="AK51" s="423">
        <f t="shared" si="67"/>
        <v>0.75</v>
      </c>
      <c r="AL51" s="423">
        <f t="shared" si="67"/>
        <v>0.75</v>
      </c>
      <c r="AM51" s="423">
        <f t="shared" si="67"/>
        <v>0.75</v>
      </c>
      <c r="AN51" s="423">
        <f t="shared" si="67"/>
        <v>0.75</v>
      </c>
      <c r="AO51" s="423">
        <f t="shared" si="67"/>
        <v>0.75</v>
      </c>
      <c r="AP51" s="423">
        <f t="shared" si="67"/>
        <v>0.75</v>
      </c>
      <c r="AQ51" s="423">
        <f t="shared" si="67"/>
        <v>0.75</v>
      </c>
      <c r="AR51" s="423">
        <f t="shared" si="67"/>
        <v>0.75</v>
      </c>
      <c r="AS51" s="423">
        <f t="shared" si="67"/>
        <v>0.75</v>
      </c>
      <c r="AT51" s="423">
        <f t="shared" si="67"/>
        <v>0.75</v>
      </c>
      <c r="AU51" s="423">
        <f t="shared" si="67"/>
        <v>0.75</v>
      </c>
      <c r="AV51" s="423">
        <f t="shared" si="67"/>
        <v>0.75</v>
      </c>
      <c r="AW51" s="26"/>
      <c r="AX51" s="10"/>
    </row>
    <row r="52" spans="1:50" ht="12.75" hidden="1" customHeight="1" outlineLevel="1">
      <c r="A52" s="296"/>
      <c r="B52" s="198"/>
      <c r="C52" s="204"/>
      <c r="D52" s="32"/>
      <c r="E52" s="25"/>
      <c r="F52" s="26"/>
      <c r="G52" s="26"/>
      <c r="H52" s="26"/>
      <c r="I52" s="25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10"/>
    </row>
    <row r="53" spans="1:50" hidden="1" outlineLevel="1">
      <c r="A53" s="296"/>
      <c r="B53" s="199" t="s">
        <v>144</v>
      </c>
      <c r="C53" s="204"/>
      <c r="D53" s="32"/>
      <c r="E53" s="25"/>
      <c r="F53" s="26"/>
      <c r="G53" s="26"/>
      <c r="H53" s="26"/>
      <c r="I53" s="26"/>
      <c r="J53" s="26"/>
      <c r="K53" s="260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10"/>
    </row>
    <row r="54" spans="1:50" hidden="1" outlineLevel="1">
      <c r="A54" s="296"/>
      <c r="B54" s="200" t="s">
        <v>148</v>
      </c>
      <c r="C54" s="204" t="s">
        <v>149</v>
      </c>
      <c r="D54" s="32"/>
      <c r="E54" s="26"/>
      <c r="F54" s="26"/>
      <c r="G54" s="26"/>
      <c r="H54" s="26"/>
      <c r="I54" s="26"/>
      <c r="J54" s="26"/>
      <c r="K54" s="158">
        <f>K55+K56</f>
        <v>10750</v>
      </c>
      <c r="L54" s="158">
        <f>L55+L56</f>
        <v>12450</v>
      </c>
      <c r="M54" s="158">
        <f>M55+M56</f>
        <v>12450</v>
      </c>
      <c r="N54" s="158">
        <f>N55+N56</f>
        <v>12450</v>
      </c>
      <c r="O54" s="158">
        <f t="shared" ref="O54:AV54" si="70">O55+O56</f>
        <v>12450</v>
      </c>
      <c r="P54" s="158">
        <f t="shared" si="70"/>
        <v>12450</v>
      </c>
      <c r="Q54" s="158">
        <f t="shared" ref="Q54:V54" si="71">Q55+Q56</f>
        <v>12450</v>
      </c>
      <c r="R54" s="158">
        <f t="shared" si="71"/>
        <v>21750</v>
      </c>
      <c r="S54" s="158">
        <f t="shared" si="71"/>
        <v>32750</v>
      </c>
      <c r="T54" s="158">
        <f t="shared" ref="T54:U54" si="72">T55+T56</f>
        <v>32750</v>
      </c>
      <c r="U54" s="158">
        <f t="shared" si="72"/>
        <v>32750</v>
      </c>
      <c r="V54" s="158">
        <f t="shared" si="71"/>
        <v>32750</v>
      </c>
      <c r="W54" s="158">
        <f t="shared" si="70"/>
        <v>32750</v>
      </c>
      <c r="X54" s="158">
        <f t="shared" si="70"/>
        <v>32750</v>
      </c>
      <c r="Y54" s="158">
        <f t="shared" si="70"/>
        <v>32750</v>
      </c>
      <c r="Z54" s="158">
        <f t="shared" si="70"/>
        <v>32750</v>
      </c>
      <c r="AA54" s="158">
        <f t="shared" si="70"/>
        <v>32750</v>
      </c>
      <c r="AB54" s="158">
        <f t="shared" si="70"/>
        <v>32750</v>
      </c>
      <c r="AC54" s="158">
        <f t="shared" si="70"/>
        <v>32750</v>
      </c>
      <c r="AD54" s="158">
        <f t="shared" si="70"/>
        <v>32750</v>
      </c>
      <c r="AE54" s="158">
        <f t="shared" si="70"/>
        <v>32750</v>
      </c>
      <c r="AF54" s="158">
        <f t="shared" si="70"/>
        <v>32750</v>
      </c>
      <c r="AG54" s="158">
        <f t="shared" si="70"/>
        <v>32750</v>
      </c>
      <c r="AH54" s="158">
        <f t="shared" si="70"/>
        <v>32750</v>
      </c>
      <c r="AI54" s="158">
        <f t="shared" si="70"/>
        <v>32750</v>
      </c>
      <c r="AJ54" s="158">
        <f t="shared" si="70"/>
        <v>32750</v>
      </c>
      <c r="AK54" s="158">
        <f t="shared" si="70"/>
        <v>32750</v>
      </c>
      <c r="AL54" s="158">
        <f t="shared" si="70"/>
        <v>32750</v>
      </c>
      <c r="AM54" s="158">
        <f t="shared" si="70"/>
        <v>32750</v>
      </c>
      <c r="AN54" s="158">
        <f t="shared" si="70"/>
        <v>32750</v>
      </c>
      <c r="AO54" s="158">
        <f t="shared" si="70"/>
        <v>32750</v>
      </c>
      <c r="AP54" s="158">
        <f t="shared" si="70"/>
        <v>32750</v>
      </c>
      <c r="AQ54" s="158">
        <f t="shared" si="70"/>
        <v>32750</v>
      </c>
      <c r="AR54" s="158">
        <f t="shared" si="70"/>
        <v>32750</v>
      </c>
      <c r="AS54" s="158">
        <f t="shared" si="70"/>
        <v>32750</v>
      </c>
      <c r="AT54" s="158">
        <f t="shared" si="70"/>
        <v>32750</v>
      </c>
      <c r="AU54" s="158">
        <f t="shared" si="70"/>
        <v>32750</v>
      </c>
      <c r="AV54" s="158">
        <f t="shared" si="70"/>
        <v>32750</v>
      </c>
      <c r="AW54" s="26"/>
      <c r="AX54" s="10"/>
    </row>
    <row r="55" spans="1:50" hidden="1" outlineLevel="1">
      <c r="A55" s="296"/>
      <c r="B55" s="200" t="s">
        <v>200</v>
      </c>
      <c r="C55" s="204" t="s">
        <v>149</v>
      </c>
      <c r="D55" s="32"/>
      <c r="E55" s="185"/>
      <c r="F55" s="9"/>
      <c r="G55" s="9"/>
      <c r="H55" s="9"/>
      <c r="I55" s="9"/>
      <c r="J55" s="9"/>
      <c r="K55" s="261">
        <f>21500/2</f>
        <v>10750</v>
      </c>
      <c r="L55" s="9">
        <f t="shared" ref="L55:N56" si="73">K55</f>
        <v>10750</v>
      </c>
      <c r="M55" s="9">
        <f>L55</f>
        <v>10750</v>
      </c>
      <c r="N55" s="9">
        <f>M55</f>
        <v>10750</v>
      </c>
      <c r="O55" s="9">
        <f>N55</f>
        <v>10750</v>
      </c>
      <c r="P55" s="9">
        <f t="shared" ref="P55:AV56" si="74">O55</f>
        <v>10750</v>
      </c>
      <c r="Q55" s="9">
        <f t="shared" ref="Q55:Q56" si="75">P55</f>
        <v>10750</v>
      </c>
      <c r="R55" s="9">
        <f t="shared" ref="R55" si="76">Q55</f>
        <v>10750</v>
      </c>
      <c r="S55" s="9">
        <f t="shared" ref="S55" si="77">R55</f>
        <v>10750</v>
      </c>
      <c r="T55" s="9">
        <f t="shared" ref="T55:U55" si="78">S55</f>
        <v>10750</v>
      </c>
      <c r="U55" s="9">
        <f t="shared" si="78"/>
        <v>10750</v>
      </c>
      <c r="V55" s="9">
        <f t="shared" ref="T55:V56" si="79">U55</f>
        <v>10750</v>
      </c>
      <c r="W55" s="9">
        <f t="shared" si="74"/>
        <v>10750</v>
      </c>
      <c r="X55" s="9">
        <f t="shared" si="74"/>
        <v>10750</v>
      </c>
      <c r="Y55" s="9">
        <f t="shared" si="74"/>
        <v>10750</v>
      </c>
      <c r="Z55" s="9">
        <f t="shared" si="74"/>
        <v>10750</v>
      </c>
      <c r="AA55" s="9">
        <f t="shared" si="74"/>
        <v>10750</v>
      </c>
      <c r="AB55" s="9">
        <f t="shared" si="74"/>
        <v>10750</v>
      </c>
      <c r="AC55" s="9">
        <f t="shared" si="74"/>
        <v>10750</v>
      </c>
      <c r="AD55" s="9">
        <f t="shared" si="74"/>
        <v>10750</v>
      </c>
      <c r="AE55" s="9">
        <f t="shared" si="74"/>
        <v>10750</v>
      </c>
      <c r="AF55" s="9">
        <f t="shared" si="74"/>
        <v>10750</v>
      </c>
      <c r="AG55" s="9">
        <f t="shared" si="74"/>
        <v>10750</v>
      </c>
      <c r="AH55" s="9">
        <f t="shared" si="74"/>
        <v>10750</v>
      </c>
      <c r="AI55" s="9">
        <f t="shared" si="74"/>
        <v>10750</v>
      </c>
      <c r="AJ55" s="9">
        <f t="shared" si="74"/>
        <v>10750</v>
      </c>
      <c r="AK55" s="9">
        <f t="shared" si="74"/>
        <v>10750</v>
      </c>
      <c r="AL55" s="9">
        <f t="shared" si="74"/>
        <v>10750</v>
      </c>
      <c r="AM55" s="9">
        <f t="shared" si="74"/>
        <v>10750</v>
      </c>
      <c r="AN55" s="9">
        <f t="shared" si="74"/>
        <v>10750</v>
      </c>
      <c r="AO55" s="9">
        <f t="shared" si="74"/>
        <v>10750</v>
      </c>
      <c r="AP55" s="9">
        <f t="shared" si="74"/>
        <v>10750</v>
      </c>
      <c r="AQ55" s="9">
        <f t="shared" si="74"/>
        <v>10750</v>
      </c>
      <c r="AR55" s="9">
        <f t="shared" si="74"/>
        <v>10750</v>
      </c>
      <c r="AS55" s="9">
        <f t="shared" si="74"/>
        <v>10750</v>
      </c>
      <c r="AT55" s="9">
        <f t="shared" si="74"/>
        <v>10750</v>
      </c>
      <c r="AU55" s="9">
        <f t="shared" si="74"/>
        <v>10750</v>
      </c>
      <c r="AV55" s="9">
        <f t="shared" si="74"/>
        <v>10750</v>
      </c>
      <c r="AW55" s="26"/>
      <c r="AX55" s="10"/>
    </row>
    <row r="56" spans="1:50" hidden="1" outlineLevel="1">
      <c r="A56" s="296"/>
      <c r="B56" s="200" t="s">
        <v>275</v>
      </c>
      <c r="C56" s="204" t="s">
        <v>149</v>
      </c>
      <c r="D56" s="32"/>
      <c r="E56" s="25"/>
      <c r="F56" s="26"/>
      <c r="G56" s="26"/>
      <c r="H56" s="26"/>
      <c r="I56" s="25"/>
      <c r="J56" s="26"/>
      <c r="K56" s="280"/>
      <c r="L56" s="280">
        <v>1700</v>
      </c>
      <c r="M56" s="9">
        <f>L56</f>
        <v>1700</v>
      </c>
      <c r="N56" s="9">
        <f t="shared" si="73"/>
        <v>1700</v>
      </c>
      <c r="O56" s="9">
        <f>N56</f>
        <v>1700</v>
      </c>
      <c r="P56" s="9">
        <f t="shared" si="74"/>
        <v>1700</v>
      </c>
      <c r="Q56" s="9">
        <f t="shared" si="75"/>
        <v>1700</v>
      </c>
      <c r="R56" s="280">
        <f>S56/2</f>
        <v>11000</v>
      </c>
      <c r="S56" s="280">
        <v>22000</v>
      </c>
      <c r="T56" s="9">
        <f t="shared" si="79"/>
        <v>22000</v>
      </c>
      <c r="U56" s="9">
        <f t="shared" si="79"/>
        <v>22000</v>
      </c>
      <c r="V56" s="9">
        <f t="shared" si="79"/>
        <v>22000</v>
      </c>
      <c r="W56" s="9">
        <f t="shared" si="74"/>
        <v>22000</v>
      </c>
      <c r="X56" s="9">
        <f t="shared" si="74"/>
        <v>22000</v>
      </c>
      <c r="Y56" s="9">
        <f t="shared" si="74"/>
        <v>22000</v>
      </c>
      <c r="Z56" s="9">
        <f t="shared" si="74"/>
        <v>22000</v>
      </c>
      <c r="AA56" s="9">
        <f t="shared" si="74"/>
        <v>22000</v>
      </c>
      <c r="AB56" s="9">
        <f t="shared" si="74"/>
        <v>22000</v>
      </c>
      <c r="AC56" s="9">
        <f t="shared" si="74"/>
        <v>22000</v>
      </c>
      <c r="AD56" s="9">
        <f t="shared" si="74"/>
        <v>22000</v>
      </c>
      <c r="AE56" s="9">
        <f t="shared" si="74"/>
        <v>22000</v>
      </c>
      <c r="AF56" s="9">
        <f t="shared" si="74"/>
        <v>22000</v>
      </c>
      <c r="AG56" s="9">
        <f t="shared" si="74"/>
        <v>22000</v>
      </c>
      <c r="AH56" s="9">
        <f t="shared" si="74"/>
        <v>22000</v>
      </c>
      <c r="AI56" s="9">
        <f t="shared" si="74"/>
        <v>22000</v>
      </c>
      <c r="AJ56" s="9">
        <f t="shared" si="74"/>
        <v>22000</v>
      </c>
      <c r="AK56" s="9">
        <f t="shared" si="74"/>
        <v>22000</v>
      </c>
      <c r="AL56" s="9">
        <f t="shared" si="74"/>
        <v>22000</v>
      </c>
      <c r="AM56" s="9">
        <f t="shared" si="74"/>
        <v>22000</v>
      </c>
      <c r="AN56" s="9">
        <f t="shared" si="74"/>
        <v>22000</v>
      </c>
      <c r="AO56" s="9">
        <f t="shared" si="74"/>
        <v>22000</v>
      </c>
      <c r="AP56" s="9">
        <f t="shared" si="74"/>
        <v>22000</v>
      </c>
      <c r="AQ56" s="9">
        <f t="shared" si="74"/>
        <v>22000</v>
      </c>
      <c r="AR56" s="9">
        <f t="shared" si="74"/>
        <v>22000</v>
      </c>
      <c r="AS56" s="9">
        <f t="shared" si="74"/>
        <v>22000</v>
      </c>
      <c r="AT56" s="9">
        <f t="shared" si="74"/>
        <v>22000</v>
      </c>
      <c r="AU56" s="9">
        <f t="shared" si="74"/>
        <v>22000</v>
      </c>
      <c r="AV56" s="9">
        <f>AU56</f>
        <v>22000</v>
      </c>
      <c r="AW56" s="26"/>
      <c r="AX56" s="10"/>
    </row>
    <row r="57" spans="1:50" hidden="1" outlineLevel="1">
      <c r="A57" s="296"/>
      <c r="B57" s="200"/>
      <c r="C57" s="204"/>
      <c r="D57" s="32"/>
      <c r="E57" s="25"/>
      <c r="F57" s="26"/>
      <c r="G57" s="26"/>
      <c r="H57" s="185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26"/>
      <c r="AX57" s="10"/>
    </row>
    <row r="58" spans="1:50" ht="12.75" hidden="1" customHeight="1" outlineLevel="1">
      <c r="A58" s="296"/>
      <c r="B58" s="197" t="s">
        <v>98</v>
      </c>
      <c r="C58" s="203"/>
      <c r="D58" s="32"/>
      <c r="E58" s="12"/>
      <c r="F58" s="12"/>
      <c r="G58" s="12"/>
      <c r="H58" s="12"/>
      <c r="I58" s="31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26"/>
      <c r="AX58" s="10"/>
    </row>
    <row r="59" spans="1:50" hidden="1" outlineLevel="1">
      <c r="A59" s="296"/>
      <c r="B59" s="197"/>
      <c r="C59" s="203"/>
      <c r="D59" s="32"/>
      <c r="E59" s="12"/>
      <c r="F59" s="12"/>
      <c r="G59" s="12"/>
      <c r="H59" s="12"/>
      <c r="I59" s="31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26"/>
      <c r="AX59" s="10"/>
    </row>
    <row r="60" spans="1:50" hidden="1" outlineLevel="1">
      <c r="A60" s="296"/>
      <c r="B60" s="201" t="s">
        <v>269</v>
      </c>
      <c r="C60" s="205"/>
      <c r="D60" s="192"/>
      <c r="E60" s="193"/>
      <c r="F60" s="193"/>
      <c r="G60" s="193"/>
      <c r="H60" s="193"/>
      <c r="I60" s="194"/>
      <c r="J60" s="193"/>
      <c r="K60" s="282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95"/>
      <c r="AL60" s="195"/>
      <c r="AM60" s="195"/>
      <c r="AN60" s="195"/>
      <c r="AO60" s="195"/>
      <c r="AP60" s="195"/>
      <c r="AQ60" s="195"/>
      <c r="AR60" s="195"/>
      <c r="AS60" s="195"/>
      <c r="AT60" s="195"/>
      <c r="AU60" s="195"/>
      <c r="AV60" s="195"/>
      <c r="AW60" s="26"/>
      <c r="AX60" s="10"/>
    </row>
    <row r="61" spans="1:50" hidden="1" outlineLevel="1">
      <c r="A61" s="296"/>
      <c r="B61" s="202" t="s">
        <v>139</v>
      </c>
      <c r="C61" s="204" t="s">
        <v>136</v>
      </c>
      <c r="D61" s="32"/>
      <c r="E61" s="53"/>
      <c r="F61" s="12"/>
      <c r="G61" s="12"/>
      <c r="H61" s="12"/>
      <c r="I61" s="12"/>
      <c r="J61" s="12"/>
      <c r="K61" s="278">
        <v>117</v>
      </c>
      <c r="L61" s="24">
        <f>IF(L$54&gt;0,K61,0)</f>
        <v>117</v>
      </c>
      <c r="M61" s="24">
        <f>IF(M$54&gt;0,L61,0)</f>
        <v>117</v>
      </c>
      <c r="N61" s="24">
        <f>IF(N$54&gt;0,M61,0)</f>
        <v>117</v>
      </c>
      <c r="O61" s="24">
        <f t="shared" ref="O61:AV61" si="80">IF(O$54&gt;0,N61,0)</f>
        <v>117</v>
      </c>
      <c r="P61" s="24">
        <f t="shared" si="80"/>
        <v>117</v>
      </c>
      <c r="Q61" s="24">
        <f t="shared" si="80"/>
        <v>117</v>
      </c>
      <c r="R61" s="24">
        <f t="shared" si="80"/>
        <v>117</v>
      </c>
      <c r="S61" s="24">
        <f t="shared" si="80"/>
        <v>117</v>
      </c>
      <c r="T61" s="24">
        <f t="shared" si="80"/>
        <v>117</v>
      </c>
      <c r="U61" s="24">
        <f t="shared" si="80"/>
        <v>117</v>
      </c>
      <c r="V61" s="24">
        <f t="shared" si="80"/>
        <v>117</v>
      </c>
      <c r="W61" s="24">
        <f t="shared" si="80"/>
        <v>117</v>
      </c>
      <c r="X61" s="24">
        <f t="shared" si="80"/>
        <v>117</v>
      </c>
      <c r="Y61" s="24">
        <f t="shared" si="80"/>
        <v>117</v>
      </c>
      <c r="Z61" s="24">
        <f t="shared" si="80"/>
        <v>117</v>
      </c>
      <c r="AA61" s="24">
        <f t="shared" si="80"/>
        <v>117</v>
      </c>
      <c r="AB61" s="24">
        <f t="shared" si="80"/>
        <v>117</v>
      </c>
      <c r="AC61" s="24">
        <f t="shared" si="80"/>
        <v>117</v>
      </c>
      <c r="AD61" s="24">
        <f t="shared" si="80"/>
        <v>117</v>
      </c>
      <c r="AE61" s="24">
        <f t="shared" si="80"/>
        <v>117</v>
      </c>
      <c r="AF61" s="24">
        <f t="shared" si="80"/>
        <v>117</v>
      </c>
      <c r="AG61" s="24">
        <f t="shared" si="80"/>
        <v>117</v>
      </c>
      <c r="AH61" s="24">
        <f t="shared" si="80"/>
        <v>117</v>
      </c>
      <c r="AI61" s="24">
        <f t="shared" si="80"/>
        <v>117</v>
      </c>
      <c r="AJ61" s="24">
        <f t="shared" si="80"/>
        <v>117</v>
      </c>
      <c r="AK61" s="24">
        <f t="shared" si="80"/>
        <v>117</v>
      </c>
      <c r="AL61" s="24">
        <f t="shared" si="80"/>
        <v>117</v>
      </c>
      <c r="AM61" s="24">
        <f t="shared" si="80"/>
        <v>117</v>
      </c>
      <c r="AN61" s="24">
        <f t="shared" si="80"/>
        <v>117</v>
      </c>
      <c r="AO61" s="24">
        <f t="shared" si="80"/>
        <v>117</v>
      </c>
      <c r="AP61" s="24">
        <f t="shared" si="80"/>
        <v>117</v>
      </c>
      <c r="AQ61" s="24">
        <f t="shared" si="80"/>
        <v>117</v>
      </c>
      <c r="AR61" s="24">
        <f t="shared" si="80"/>
        <v>117</v>
      </c>
      <c r="AS61" s="24">
        <f t="shared" si="80"/>
        <v>117</v>
      </c>
      <c r="AT61" s="24">
        <f t="shared" si="80"/>
        <v>117</v>
      </c>
      <c r="AU61" s="24">
        <f t="shared" si="80"/>
        <v>117</v>
      </c>
      <c r="AV61" s="24">
        <f t="shared" si="80"/>
        <v>117</v>
      </c>
      <c r="AW61" s="26"/>
      <c r="AX61" s="10"/>
    </row>
    <row r="62" spans="1:50" hidden="1" outlineLevel="1">
      <c r="A62" s="296"/>
      <c r="B62" s="202" t="s">
        <v>140</v>
      </c>
      <c r="C62" s="204" t="s">
        <v>149</v>
      </c>
      <c r="D62" s="32"/>
      <c r="E62" s="186"/>
      <c r="F62" s="12"/>
      <c r="G62" s="12"/>
      <c r="H62" s="12"/>
      <c r="I62" s="12"/>
      <c r="J62" s="12"/>
      <c r="K62" s="279">
        <v>3</v>
      </c>
      <c r="L62" s="149">
        <f t="shared" ref="L62:N63" si="81">IF(L$54&gt;0,K62,0)</f>
        <v>3</v>
      </c>
      <c r="M62" s="149">
        <f>IF(M$54&gt;0,L62,0)</f>
        <v>3</v>
      </c>
      <c r="N62" s="149">
        <f t="shared" si="81"/>
        <v>3</v>
      </c>
      <c r="O62" s="149">
        <f t="shared" ref="O62:AV62" si="82">IF(O$54&gt;0,N62,0)</f>
        <v>3</v>
      </c>
      <c r="P62" s="149">
        <f t="shared" si="82"/>
        <v>3</v>
      </c>
      <c r="Q62" s="149">
        <f t="shared" si="82"/>
        <v>3</v>
      </c>
      <c r="R62" s="149">
        <f t="shared" si="82"/>
        <v>3</v>
      </c>
      <c r="S62" s="149">
        <f t="shared" si="82"/>
        <v>3</v>
      </c>
      <c r="T62" s="149">
        <f t="shared" si="82"/>
        <v>3</v>
      </c>
      <c r="U62" s="149">
        <f t="shared" si="82"/>
        <v>3</v>
      </c>
      <c r="V62" s="149">
        <f t="shared" si="82"/>
        <v>3</v>
      </c>
      <c r="W62" s="149">
        <f t="shared" si="82"/>
        <v>3</v>
      </c>
      <c r="X62" s="149">
        <f t="shared" si="82"/>
        <v>3</v>
      </c>
      <c r="Y62" s="149">
        <f t="shared" si="82"/>
        <v>3</v>
      </c>
      <c r="Z62" s="149">
        <f t="shared" si="82"/>
        <v>3</v>
      </c>
      <c r="AA62" s="149">
        <f t="shared" si="82"/>
        <v>3</v>
      </c>
      <c r="AB62" s="149">
        <f t="shared" si="82"/>
        <v>3</v>
      </c>
      <c r="AC62" s="149">
        <f t="shared" si="82"/>
        <v>3</v>
      </c>
      <c r="AD62" s="149">
        <f t="shared" si="82"/>
        <v>3</v>
      </c>
      <c r="AE62" s="149">
        <f t="shared" si="82"/>
        <v>3</v>
      </c>
      <c r="AF62" s="149">
        <f t="shared" si="82"/>
        <v>3</v>
      </c>
      <c r="AG62" s="149">
        <f t="shared" si="82"/>
        <v>3</v>
      </c>
      <c r="AH62" s="149">
        <f t="shared" si="82"/>
        <v>3</v>
      </c>
      <c r="AI62" s="149">
        <f t="shared" si="82"/>
        <v>3</v>
      </c>
      <c r="AJ62" s="149">
        <f t="shared" si="82"/>
        <v>3</v>
      </c>
      <c r="AK62" s="149">
        <f t="shared" si="82"/>
        <v>3</v>
      </c>
      <c r="AL62" s="149">
        <f t="shared" si="82"/>
        <v>3</v>
      </c>
      <c r="AM62" s="149">
        <f t="shared" si="82"/>
        <v>3</v>
      </c>
      <c r="AN62" s="149">
        <f t="shared" si="82"/>
        <v>3</v>
      </c>
      <c r="AO62" s="149">
        <f t="shared" si="82"/>
        <v>3</v>
      </c>
      <c r="AP62" s="149">
        <f t="shared" si="82"/>
        <v>3</v>
      </c>
      <c r="AQ62" s="149">
        <f t="shared" si="82"/>
        <v>3</v>
      </c>
      <c r="AR62" s="149">
        <f t="shared" si="82"/>
        <v>3</v>
      </c>
      <c r="AS62" s="149">
        <f t="shared" si="82"/>
        <v>3</v>
      </c>
      <c r="AT62" s="149">
        <f t="shared" si="82"/>
        <v>3</v>
      </c>
      <c r="AU62" s="149">
        <f t="shared" si="82"/>
        <v>3</v>
      </c>
      <c r="AV62" s="149">
        <f t="shared" si="82"/>
        <v>3</v>
      </c>
      <c r="AW62" s="26"/>
      <c r="AX62" s="10"/>
    </row>
    <row r="63" spans="1:50" hidden="1" outlineLevel="1">
      <c r="A63" s="296"/>
      <c r="B63" s="202" t="s">
        <v>141</v>
      </c>
      <c r="C63" s="204" t="s">
        <v>150</v>
      </c>
      <c r="D63" s="32"/>
      <c r="E63" s="53"/>
      <c r="F63" s="24"/>
      <c r="G63" s="24"/>
      <c r="H63" s="24"/>
      <c r="I63" s="24"/>
      <c r="J63" s="24"/>
      <c r="K63" s="280">
        <f>360/4.5</f>
        <v>80</v>
      </c>
      <c r="L63" s="24">
        <f t="shared" si="81"/>
        <v>80</v>
      </c>
      <c r="M63" s="24">
        <f>IF(M$54&gt;0,L63,0)</f>
        <v>80</v>
      </c>
      <c r="N63" s="24">
        <f t="shared" si="81"/>
        <v>80</v>
      </c>
      <c r="O63" s="24">
        <f t="shared" ref="O63:AV63" si="83">IF(O$54&gt;0,N63,0)</f>
        <v>80</v>
      </c>
      <c r="P63" s="24">
        <f t="shared" si="83"/>
        <v>80</v>
      </c>
      <c r="Q63" s="24">
        <f t="shared" si="83"/>
        <v>80</v>
      </c>
      <c r="R63" s="24">
        <f t="shared" si="83"/>
        <v>80</v>
      </c>
      <c r="S63" s="24">
        <f t="shared" si="83"/>
        <v>80</v>
      </c>
      <c r="T63" s="24">
        <f t="shared" si="83"/>
        <v>80</v>
      </c>
      <c r="U63" s="24">
        <f t="shared" si="83"/>
        <v>80</v>
      </c>
      <c r="V63" s="24">
        <f t="shared" si="83"/>
        <v>80</v>
      </c>
      <c r="W63" s="24">
        <f t="shared" si="83"/>
        <v>80</v>
      </c>
      <c r="X63" s="24">
        <f t="shared" si="83"/>
        <v>80</v>
      </c>
      <c r="Y63" s="24">
        <f t="shared" si="83"/>
        <v>80</v>
      </c>
      <c r="Z63" s="24">
        <f t="shared" si="83"/>
        <v>80</v>
      </c>
      <c r="AA63" s="24">
        <f t="shared" si="83"/>
        <v>80</v>
      </c>
      <c r="AB63" s="24">
        <f t="shared" si="83"/>
        <v>80</v>
      </c>
      <c r="AC63" s="24">
        <f t="shared" si="83"/>
        <v>80</v>
      </c>
      <c r="AD63" s="24">
        <f t="shared" si="83"/>
        <v>80</v>
      </c>
      <c r="AE63" s="24">
        <f t="shared" si="83"/>
        <v>80</v>
      </c>
      <c r="AF63" s="24">
        <f t="shared" si="83"/>
        <v>80</v>
      </c>
      <c r="AG63" s="24">
        <f t="shared" si="83"/>
        <v>80</v>
      </c>
      <c r="AH63" s="24">
        <f t="shared" si="83"/>
        <v>80</v>
      </c>
      <c r="AI63" s="24">
        <f t="shared" si="83"/>
        <v>80</v>
      </c>
      <c r="AJ63" s="24">
        <f t="shared" si="83"/>
        <v>80</v>
      </c>
      <c r="AK63" s="24">
        <f t="shared" si="83"/>
        <v>80</v>
      </c>
      <c r="AL63" s="24">
        <f t="shared" si="83"/>
        <v>80</v>
      </c>
      <c r="AM63" s="24">
        <f t="shared" si="83"/>
        <v>80</v>
      </c>
      <c r="AN63" s="24">
        <f t="shared" si="83"/>
        <v>80</v>
      </c>
      <c r="AO63" s="24">
        <f t="shared" si="83"/>
        <v>80</v>
      </c>
      <c r="AP63" s="24">
        <f t="shared" si="83"/>
        <v>80</v>
      </c>
      <c r="AQ63" s="24">
        <f t="shared" si="83"/>
        <v>80</v>
      </c>
      <c r="AR63" s="24">
        <f t="shared" si="83"/>
        <v>80</v>
      </c>
      <c r="AS63" s="24">
        <f t="shared" si="83"/>
        <v>80</v>
      </c>
      <c r="AT63" s="24">
        <f t="shared" si="83"/>
        <v>80</v>
      </c>
      <c r="AU63" s="24">
        <f t="shared" si="83"/>
        <v>80</v>
      </c>
      <c r="AV63" s="24">
        <f t="shared" si="83"/>
        <v>80</v>
      </c>
      <c r="AW63" s="26"/>
      <c r="AX63" s="10"/>
    </row>
    <row r="64" spans="1:50" hidden="1" outlineLevel="1">
      <c r="A64" s="296"/>
      <c r="B64" s="202" t="s">
        <v>142</v>
      </c>
      <c r="C64" s="204" t="s">
        <v>102</v>
      </c>
      <c r="D64" s="32"/>
      <c r="E64" s="187"/>
      <c r="F64" s="25"/>
      <c r="G64" s="25"/>
      <c r="H64" s="25"/>
      <c r="I64" s="25"/>
      <c r="J64" s="25"/>
      <c r="K64" s="262">
        <v>0.75</v>
      </c>
      <c r="L64" s="262">
        <v>0</v>
      </c>
      <c r="M64" s="262">
        <v>0</v>
      </c>
      <c r="N64" s="262">
        <v>0.9</v>
      </c>
      <c r="O64" s="262">
        <v>0</v>
      </c>
      <c r="P64" s="262">
        <v>0</v>
      </c>
      <c r="Q64" s="262">
        <v>0.9</v>
      </c>
      <c r="R64" s="262">
        <v>0</v>
      </c>
      <c r="S64" s="262">
        <v>0</v>
      </c>
      <c r="T64" s="262">
        <v>0.9</v>
      </c>
      <c r="U64" s="262">
        <v>0</v>
      </c>
      <c r="V64" s="262">
        <v>0</v>
      </c>
      <c r="W64" s="262">
        <v>0.9</v>
      </c>
      <c r="X64" s="262">
        <v>0</v>
      </c>
      <c r="Y64" s="262">
        <v>0</v>
      </c>
      <c r="Z64" s="262">
        <v>0.9</v>
      </c>
      <c r="AA64" s="262">
        <v>0</v>
      </c>
      <c r="AB64" s="262">
        <v>0</v>
      </c>
      <c r="AC64" s="262">
        <v>0.9</v>
      </c>
      <c r="AD64" s="262">
        <v>0</v>
      </c>
      <c r="AE64" s="262">
        <v>0</v>
      </c>
      <c r="AF64" s="262">
        <v>0.9</v>
      </c>
      <c r="AG64" s="262">
        <v>0</v>
      </c>
      <c r="AH64" s="262">
        <v>0</v>
      </c>
      <c r="AI64" s="262">
        <v>0.9</v>
      </c>
      <c r="AJ64" s="262">
        <v>0</v>
      </c>
      <c r="AK64" s="262">
        <v>0</v>
      </c>
      <c r="AL64" s="262">
        <v>0.9</v>
      </c>
      <c r="AM64" s="262">
        <v>0</v>
      </c>
      <c r="AN64" s="262">
        <v>0</v>
      </c>
      <c r="AO64" s="262">
        <v>0.9</v>
      </c>
      <c r="AP64" s="262">
        <v>0</v>
      </c>
      <c r="AQ64" s="262">
        <v>0</v>
      </c>
      <c r="AR64" s="262">
        <v>0.9</v>
      </c>
      <c r="AS64" s="262">
        <v>0</v>
      </c>
      <c r="AT64" s="262">
        <v>0</v>
      </c>
      <c r="AU64" s="262">
        <v>0.9</v>
      </c>
      <c r="AV64" s="262">
        <v>0</v>
      </c>
      <c r="AW64" s="26"/>
      <c r="AX64" s="10"/>
    </row>
    <row r="65" spans="1:50" hidden="1" outlineLevel="1">
      <c r="A65" s="296"/>
      <c r="B65" s="202" t="s">
        <v>143</v>
      </c>
      <c r="C65" s="207" t="s">
        <v>136</v>
      </c>
      <c r="D65" s="32"/>
      <c r="E65" s="184"/>
      <c r="F65" s="184"/>
      <c r="G65" s="184"/>
      <c r="H65" s="184"/>
      <c r="I65" s="184"/>
      <c r="J65" s="184"/>
      <c r="K65" s="184">
        <f>(K61*90)/K63/K62*K64</f>
        <v>32.90625</v>
      </c>
      <c r="L65" s="184">
        <f>(L61*90)/L63/L62*L64</f>
        <v>0</v>
      </c>
      <c r="M65" s="184">
        <f>(M61*90)/M63/M62*M64</f>
        <v>0</v>
      </c>
      <c r="N65" s="184">
        <f>(N61*90)/N63/N62*N64</f>
        <v>39.487500000000004</v>
      </c>
      <c r="O65" s="184">
        <f>(O61*90)/O63/O62*O64</f>
        <v>0</v>
      </c>
      <c r="P65" s="184">
        <f t="shared" ref="P65:AV65" si="84">(P61*90)/P63/P62*P64</f>
        <v>0</v>
      </c>
      <c r="Q65" s="184">
        <f t="shared" si="84"/>
        <v>39.487500000000004</v>
      </c>
      <c r="R65" s="184">
        <f t="shared" si="84"/>
        <v>0</v>
      </c>
      <c r="S65" s="184">
        <f t="shared" si="84"/>
        <v>0</v>
      </c>
      <c r="T65" s="184">
        <f t="shared" si="84"/>
        <v>39.487500000000004</v>
      </c>
      <c r="U65" s="184">
        <f t="shared" si="84"/>
        <v>0</v>
      </c>
      <c r="V65" s="184">
        <f t="shared" si="84"/>
        <v>0</v>
      </c>
      <c r="W65" s="184">
        <f t="shared" si="84"/>
        <v>39.487500000000004</v>
      </c>
      <c r="X65" s="184">
        <f t="shared" si="84"/>
        <v>0</v>
      </c>
      <c r="Y65" s="184">
        <f t="shared" si="84"/>
        <v>0</v>
      </c>
      <c r="Z65" s="184">
        <f t="shared" si="84"/>
        <v>39.487500000000004</v>
      </c>
      <c r="AA65" s="184">
        <f t="shared" si="84"/>
        <v>0</v>
      </c>
      <c r="AB65" s="184">
        <f t="shared" si="84"/>
        <v>0</v>
      </c>
      <c r="AC65" s="184">
        <f t="shared" si="84"/>
        <v>39.487500000000004</v>
      </c>
      <c r="AD65" s="184">
        <f t="shared" si="84"/>
        <v>0</v>
      </c>
      <c r="AE65" s="184">
        <f t="shared" si="84"/>
        <v>0</v>
      </c>
      <c r="AF65" s="184">
        <f t="shared" si="84"/>
        <v>39.487500000000004</v>
      </c>
      <c r="AG65" s="184">
        <f t="shared" si="84"/>
        <v>0</v>
      </c>
      <c r="AH65" s="184">
        <f t="shared" si="84"/>
        <v>0</v>
      </c>
      <c r="AI65" s="184">
        <f t="shared" si="84"/>
        <v>39.487500000000004</v>
      </c>
      <c r="AJ65" s="184">
        <f t="shared" si="84"/>
        <v>0</v>
      </c>
      <c r="AK65" s="184">
        <f t="shared" si="84"/>
        <v>0</v>
      </c>
      <c r="AL65" s="184">
        <f t="shared" si="84"/>
        <v>39.487500000000004</v>
      </c>
      <c r="AM65" s="184">
        <f t="shared" si="84"/>
        <v>0</v>
      </c>
      <c r="AN65" s="184">
        <f t="shared" si="84"/>
        <v>0</v>
      </c>
      <c r="AO65" s="184">
        <f t="shared" si="84"/>
        <v>39.487500000000004</v>
      </c>
      <c r="AP65" s="184">
        <f t="shared" si="84"/>
        <v>0</v>
      </c>
      <c r="AQ65" s="184">
        <f t="shared" si="84"/>
        <v>0</v>
      </c>
      <c r="AR65" s="184">
        <f t="shared" si="84"/>
        <v>39.487500000000004</v>
      </c>
      <c r="AS65" s="184">
        <f t="shared" si="84"/>
        <v>0</v>
      </c>
      <c r="AT65" s="184">
        <f t="shared" si="84"/>
        <v>0</v>
      </c>
      <c r="AU65" s="184">
        <f t="shared" si="84"/>
        <v>39.487500000000004</v>
      </c>
      <c r="AV65" s="184">
        <f t="shared" si="84"/>
        <v>0</v>
      </c>
      <c r="AW65" s="26"/>
      <c r="AX65" s="10"/>
    </row>
    <row r="66" spans="1:50" hidden="1" outlineLevel="1">
      <c r="A66" s="296"/>
      <c r="B66" s="198"/>
      <c r="C66" s="203"/>
      <c r="D66" s="32"/>
      <c r="E66" s="162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10"/>
    </row>
    <row r="67" spans="1:50" ht="12.75" hidden="1" customHeight="1" outlineLevel="1">
      <c r="A67" s="296"/>
      <c r="B67" s="198" t="s">
        <v>145</v>
      </c>
      <c r="C67" s="204" t="s">
        <v>100</v>
      </c>
      <c r="D67" s="32"/>
      <c r="E67" s="154"/>
      <c r="F67" s="154"/>
      <c r="G67" s="154"/>
      <c r="H67" s="154"/>
      <c r="I67" s="154"/>
      <c r="J67" s="154"/>
      <c r="K67" s="154">
        <f>(K47*K65)*grams_lbs</f>
        <v>580.36621500000001</v>
      </c>
      <c r="L67" s="154">
        <f t="shared" ref="L67:AV67" si="85">(L47*L65)*grams_lbs</f>
        <v>0</v>
      </c>
      <c r="M67" s="154">
        <f t="shared" si="85"/>
        <v>0</v>
      </c>
      <c r="N67" s="154">
        <f t="shared" si="85"/>
        <v>696.43945800000017</v>
      </c>
      <c r="O67" s="154">
        <f t="shared" si="85"/>
        <v>0</v>
      </c>
      <c r="P67" s="154">
        <f t="shared" si="85"/>
        <v>0</v>
      </c>
      <c r="Q67" s="154">
        <f t="shared" si="85"/>
        <v>696.43945800000017</v>
      </c>
      <c r="R67" s="154">
        <f t="shared" si="85"/>
        <v>0</v>
      </c>
      <c r="S67" s="154">
        <f t="shared" si="85"/>
        <v>0</v>
      </c>
      <c r="T67" s="154">
        <f>(T47*T65)*grams_lbs</f>
        <v>696.43945800000017</v>
      </c>
      <c r="U67" s="154">
        <f t="shared" si="85"/>
        <v>0</v>
      </c>
      <c r="V67" s="154">
        <f t="shared" si="85"/>
        <v>0</v>
      </c>
      <c r="W67" s="154">
        <f t="shared" si="85"/>
        <v>696.43945800000017</v>
      </c>
      <c r="X67" s="154">
        <f t="shared" si="85"/>
        <v>0</v>
      </c>
      <c r="Y67" s="154">
        <f t="shared" si="85"/>
        <v>0</v>
      </c>
      <c r="Z67" s="154">
        <f t="shared" si="85"/>
        <v>696.43945800000017</v>
      </c>
      <c r="AA67" s="154">
        <f t="shared" si="85"/>
        <v>0</v>
      </c>
      <c r="AB67" s="154">
        <f t="shared" si="85"/>
        <v>0</v>
      </c>
      <c r="AC67" s="154">
        <f t="shared" si="85"/>
        <v>696.43945800000017</v>
      </c>
      <c r="AD67" s="154">
        <f t="shared" si="85"/>
        <v>0</v>
      </c>
      <c r="AE67" s="154">
        <f t="shared" si="85"/>
        <v>0</v>
      </c>
      <c r="AF67" s="154">
        <f t="shared" si="85"/>
        <v>696.43945800000017</v>
      </c>
      <c r="AG67" s="154">
        <f t="shared" si="85"/>
        <v>0</v>
      </c>
      <c r="AH67" s="154">
        <f t="shared" si="85"/>
        <v>0</v>
      </c>
      <c r="AI67" s="154">
        <f t="shared" si="85"/>
        <v>696.43945800000017</v>
      </c>
      <c r="AJ67" s="154">
        <f t="shared" si="85"/>
        <v>0</v>
      </c>
      <c r="AK67" s="154">
        <f t="shared" si="85"/>
        <v>0</v>
      </c>
      <c r="AL67" s="154">
        <f t="shared" si="85"/>
        <v>696.43945800000017</v>
      </c>
      <c r="AM67" s="154">
        <f t="shared" si="85"/>
        <v>0</v>
      </c>
      <c r="AN67" s="154">
        <f t="shared" si="85"/>
        <v>0</v>
      </c>
      <c r="AO67" s="154">
        <f t="shared" si="85"/>
        <v>696.43945800000017</v>
      </c>
      <c r="AP67" s="154">
        <f t="shared" si="85"/>
        <v>0</v>
      </c>
      <c r="AQ67" s="154">
        <f t="shared" si="85"/>
        <v>0</v>
      </c>
      <c r="AR67" s="154">
        <f t="shared" si="85"/>
        <v>696.43945800000017</v>
      </c>
      <c r="AS67" s="154">
        <f t="shared" si="85"/>
        <v>0</v>
      </c>
      <c r="AT67" s="154">
        <f t="shared" si="85"/>
        <v>0</v>
      </c>
      <c r="AU67" s="154">
        <f t="shared" si="85"/>
        <v>696.43945800000017</v>
      </c>
      <c r="AV67" s="154">
        <f t="shared" si="85"/>
        <v>0</v>
      </c>
      <c r="AW67" s="26"/>
      <c r="AX67" s="10"/>
    </row>
    <row r="68" spans="1:50" ht="12.75" hidden="1" customHeight="1" outlineLevel="1">
      <c r="A68" s="296"/>
      <c r="B68" s="198" t="s">
        <v>146</v>
      </c>
      <c r="C68" s="204" t="s">
        <v>136</v>
      </c>
      <c r="D68" s="32"/>
      <c r="E68" s="155"/>
      <c r="F68" s="155"/>
      <c r="G68" s="155"/>
      <c r="H68" s="155"/>
      <c r="I68" s="155"/>
      <c r="J68" s="155"/>
      <c r="K68" s="155">
        <f t="shared" ref="K68:AV68" si="86">(K47*K65)</f>
        <v>263250</v>
      </c>
      <c r="L68" s="155">
        <f t="shared" si="86"/>
        <v>0</v>
      </c>
      <c r="M68" s="155">
        <f t="shared" si="86"/>
        <v>0</v>
      </c>
      <c r="N68" s="155">
        <f t="shared" si="86"/>
        <v>315900.00000000006</v>
      </c>
      <c r="O68" s="155">
        <f t="shared" si="86"/>
        <v>0</v>
      </c>
      <c r="P68" s="155">
        <f t="shared" si="86"/>
        <v>0</v>
      </c>
      <c r="Q68" s="155">
        <f t="shared" si="86"/>
        <v>315900.00000000006</v>
      </c>
      <c r="R68" s="155">
        <f t="shared" si="86"/>
        <v>0</v>
      </c>
      <c r="S68" s="155">
        <f t="shared" si="86"/>
        <v>0</v>
      </c>
      <c r="T68" s="155">
        <f t="shared" si="86"/>
        <v>315900.00000000006</v>
      </c>
      <c r="U68" s="155">
        <f t="shared" si="86"/>
        <v>0</v>
      </c>
      <c r="V68" s="155">
        <f t="shared" si="86"/>
        <v>0</v>
      </c>
      <c r="W68" s="155">
        <f t="shared" si="86"/>
        <v>315900.00000000006</v>
      </c>
      <c r="X68" s="155">
        <f t="shared" si="86"/>
        <v>0</v>
      </c>
      <c r="Y68" s="155">
        <f t="shared" si="86"/>
        <v>0</v>
      </c>
      <c r="Z68" s="155">
        <f t="shared" si="86"/>
        <v>315900.00000000006</v>
      </c>
      <c r="AA68" s="155">
        <f t="shared" si="86"/>
        <v>0</v>
      </c>
      <c r="AB68" s="155">
        <f t="shared" si="86"/>
        <v>0</v>
      </c>
      <c r="AC68" s="155">
        <f t="shared" si="86"/>
        <v>315900.00000000006</v>
      </c>
      <c r="AD68" s="155">
        <f t="shared" si="86"/>
        <v>0</v>
      </c>
      <c r="AE68" s="155">
        <f t="shared" si="86"/>
        <v>0</v>
      </c>
      <c r="AF68" s="155">
        <f t="shared" si="86"/>
        <v>315900.00000000006</v>
      </c>
      <c r="AG68" s="155">
        <f t="shared" si="86"/>
        <v>0</v>
      </c>
      <c r="AH68" s="155">
        <f t="shared" si="86"/>
        <v>0</v>
      </c>
      <c r="AI68" s="155">
        <f t="shared" si="86"/>
        <v>315900.00000000006</v>
      </c>
      <c r="AJ68" s="155">
        <f t="shared" si="86"/>
        <v>0</v>
      </c>
      <c r="AK68" s="155">
        <f t="shared" si="86"/>
        <v>0</v>
      </c>
      <c r="AL68" s="155">
        <f t="shared" si="86"/>
        <v>315900.00000000006</v>
      </c>
      <c r="AM68" s="155">
        <f t="shared" si="86"/>
        <v>0</v>
      </c>
      <c r="AN68" s="155">
        <f t="shared" si="86"/>
        <v>0</v>
      </c>
      <c r="AO68" s="155">
        <f t="shared" si="86"/>
        <v>315900.00000000006</v>
      </c>
      <c r="AP68" s="155">
        <f t="shared" si="86"/>
        <v>0</v>
      </c>
      <c r="AQ68" s="155">
        <f t="shared" si="86"/>
        <v>0</v>
      </c>
      <c r="AR68" s="155">
        <f t="shared" si="86"/>
        <v>315900.00000000006</v>
      </c>
      <c r="AS68" s="155">
        <f t="shared" si="86"/>
        <v>0</v>
      </c>
      <c r="AT68" s="155">
        <f t="shared" si="86"/>
        <v>0</v>
      </c>
      <c r="AU68" s="155">
        <f t="shared" si="86"/>
        <v>315900.00000000006</v>
      </c>
      <c r="AV68" s="155">
        <f t="shared" si="86"/>
        <v>0</v>
      </c>
      <c r="AW68" s="26"/>
      <c r="AX68" s="10"/>
    </row>
    <row r="69" spans="1:50" hidden="1" outlineLevel="1">
      <c r="A69" s="296"/>
      <c r="B69" s="198"/>
      <c r="C69" s="203"/>
      <c r="D69" s="32"/>
      <c r="E69" s="24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162"/>
      <c r="AA69" s="162"/>
      <c r="AB69" s="162"/>
      <c r="AC69" s="162"/>
      <c r="AD69" s="162"/>
      <c r="AE69" s="162"/>
      <c r="AF69" s="162"/>
      <c r="AG69" s="162"/>
      <c r="AH69" s="162"/>
      <c r="AI69" s="162"/>
      <c r="AJ69" s="162"/>
      <c r="AK69" s="162"/>
      <c r="AL69" s="162"/>
      <c r="AM69" s="162"/>
      <c r="AN69" s="162"/>
      <c r="AO69" s="162"/>
      <c r="AP69" s="162"/>
      <c r="AQ69" s="162"/>
      <c r="AR69" s="162"/>
      <c r="AS69" s="162"/>
      <c r="AT69" s="162"/>
      <c r="AU69" s="162"/>
      <c r="AV69" s="162"/>
      <c r="AW69" s="26"/>
      <c r="AX69" s="10"/>
    </row>
    <row r="70" spans="1:50" hidden="1" outlineLevel="1">
      <c r="A70" s="296"/>
      <c r="B70" s="201" t="s">
        <v>274</v>
      </c>
      <c r="C70" s="205"/>
      <c r="D70" s="192"/>
      <c r="E70" s="193"/>
      <c r="F70" s="193"/>
      <c r="G70" s="193"/>
      <c r="H70" s="193"/>
      <c r="I70" s="193"/>
      <c r="J70" s="193"/>
      <c r="K70" s="193"/>
      <c r="L70" s="193"/>
      <c r="M70" s="193"/>
      <c r="N70" s="193"/>
      <c r="O70" s="193"/>
      <c r="P70" s="193"/>
      <c r="Q70" s="195"/>
      <c r="R70" s="195"/>
      <c r="S70" s="195"/>
      <c r="T70" s="195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  <c r="AJ70" s="193"/>
      <c r="AK70" s="193"/>
      <c r="AL70" s="193"/>
      <c r="AM70" s="193"/>
      <c r="AN70" s="193"/>
      <c r="AO70" s="193"/>
      <c r="AP70" s="193"/>
      <c r="AQ70" s="193"/>
      <c r="AR70" s="193"/>
      <c r="AS70" s="193"/>
      <c r="AT70" s="193"/>
      <c r="AU70" s="193"/>
      <c r="AV70" s="193"/>
      <c r="AW70" s="26"/>
      <c r="AX70" s="10"/>
    </row>
    <row r="71" spans="1:50" hidden="1" outlineLevel="1">
      <c r="A71" s="296"/>
      <c r="B71" s="202" t="s">
        <v>139</v>
      </c>
      <c r="C71" s="204" t="s">
        <v>136</v>
      </c>
      <c r="D71" s="32"/>
      <c r="E71" s="53"/>
      <c r="F71" s="12"/>
      <c r="G71" s="12"/>
      <c r="H71" s="12"/>
      <c r="I71" s="53"/>
      <c r="J71" s="12"/>
      <c r="K71" s="245"/>
      <c r="L71" s="278">
        <v>117</v>
      </c>
      <c r="M71" s="24">
        <f>L71</f>
        <v>117</v>
      </c>
      <c r="N71" s="278">
        <v>117</v>
      </c>
      <c r="O71" s="24">
        <f t="shared" ref="O71:P73" si="87">N71</f>
        <v>117</v>
      </c>
      <c r="P71" s="24">
        <f t="shared" si="87"/>
        <v>117</v>
      </c>
      <c r="Q71" s="24">
        <f>P71</f>
        <v>117</v>
      </c>
      <c r="R71" s="24">
        <f>Q71</f>
        <v>117</v>
      </c>
      <c r="S71" s="24">
        <f>R71</f>
        <v>117</v>
      </c>
      <c r="T71" s="24">
        <f>S71</f>
        <v>117</v>
      </c>
      <c r="U71" s="24">
        <f t="shared" ref="U71:AV71" si="88">T71</f>
        <v>117</v>
      </c>
      <c r="V71" s="24">
        <f t="shared" si="88"/>
        <v>117</v>
      </c>
      <c r="W71" s="24">
        <f t="shared" si="88"/>
        <v>117</v>
      </c>
      <c r="X71" s="24">
        <f t="shared" si="88"/>
        <v>117</v>
      </c>
      <c r="Y71" s="24">
        <f t="shared" si="88"/>
        <v>117</v>
      </c>
      <c r="Z71" s="24">
        <f t="shared" si="88"/>
        <v>117</v>
      </c>
      <c r="AA71" s="24">
        <f t="shared" si="88"/>
        <v>117</v>
      </c>
      <c r="AB71" s="24">
        <f t="shared" si="88"/>
        <v>117</v>
      </c>
      <c r="AC71" s="24">
        <f t="shared" si="88"/>
        <v>117</v>
      </c>
      <c r="AD71" s="24">
        <f t="shared" si="88"/>
        <v>117</v>
      </c>
      <c r="AE71" s="24">
        <f t="shared" si="88"/>
        <v>117</v>
      </c>
      <c r="AF71" s="24">
        <f t="shared" si="88"/>
        <v>117</v>
      </c>
      <c r="AG71" s="24">
        <f t="shared" si="88"/>
        <v>117</v>
      </c>
      <c r="AH71" s="24">
        <f t="shared" si="88"/>
        <v>117</v>
      </c>
      <c r="AI71" s="24">
        <f t="shared" si="88"/>
        <v>117</v>
      </c>
      <c r="AJ71" s="24">
        <f t="shared" si="88"/>
        <v>117</v>
      </c>
      <c r="AK71" s="24">
        <f t="shared" si="88"/>
        <v>117</v>
      </c>
      <c r="AL71" s="24">
        <f t="shared" si="88"/>
        <v>117</v>
      </c>
      <c r="AM71" s="24">
        <f t="shared" si="88"/>
        <v>117</v>
      </c>
      <c r="AN71" s="24">
        <f t="shared" si="88"/>
        <v>117</v>
      </c>
      <c r="AO71" s="24">
        <f t="shared" si="88"/>
        <v>117</v>
      </c>
      <c r="AP71" s="24">
        <f t="shared" si="88"/>
        <v>117</v>
      </c>
      <c r="AQ71" s="24">
        <f t="shared" si="88"/>
        <v>117</v>
      </c>
      <c r="AR71" s="24">
        <f t="shared" si="88"/>
        <v>117</v>
      </c>
      <c r="AS71" s="24">
        <f t="shared" si="88"/>
        <v>117</v>
      </c>
      <c r="AT71" s="24">
        <f t="shared" si="88"/>
        <v>117</v>
      </c>
      <c r="AU71" s="24">
        <f t="shared" si="88"/>
        <v>117</v>
      </c>
      <c r="AV71" s="24">
        <f t="shared" si="88"/>
        <v>117</v>
      </c>
      <c r="AW71" s="26"/>
      <c r="AX71" s="10"/>
    </row>
    <row r="72" spans="1:50" hidden="1" outlineLevel="1">
      <c r="A72" s="296"/>
      <c r="B72" s="202" t="s">
        <v>140</v>
      </c>
      <c r="C72" s="204" t="s">
        <v>149</v>
      </c>
      <c r="D72" s="32"/>
      <c r="E72" s="186"/>
      <c r="F72" s="12"/>
      <c r="G72" s="12"/>
      <c r="H72" s="12"/>
      <c r="I72" s="186"/>
      <c r="J72" s="12"/>
      <c r="K72" s="186"/>
      <c r="L72" s="279">
        <v>3</v>
      </c>
      <c r="M72" s="149">
        <f t="shared" ref="M72:Q74" si="89">L72</f>
        <v>3</v>
      </c>
      <c r="N72" s="279">
        <v>3</v>
      </c>
      <c r="O72" s="149">
        <f t="shared" si="87"/>
        <v>3</v>
      </c>
      <c r="P72" s="149">
        <f t="shared" si="87"/>
        <v>3</v>
      </c>
      <c r="Q72" s="149">
        <f t="shared" si="89"/>
        <v>3</v>
      </c>
      <c r="R72" s="149">
        <f t="shared" ref="R72:T74" si="90">Q72</f>
        <v>3</v>
      </c>
      <c r="S72" s="149">
        <f t="shared" si="90"/>
        <v>3</v>
      </c>
      <c r="T72" s="149">
        <f t="shared" si="90"/>
        <v>3</v>
      </c>
      <c r="U72" s="149">
        <f t="shared" ref="U72:AV72" si="91">T72</f>
        <v>3</v>
      </c>
      <c r="V72" s="149">
        <f t="shared" si="91"/>
        <v>3</v>
      </c>
      <c r="W72" s="149">
        <f t="shared" si="91"/>
        <v>3</v>
      </c>
      <c r="X72" s="149">
        <f t="shared" si="91"/>
        <v>3</v>
      </c>
      <c r="Y72" s="149">
        <f t="shared" si="91"/>
        <v>3</v>
      </c>
      <c r="Z72" s="149">
        <f t="shared" si="91"/>
        <v>3</v>
      </c>
      <c r="AA72" s="149">
        <f t="shared" si="91"/>
        <v>3</v>
      </c>
      <c r="AB72" s="149">
        <f t="shared" si="91"/>
        <v>3</v>
      </c>
      <c r="AC72" s="149">
        <f t="shared" si="91"/>
        <v>3</v>
      </c>
      <c r="AD72" s="149">
        <f t="shared" si="91"/>
        <v>3</v>
      </c>
      <c r="AE72" s="149">
        <f t="shared" si="91"/>
        <v>3</v>
      </c>
      <c r="AF72" s="149">
        <f t="shared" si="91"/>
        <v>3</v>
      </c>
      <c r="AG72" s="149">
        <f t="shared" si="91"/>
        <v>3</v>
      </c>
      <c r="AH72" s="149">
        <f t="shared" si="91"/>
        <v>3</v>
      </c>
      <c r="AI72" s="149">
        <f t="shared" si="91"/>
        <v>3</v>
      </c>
      <c r="AJ72" s="149">
        <f t="shared" si="91"/>
        <v>3</v>
      </c>
      <c r="AK72" s="149">
        <f t="shared" si="91"/>
        <v>3</v>
      </c>
      <c r="AL72" s="149">
        <f t="shared" si="91"/>
        <v>3</v>
      </c>
      <c r="AM72" s="149">
        <f t="shared" si="91"/>
        <v>3</v>
      </c>
      <c r="AN72" s="149">
        <f t="shared" si="91"/>
        <v>3</v>
      </c>
      <c r="AO72" s="149">
        <f t="shared" si="91"/>
        <v>3</v>
      </c>
      <c r="AP72" s="149">
        <f t="shared" si="91"/>
        <v>3</v>
      </c>
      <c r="AQ72" s="149">
        <f t="shared" si="91"/>
        <v>3</v>
      </c>
      <c r="AR72" s="149">
        <f t="shared" si="91"/>
        <v>3</v>
      </c>
      <c r="AS72" s="149">
        <f t="shared" si="91"/>
        <v>3</v>
      </c>
      <c r="AT72" s="149">
        <f t="shared" si="91"/>
        <v>3</v>
      </c>
      <c r="AU72" s="149">
        <f t="shared" si="91"/>
        <v>3</v>
      </c>
      <c r="AV72" s="149">
        <f t="shared" si="91"/>
        <v>3</v>
      </c>
      <c r="AW72" s="26"/>
      <c r="AX72" s="10"/>
    </row>
    <row r="73" spans="1:50" hidden="1" outlineLevel="1">
      <c r="A73" s="296"/>
      <c r="B73" s="202" t="s">
        <v>141</v>
      </c>
      <c r="C73" s="204" t="s">
        <v>150</v>
      </c>
      <c r="D73" s="32"/>
      <c r="E73" s="53"/>
      <c r="F73" s="12"/>
      <c r="G73" s="12"/>
      <c r="H73" s="12"/>
      <c r="I73" s="53"/>
      <c r="J73" s="12"/>
      <c r="K73" s="53"/>
      <c r="L73" s="280">
        <f>360/4.5</f>
        <v>80</v>
      </c>
      <c r="M73" s="24">
        <f t="shared" si="89"/>
        <v>80</v>
      </c>
      <c r="N73" s="280">
        <f t="shared" ref="N73" si="92">365/5</f>
        <v>73</v>
      </c>
      <c r="O73" s="24">
        <f t="shared" si="87"/>
        <v>73</v>
      </c>
      <c r="P73" s="24">
        <f t="shared" si="87"/>
        <v>73</v>
      </c>
      <c r="Q73" s="24">
        <f t="shared" si="89"/>
        <v>73</v>
      </c>
      <c r="R73" s="24">
        <f t="shared" si="90"/>
        <v>73</v>
      </c>
      <c r="S73" s="24">
        <f t="shared" si="90"/>
        <v>73</v>
      </c>
      <c r="T73" s="24">
        <f t="shared" si="90"/>
        <v>73</v>
      </c>
      <c r="U73" s="24">
        <f t="shared" ref="U73:AV73" si="93">T73</f>
        <v>73</v>
      </c>
      <c r="V73" s="24">
        <f t="shared" si="93"/>
        <v>73</v>
      </c>
      <c r="W73" s="24">
        <f t="shared" si="93"/>
        <v>73</v>
      </c>
      <c r="X73" s="24">
        <f t="shared" si="93"/>
        <v>73</v>
      </c>
      <c r="Y73" s="24">
        <f t="shared" si="93"/>
        <v>73</v>
      </c>
      <c r="Z73" s="24">
        <f t="shared" si="93"/>
        <v>73</v>
      </c>
      <c r="AA73" s="24">
        <f t="shared" si="93"/>
        <v>73</v>
      </c>
      <c r="AB73" s="24">
        <f t="shared" si="93"/>
        <v>73</v>
      </c>
      <c r="AC73" s="24">
        <f t="shared" si="93"/>
        <v>73</v>
      </c>
      <c r="AD73" s="24">
        <f t="shared" si="93"/>
        <v>73</v>
      </c>
      <c r="AE73" s="24">
        <f t="shared" si="93"/>
        <v>73</v>
      </c>
      <c r="AF73" s="24">
        <f t="shared" si="93"/>
        <v>73</v>
      </c>
      <c r="AG73" s="24">
        <f t="shared" si="93"/>
        <v>73</v>
      </c>
      <c r="AH73" s="24">
        <f t="shared" si="93"/>
        <v>73</v>
      </c>
      <c r="AI73" s="24">
        <f t="shared" si="93"/>
        <v>73</v>
      </c>
      <c r="AJ73" s="24">
        <f t="shared" si="93"/>
        <v>73</v>
      </c>
      <c r="AK73" s="24">
        <f t="shared" si="93"/>
        <v>73</v>
      </c>
      <c r="AL73" s="24">
        <f t="shared" si="93"/>
        <v>73</v>
      </c>
      <c r="AM73" s="24">
        <f t="shared" si="93"/>
        <v>73</v>
      </c>
      <c r="AN73" s="24">
        <f t="shared" si="93"/>
        <v>73</v>
      </c>
      <c r="AO73" s="24">
        <f t="shared" si="93"/>
        <v>73</v>
      </c>
      <c r="AP73" s="24">
        <f t="shared" si="93"/>
        <v>73</v>
      </c>
      <c r="AQ73" s="24">
        <f t="shared" si="93"/>
        <v>73</v>
      </c>
      <c r="AR73" s="24">
        <f t="shared" si="93"/>
        <v>73</v>
      </c>
      <c r="AS73" s="24">
        <f t="shared" si="93"/>
        <v>73</v>
      </c>
      <c r="AT73" s="24">
        <f t="shared" si="93"/>
        <v>73</v>
      </c>
      <c r="AU73" s="24">
        <f t="shared" si="93"/>
        <v>73</v>
      </c>
      <c r="AV73" s="24">
        <f t="shared" si="93"/>
        <v>73</v>
      </c>
      <c r="AW73" s="26"/>
      <c r="AX73" s="10"/>
    </row>
    <row r="74" spans="1:50" hidden="1" outlineLevel="1">
      <c r="A74" s="296"/>
      <c r="B74" s="202" t="s">
        <v>142</v>
      </c>
      <c r="C74" s="204" t="s">
        <v>102</v>
      </c>
      <c r="D74" s="32"/>
      <c r="E74" s="187"/>
      <c r="F74" s="25"/>
      <c r="G74" s="25"/>
      <c r="H74" s="25"/>
      <c r="I74" s="187"/>
      <c r="J74" s="25"/>
      <c r="K74" s="187"/>
      <c r="L74" s="187">
        <v>0.95</v>
      </c>
      <c r="M74" s="25">
        <f t="shared" si="89"/>
        <v>0.95</v>
      </c>
      <c r="N74" s="25">
        <f t="shared" si="89"/>
        <v>0.95</v>
      </c>
      <c r="O74" s="25">
        <f t="shared" si="89"/>
        <v>0.95</v>
      </c>
      <c r="P74" s="25">
        <f t="shared" si="89"/>
        <v>0.95</v>
      </c>
      <c r="Q74" s="25">
        <f t="shared" ref="Q74" si="94">P74</f>
        <v>0.95</v>
      </c>
      <c r="R74" s="25">
        <f t="shared" si="90"/>
        <v>0.95</v>
      </c>
      <c r="S74" s="25">
        <f t="shared" si="90"/>
        <v>0.95</v>
      </c>
      <c r="T74" s="25">
        <f>S74</f>
        <v>0.95</v>
      </c>
      <c r="U74" s="25">
        <f t="shared" ref="U74:AV74" si="95">T74</f>
        <v>0.95</v>
      </c>
      <c r="V74" s="25">
        <f t="shared" si="95"/>
        <v>0.95</v>
      </c>
      <c r="W74" s="25">
        <f t="shared" si="95"/>
        <v>0.95</v>
      </c>
      <c r="X74" s="25">
        <f t="shared" si="95"/>
        <v>0.95</v>
      </c>
      <c r="Y74" s="25">
        <f t="shared" si="95"/>
        <v>0.95</v>
      </c>
      <c r="Z74" s="25">
        <f t="shared" si="95"/>
        <v>0.95</v>
      </c>
      <c r="AA74" s="25">
        <f t="shared" si="95"/>
        <v>0.95</v>
      </c>
      <c r="AB74" s="25">
        <f t="shared" si="95"/>
        <v>0.95</v>
      </c>
      <c r="AC74" s="25">
        <f t="shared" si="95"/>
        <v>0.95</v>
      </c>
      <c r="AD74" s="25">
        <f t="shared" si="95"/>
        <v>0.95</v>
      </c>
      <c r="AE74" s="25">
        <f t="shared" si="95"/>
        <v>0.95</v>
      </c>
      <c r="AF74" s="25">
        <f t="shared" si="95"/>
        <v>0.95</v>
      </c>
      <c r="AG74" s="25">
        <f t="shared" si="95"/>
        <v>0.95</v>
      </c>
      <c r="AH74" s="25">
        <f t="shared" si="95"/>
        <v>0.95</v>
      </c>
      <c r="AI74" s="25">
        <f t="shared" si="95"/>
        <v>0.95</v>
      </c>
      <c r="AJ74" s="25">
        <f t="shared" si="95"/>
        <v>0.95</v>
      </c>
      <c r="AK74" s="25">
        <f t="shared" si="95"/>
        <v>0.95</v>
      </c>
      <c r="AL74" s="25">
        <f t="shared" si="95"/>
        <v>0.95</v>
      </c>
      <c r="AM74" s="25">
        <f t="shared" si="95"/>
        <v>0.95</v>
      </c>
      <c r="AN74" s="25">
        <f t="shared" si="95"/>
        <v>0.95</v>
      </c>
      <c r="AO74" s="25">
        <f t="shared" si="95"/>
        <v>0.95</v>
      </c>
      <c r="AP74" s="25">
        <f t="shared" si="95"/>
        <v>0.95</v>
      </c>
      <c r="AQ74" s="25">
        <f t="shared" si="95"/>
        <v>0.95</v>
      </c>
      <c r="AR74" s="25">
        <f t="shared" si="95"/>
        <v>0.95</v>
      </c>
      <c r="AS74" s="25">
        <f t="shared" si="95"/>
        <v>0.95</v>
      </c>
      <c r="AT74" s="25">
        <f t="shared" si="95"/>
        <v>0.95</v>
      </c>
      <c r="AU74" s="25">
        <f t="shared" si="95"/>
        <v>0.95</v>
      </c>
      <c r="AV74" s="25">
        <f t="shared" si="95"/>
        <v>0.95</v>
      </c>
      <c r="AW74" s="26"/>
      <c r="AX74" s="10"/>
    </row>
    <row r="75" spans="1:50" ht="12" hidden="1" customHeight="1" outlineLevel="1">
      <c r="A75" s="296"/>
      <c r="B75" s="202" t="s">
        <v>143</v>
      </c>
      <c r="C75" s="207" t="s">
        <v>136</v>
      </c>
      <c r="D75" s="32"/>
      <c r="E75" s="184"/>
      <c r="F75" s="184"/>
      <c r="G75" s="184"/>
      <c r="H75" s="184"/>
      <c r="I75" s="184"/>
      <c r="J75" s="184"/>
      <c r="K75" s="184"/>
      <c r="L75" s="184">
        <f>(L71*90)/L73/L72*L74</f>
        <v>41.681249999999999</v>
      </c>
      <c r="M75" s="184">
        <f>(M71*90)/M73/M72*M74</f>
        <v>41.681249999999999</v>
      </c>
      <c r="N75" s="184">
        <f>(N71*90)/N73/N72*N74</f>
        <v>45.678082191780817</v>
      </c>
      <c r="O75" s="184">
        <f>(O71*90)/O73/O72*O74</f>
        <v>45.678082191780817</v>
      </c>
      <c r="P75" s="184">
        <f t="shared" ref="P75:T75" si="96">(P71*90)/P73/P72*P74</f>
        <v>45.678082191780817</v>
      </c>
      <c r="Q75" s="184">
        <f>(Q71*90)/Q73/Q72*Q74</f>
        <v>45.678082191780817</v>
      </c>
      <c r="R75" s="184">
        <f t="shared" si="96"/>
        <v>45.678082191780817</v>
      </c>
      <c r="S75" s="184">
        <f t="shared" si="96"/>
        <v>45.678082191780817</v>
      </c>
      <c r="T75" s="184">
        <f t="shared" si="96"/>
        <v>45.678082191780817</v>
      </c>
      <c r="U75" s="184">
        <f t="shared" ref="U75:AV75" si="97">(U71*90)/U73/U72*U74</f>
        <v>45.678082191780817</v>
      </c>
      <c r="V75" s="184">
        <f t="shared" si="97"/>
        <v>45.678082191780817</v>
      </c>
      <c r="W75" s="184">
        <f t="shared" si="97"/>
        <v>45.678082191780817</v>
      </c>
      <c r="X75" s="184">
        <f t="shared" si="97"/>
        <v>45.678082191780817</v>
      </c>
      <c r="Y75" s="184">
        <f t="shared" si="97"/>
        <v>45.678082191780817</v>
      </c>
      <c r="Z75" s="184">
        <f t="shared" si="97"/>
        <v>45.678082191780817</v>
      </c>
      <c r="AA75" s="184">
        <f t="shared" si="97"/>
        <v>45.678082191780817</v>
      </c>
      <c r="AB75" s="184">
        <f t="shared" si="97"/>
        <v>45.678082191780817</v>
      </c>
      <c r="AC75" s="184">
        <f t="shared" si="97"/>
        <v>45.678082191780817</v>
      </c>
      <c r="AD75" s="184">
        <f t="shared" si="97"/>
        <v>45.678082191780817</v>
      </c>
      <c r="AE75" s="184">
        <f t="shared" si="97"/>
        <v>45.678082191780817</v>
      </c>
      <c r="AF75" s="184">
        <f t="shared" si="97"/>
        <v>45.678082191780817</v>
      </c>
      <c r="AG75" s="184">
        <f t="shared" si="97"/>
        <v>45.678082191780817</v>
      </c>
      <c r="AH75" s="184">
        <f t="shared" si="97"/>
        <v>45.678082191780817</v>
      </c>
      <c r="AI75" s="184">
        <f t="shared" si="97"/>
        <v>45.678082191780817</v>
      </c>
      <c r="AJ75" s="184">
        <f t="shared" si="97"/>
        <v>45.678082191780817</v>
      </c>
      <c r="AK75" s="184">
        <f t="shared" si="97"/>
        <v>45.678082191780817</v>
      </c>
      <c r="AL75" s="184">
        <f t="shared" si="97"/>
        <v>45.678082191780817</v>
      </c>
      <c r="AM75" s="184">
        <f t="shared" si="97"/>
        <v>45.678082191780817</v>
      </c>
      <c r="AN75" s="184">
        <f t="shared" si="97"/>
        <v>45.678082191780817</v>
      </c>
      <c r="AO75" s="184">
        <f t="shared" si="97"/>
        <v>45.678082191780817</v>
      </c>
      <c r="AP75" s="184">
        <f t="shared" si="97"/>
        <v>45.678082191780817</v>
      </c>
      <c r="AQ75" s="184">
        <f t="shared" si="97"/>
        <v>45.678082191780817</v>
      </c>
      <c r="AR75" s="184">
        <f t="shared" si="97"/>
        <v>45.678082191780817</v>
      </c>
      <c r="AS75" s="184">
        <f t="shared" si="97"/>
        <v>45.678082191780817</v>
      </c>
      <c r="AT75" s="184">
        <f t="shared" si="97"/>
        <v>45.678082191780817</v>
      </c>
      <c r="AU75" s="184">
        <f t="shared" si="97"/>
        <v>45.678082191780817</v>
      </c>
      <c r="AV75" s="184">
        <f t="shared" si="97"/>
        <v>45.678082191780817</v>
      </c>
      <c r="AW75" s="26"/>
      <c r="AX75" s="10"/>
    </row>
    <row r="76" spans="1:50" hidden="1" outlineLevel="1">
      <c r="A76" s="296"/>
      <c r="B76" s="198"/>
      <c r="C76" s="203"/>
      <c r="D76" s="3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  <c r="AA76" s="162"/>
      <c r="AB76" s="162"/>
      <c r="AC76" s="162"/>
      <c r="AD76" s="162"/>
      <c r="AE76" s="162"/>
      <c r="AF76" s="162"/>
      <c r="AG76" s="162"/>
      <c r="AH76" s="162"/>
      <c r="AI76" s="162"/>
      <c r="AJ76" s="162"/>
      <c r="AK76" s="162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26"/>
      <c r="AX76" s="10"/>
    </row>
    <row r="77" spans="1:50" ht="12.75" hidden="1" customHeight="1" outlineLevel="1">
      <c r="A77" s="296"/>
      <c r="B77" s="198" t="s">
        <v>145</v>
      </c>
      <c r="C77" s="204" t="s">
        <v>100</v>
      </c>
      <c r="D77" s="32"/>
      <c r="E77" s="154"/>
      <c r="F77" s="154"/>
      <c r="G77" s="154"/>
      <c r="H77" s="154"/>
      <c r="I77" s="154"/>
      <c r="J77" s="154"/>
      <c r="K77" s="154"/>
      <c r="L77" s="154">
        <f t="shared" ref="L77:R77" si="98">(L50*L75)*grams_lbs</f>
        <v>117.62088624</v>
      </c>
      <c r="M77" s="154">
        <f t="shared" si="98"/>
        <v>117.62088624</v>
      </c>
      <c r="N77" s="154">
        <f t="shared" si="98"/>
        <v>128.89960135890411</v>
      </c>
      <c r="O77" s="154">
        <f t="shared" si="98"/>
        <v>128.89960135890411</v>
      </c>
      <c r="P77" s="154">
        <f t="shared" si="98"/>
        <v>128.89960135890411</v>
      </c>
      <c r="Q77" s="154">
        <f t="shared" si="98"/>
        <v>128.89960135890411</v>
      </c>
      <c r="R77" s="154">
        <f t="shared" si="98"/>
        <v>830.79821188356152</v>
      </c>
      <c r="S77" s="154">
        <f t="shared" ref="S77:AV77" si="99">(S50*S75)*grams_lbs</f>
        <v>1661.596423767123</v>
      </c>
      <c r="T77" s="154">
        <f t="shared" si="99"/>
        <v>1661.596423767123</v>
      </c>
      <c r="U77" s="154">
        <f t="shared" si="99"/>
        <v>1661.596423767123</v>
      </c>
      <c r="V77" s="154">
        <f t="shared" si="99"/>
        <v>1661.596423767123</v>
      </c>
      <c r="W77" s="154">
        <f t="shared" si="99"/>
        <v>1661.596423767123</v>
      </c>
      <c r="X77" s="154">
        <f t="shared" si="99"/>
        <v>1661.596423767123</v>
      </c>
      <c r="Y77" s="154">
        <f t="shared" si="99"/>
        <v>1661.596423767123</v>
      </c>
      <c r="Z77" s="154">
        <f t="shared" si="99"/>
        <v>1661.596423767123</v>
      </c>
      <c r="AA77" s="154">
        <f t="shared" si="99"/>
        <v>1661.596423767123</v>
      </c>
      <c r="AB77" s="154">
        <f t="shared" si="99"/>
        <v>1661.596423767123</v>
      </c>
      <c r="AC77" s="154">
        <f t="shared" si="99"/>
        <v>1661.596423767123</v>
      </c>
      <c r="AD77" s="154">
        <f t="shared" si="99"/>
        <v>1661.596423767123</v>
      </c>
      <c r="AE77" s="154">
        <f t="shared" si="99"/>
        <v>1661.596423767123</v>
      </c>
      <c r="AF77" s="154">
        <f t="shared" si="99"/>
        <v>1661.596423767123</v>
      </c>
      <c r="AG77" s="154">
        <f t="shared" si="99"/>
        <v>1661.596423767123</v>
      </c>
      <c r="AH77" s="154">
        <f t="shared" si="99"/>
        <v>1661.596423767123</v>
      </c>
      <c r="AI77" s="154">
        <f t="shared" si="99"/>
        <v>1661.596423767123</v>
      </c>
      <c r="AJ77" s="154">
        <f t="shared" si="99"/>
        <v>1661.596423767123</v>
      </c>
      <c r="AK77" s="154">
        <f t="shared" si="99"/>
        <v>1661.596423767123</v>
      </c>
      <c r="AL77" s="154">
        <f t="shared" si="99"/>
        <v>1661.596423767123</v>
      </c>
      <c r="AM77" s="154">
        <f t="shared" si="99"/>
        <v>1661.596423767123</v>
      </c>
      <c r="AN77" s="154">
        <f t="shared" si="99"/>
        <v>1661.596423767123</v>
      </c>
      <c r="AO77" s="154">
        <f t="shared" si="99"/>
        <v>1661.596423767123</v>
      </c>
      <c r="AP77" s="154">
        <f t="shared" si="99"/>
        <v>1661.596423767123</v>
      </c>
      <c r="AQ77" s="154">
        <f t="shared" si="99"/>
        <v>1661.596423767123</v>
      </c>
      <c r="AR77" s="154">
        <f t="shared" si="99"/>
        <v>1661.596423767123</v>
      </c>
      <c r="AS77" s="154">
        <f t="shared" si="99"/>
        <v>1661.596423767123</v>
      </c>
      <c r="AT77" s="154">
        <f t="shared" si="99"/>
        <v>1661.596423767123</v>
      </c>
      <c r="AU77" s="154">
        <f t="shared" si="99"/>
        <v>1661.596423767123</v>
      </c>
      <c r="AV77" s="154">
        <f t="shared" si="99"/>
        <v>1661.596423767123</v>
      </c>
      <c r="AW77" s="26"/>
      <c r="AX77" s="10"/>
    </row>
    <row r="78" spans="1:50" ht="12.75" hidden="1" customHeight="1" outlineLevel="1">
      <c r="A78" s="296"/>
      <c r="B78" s="198" t="s">
        <v>146</v>
      </c>
      <c r="C78" s="204" t="s">
        <v>136</v>
      </c>
      <c r="D78" s="32"/>
      <c r="E78" s="155"/>
      <c r="F78" s="155"/>
      <c r="G78" s="155"/>
      <c r="H78" s="155"/>
      <c r="I78" s="155"/>
      <c r="J78" s="155"/>
      <c r="K78" s="155"/>
      <c r="L78" s="155">
        <f>(L50*L75)</f>
        <v>53352</v>
      </c>
      <c r="M78" s="155">
        <f>(M50*M75)</f>
        <v>53352</v>
      </c>
      <c r="N78" s="155">
        <f>(N50*N75)</f>
        <v>58467.945205479446</v>
      </c>
      <c r="O78" s="155">
        <f>(O50*O75)</f>
        <v>58467.945205479446</v>
      </c>
      <c r="P78" s="155">
        <f>(P50*P75)</f>
        <v>58467.945205479446</v>
      </c>
      <c r="Q78" s="155">
        <f t="shared" ref="Q78:AV78" si="100">(Q50*Q75)</f>
        <v>58467.945205479446</v>
      </c>
      <c r="R78" s="155">
        <f t="shared" si="100"/>
        <v>376844.17808219173</v>
      </c>
      <c r="S78" s="155">
        <f t="shared" si="100"/>
        <v>753688.35616438347</v>
      </c>
      <c r="T78" s="155">
        <f t="shared" si="100"/>
        <v>753688.35616438347</v>
      </c>
      <c r="U78" s="155">
        <f t="shared" si="100"/>
        <v>753688.35616438347</v>
      </c>
      <c r="V78" s="155">
        <f t="shared" si="100"/>
        <v>753688.35616438347</v>
      </c>
      <c r="W78" s="155">
        <f t="shared" si="100"/>
        <v>753688.35616438347</v>
      </c>
      <c r="X78" s="155">
        <f t="shared" si="100"/>
        <v>753688.35616438347</v>
      </c>
      <c r="Y78" s="155">
        <f t="shared" si="100"/>
        <v>753688.35616438347</v>
      </c>
      <c r="Z78" s="155">
        <f t="shared" si="100"/>
        <v>753688.35616438347</v>
      </c>
      <c r="AA78" s="155">
        <f t="shared" si="100"/>
        <v>753688.35616438347</v>
      </c>
      <c r="AB78" s="155">
        <f t="shared" si="100"/>
        <v>753688.35616438347</v>
      </c>
      <c r="AC78" s="155">
        <f t="shared" si="100"/>
        <v>753688.35616438347</v>
      </c>
      <c r="AD78" s="155">
        <f t="shared" si="100"/>
        <v>753688.35616438347</v>
      </c>
      <c r="AE78" s="155">
        <f t="shared" si="100"/>
        <v>753688.35616438347</v>
      </c>
      <c r="AF78" s="155">
        <f t="shared" si="100"/>
        <v>753688.35616438347</v>
      </c>
      <c r="AG78" s="155">
        <f t="shared" si="100"/>
        <v>753688.35616438347</v>
      </c>
      <c r="AH78" s="155">
        <f t="shared" si="100"/>
        <v>753688.35616438347</v>
      </c>
      <c r="AI78" s="155">
        <f t="shared" si="100"/>
        <v>753688.35616438347</v>
      </c>
      <c r="AJ78" s="155">
        <f t="shared" si="100"/>
        <v>753688.35616438347</v>
      </c>
      <c r="AK78" s="155">
        <f t="shared" si="100"/>
        <v>753688.35616438347</v>
      </c>
      <c r="AL78" s="155">
        <f t="shared" si="100"/>
        <v>753688.35616438347</v>
      </c>
      <c r="AM78" s="155">
        <f t="shared" si="100"/>
        <v>753688.35616438347</v>
      </c>
      <c r="AN78" s="155">
        <f t="shared" si="100"/>
        <v>753688.35616438347</v>
      </c>
      <c r="AO78" s="155">
        <f t="shared" si="100"/>
        <v>753688.35616438347</v>
      </c>
      <c r="AP78" s="155">
        <f t="shared" si="100"/>
        <v>753688.35616438347</v>
      </c>
      <c r="AQ78" s="155">
        <f t="shared" si="100"/>
        <v>753688.35616438347</v>
      </c>
      <c r="AR78" s="155">
        <f t="shared" si="100"/>
        <v>753688.35616438347</v>
      </c>
      <c r="AS78" s="155">
        <f t="shared" si="100"/>
        <v>753688.35616438347</v>
      </c>
      <c r="AT78" s="155">
        <f t="shared" si="100"/>
        <v>753688.35616438347</v>
      </c>
      <c r="AU78" s="155">
        <f t="shared" si="100"/>
        <v>753688.35616438347</v>
      </c>
      <c r="AV78" s="155">
        <f t="shared" si="100"/>
        <v>753688.35616438347</v>
      </c>
      <c r="AW78" s="26"/>
      <c r="AX78" s="10"/>
    </row>
    <row r="79" spans="1:50" hidden="1" outlineLevel="1">
      <c r="A79" s="296"/>
      <c r="B79" s="198"/>
      <c r="C79" s="203"/>
      <c r="D79" s="32"/>
      <c r="E79" s="24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  <c r="S79" s="162"/>
      <c r="T79" s="162"/>
      <c r="U79" s="162"/>
      <c r="V79" s="162"/>
      <c r="W79" s="162"/>
      <c r="X79" s="162"/>
      <c r="Y79" s="162"/>
      <c r="Z79" s="162"/>
      <c r="AA79" s="162"/>
      <c r="AB79" s="162"/>
      <c r="AC79" s="162"/>
      <c r="AD79" s="162"/>
      <c r="AE79" s="162"/>
      <c r="AF79" s="162"/>
      <c r="AG79" s="162"/>
      <c r="AH79" s="162"/>
      <c r="AI79" s="162"/>
      <c r="AJ79" s="162"/>
      <c r="AK79" s="162"/>
      <c r="AL79" s="162"/>
      <c r="AM79" s="162"/>
      <c r="AN79" s="162"/>
      <c r="AO79" s="162"/>
      <c r="AP79" s="162"/>
      <c r="AQ79" s="162"/>
      <c r="AR79" s="162"/>
      <c r="AS79" s="162"/>
      <c r="AT79" s="162"/>
      <c r="AU79" s="162"/>
      <c r="AV79" s="162"/>
      <c r="AW79" s="26"/>
      <c r="AX79" s="10"/>
    </row>
    <row r="80" spans="1:50" ht="12.75" hidden="1" customHeight="1" outlineLevel="1">
      <c r="A80" s="296"/>
      <c r="B80" s="199" t="s">
        <v>147</v>
      </c>
      <c r="C80" s="206" t="s">
        <v>100</v>
      </c>
      <c r="D80" s="13"/>
      <c r="E80" s="196"/>
      <c r="F80" s="196"/>
      <c r="G80" s="196"/>
      <c r="H80" s="196"/>
      <c r="I80" s="196"/>
      <c r="J80" s="196">
        <f t="shared" ref="J80:M80" si="101">J67+J77</f>
        <v>0</v>
      </c>
      <c r="K80" s="196">
        <f t="shared" si="101"/>
        <v>580.36621500000001</v>
      </c>
      <c r="L80" s="196">
        <f t="shared" ref="L80" si="102">L67+L77</f>
        <v>117.62088624</v>
      </c>
      <c r="M80" s="196">
        <f t="shared" si="101"/>
        <v>117.62088624</v>
      </c>
      <c r="N80" s="196">
        <f t="shared" ref="N80:Q81" si="103">N67+N77</f>
        <v>825.33905935890425</v>
      </c>
      <c r="O80" s="196">
        <f t="shared" si="103"/>
        <v>128.89960135890411</v>
      </c>
      <c r="P80" s="196">
        <f t="shared" si="103"/>
        <v>128.89960135890411</v>
      </c>
      <c r="Q80" s="196">
        <f t="shared" si="103"/>
        <v>825.33905935890425</v>
      </c>
      <c r="R80" s="196">
        <f t="shared" ref="R80:AV80" si="104">R67+R77</f>
        <v>830.79821188356152</v>
      </c>
      <c r="S80" s="196">
        <f t="shared" si="104"/>
        <v>1661.596423767123</v>
      </c>
      <c r="T80" s="196">
        <f t="shared" si="104"/>
        <v>2358.0358817671231</v>
      </c>
      <c r="U80" s="196">
        <f t="shared" si="104"/>
        <v>1661.596423767123</v>
      </c>
      <c r="V80" s="196">
        <f t="shared" si="104"/>
        <v>1661.596423767123</v>
      </c>
      <c r="W80" s="196">
        <f t="shared" si="104"/>
        <v>2358.0358817671231</v>
      </c>
      <c r="X80" s="196">
        <f t="shared" si="104"/>
        <v>1661.596423767123</v>
      </c>
      <c r="Y80" s="196">
        <f t="shared" si="104"/>
        <v>1661.596423767123</v>
      </c>
      <c r="Z80" s="196">
        <f t="shared" si="104"/>
        <v>2358.0358817671231</v>
      </c>
      <c r="AA80" s="196">
        <f t="shared" si="104"/>
        <v>1661.596423767123</v>
      </c>
      <c r="AB80" s="196">
        <f t="shared" si="104"/>
        <v>1661.596423767123</v>
      </c>
      <c r="AC80" s="196">
        <f t="shared" si="104"/>
        <v>2358.0358817671231</v>
      </c>
      <c r="AD80" s="196">
        <f t="shared" si="104"/>
        <v>1661.596423767123</v>
      </c>
      <c r="AE80" s="196">
        <f t="shared" si="104"/>
        <v>1661.596423767123</v>
      </c>
      <c r="AF80" s="196">
        <f t="shared" si="104"/>
        <v>2358.0358817671231</v>
      </c>
      <c r="AG80" s="196">
        <f t="shared" si="104"/>
        <v>1661.596423767123</v>
      </c>
      <c r="AH80" s="196">
        <f t="shared" si="104"/>
        <v>1661.596423767123</v>
      </c>
      <c r="AI80" s="196">
        <f t="shared" si="104"/>
        <v>2358.0358817671231</v>
      </c>
      <c r="AJ80" s="196">
        <f t="shared" si="104"/>
        <v>1661.596423767123</v>
      </c>
      <c r="AK80" s="196">
        <f t="shared" si="104"/>
        <v>1661.596423767123</v>
      </c>
      <c r="AL80" s="196">
        <f t="shared" si="104"/>
        <v>2358.0358817671231</v>
      </c>
      <c r="AM80" s="196">
        <f t="shared" si="104"/>
        <v>1661.596423767123</v>
      </c>
      <c r="AN80" s="196">
        <f t="shared" si="104"/>
        <v>1661.596423767123</v>
      </c>
      <c r="AO80" s="196">
        <f t="shared" si="104"/>
        <v>2358.0358817671231</v>
      </c>
      <c r="AP80" s="196">
        <f t="shared" si="104"/>
        <v>1661.596423767123</v>
      </c>
      <c r="AQ80" s="196">
        <f t="shared" si="104"/>
        <v>1661.596423767123</v>
      </c>
      <c r="AR80" s="196">
        <f t="shared" si="104"/>
        <v>2358.0358817671231</v>
      </c>
      <c r="AS80" s="196">
        <f t="shared" si="104"/>
        <v>1661.596423767123</v>
      </c>
      <c r="AT80" s="196">
        <f t="shared" si="104"/>
        <v>1661.596423767123</v>
      </c>
      <c r="AU80" s="196">
        <f t="shared" si="104"/>
        <v>2358.0358817671231</v>
      </c>
      <c r="AV80" s="196">
        <f t="shared" si="104"/>
        <v>1661.596423767123</v>
      </c>
      <c r="AW80" s="26"/>
      <c r="AX80" s="10"/>
    </row>
    <row r="81" spans="1:50" ht="12.75" hidden="1" customHeight="1" outlineLevel="1">
      <c r="A81" s="296"/>
      <c r="B81" s="199" t="s">
        <v>147</v>
      </c>
      <c r="C81" s="206" t="s">
        <v>136</v>
      </c>
      <c r="D81" s="13"/>
      <c r="E81" s="159"/>
      <c r="F81" s="238"/>
      <c r="G81" s="238"/>
      <c r="H81" s="238"/>
      <c r="I81" s="238"/>
      <c r="J81" s="238">
        <f t="shared" ref="J81:M81" si="105">J68+J78</f>
        <v>0</v>
      </c>
      <c r="K81" s="238">
        <f t="shared" si="105"/>
        <v>263250</v>
      </c>
      <c r="L81" s="238">
        <f t="shared" ref="L81" si="106">L68+L78</f>
        <v>53352</v>
      </c>
      <c r="M81" s="238">
        <f t="shared" si="105"/>
        <v>53352</v>
      </c>
      <c r="N81" s="238">
        <f t="shared" si="103"/>
        <v>374367.94520547951</v>
      </c>
      <c r="O81" s="238">
        <f t="shared" si="103"/>
        <v>58467.945205479446</v>
      </c>
      <c r="P81" s="238">
        <f t="shared" si="103"/>
        <v>58467.945205479446</v>
      </c>
      <c r="Q81" s="238">
        <f t="shared" si="103"/>
        <v>374367.94520547951</v>
      </c>
      <c r="R81" s="238">
        <f t="shared" ref="R81:AV81" si="107">R68+R78</f>
        <v>376844.17808219173</v>
      </c>
      <c r="S81" s="238">
        <f t="shared" si="107"/>
        <v>753688.35616438347</v>
      </c>
      <c r="T81" s="238">
        <f t="shared" si="107"/>
        <v>1069588.3561643835</v>
      </c>
      <c r="U81" s="238">
        <f t="shared" si="107"/>
        <v>753688.35616438347</v>
      </c>
      <c r="V81" s="238">
        <f t="shared" si="107"/>
        <v>753688.35616438347</v>
      </c>
      <c r="W81" s="238">
        <f t="shared" si="107"/>
        <v>1069588.3561643835</v>
      </c>
      <c r="X81" s="238">
        <f t="shared" si="107"/>
        <v>753688.35616438347</v>
      </c>
      <c r="Y81" s="238">
        <f t="shared" si="107"/>
        <v>753688.35616438347</v>
      </c>
      <c r="Z81" s="238">
        <f t="shared" si="107"/>
        <v>1069588.3561643835</v>
      </c>
      <c r="AA81" s="238">
        <f t="shared" si="107"/>
        <v>753688.35616438347</v>
      </c>
      <c r="AB81" s="238">
        <f t="shared" si="107"/>
        <v>753688.35616438347</v>
      </c>
      <c r="AC81" s="238">
        <f t="shared" si="107"/>
        <v>1069588.3561643835</v>
      </c>
      <c r="AD81" s="238">
        <f t="shared" si="107"/>
        <v>753688.35616438347</v>
      </c>
      <c r="AE81" s="238">
        <f t="shared" si="107"/>
        <v>753688.35616438347</v>
      </c>
      <c r="AF81" s="238">
        <f t="shared" si="107"/>
        <v>1069588.3561643835</v>
      </c>
      <c r="AG81" s="238">
        <f t="shared" si="107"/>
        <v>753688.35616438347</v>
      </c>
      <c r="AH81" s="238">
        <f t="shared" si="107"/>
        <v>753688.35616438347</v>
      </c>
      <c r="AI81" s="238">
        <f t="shared" si="107"/>
        <v>1069588.3561643835</v>
      </c>
      <c r="AJ81" s="238">
        <f t="shared" si="107"/>
        <v>753688.35616438347</v>
      </c>
      <c r="AK81" s="238">
        <f t="shared" si="107"/>
        <v>753688.35616438347</v>
      </c>
      <c r="AL81" s="238">
        <f t="shared" si="107"/>
        <v>1069588.3561643835</v>
      </c>
      <c r="AM81" s="238">
        <f t="shared" si="107"/>
        <v>753688.35616438347</v>
      </c>
      <c r="AN81" s="238">
        <f t="shared" si="107"/>
        <v>753688.35616438347</v>
      </c>
      <c r="AO81" s="238">
        <f t="shared" si="107"/>
        <v>1069588.3561643835</v>
      </c>
      <c r="AP81" s="238">
        <f t="shared" si="107"/>
        <v>753688.35616438347</v>
      </c>
      <c r="AQ81" s="238">
        <f t="shared" si="107"/>
        <v>753688.35616438347</v>
      </c>
      <c r="AR81" s="238">
        <f t="shared" si="107"/>
        <v>1069588.3561643835</v>
      </c>
      <c r="AS81" s="238">
        <f t="shared" si="107"/>
        <v>753688.35616438347</v>
      </c>
      <c r="AT81" s="238">
        <f t="shared" si="107"/>
        <v>753688.35616438347</v>
      </c>
      <c r="AU81" s="238">
        <f t="shared" si="107"/>
        <v>1069588.3561643835</v>
      </c>
      <c r="AV81" s="238">
        <f t="shared" si="107"/>
        <v>753688.35616438347</v>
      </c>
      <c r="AW81" s="26"/>
      <c r="AX81" s="10"/>
    </row>
    <row r="82" spans="1:50" ht="12.75" hidden="1" customHeight="1" outlineLevel="1">
      <c r="A82" s="296"/>
      <c r="B82" s="198"/>
      <c r="C82" s="204"/>
      <c r="D82" s="32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6"/>
      <c r="AX82" s="10"/>
    </row>
    <row r="83" spans="1:50" ht="12.75" hidden="1" customHeight="1" outlineLevel="1">
      <c r="A83" s="296"/>
      <c r="B83" s="198" t="s">
        <v>287</v>
      </c>
      <c r="C83" s="206" t="s">
        <v>100</v>
      </c>
      <c r="D83" s="32"/>
      <c r="E83" s="24"/>
      <c r="F83" s="24"/>
      <c r="G83" s="24"/>
      <c r="H83" s="24"/>
      <c r="I83" s="24"/>
      <c r="J83" s="24"/>
      <c r="K83" s="24"/>
      <c r="L83" s="24"/>
      <c r="M83" s="24">
        <f t="shared" ref="M83:AV83" si="108">L67</f>
        <v>0</v>
      </c>
      <c r="N83" s="24">
        <f t="shared" si="108"/>
        <v>0</v>
      </c>
      <c r="O83" s="24">
        <f t="shared" si="108"/>
        <v>696.43945800000017</v>
      </c>
      <c r="P83" s="24">
        <f t="shared" si="108"/>
        <v>0</v>
      </c>
      <c r="Q83" s="24">
        <f t="shared" si="108"/>
        <v>0</v>
      </c>
      <c r="R83" s="24">
        <f t="shared" si="108"/>
        <v>696.43945800000017</v>
      </c>
      <c r="S83" s="24">
        <f t="shared" si="108"/>
        <v>0</v>
      </c>
      <c r="T83" s="24">
        <f t="shared" si="108"/>
        <v>0</v>
      </c>
      <c r="U83" s="24">
        <f t="shared" si="108"/>
        <v>696.43945800000017</v>
      </c>
      <c r="V83" s="24">
        <f t="shared" si="108"/>
        <v>0</v>
      </c>
      <c r="W83" s="24">
        <f t="shared" si="108"/>
        <v>0</v>
      </c>
      <c r="X83" s="24">
        <f t="shared" si="108"/>
        <v>696.43945800000017</v>
      </c>
      <c r="Y83" s="24">
        <f t="shared" si="108"/>
        <v>0</v>
      </c>
      <c r="Z83" s="24">
        <f t="shared" si="108"/>
        <v>0</v>
      </c>
      <c r="AA83" s="24">
        <f t="shared" si="108"/>
        <v>696.43945800000017</v>
      </c>
      <c r="AB83" s="24">
        <f t="shared" si="108"/>
        <v>0</v>
      </c>
      <c r="AC83" s="24">
        <f t="shared" si="108"/>
        <v>0</v>
      </c>
      <c r="AD83" s="24">
        <f t="shared" si="108"/>
        <v>696.43945800000017</v>
      </c>
      <c r="AE83" s="24">
        <f t="shared" si="108"/>
        <v>0</v>
      </c>
      <c r="AF83" s="24">
        <f t="shared" si="108"/>
        <v>0</v>
      </c>
      <c r="AG83" s="24">
        <f t="shared" si="108"/>
        <v>696.43945800000017</v>
      </c>
      <c r="AH83" s="24">
        <f t="shared" si="108"/>
        <v>0</v>
      </c>
      <c r="AI83" s="24">
        <f t="shared" si="108"/>
        <v>0</v>
      </c>
      <c r="AJ83" s="24">
        <f t="shared" si="108"/>
        <v>696.43945800000017</v>
      </c>
      <c r="AK83" s="24">
        <f t="shared" si="108"/>
        <v>0</v>
      </c>
      <c r="AL83" s="24">
        <f t="shared" si="108"/>
        <v>0</v>
      </c>
      <c r="AM83" s="24">
        <f t="shared" si="108"/>
        <v>696.43945800000017</v>
      </c>
      <c r="AN83" s="24">
        <f t="shared" si="108"/>
        <v>0</v>
      </c>
      <c r="AO83" s="24">
        <f t="shared" si="108"/>
        <v>0</v>
      </c>
      <c r="AP83" s="24">
        <f t="shared" si="108"/>
        <v>696.43945800000017</v>
      </c>
      <c r="AQ83" s="24">
        <f t="shared" si="108"/>
        <v>0</v>
      </c>
      <c r="AR83" s="24">
        <f t="shared" si="108"/>
        <v>0</v>
      </c>
      <c r="AS83" s="24">
        <f t="shared" si="108"/>
        <v>696.43945800000017</v>
      </c>
      <c r="AT83" s="24">
        <f t="shared" si="108"/>
        <v>0</v>
      </c>
      <c r="AU83" s="24">
        <f t="shared" si="108"/>
        <v>0</v>
      </c>
      <c r="AV83" s="24">
        <f t="shared" si="108"/>
        <v>696.43945800000017</v>
      </c>
      <c r="AW83" s="26"/>
      <c r="AX83" s="10"/>
    </row>
    <row r="84" spans="1:50" ht="12.75" hidden="1" customHeight="1" outlineLevel="1">
      <c r="A84" s="296"/>
      <c r="B84" s="198" t="s">
        <v>288</v>
      </c>
      <c r="C84" s="206" t="s">
        <v>100</v>
      </c>
      <c r="D84" s="32"/>
      <c r="E84" s="24"/>
      <c r="F84" s="24"/>
      <c r="G84" s="24"/>
      <c r="H84" s="24"/>
      <c r="I84" s="24"/>
      <c r="J84" s="24"/>
      <c r="K84" s="24"/>
      <c r="L84" s="24"/>
      <c r="M84" s="24">
        <f t="shared" ref="M84:AV84" si="109">L77</f>
        <v>117.62088624</v>
      </c>
      <c r="N84" s="24">
        <f t="shared" si="109"/>
        <v>117.62088624</v>
      </c>
      <c r="O84" s="24">
        <f t="shared" si="109"/>
        <v>128.89960135890411</v>
      </c>
      <c r="P84" s="24">
        <f t="shared" si="109"/>
        <v>128.89960135890411</v>
      </c>
      <c r="Q84" s="24">
        <f t="shared" si="109"/>
        <v>128.89960135890411</v>
      </c>
      <c r="R84" s="24">
        <f t="shared" si="109"/>
        <v>128.89960135890411</v>
      </c>
      <c r="S84" s="24">
        <f t="shared" si="109"/>
        <v>830.79821188356152</v>
      </c>
      <c r="T84" s="24">
        <f t="shared" si="109"/>
        <v>1661.596423767123</v>
      </c>
      <c r="U84" s="24">
        <f t="shared" si="109"/>
        <v>1661.596423767123</v>
      </c>
      <c r="V84" s="24">
        <f t="shared" si="109"/>
        <v>1661.596423767123</v>
      </c>
      <c r="W84" s="24">
        <f t="shared" si="109"/>
        <v>1661.596423767123</v>
      </c>
      <c r="X84" s="24">
        <f t="shared" si="109"/>
        <v>1661.596423767123</v>
      </c>
      <c r="Y84" s="24">
        <f t="shared" si="109"/>
        <v>1661.596423767123</v>
      </c>
      <c r="Z84" s="24">
        <f t="shared" si="109"/>
        <v>1661.596423767123</v>
      </c>
      <c r="AA84" s="24">
        <f t="shared" si="109"/>
        <v>1661.596423767123</v>
      </c>
      <c r="AB84" s="24">
        <f t="shared" si="109"/>
        <v>1661.596423767123</v>
      </c>
      <c r="AC84" s="24">
        <f t="shared" si="109"/>
        <v>1661.596423767123</v>
      </c>
      <c r="AD84" s="24">
        <f t="shared" si="109"/>
        <v>1661.596423767123</v>
      </c>
      <c r="AE84" s="24">
        <f t="shared" si="109"/>
        <v>1661.596423767123</v>
      </c>
      <c r="AF84" s="24">
        <f t="shared" si="109"/>
        <v>1661.596423767123</v>
      </c>
      <c r="AG84" s="24">
        <f t="shared" si="109"/>
        <v>1661.596423767123</v>
      </c>
      <c r="AH84" s="24">
        <f t="shared" si="109"/>
        <v>1661.596423767123</v>
      </c>
      <c r="AI84" s="24">
        <f t="shared" si="109"/>
        <v>1661.596423767123</v>
      </c>
      <c r="AJ84" s="24">
        <f t="shared" si="109"/>
        <v>1661.596423767123</v>
      </c>
      <c r="AK84" s="24">
        <f t="shared" si="109"/>
        <v>1661.596423767123</v>
      </c>
      <c r="AL84" s="24">
        <f t="shared" si="109"/>
        <v>1661.596423767123</v>
      </c>
      <c r="AM84" s="24">
        <f t="shared" si="109"/>
        <v>1661.596423767123</v>
      </c>
      <c r="AN84" s="24">
        <f t="shared" si="109"/>
        <v>1661.596423767123</v>
      </c>
      <c r="AO84" s="24">
        <f t="shared" si="109"/>
        <v>1661.596423767123</v>
      </c>
      <c r="AP84" s="24">
        <f t="shared" si="109"/>
        <v>1661.596423767123</v>
      </c>
      <c r="AQ84" s="24">
        <f t="shared" si="109"/>
        <v>1661.596423767123</v>
      </c>
      <c r="AR84" s="24">
        <f t="shared" si="109"/>
        <v>1661.596423767123</v>
      </c>
      <c r="AS84" s="24">
        <f t="shared" si="109"/>
        <v>1661.596423767123</v>
      </c>
      <c r="AT84" s="24">
        <f t="shared" si="109"/>
        <v>1661.596423767123</v>
      </c>
      <c r="AU84" s="24">
        <f t="shared" si="109"/>
        <v>1661.596423767123</v>
      </c>
      <c r="AV84" s="24">
        <f t="shared" si="109"/>
        <v>1661.596423767123</v>
      </c>
      <c r="AW84" s="26"/>
      <c r="AX84" s="10"/>
    </row>
    <row r="85" spans="1:50" ht="12.75" hidden="1" customHeight="1" outlineLevel="1">
      <c r="A85" s="296"/>
      <c r="B85" s="198"/>
      <c r="C85" s="204"/>
      <c r="D85" s="32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6"/>
      <c r="AX85" s="10"/>
    </row>
    <row r="86" spans="1:50" ht="12.75" hidden="1" customHeight="1" outlineLevel="1">
      <c r="A86" s="296"/>
      <c r="B86" s="199" t="s">
        <v>152</v>
      </c>
      <c r="C86" s="206" t="s">
        <v>100</v>
      </c>
      <c r="D86" s="32"/>
      <c r="E86" s="24"/>
      <c r="F86" s="208"/>
      <c r="G86" s="208"/>
      <c r="H86" s="208"/>
      <c r="I86" s="208"/>
      <c r="J86" s="208">
        <f t="shared" ref="J86:AV86" si="110">J87*grams_lbs</f>
        <v>0</v>
      </c>
      <c r="K86" s="208">
        <f t="shared" si="110"/>
        <v>0</v>
      </c>
      <c r="L86" s="208">
        <f t="shared" si="110"/>
        <v>580.36621500000001</v>
      </c>
      <c r="M86" s="208">
        <f t="shared" si="110"/>
        <v>117.62088624</v>
      </c>
      <c r="N86" s="208">
        <f t="shared" si="110"/>
        <v>117.62088624</v>
      </c>
      <c r="O86" s="208">
        <f t="shared" si="110"/>
        <v>825.33905935890425</v>
      </c>
      <c r="P86" s="208">
        <f>P87*grams_lbs</f>
        <v>128.89960135890411</v>
      </c>
      <c r="Q86" s="208">
        <f>Q87*grams_lbs</f>
        <v>128.89960135890411</v>
      </c>
      <c r="R86" s="208">
        <f t="shared" si="110"/>
        <v>825.33905935890425</v>
      </c>
      <c r="S86" s="208">
        <f t="shared" si="110"/>
        <v>830.79821188356152</v>
      </c>
      <c r="T86" s="208">
        <f t="shared" si="110"/>
        <v>1661.596423767123</v>
      </c>
      <c r="U86" s="208">
        <f t="shared" si="110"/>
        <v>2358.0358817671231</v>
      </c>
      <c r="V86" s="208">
        <f t="shared" si="110"/>
        <v>1661.596423767123</v>
      </c>
      <c r="W86" s="208">
        <f t="shared" si="110"/>
        <v>1661.596423767123</v>
      </c>
      <c r="X86" s="208">
        <f t="shared" si="110"/>
        <v>2358.0358817671231</v>
      </c>
      <c r="Y86" s="208">
        <f t="shared" si="110"/>
        <v>1661.596423767123</v>
      </c>
      <c r="Z86" s="208">
        <f t="shared" si="110"/>
        <v>1661.596423767123</v>
      </c>
      <c r="AA86" s="208">
        <f t="shared" si="110"/>
        <v>2358.0358817671231</v>
      </c>
      <c r="AB86" s="208">
        <f t="shared" si="110"/>
        <v>1661.596423767123</v>
      </c>
      <c r="AC86" s="208">
        <f t="shared" si="110"/>
        <v>1661.596423767123</v>
      </c>
      <c r="AD86" s="208">
        <f t="shared" si="110"/>
        <v>2358.0358817671231</v>
      </c>
      <c r="AE86" s="208">
        <f t="shared" si="110"/>
        <v>1661.596423767123</v>
      </c>
      <c r="AF86" s="208">
        <f t="shared" si="110"/>
        <v>1661.596423767123</v>
      </c>
      <c r="AG86" s="208">
        <f t="shared" si="110"/>
        <v>2358.0358817671231</v>
      </c>
      <c r="AH86" s="208">
        <f t="shared" si="110"/>
        <v>1661.596423767123</v>
      </c>
      <c r="AI86" s="208">
        <f t="shared" si="110"/>
        <v>1661.596423767123</v>
      </c>
      <c r="AJ86" s="208">
        <f t="shared" si="110"/>
        <v>2358.0358817671231</v>
      </c>
      <c r="AK86" s="208">
        <f t="shared" si="110"/>
        <v>1661.596423767123</v>
      </c>
      <c r="AL86" s="208">
        <f t="shared" si="110"/>
        <v>1661.596423767123</v>
      </c>
      <c r="AM86" s="208">
        <f t="shared" si="110"/>
        <v>2358.0358817671231</v>
      </c>
      <c r="AN86" s="208">
        <f t="shared" si="110"/>
        <v>1661.596423767123</v>
      </c>
      <c r="AO86" s="208">
        <f t="shared" si="110"/>
        <v>1661.596423767123</v>
      </c>
      <c r="AP86" s="208">
        <f t="shared" si="110"/>
        <v>2358.0358817671231</v>
      </c>
      <c r="AQ86" s="208">
        <f t="shared" si="110"/>
        <v>1661.596423767123</v>
      </c>
      <c r="AR86" s="208">
        <f t="shared" si="110"/>
        <v>1661.596423767123</v>
      </c>
      <c r="AS86" s="208">
        <f t="shared" si="110"/>
        <v>2358.0358817671231</v>
      </c>
      <c r="AT86" s="208">
        <f t="shared" si="110"/>
        <v>1661.596423767123</v>
      </c>
      <c r="AU86" s="208">
        <f t="shared" si="110"/>
        <v>1661.596423767123</v>
      </c>
      <c r="AV86" s="208">
        <f t="shared" si="110"/>
        <v>2358.0358817671231</v>
      </c>
      <c r="AW86" s="26"/>
      <c r="AX86" s="10"/>
    </row>
    <row r="87" spans="1:50" s="4" customFormat="1" ht="12.75" hidden="1" customHeight="1" outlineLevel="1">
      <c r="A87" s="297"/>
      <c r="B87" s="199" t="s">
        <v>152</v>
      </c>
      <c r="C87" s="206" t="s">
        <v>136</v>
      </c>
      <c r="D87" s="13"/>
      <c r="E87" s="26"/>
      <c r="F87" s="26"/>
      <c r="G87" s="26"/>
      <c r="H87" s="26"/>
      <c r="I87" s="26"/>
      <c r="J87" s="26">
        <f t="shared" ref="J87:AV87" si="111">I81</f>
        <v>0</v>
      </c>
      <c r="K87" s="26">
        <f t="shared" si="111"/>
        <v>0</v>
      </c>
      <c r="L87" s="26">
        <f t="shared" si="111"/>
        <v>263250</v>
      </c>
      <c r="M87" s="26">
        <f t="shared" si="111"/>
        <v>53352</v>
      </c>
      <c r="N87" s="26">
        <f t="shared" si="111"/>
        <v>53352</v>
      </c>
      <c r="O87" s="26">
        <f t="shared" si="111"/>
        <v>374367.94520547951</v>
      </c>
      <c r="P87" s="26">
        <f t="shared" si="111"/>
        <v>58467.945205479446</v>
      </c>
      <c r="Q87" s="26">
        <f t="shared" si="111"/>
        <v>58467.945205479446</v>
      </c>
      <c r="R87" s="26">
        <f t="shared" si="111"/>
        <v>374367.94520547951</v>
      </c>
      <c r="S87" s="26">
        <f t="shared" si="111"/>
        <v>376844.17808219173</v>
      </c>
      <c r="T87" s="26">
        <f t="shared" si="111"/>
        <v>753688.35616438347</v>
      </c>
      <c r="U87" s="26">
        <f t="shared" si="111"/>
        <v>1069588.3561643835</v>
      </c>
      <c r="V87" s="26">
        <f t="shared" si="111"/>
        <v>753688.35616438347</v>
      </c>
      <c r="W87" s="26">
        <f t="shared" si="111"/>
        <v>753688.35616438347</v>
      </c>
      <c r="X87" s="26">
        <f t="shared" si="111"/>
        <v>1069588.3561643835</v>
      </c>
      <c r="Y87" s="26">
        <f t="shared" si="111"/>
        <v>753688.35616438347</v>
      </c>
      <c r="Z87" s="26">
        <f t="shared" si="111"/>
        <v>753688.35616438347</v>
      </c>
      <c r="AA87" s="26">
        <f t="shared" si="111"/>
        <v>1069588.3561643835</v>
      </c>
      <c r="AB87" s="26">
        <f t="shared" si="111"/>
        <v>753688.35616438347</v>
      </c>
      <c r="AC87" s="26">
        <f t="shared" si="111"/>
        <v>753688.35616438347</v>
      </c>
      <c r="AD87" s="26">
        <f t="shared" si="111"/>
        <v>1069588.3561643835</v>
      </c>
      <c r="AE87" s="26">
        <f t="shared" si="111"/>
        <v>753688.35616438347</v>
      </c>
      <c r="AF87" s="26">
        <f t="shared" si="111"/>
        <v>753688.35616438347</v>
      </c>
      <c r="AG87" s="26">
        <f t="shared" si="111"/>
        <v>1069588.3561643835</v>
      </c>
      <c r="AH87" s="26">
        <f t="shared" si="111"/>
        <v>753688.35616438347</v>
      </c>
      <c r="AI87" s="26">
        <f t="shared" si="111"/>
        <v>753688.35616438347</v>
      </c>
      <c r="AJ87" s="26">
        <f t="shared" si="111"/>
        <v>1069588.3561643835</v>
      </c>
      <c r="AK87" s="26">
        <f t="shared" si="111"/>
        <v>753688.35616438347</v>
      </c>
      <c r="AL87" s="26">
        <f t="shared" si="111"/>
        <v>753688.35616438347</v>
      </c>
      <c r="AM87" s="26">
        <f t="shared" si="111"/>
        <v>1069588.3561643835</v>
      </c>
      <c r="AN87" s="26">
        <f t="shared" si="111"/>
        <v>753688.35616438347</v>
      </c>
      <c r="AO87" s="26">
        <f t="shared" si="111"/>
        <v>753688.35616438347</v>
      </c>
      <c r="AP87" s="26">
        <f t="shared" si="111"/>
        <v>1069588.3561643835</v>
      </c>
      <c r="AQ87" s="26">
        <f t="shared" si="111"/>
        <v>753688.35616438347</v>
      </c>
      <c r="AR87" s="26">
        <f t="shared" si="111"/>
        <v>753688.35616438347</v>
      </c>
      <c r="AS87" s="26">
        <f t="shared" si="111"/>
        <v>1069588.3561643835</v>
      </c>
      <c r="AT87" s="26">
        <f t="shared" si="111"/>
        <v>753688.35616438347</v>
      </c>
      <c r="AU87" s="26">
        <f t="shared" si="111"/>
        <v>753688.35616438347</v>
      </c>
      <c r="AV87" s="26">
        <f t="shared" si="111"/>
        <v>1069588.3561643835</v>
      </c>
      <c r="AW87" s="26"/>
    </row>
    <row r="88" spans="1:50" ht="12.75" hidden="1" customHeight="1" outlineLevel="1">
      <c r="A88" s="296"/>
      <c r="B88" s="198"/>
      <c r="C88" s="204"/>
      <c r="D88" s="32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6"/>
      <c r="AX88" s="10"/>
    </row>
    <row r="89" spans="1:50" ht="12.75" hidden="1" customHeight="1" outlineLevel="1">
      <c r="A89" s="296"/>
      <c r="B89" s="198" t="s">
        <v>114</v>
      </c>
      <c r="C89" s="204" t="s">
        <v>102</v>
      </c>
      <c r="D89" s="32"/>
      <c r="E89" s="139"/>
      <c r="F89" s="25"/>
      <c r="G89" s="25"/>
      <c r="H89" s="25"/>
      <c r="I89" s="25"/>
      <c r="J89" s="25"/>
      <c r="K89" s="139">
        <v>0.2</v>
      </c>
      <c r="L89" s="25">
        <f t="shared" ref="L89:N89" si="112">K89</f>
        <v>0.2</v>
      </c>
      <c r="M89" s="25">
        <f t="shared" si="112"/>
        <v>0.2</v>
      </c>
      <c r="N89" s="25">
        <f t="shared" si="112"/>
        <v>0.2</v>
      </c>
      <c r="O89" s="25">
        <f>N89</f>
        <v>0.2</v>
      </c>
      <c r="P89" s="25">
        <f t="shared" ref="P89:AV89" si="113">O89</f>
        <v>0.2</v>
      </c>
      <c r="Q89" s="25">
        <f t="shared" si="113"/>
        <v>0.2</v>
      </c>
      <c r="R89" s="25">
        <f t="shared" si="113"/>
        <v>0.2</v>
      </c>
      <c r="S89" s="25">
        <f t="shared" si="113"/>
        <v>0.2</v>
      </c>
      <c r="T89" s="25">
        <f t="shared" si="113"/>
        <v>0.2</v>
      </c>
      <c r="U89" s="25">
        <f t="shared" si="113"/>
        <v>0.2</v>
      </c>
      <c r="V89" s="25">
        <f t="shared" si="113"/>
        <v>0.2</v>
      </c>
      <c r="W89" s="25">
        <f t="shared" si="113"/>
        <v>0.2</v>
      </c>
      <c r="X89" s="25">
        <f t="shared" si="113"/>
        <v>0.2</v>
      </c>
      <c r="Y89" s="25">
        <f t="shared" si="113"/>
        <v>0.2</v>
      </c>
      <c r="Z89" s="25">
        <f t="shared" si="113"/>
        <v>0.2</v>
      </c>
      <c r="AA89" s="25">
        <f t="shared" si="113"/>
        <v>0.2</v>
      </c>
      <c r="AB89" s="25">
        <f t="shared" si="113"/>
        <v>0.2</v>
      </c>
      <c r="AC89" s="25">
        <f t="shared" si="113"/>
        <v>0.2</v>
      </c>
      <c r="AD89" s="25">
        <f t="shared" si="113"/>
        <v>0.2</v>
      </c>
      <c r="AE89" s="25">
        <f t="shared" si="113"/>
        <v>0.2</v>
      </c>
      <c r="AF89" s="25">
        <f t="shared" si="113"/>
        <v>0.2</v>
      </c>
      <c r="AG89" s="25">
        <f t="shared" si="113"/>
        <v>0.2</v>
      </c>
      <c r="AH89" s="25">
        <f t="shared" si="113"/>
        <v>0.2</v>
      </c>
      <c r="AI89" s="25">
        <f t="shared" si="113"/>
        <v>0.2</v>
      </c>
      <c r="AJ89" s="25">
        <f t="shared" si="113"/>
        <v>0.2</v>
      </c>
      <c r="AK89" s="25">
        <f t="shared" si="113"/>
        <v>0.2</v>
      </c>
      <c r="AL89" s="25">
        <f t="shared" si="113"/>
        <v>0.2</v>
      </c>
      <c r="AM89" s="25">
        <f t="shared" si="113"/>
        <v>0.2</v>
      </c>
      <c r="AN89" s="25">
        <f t="shared" si="113"/>
        <v>0.2</v>
      </c>
      <c r="AO89" s="25">
        <f t="shared" si="113"/>
        <v>0.2</v>
      </c>
      <c r="AP89" s="25">
        <f t="shared" si="113"/>
        <v>0.2</v>
      </c>
      <c r="AQ89" s="25">
        <f t="shared" si="113"/>
        <v>0.2</v>
      </c>
      <c r="AR89" s="25">
        <f t="shared" si="113"/>
        <v>0.2</v>
      </c>
      <c r="AS89" s="25">
        <f t="shared" si="113"/>
        <v>0.2</v>
      </c>
      <c r="AT89" s="25">
        <f t="shared" si="113"/>
        <v>0.2</v>
      </c>
      <c r="AU89" s="25">
        <f t="shared" si="113"/>
        <v>0.2</v>
      </c>
      <c r="AV89" s="25">
        <f t="shared" si="113"/>
        <v>0.2</v>
      </c>
      <c r="AW89" s="26"/>
      <c r="AX89" s="10"/>
    </row>
    <row r="90" spans="1:50" ht="12.75" hidden="1" customHeight="1" outlineLevel="1">
      <c r="A90" s="296"/>
      <c r="B90" s="198" t="s">
        <v>113</v>
      </c>
      <c r="C90" s="204" t="s">
        <v>100</v>
      </c>
      <c r="D90" s="32"/>
      <c r="E90" s="162"/>
      <c r="F90" s="188"/>
      <c r="G90" s="188"/>
      <c r="H90" s="188"/>
      <c r="I90" s="188"/>
      <c r="J90" s="188"/>
      <c r="K90" s="188">
        <f>K67*K89</f>
        <v>116.07324300000001</v>
      </c>
      <c r="L90" s="188">
        <f t="shared" ref="L90:AV90" si="114">L80*L89</f>
        <v>23.524177248000001</v>
      </c>
      <c r="M90" s="188">
        <f t="shared" si="114"/>
        <v>23.524177248000001</v>
      </c>
      <c r="N90" s="188">
        <f t="shared" si="114"/>
        <v>165.06781187178086</v>
      </c>
      <c r="O90" s="188">
        <f t="shared" si="114"/>
        <v>25.779920271780824</v>
      </c>
      <c r="P90" s="188">
        <f t="shared" si="114"/>
        <v>25.779920271780824</v>
      </c>
      <c r="Q90" s="188">
        <f t="shared" si="114"/>
        <v>165.06781187178086</v>
      </c>
      <c r="R90" s="188">
        <f t="shared" si="114"/>
        <v>166.15964237671233</v>
      </c>
      <c r="S90" s="188">
        <f t="shared" si="114"/>
        <v>332.31928475342465</v>
      </c>
      <c r="T90" s="188">
        <f t="shared" si="114"/>
        <v>471.60717635342462</v>
      </c>
      <c r="U90" s="188">
        <f t="shared" si="114"/>
        <v>332.31928475342465</v>
      </c>
      <c r="V90" s="188">
        <f t="shared" si="114"/>
        <v>332.31928475342465</v>
      </c>
      <c r="W90" s="188">
        <f t="shared" si="114"/>
        <v>471.60717635342462</v>
      </c>
      <c r="X90" s="188">
        <f t="shared" si="114"/>
        <v>332.31928475342465</v>
      </c>
      <c r="Y90" s="188">
        <f t="shared" si="114"/>
        <v>332.31928475342465</v>
      </c>
      <c r="Z90" s="188">
        <f t="shared" si="114"/>
        <v>471.60717635342462</v>
      </c>
      <c r="AA90" s="188">
        <f t="shared" si="114"/>
        <v>332.31928475342465</v>
      </c>
      <c r="AB90" s="188">
        <f t="shared" si="114"/>
        <v>332.31928475342465</v>
      </c>
      <c r="AC90" s="188">
        <f t="shared" si="114"/>
        <v>471.60717635342462</v>
      </c>
      <c r="AD90" s="188">
        <f t="shared" si="114"/>
        <v>332.31928475342465</v>
      </c>
      <c r="AE90" s="188">
        <f t="shared" si="114"/>
        <v>332.31928475342465</v>
      </c>
      <c r="AF90" s="188">
        <f t="shared" si="114"/>
        <v>471.60717635342462</v>
      </c>
      <c r="AG90" s="188">
        <f t="shared" si="114"/>
        <v>332.31928475342465</v>
      </c>
      <c r="AH90" s="188">
        <f t="shared" si="114"/>
        <v>332.31928475342465</v>
      </c>
      <c r="AI90" s="188">
        <f t="shared" si="114"/>
        <v>471.60717635342462</v>
      </c>
      <c r="AJ90" s="188">
        <f t="shared" si="114"/>
        <v>332.31928475342465</v>
      </c>
      <c r="AK90" s="188">
        <f t="shared" si="114"/>
        <v>332.31928475342465</v>
      </c>
      <c r="AL90" s="188">
        <f t="shared" si="114"/>
        <v>471.60717635342462</v>
      </c>
      <c r="AM90" s="188">
        <f t="shared" si="114"/>
        <v>332.31928475342465</v>
      </c>
      <c r="AN90" s="188">
        <f t="shared" si="114"/>
        <v>332.31928475342465</v>
      </c>
      <c r="AO90" s="188">
        <f t="shared" si="114"/>
        <v>471.60717635342462</v>
      </c>
      <c r="AP90" s="188">
        <f t="shared" si="114"/>
        <v>332.31928475342465</v>
      </c>
      <c r="AQ90" s="188">
        <f t="shared" si="114"/>
        <v>332.31928475342465</v>
      </c>
      <c r="AR90" s="188">
        <f t="shared" si="114"/>
        <v>471.60717635342462</v>
      </c>
      <c r="AS90" s="188">
        <f t="shared" si="114"/>
        <v>332.31928475342465</v>
      </c>
      <c r="AT90" s="188">
        <f t="shared" si="114"/>
        <v>332.31928475342465</v>
      </c>
      <c r="AU90" s="188">
        <f t="shared" si="114"/>
        <v>471.60717635342462</v>
      </c>
      <c r="AV90" s="188">
        <f t="shared" si="114"/>
        <v>332.31928475342465</v>
      </c>
      <c r="AW90" s="26"/>
      <c r="AX90" s="10"/>
    </row>
    <row r="91" spans="1:50" ht="12.75" hidden="1" customHeight="1" outlineLevel="1">
      <c r="A91" s="296"/>
      <c r="B91" s="198"/>
      <c r="C91" s="204"/>
      <c r="D91" s="32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6"/>
      <c r="AX91" s="10"/>
    </row>
    <row r="92" spans="1:50" ht="12.75" hidden="1" customHeight="1" outlineLevel="1">
      <c r="A92" s="296"/>
      <c r="B92" s="199" t="s">
        <v>154</v>
      </c>
      <c r="C92" s="206" t="s">
        <v>100</v>
      </c>
      <c r="D92" s="32"/>
      <c r="E92" s="24"/>
      <c r="F92" s="24"/>
      <c r="G92" s="24"/>
      <c r="H92" s="24"/>
      <c r="I92" s="24"/>
      <c r="J92" s="24"/>
      <c r="K92" s="24">
        <f t="shared" ref="K92:AV92" si="115">J90</f>
        <v>0</v>
      </c>
      <c r="L92" s="24">
        <f t="shared" si="115"/>
        <v>116.07324300000001</v>
      </c>
      <c r="M92" s="24">
        <f>L90</f>
        <v>23.524177248000001</v>
      </c>
      <c r="N92" s="24">
        <f t="shared" si="115"/>
        <v>23.524177248000001</v>
      </c>
      <c r="O92" s="24">
        <f t="shared" si="115"/>
        <v>165.06781187178086</v>
      </c>
      <c r="P92" s="24">
        <f t="shared" si="115"/>
        <v>25.779920271780824</v>
      </c>
      <c r="Q92" s="24">
        <f t="shared" si="115"/>
        <v>25.779920271780824</v>
      </c>
      <c r="R92" s="24">
        <f t="shared" si="115"/>
        <v>165.06781187178086</v>
      </c>
      <c r="S92" s="24">
        <f t="shared" si="115"/>
        <v>166.15964237671233</v>
      </c>
      <c r="T92" s="24">
        <f t="shared" si="115"/>
        <v>332.31928475342465</v>
      </c>
      <c r="U92" s="24">
        <f t="shared" si="115"/>
        <v>471.60717635342462</v>
      </c>
      <c r="V92" s="24">
        <f t="shared" si="115"/>
        <v>332.31928475342465</v>
      </c>
      <c r="W92" s="24">
        <f t="shared" si="115"/>
        <v>332.31928475342465</v>
      </c>
      <c r="X92" s="24">
        <f t="shared" si="115"/>
        <v>471.60717635342462</v>
      </c>
      <c r="Y92" s="24">
        <f t="shared" si="115"/>
        <v>332.31928475342465</v>
      </c>
      <c r="Z92" s="24">
        <f t="shared" si="115"/>
        <v>332.31928475342465</v>
      </c>
      <c r="AA92" s="24">
        <f t="shared" si="115"/>
        <v>471.60717635342462</v>
      </c>
      <c r="AB92" s="24">
        <f t="shared" si="115"/>
        <v>332.31928475342465</v>
      </c>
      <c r="AC92" s="24">
        <f t="shared" si="115"/>
        <v>332.31928475342465</v>
      </c>
      <c r="AD92" s="24">
        <f t="shared" si="115"/>
        <v>471.60717635342462</v>
      </c>
      <c r="AE92" s="24">
        <f t="shared" si="115"/>
        <v>332.31928475342465</v>
      </c>
      <c r="AF92" s="24">
        <f t="shared" si="115"/>
        <v>332.31928475342465</v>
      </c>
      <c r="AG92" s="24">
        <f t="shared" si="115"/>
        <v>471.60717635342462</v>
      </c>
      <c r="AH92" s="24">
        <f t="shared" si="115"/>
        <v>332.31928475342465</v>
      </c>
      <c r="AI92" s="24">
        <f t="shared" si="115"/>
        <v>332.31928475342465</v>
      </c>
      <c r="AJ92" s="24">
        <f t="shared" si="115"/>
        <v>471.60717635342462</v>
      </c>
      <c r="AK92" s="24">
        <f t="shared" si="115"/>
        <v>332.31928475342465</v>
      </c>
      <c r="AL92" s="24">
        <f t="shared" si="115"/>
        <v>332.31928475342465</v>
      </c>
      <c r="AM92" s="24">
        <f t="shared" si="115"/>
        <v>471.60717635342462</v>
      </c>
      <c r="AN92" s="24">
        <f t="shared" si="115"/>
        <v>332.31928475342465</v>
      </c>
      <c r="AO92" s="24">
        <f t="shared" si="115"/>
        <v>332.31928475342465</v>
      </c>
      <c r="AP92" s="24">
        <f t="shared" si="115"/>
        <v>471.60717635342462</v>
      </c>
      <c r="AQ92" s="24">
        <f t="shared" si="115"/>
        <v>332.31928475342465</v>
      </c>
      <c r="AR92" s="24">
        <f t="shared" si="115"/>
        <v>332.31928475342465</v>
      </c>
      <c r="AS92" s="24">
        <f t="shared" si="115"/>
        <v>471.60717635342462</v>
      </c>
      <c r="AT92" s="24">
        <f t="shared" si="115"/>
        <v>332.31928475342465</v>
      </c>
      <c r="AU92" s="24">
        <f t="shared" si="115"/>
        <v>332.31928475342465</v>
      </c>
      <c r="AV92" s="24">
        <f t="shared" si="115"/>
        <v>471.60717635342462</v>
      </c>
      <c r="AW92" s="26"/>
      <c r="AX92" s="10"/>
    </row>
    <row r="93" spans="1:50" ht="12.75" hidden="1" customHeight="1" outlineLevel="1">
      <c r="A93" s="296"/>
      <c r="B93" s="199" t="s">
        <v>154</v>
      </c>
      <c r="C93" s="206" t="s">
        <v>136</v>
      </c>
      <c r="D93" s="32"/>
      <c r="E93" s="24"/>
      <c r="F93" s="188"/>
      <c r="G93" s="188"/>
      <c r="H93" s="188"/>
      <c r="I93" s="188"/>
      <c r="J93" s="188"/>
      <c r="K93" s="188">
        <f>K92*lbs_grams</f>
        <v>0</v>
      </c>
      <c r="L93" s="188">
        <f>L92*lbs_grams</f>
        <v>52649.894438855998</v>
      </c>
      <c r="M93" s="188">
        <f>M92*lbs_grams</f>
        <v>10670.378606274817</v>
      </c>
      <c r="N93" s="188">
        <f>N92*lbs_grams</f>
        <v>10670.378606274817</v>
      </c>
      <c r="O93" s="188">
        <f>O92*lbs_grams</f>
        <v>74873.438922544825</v>
      </c>
      <c r="P93" s="188">
        <f t="shared" ref="P93:AV93" si="116">P92*lbs_grams</f>
        <v>11693.565595917607</v>
      </c>
      <c r="Q93" s="188">
        <f t="shared" si="116"/>
        <v>11693.565595917607</v>
      </c>
      <c r="R93" s="188">
        <f>R92*lbs_grams</f>
        <v>74873.438922544825</v>
      </c>
      <c r="S93" s="188">
        <f t="shared" si="116"/>
        <v>75368.684504937701</v>
      </c>
      <c r="T93" s="188">
        <f t="shared" si="116"/>
        <v>150737.3690098754</v>
      </c>
      <c r="U93" s="188">
        <f t="shared" si="116"/>
        <v>213917.24233650256</v>
      </c>
      <c r="V93" s="188">
        <f t="shared" si="116"/>
        <v>150737.3690098754</v>
      </c>
      <c r="W93" s="188">
        <f t="shared" si="116"/>
        <v>150737.3690098754</v>
      </c>
      <c r="X93" s="188">
        <f t="shared" si="116"/>
        <v>213917.24233650256</v>
      </c>
      <c r="Y93" s="188">
        <f t="shared" si="116"/>
        <v>150737.3690098754</v>
      </c>
      <c r="Z93" s="188">
        <f t="shared" si="116"/>
        <v>150737.3690098754</v>
      </c>
      <c r="AA93" s="188">
        <f t="shared" si="116"/>
        <v>213917.24233650256</v>
      </c>
      <c r="AB93" s="188">
        <f t="shared" si="116"/>
        <v>150737.3690098754</v>
      </c>
      <c r="AC93" s="188">
        <f t="shared" si="116"/>
        <v>150737.3690098754</v>
      </c>
      <c r="AD93" s="188">
        <f t="shared" si="116"/>
        <v>213917.24233650256</v>
      </c>
      <c r="AE93" s="188">
        <f t="shared" si="116"/>
        <v>150737.3690098754</v>
      </c>
      <c r="AF93" s="188">
        <f t="shared" si="116"/>
        <v>150737.3690098754</v>
      </c>
      <c r="AG93" s="188">
        <f t="shared" si="116"/>
        <v>213917.24233650256</v>
      </c>
      <c r="AH93" s="188">
        <f t="shared" si="116"/>
        <v>150737.3690098754</v>
      </c>
      <c r="AI93" s="188">
        <f t="shared" si="116"/>
        <v>150737.3690098754</v>
      </c>
      <c r="AJ93" s="188">
        <f t="shared" si="116"/>
        <v>213917.24233650256</v>
      </c>
      <c r="AK93" s="188">
        <f t="shared" si="116"/>
        <v>150737.3690098754</v>
      </c>
      <c r="AL93" s="188">
        <f t="shared" si="116"/>
        <v>150737.3690098754</v>
      </c>
      <c r="AM93" s="188">
        <f t="shared" si="116"/>
        <v>213917.24233650256</v>
      </c>
      <c r="AN93" s="188">
        <f t="shared" si="116"/>
        <v>150737.3690098754</v>
      </c>
      <c r="AO93" s="188">
        <f t="shared" si="116"/>
        <v>150737.3690098754</v>
      </c>
      <c r="AP93" s="188">
        <f t="shared" si="116"/>
        <v>213917.24233650256</v>
      </c>
      <c r="AQ93" s="188">
        <f t="shared" si="116"/>
        <v>150737.3690098754</v>
      </c>
      <c r="AR93" s="188">
        <f t="shared" si="116"/>
        <v>150737.3690098754</v>
      </c>
      <c r="AS93" s="188">
        <f t="shared" si="116"/>
        <v>213917.24233650256</v>
      </c>
      <c r="AT93" s="188">
        <f t="shared" si="116"/>
        <v>150737.3690098754</v>
      </c>
      <c r="AU93" s="188">
        <f t="shared" si="116"/>
        <v>150737.3690098754</v>
      </c>
      <c r="AV93" s="188">
        <f t="shared" si="116"/>
        <v>213917.24233650256</v>
      </c>
      <c r="AW93" s="26"/>
      <c r="AX93" s="10"/>
    </row>
    <row r="94" spans="1:50" ht="12.75" hidden="1" customHeight="1" outlineLevel="1">
      <c r="A94" s="296"/>
      <c r="B94" s="198"/>
      <c r="C94" s="204"/>
      <c r="D94" s="3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26"/>
      <c r="AX94" s="10"/>
    </row>
    <row r="95" spans="1:50" ht="12.75" hidden="1" customHeight="1" outlineLevel="1">
      <c r="A95" s="296"/>
      <c r="B95" s="198" t="s">
        <v>65</v>
      </c>
      <c r="C95" s="204" t="s">
        <v>100</v>
      </c>
      <c r="D95" s="32"/>
      <c r="E95" s="24"/>
      <c r="F95" s="24"/>
      <c r="G95" s="24"/>
      <c r="H95" s="24"/>
      <c r="I95" s="24"/>
      <c r="J95" s="24"/>
      <c r="K95" s="24">
        <f t="shared" ref="K95:AV95" si="117">K80+K90</f>
        <v>696.43945800000006</v>
      </c>
      <c r="L95" s="24">
        <f t="shared" si="117"/>
        <v>141.14506348800001</v>
      </c>
      <c r="M95" s="24">
        <f t="shared" si="117"/>
        <v>141.14506348800001</v>
      </c>
      <c r="N95" s="24">
        <f t="shared" si="117"/>
        <v>990.40687123068506</v>
      </c>
      <c r="O95" s="24">
        <f t="shared" si="117"/>
        <v>154.67952163068492</v>
      </c>
      <c r="P95" s="24">
        <f t="shared" si="117"/>
        <v>154.67952163068492</v>
      </c>
      <c r="Q95" s="24">
        <f t="shared" si="117"/>
        <v>990.40687123068506</v>
      </c>
      <c r="R95" s="24">
        <f t="shared" si="117"/>
        <v>996.95785426027385</v>
      </c>
      <c r="S95" s="24">
        <f t="shared" si="117"/>
        <v>1993.9157085205477</v>
      </c>
      <c r="T95" s="24">
        <f t="shared" si="117"/>
        <v>2829.6430581205477</v>
      </c>
      <c r="U95" s="24">
        <f t="shared" si="117"/>
        <v>1993.9157085205477</v>
      </c>
      <c r="V95" s="24">
        <f t="shared" si="117"/>
        <v>1993.9157085205477</v>
      </c>
      <c r="W95" s="24">
        <f t="shared" si="117"/>
        <v>2829.6430581205477</v>
      </c>
      <c r="X95" s="24">
        <f t="shared" si="117"/>
        <v>1993.9157085205477</v>
      </c>
      <c r="Y95" s="24">
        <f t="shared" si="117"/>
        <v>1993.9157085205477</v>
      </c>
      <c r="Z95" s="24">
        <f t="shared" si="117"/>
        <v>2829.6430581205477</v>
      </c>
      <c r="AA95" s="24">
        <f t="shared" si="117"/>
        <v>1993.9157085205477</v>
      </c>
      <c r="AB95" s="24">
        <f t="shared" si="117"/>
        <v>1993.9157085205477</v>
      </c>
      <c r="AC95" s="24">
        <f t="shared" si="117"/>
        <v>2829.6430581205477</v>
      </c>
      <c r="AD95" s="24">
        <f t="shared" si="117"/>
        <v>1993.9157085205477</v>
      </c>
      <c r="AE95" s="24">
        <f t="shared" si="117"/>
        <v>1993.9157085205477</v>
      </c>
      <c r="AF95" s="24">
        <f t="shared" si="117"/>
        <v>2829.6430581205477</v>
      </c>
      <c r="AG95" s="24">
        <f t="shared" si="117"/>
        <v>1993.9157085205477</v>
      </c>
      <c r="AH95" s="24">
        <f t="shared" si="117"/>
        <v>1993.9157085205477</v>
      </c>
      <c r="AI95" s="24">
        <f t="shared" si="117"/>
        <v>2829.6430581205477</v>
      </c>
      <c r="AJ95" s="24">
        <f t="shared" si="117"/>
        <v>1993.9157085205477</v>
      </c>
      <c r="AK95" s="24">
        <f t="shared" si="117"/>
        <v>1993.9157085205477</v>
      </c>
      <c r="AL95" s="24">
        <f t="shared" si="117"/>
        <v>2829.6430581205477</v>
      </c>
      <c r="AM95" s="24">
        <f t="shared" si="117"/>
        <v>1993.9157085205477</v>
      </c>
      <c r="AN95" s="24">
        <f t="shared" si="117"/>
        <v>1993.9157085205477</v>
      </c>
      <c r="AO95" s="24">
        <f t="shared" si="117"/>
        <v>2829.6430581205477</v>
      </c>
      <c r="AP95" s="24">
        <f t="shared" si="117"/>
        <v>1993.9157085205477</v>
      </c>
      <c r="AQ95" s="24">
        <f t="shared" si="117"/>
        <v>1993.9157085205477</v>
      </c>
      <c r="AR95" s="24">
        <f t="shared" si="117"/>
        <v>2829.6430581205477</v>
      </c>
      <c r="AS95" s="24">
        <f t="shared" si="117"/>
        <v>1993.9157085205477</v>
      </c>
      <c r="AT95" s="24">
        <f t="shared" si="117"/>
        <v>1993.9157085205477</v>
      </c>
      <c r="AU95" s="24">
        <f t="shared" si="117"/>
        <v>2829.6430581205477</v>
      </c>
      <c r="AV95" s="24">
        <f t="shared" si="117"/>
        <v>1993.9157085205477</v>
      </c>
      <c r="AW95" s="26"/>
      <c r="AX95" s="10"/>
    </row>
    <row r="96" spans="1:50" ht="12.75" hidden="1" customHeight="1" outlineLevel="1">
      <c r="A96" s="296"/>
      <c r="B96" s="198" t="s">
        <v>65</v>
      </c>
      <c r="C96" s="204" t="s">
        <v>115</v>
      </c>
      <c r="D96" s="32"/>
      <c r="E96" s="24"/>
      <c r="F96" s="24"/>
      <c r="G96" s="24"/>
      <c r="H96" s="24"/>
      <c r="I96" s="24"/>
      <c r="J96" s="24"/>
      <c r="K96" s="24">
        <f>MROUND(K95*453,1000)</f>
        <v>315000</v>
      </c>
      <c r="L96" s="24">
        <f>MROUND(L95*453,1000)</f>
        <v>64000</v>
      </c>
      <c r="M96" s="24">
        <f>MROUND(M95*453,1000)</f>
        <v>64000</v>
      </c>
      <c r="N96" s="24">
        <f>MROUND(N95*453,1000)</f>
        <v>449000</v>
      </c>
      <c r="O96" s="24">
        <f>MROUND(O95*453,1000)</f>
        <v>70000</v>
      </c>
      <c r="P96" s="24">
        <f t="shared" ref="P96:AV96" si="118">MROUND(P95*453,1000)</f>
        <v>70000</v>
      </c>
      <c r="Q96" s="24">
        <f t="shared" si="118"/>
        <v>449000</v>
      </c>
      <c r="R96" s="24">
        <f t="shared" si="118"/>
        <v>452000</v>
      </c>
      <c r="S96" s="24">
        <f t="shared" si="118"/>
        <v>903000</v>
      </c>
      <c r="T96" s="24">
        <f t="shared" si="118"/>
        <v>1282000</v>
      </c>
      <c r="U96" s="24">
        <f t="shared" si="118"/>
        <v>903000</v>
      </c>
      <c r="V96" s="24">
        <f t="shared" si="118"/>
        <v>903000</v>
      </c>
      <c r="W96" s="24">
        <f t="shared" si="118"/>
        <v>1282000</v>
      </c>
      <c r="X96" s="24">
        <f t="shared" si="118"/>
        <v>903000</v>
      </c>
      <c r="Y96" s="24">
        <f t="shared" si="118"/>
        <v>903000</v>
      </c>
      <c r="Z96" s="24">
        <f t="shared" si="118"/>
        <v>1282000</v>
      </c>
      <c r="AA96" s="24">
        <f t="shared" si="118"/>
        <v>903000</v>
      </c>
      <c r="AB96" s="24">
        <f t="shared" si="118"/>
        <v>903000</v>
      </c>
      <c r="AC96" s="24">
        <f t="shared" si="118"/>
        <v>1282000</v>
      </c>
      <c r="AD96" s="24">
        <f t="shared" si="118"/>
        <v>903000</v>
      </c>
      <c r="AE96" s="24">
        <f t="shared" si="118"/>
        <v>903000</v>
      </c>
      <c r="AF96" s="24">
        <f t="shared" si="118"/>
        <v>1282000</v>
      </c>
      <c r="AG96" s="24">
        <f t="shared" si="118"/>
        <v>903000</v>
      </c>
      <c r="AH96" s="24">
        <f t="shared" si="118"/>
        <v>903000</v>
      </c>
      <c r="AI96" s="24">
        <f t="shared" si="118"/>
        <v>1282000</v>
      </c>
      <c r="AJ96" s="24">
        <f t="shared" si="118"/>
        <v>903000</v>
      </c>
      <c r="AK96" s="24">
        <f t="shared" si="118"/>
        <v>903000</v>
      </c>
      <c r="AL96" s="24">
        <f t="shared" si="118"/>
        <v>1282000</v>
      </c>
      <c r="AM96" s="24">
        <f t="shared" si="118"/>
        <v>903000</v>
      </c>
      <c r="AN96" s="24">
        <f t="shared" si="118"/>
        <v>903000</v>
      </c>
      <c r="AO96" s="24">
        <f t="shared" si="118"/>
        <v>1282000</v>
      </c>
      <c r="AP96" s="24">
        <f t="shared" si="118"/>
        <v>903000</v>
      </c>
      <c r="AQ96" s="24">
        <f t="shared" si="118"/>
        <v>903000</v>
      </c>
      <c r="AR96" s="24">
        <f t="shared" si="118"/>
        <v>1282000</v>
      </c>
      <c r="AS96" s="24">
        <f t="shared" si="118"/>
        <v>903000</v>
      </c>
      <c r="AT96" s="24">
        <f t="shared" si="118"/>
        <v>903000</v>
      </c>
      <c r="AU96" s="24">
        <f t="shared" si="118"/>
        <v>1282000</v>
      </c>
      <c r="AV96" s="24">
        <f t="shared" si="118"/>
        <v>903000</v>
      </c>
      <c r="AW96" s="26"/>
      <c r="AX96" s="10"/>
    </row>
    <row r="97" spans="1:50" ht="12.75" hidden="1" customHeight="1" outlineLevel="1">
      <c r="A97" s="296"/>
      <c r="B97" s="198" t="s">
        <v>125</v>
      </c>
      <c r="C97" s="204"/>
      <c r="D97" s="32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26"/>
      <c r="AX97" s="10"/>
    </row>
    <row r="98" spans="1:50" ht="12.75" hidden="1" customHeight="1" outlineLevel="1">
      <c r="A98" s="296"/>
      <c r="B98" s="148"/>
      <c r="C98" s="32"/>
      <c r="D98" s="32"/>
      <c r="E98" s="12"/>
      <c r="F98" s="150"/>
      <c r="G98" s="24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26"/>
      <c r="AX98" s="10"/>
    </row>
    <row r="99" spans="1:50" collapsed="1">
      <c r="A99" s="296" t="s">
        <v>138</v>
      </c>
      <c r="B99" s="21" t="s">
        <v>267</v>
      </c>
      <c r="C99" s="22"/>
      <c r="D99" s="146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20"/>
      <c r="AX99" s="10"/>
    </row>
    <row r="100" spans="1:50" ht="12.75" hidden="1" customHeight="1" outlineLevel="1">
      <c r="A100" s="296"/>
      <c r="B100" s="67"/>
      <c r="C100" s="64"/>
      <c r="D100" s="64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31"/>
      <c r="AX100" s="27"/>
    </row>
    <row r="101" spans="1:50" ht="12.75" hidden="1" customHeight="1" outlineLevel="1">
      <c r="A101" s="296"/>
      <c r="B101" s="212" t="s">
        <v>292</v>
      </c>
      <c r="C101" s="64"/>
      <c r="D101" s="64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31"/>
      <c r="AX101" s="27"/>
    </row>
    <row r="102" spans="1:50" ht="12.75" hidden="1" customHeight="1" outlineLevel="1">
      <c r="A102" s="296"/>
      <c r="B102" s="67"/>
      <c r="C102" s="64"/>
      <c r="D102" s="64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31"/>
      <c r="AX102" s="27"/>
    </row>
    <row r="103" spans="1:50" ht="12.75" hidden="1" customHeight="1" outlineLevel="1">
      <c r="A103" s="296"/>
      <c r="B103" s="13" t="s">
        <v>48</v>
      </c>
      <c r="C103" s="23"/>
      <c r="D103" s="23"/>
      <c r="E103" s="24"/>
      <c r="F103" s="24"/>
      <c r="G103" s="24"/>
      <c r="H103" s="24"/>
      <c r="I103" s="25"/>
      <c r="J103" s="24"/>
      <c r="K103" s="24"/>
      <c r="L103" s="12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6"/>
      <c r="AX103" s="27"/>
    </row>
    <row r="104" spans="1:50" ht="12.75" hidden="1" customHeight="1" outlineLevel="1">
      <c r="A104" s="296"/>
      <c r="B104" s="28" t="s">
        <v>103</v>
      </c>
      <c r="C104" s="23" t="s">
        <v>105</v>
      </c>
      <c r="D104" s="23"/>
      <c r="E104" s="92"/>
      <c r="F104" s="12">
        <f>IF(F96&gt;0,E104,0)</f>
        <v>0</v>
      </c>
      <c r="G104" s="12">
        <f>IF(G96&gt;0,F104,0)</f>
        <v>0</v>
      </c>
      <c r="H104" s="12">
        <f>IF(H96&gt;0,G104,0)</f>
        <v>0</v>
      </c>
      <c r="I104" s="12">
        <f>IF(I96&gt;0,H104,0)</f>
        <v>0</v>
      </c>
      <c r="J104" s="12">
        <f>IF(J96&gt;0,I104,0)</f>
        <v>0</v>
      </c>
      <c r="K104" s="225">
        <v>100</v>
      </c>
      <c r="L104" s="12">
        <f>K104</f>
        <v>100</v>
      </c>
      <c r="M104" s="12">
        <f>L104</f>
        <v>100</v>
      </c>
      <c r="N104" s="12">
        <f t="shared" ref="N104:AV104" si="119">M104</f>
        <v>100</v>
      </c>
      <c r="O104" s="12">
        <f t="shared" si="119"/>
        <v>100</v>
      </c>
      <c r="P104" s="12">
        <f>O104</f>
        <v>100</v>
      </c>
      <c r="Q104" s="12">
        <f t="shared" si="119"/>
        <v>100</v>
      </c>
      <c r="R104" s="12">
        <f>Q104</f>
        <v>100</v>
      </c>
      <c r="S104" s="12">
        <f t="shared" si="119"/>
        <v>100</v>
      </c>
      <c r="T104" s="12">
        <f t="shared" si="119"/>
        <v>100</v>
      </c>
      <c r="U104" s="12">
        <f t="shared" si="119"/>
        <v>100</v>
      </c>
      <c r="V104" s="12">
        <f t="shared" si="119"/>
        <v>100</v>
      </c>
      <c r="W104" s="12">
        <f t="shared" si="119"/>
        <v>100</v>
      </c>
      <c r="X104" s="12">
        <f t="shared" si="119"/>
        <v>100</v>
      </c>
      <c r="Y104" s="12">
        <f t="shared" si="119"/>
        <v>100</v>
      </c>
      <c r="Z104" s="12">
        <f t="shared" si="119"/>
        <v>100</v>
      </c>
      <c r="AA104" s="12">
        <f t="shared" si="119"/>
        <v>100</v>
      </c>
      <c r="AB104" s="12">
        <f t="shared" si="119"/>
        <v>100</v>
      </c>
      <c r="AC104" s="12">
        <f t="shared" si="119"/>
        <v>100</v>
      </c>
      <c r="AD104" s="12">
        <f t="shared" si="119"/>
        <v>100</v>
      </c>
      <c r="AE104" s="12">
        <f t="shared" si="119"/>
        <v>100</v>
      </c>
      <c r="AF104" s="12">
        <f t="shared" si="119"/>
        <v>100</v>
      </c>
      <c r="AG104" s="12">
        <f t="shared" si="119"/>
        <v>100</v>
      </c>
      <c r="AH104" s="12">
        <f t="shared" si="119"/>
        <v>100</v>
      </c>
      <c r="AI104" s="12">
        <f t="shared" si="119"/>
        <v>100</v>
      </c>
      <c r="AJ104" s="12">
        <f t="shared" si="119"/>
        <v>100</v>
      </c>
      <c r="AK104" s="12">
        <f t="shared" si="119"/>
        <v>100</v>
      </c>
      <c r="AL104" s="12">
        <f t="shared" si="119"/>
        <v>100</v>
      </c>
      <c r="AM104" s="12">
        <f t="shared" si="119"/>
        <v>100</v>
      </c>
      <c r="AN104" s="12">
        <f t="shared" si="119"/>
        <v>100</v>
      </c>
      <c r="AO104" s="12">
        <f t="shared" si="119"/>
        <v>100</v>
      </c>
      <c r="AP104" s="12">
        <f t="shared" si="119"/>
        <v>100</v>
      </c>
      <c r="AQ104" s="12">
        <f t="shared" si="119"/>
        <v>100</v>
      </c>
      <c r="AR104" s="12">
        <f t="shared" si="119"/>
        <v>100</v>
      </c>
      <c r="AS104" s="12">
        <f t="shared" si="119"/>
        <v>100</v>
      </c>
      <c r="AT104" s="12">
        <f t="shared" si="119"/>
        <v>100</v>
      </c>
      <c r="AU104" s="12">
        <f t="shared" si="119"/>
        <v>100</v>
      </c>
      <c r="AV104" s="12">
        <f t="shared" si="119"/>
        <v>100</v>
      </c>
      <c r="AW104" s="31"/>
      <c r="AX104" s="27"/>
    </row>
    <row r="105" spans="1:50" ht="12.75" hidden="1" customHeight="1" outlineLevel="1">
      <c r="A105" s="296"/>
      <c r="B105" s="28" t="s">
        <v>104</v>
      </c>
      <c r="C105" s="23" t="s">
        <v>105</v>
      </c>
      <c r="D105" s="23"/>
      <c r="E105" s="92"/>
      <c r="F105" s="151">
        <f>IF(F96&gt;0,E105,0)</f>
        <v>0</v>
      </c>
      <c r="G105" s="151">
        <f>IF(G96&gt;0,F105,0)</f>
        <v>0</v>
      </c>
      <c r="H105" s="151">
        <f>IF(H96&gt;0,G105,0)</f>
        <v>0</v>
      </c>
      <c r="I105" s="151">
        <f>IF(I96&gt;0,H105,0)</f>
        <v>0</v>
      </c>
      <c r="J105" s="151">
        <f>IF(J96&gt;0,I105,0)</f>
        <v>0</v>
      </c>
      <c r="K105" s="225">
        <v>120</v>
      </c>
      <c r="L105" s="12">
        <f>K105</f>
        <v>120</v>
      </c>
      <c r="M105" s="12">
        <f>L105</f>
        <v>120</v>
      </c>
      <c r="N105" s="12">
        <f t="shared" ref="N105:AV105" si="120">M105</f>
        <v>120</v>
      </c>
      <c r="O105" s="12">
        <f t="shared" si="120"/>
        <v>120</v>
      </c>
      <c r="P105" s="12">
        <f t="shared" si="120"/>
        <v>120</v>
      </c>
      <c r="Q105" s="12">
        <f t="shared" si="120"/>
        <v>120</v>
      </c>
      <c r="R105" s="12">
        <f t="shared" si="120"/>
        <v>120</v>
      </c>
      <c r="S105" s="12">
        <f t="shared" si="120"/>
        <v>120</v>
      </c>
      <c r="T105" s="12">
        <f t="shared" si="120"/>
        <v>120</v>
      </c>
      <c r="U105" s="12">
        <f t="shared" si="120"/>
        <v>120</v>
      </c>
      <c r="V105" s="12">
        <f t="shared" si="120"/>
        <v>120</v>
      </c>
      <c r="W105" s="12">
        <f t="shared" si="120"/>
        <v>120</v>
      </c>
      <c r="X105" s="12">
        <f t="shared" si="120"/>
        <v>120</v>
      </c>
      <c r="Y105" s="12">
        <f t="shared" si="120"/>
        <v>120</v>
      </c>
      <c r="Z105" s="12">
        <f t="shared" si="120"/>
        <v>120</v>
      </c>
      <c r="AA105" s="12">
        <f t="shared" si="120"/>
        <v>120</v>
      </c>
      <c r="AB105" s="12">
        <f t="shared" si="120"/>
        <v>120</v>
      </c>
      <c r="AC105" s="12">
        <f t="shared" si="120"/>
        <v>120</v>
      </c>
      <c r="AD105" s="12">
        <f t="shared" si="120"/>
        <v>120</v>
      </c>
      <c r="AE105" s="12">
        <f t="shared" si="120"/>
        <v>120</v>
      </c>
      <c r="AF105" s="12">
        <f t="shared" si="120"/>
        <v>120</v>
      </c>
      <c r="AG105" s="12">
        <f t="shared" si="120"/>
        <v>120</v>
      </c>
      <c r="AH105" s="12">
        <f t="shared" si="120"/>
        <v>120</v>
      </c>
      <c r="AI105" s="12">
        <f t="shared" si="120"/>
        <v>120</v>
      </c>
      <c r="AJ105" s="12">
        <f t="shared" si="120"/>
        <v>120</v>
      </c>
      <c r="AK105" s="12">
        <f t="shared" si="120"/>
        <v>120</v>
      </c>
      <c r="AL105" s="12">
        <f t="shared" si="120"/>
        <v>120</v>
      </c>
      <c r="AM105" s="12">
        <f t="shared" si="120"/>
        <v>120</v>
      </c>
      <c r="AN105" s="12">
        <f t="shared" si="120"/>
        <v>120</v>
      </c>
      <c r="AO105" s="12">
        <f t="shared" si="120"/>
        <v>120</v>
      </c>
      <c r="AP105" s="12">
        <f t="shared" si="120"/>
        <v>120</v>
      </c>
      <c r="AQ105" s="12">
        <f t="shared" si="120"/>
        <v>120</v>
      </c>
      <c r="AR105" s="12">
        <f t="shared" si="120"/>
        <v>120</v>
      </c>
      <c r="AS105" s="12">
        <f t="shared" si="120"/>
        <v>120</v>
      </c>
      <c r="AT105" s="12">
        <f t="shared" si="120"/>
        <v>120</v>
      </c>
      <c r="AU105" s="12">
        <f t="shared" si="120"/>
        <v>120</v>
      </c>
      <c r="AV105" s="12">
        <f t="shared" si="120"/>
        <v>120</v>
      </c>
      <c r="AW105" s="31"/>
      <c r="AX105" s="27"/>
    </row>
    <row r="106" spans="1:50" ht="12.75" hidden="1" customHeight="1" outlineLevel="1">
      <c r="A106" s="296"/>
      <c r="B106" s="33" t="s">
        <v>118</v>
      </c>
      <c r="C106" s="20" t="s">
        <v>105</v>
      </c>
      <c r="D106" s="20"/>
      <c r="E106" s="62">
        <f t="shared" ref="E106:K106" si="121">SUM(E104:E105)</f>
        <v>0</v>
      </c>
      <c r="F106" s="62">
        <f t="shared" si="121"/>
        <v>0</v>
      </c>
      <c r="G106" s="62">
        <f t="shared" si="121"/>
        <v>0</v>
      </c>
      <c r="H106" s="62">
        <f t="shared" si="121"/>
        <v>0</v>
      </c>
      <c r="I106" s="62">
        <f t="shared" si="121"/>
        <v>0</v>
      </c>
      <c r="J106" s="62">
        <f t="shared" si="121"/>
        <v>0</v>
      </c>
      <c r="K106" s="62">
        <f t="shared" si="121"/>
        <v>220</v>
      </c>
      <c r="L106" s="62">
        <f>SUM(L104:L105)</f>
        <v>220</v>
      </c>
      <c r="M106" s="62">
        <f t="shared" ref="M106:AV106" si="122">SUM(M104:M105)</f>
        <v>220</v>
      </c>
      <c r="N106" s="62">
        <f t="shared" si="122"/>
        <v>220</v>
      </c>
      <c r="O106" s="62">
        <f t="shared" si="122"/>
        <v>220</v>
      </c>
      <c r="P106" s="62">
        <f t="shared" si="122"/>
        <v>220</v>
      </c>
      <c r="Q106" s="62">
        <f t="shared" si="122"/>
        <v>220</v>
      </c>
      <c r="R106" s="62">
        <f t="shared" si="122"/>
        <v>220</v>
      </c>
      <c r="S106" s="62">
        <f t="shared" si="122"/>
        <v>220</v>
      </c>
      <c r="T106" s="62">
        <f t="shared" si="122"/>
        <v>220</v>
      </c>
      <c r="U106" s="62">
        <f t="shared" si="122"/>
        <v>220</v>
      </c>
      <c r="V106" s="62">
        <f t="shared" si="122"/>
        <v>220</v>
      </c>
      <c r="W106" s="62">
        <f t="shared" si="122"/>
        <v>220</v>
      </c>
      <c r="X106" s="62">
        <f t="shared" si="122"/>
        <v>220</v>
      </c>
      <c r="Y106" s="62">
        <f t="shared" si="122"/>
        <v>220</v>
      </c>
      <c r="Z106" s="62">
        <f t="shared" si="122"/>
        <v>220</v>
      </c>
      <c r="AA106" s="62">
        <f t="shared" si="122"/>
        <v>220</v>
      </c>
      <c r="AB106" s="62">
        <f t="shared" si="122"/>
        <v>220</v>
      </c>
      <c r="AC106" s="62">
        <f t="shared" si="122"/>
        <v>220</v>
      </c>
      <c r="AD106" s="62">
        <f t="shared" si="122"/>
        <v>220</v>
      </c>
      <c r="AE106" s="62">
        <f t="shared" si="122"/>
        <v>220</v>
      </c>
      <c r="AF106" s="62">
        <f t="shared" si="122"/>
        <v>220</v>
      </c>
      <c r="AG106" s="62">
        <f t="shared" si="122"/>
        <v>220</v>
      </c>
      <c r="AH106" s="62">
        <f t="shared" si="122"/>
        <v>220</v>
      </c>
      <c r="AI106" s="62">
        <f t="shared" si="122"/>
        <v>220</v>
      </c>
      <c r="AJ106" s="62">
        <f t="shared" si="122"/>
        <v>220</v>
      </c>
      <c r="AK106" s="62">
        <f t="shared" si="122"/>
        <v>220</v>
      </c>
      <c r="AL106" s="62">
        <f t="shared" si="122"/>
        <v>220</v>
      </c>
      <c r="AM106" s="62">
        <f t="shared" si="122"/>
        <v>220</v>
      </c>
      <c r="AN106" s="62">
        <f t="shared" si="122"/>
        <v>220</v>
      </c>
      <c r="AO106" s="62">
        <f t="shared" si="122"/>
        <v>220</v>
      </c>
      <c r="AP106" s="62">
        <f t="shared" si="122"/>
        <v>220</v>
      </c>
      <c r="AQ106" s="62">
        <f t="shared" si="122"/>
        <v>220</v>
      </c>
      <c r="AR106" s="62">
        <f t="shared" si="122"/>
        <v>220</v>
      </c>
      <c r="AS106" s="62">
        <f t="shared" si="122"/>
        <v>220</v>
      </c>
      <c r="AT106" s="62">
        <f t="shared" si="122"/>
        <v>220</v>
      </c>
      <c r="AU106" s="62">
        <f t="shared" si="122"/>
        <v>220</v>
      </c>
      <c r="AV106" s="62">
        <f t="shared" si="122"/>
        <v>220</v>
      </c>
      <c r="AW106" s="31"/>
      <c r="AX106" s="27"/>
    </row>
    <row r="107" spans="1:50" ht="12.75" hidden="1" customHeight="1" outlineLevel="1">
      <c r="A107" s="296"/>
      <c r="B107" s="28" t="s">
        <v>116</v>
      </c>
      <c r="C107" s="23" t="s">
        <v>105</v>
      </c>
      <c r="D107" s="20"/>
      <c r="E107" s="92"/>
      <c r="F107" s="12">
        <f>IF(F96&gt;0,E107,0)</f>
        <v>0</v>
      </c>
      <c r="G107" s="12">
        <f>IF(G96&gt;0,F107,0)</f>
        <v>0</v>
      </c>
      <c r="H107" s="12">
        <f>IF(H96&gt;0,G107,0)</f>
        <v>0</v>
      </c>
      <c r="I107" s="12">
        <f>IF(I96&gt;0,H107,0)</f>
        <v>0</v>
      </c>
      <c r="J107" s="12">
        <f>IF(J96&gt;0,I107,0)</f>
        <v>0</v>
      </c>
      <c r="K107" s="225">
        <v>0</v>
      </c>
      <c r="L107" s="12">
        <f>K107</f>
        <v>0</v>
      </c>
      <c r="M107" s="12">
        <f>L107</f>
        <v>0</v>
      </c>
      <c r="N107" s="12">
        <f t="shared" ref="N107:AV107" si="123">M107</f>
        <v>0</v>
      </c>
      <c r="O107" s="12">
        <f t="shared" si="123"/>
        <v>0</v>
      </c>
      <c r="P107" s="12">
        <f t="shared" si="123"/>
        <v>0</v>
      </c>
      <c r="Q107" s="12">
        <f t="shared" si="123"/>
        <v>0</v>
      </c>
      <c r="R107" s="12">
        <f t="shared" si="123"/>
        <v>0</v>
      </c>
      <c r="S107" s="12">
        <f t="shared" si="123"/>
        <v>0</v>
      </c>
      <c r="T107" s="12">
        <f t="shared" si="123"/>
        <v>0</v>
      </c>
      <c r="U107" s="12">
        <f t="shared" si="123"/>
        <v>0</v>
      </c>
      <c r="V107" s="12">
        <f t="shared" si="123"/>
        <v>0</v>
      </c>
      <c r="W107" s="12">
        <f t="shared" si="123"/>
        <v>0</v>
      </c>
      <c r="X107" s="12">
        <f t="shared" si="123"/>
        <v>0</v>
      </c>
      <c r="Y107" s="12">
        <f t="shared" si="123"/>
        <v>0</v>
      </c>
      <c r="Z107" s="12">
        <f t="shared" si="123"/>
        <v>0</v>
      </c>
      <c r="AA107" s="12">
        <f t="shared" si="123"/>
        <v>0</v>
      </c>
      <c r="AB107" s="12">
        <f t="shared" si="123"/>
        <v>0</v>
      </c>
      <c r="AC107" s="12">
        <f t="shared" si="123"/>
        <v>0</v>
      </c>
      <c r="AD107" s="12">
        <f t="shared" si="123"/>
        <v>0</v>
      </c>
      <c r="AE107" s="12">
        <f t="shared" si="123"/>
        <v>0</v>
      </c>
      <c r="AF107" s="12">
        <f t="shared" si="123"/>
        <v>0</v>
      </c>
      <c r="AG107" s="12">
        <f t="shared" si="123"/>
        <v>0</v>
      </c>
      <c r="AH107" s="12">
        <f t="shared" si="123"/>
        <v>0</v>
      </c>
      <c r="AI107" s="12">
        <f t="shared" si="123"/>
        <v>0</v>
      </c>
      <c r="AJ107" s="12">
        <f t="shared" si="123"/>
        <v>0</v>
      </c>
      <c r="AK107" s="12">
        <f t="shared" si="123"/>
        <v>0</v>
      </c>
      <c r="AL107" s="12">
        <f t="shared" si="123"/>
        <v>0</v>
      </c>
      <c r="AM107" s="12">
        <f t="shared" si="123"/>
        <v>0</v>
      </c>
      <c r="AN107" s="12">
        <f t="shared" si="123"/>
        <v>0</v>
      </c>
      <c r="AO107" s="12">
        <f t="shared" si="123"/>
        <v>0</v>
      </c>
      <c r="AP107" s="12">
        <f t="shared" si="123"/>
        <v>0</v>
      </c>
      <c r="AQ107" s="12">
        <f t="shared" si="123"/>
        <v>0</v>
      </c>
      <c r="AR107" s="12">
        <f t="shared" si="123"/>
        <v>0</v>
      </c>
      <c r="AS107" s="12">
        <f t="shared" si="123"/>
        <v>0</v>
      </c>
      <c r="AT107" s="12">
        <f t="shared" si="123"/>
        <v>0</v>
      </c>
      <c r="AU107" s="12">
        <f t="shared" si="123"/>
        <v>0</v>
      </c>
      <c r="AV107" s="12">
        <f t="shared" si="123"/>
        <v>0</v>
      </c>
      <c r="AW107" s="31"/>
      <c r="AX107" s="27"/>
    </row>
    <row r="108" spans="1:50" ht="12.75" hidden="1" customHeight="1" outlineLevel="1">
      <c r="A108" s="296"/>
      <c r="B108" s="33" t="s">
        <v>117</v>
      </c>
      <c r="C108" s="20" t="s">
        <v>105</v>
      </c>
      <c r="D108" s="20"/>
      <c r="E108" s="62">
        <f t="shared" ref="E108:J108" si="124">SUM(E106:E107)</f>
        <v>0</v>
      </c>
      <c r="F108" s="62">
        <f t="shared" si="124"/>
        <v>0</v>
      </c>
      <c r="G108" s="62">
        <f t="shared" si="124"/>
        <v>0</v>
      </c>
      <c r="H108" s="62">
        <f t="shared" si="124"/>
        <v>0</v>
      </c>
      <c r="I108" s="62">
        <f t="shared" si="124"/>
        <v>0</v>
      </c>
      <c r="J108" s="62">
        <f t="shared" si="124"/>
        <v>0</v>
      </c>
      <c r="K108" s="62">
        <f>SUM(K106:K107)</f>
        <v>220</v>
      </c>
      <c r="L108" s="62">
        <f>SUM(L106:L107)</f>
        <v>220</v>
      </c>
      <c r="M108" s="62">
        <f t="shared" ref="M108:AV108" si="125">SUM(M106:M107)</f>
        <v>220</v>
      </c>
      <c r="N108" s="62">
        <f t="shared" si="125"/>
        <v>220</v>
      </c>
      <c r="O108" s="62">
        <f t="shared" si="125"/>
        <v>220</v>
      </c>
      <c r="P108" s="62">
        <f t="shared" si="125"/>
        <v>220</v>
      </c>
      <c r="Q108" s="62">
        <f t="shared" si="125"/>
        <v>220</v>
      </c>
      <c r="R108" s="62">
        <f t="shared" si="125"/>
        <v>220</v>
      </c>
      <c r="S108" s="62">
        <f t="shared" si="125"/>
        <v>220</v>
      </c>
      <c r="T108" s="62">
        <f t="shared" si="125"/>
        <v>220</v>
      </c>
      <c r="U108" s="62">
        <f t="shared" si="125"/>
        <v>220</v>
      </c>
      <c r="V108" s="62">
        <f t="shared" si="125"/>
        <v>220</v>
      </c>
      <c r="W108" s="62">
        <f t="shared" si="125"/>
        <v>220</v>
      </c>
      <c r="X108" s="62">
        <f t="shared" si="125"/>
        <v>220</v>
      </c>
      <c r="Y108" s="62">
        <f t="shared" si="125"/>
        <v>220</v>
      </c>
      <c r="Z108" s="62">
        <f t="shared" si="125"/>
        <v>220</v>
      </c>
      <c r="AA108" s="62">
        <f t="shared" si="125"/>
        <v>220</v>
      </c>
      <c r="AB108" s="62">
        <f t="shared" si="125"/>
        <v>220</v>
      </c>
      <c r="AC108" s="62">
        <f t="shared" si="125"/>
        <v>220</v>
      </c>
      <c r="AD108" s="62">
        <f t="shared" si="125"/>
        <v>220</v>
      </c>
      <c r="AE108" s="62">
        <f t="shared" si="125"/>
        <v>220</v>
      </c>
      <c r="AF108" s="62">
        <f t="shared" si="125"/>
        <v>220</v>
      </c>
      <c r="AG108" s="62">
        <f t="shared" si="125"/>
        <v>220</v>
      </c>
      <c r="AH108" s="62">
        <f t="shared" si="125"/>
        <v>220</v>
      </c>
      <c r="AI108" s="62">
        <f t="shared" si="125"/>
        <v>220</v>
      </c>
      <c r="AJ108" s="62">
        <f t="shared" si="125"/>
        <v>220</v>
      </c>
      <c r="AK108" s="62">
        <f t="shared" si="125"/>
        <v>220</v>
      </c>
      <c r="AL108" s="62">
        <f t="shared" si="125"/>
        <v>220</v>
      </c>
      <c r="AM108" s="62">
        <f t="shared" si="125"/>
        <v>220</v>
      </c>
      <c r="AN108" s="62">
        <f t="shared" si="125"/>
        <v>220</v>
      </c>
      <c r="AO108" s="62">
        <f t="shared" si="125"/>
        <v>220</v>
      </c>
      <c r="AP108" s="62">
        <f t="shared" si="125"/>
        <v>220</v>
      </c>
      <c r="AQ108" s="62">
        <f t="shared" si="125"/>
        <v>220</v>
      </c>
      <c r="AR108" s="62">
        <f t="shared" si="125"/>
        <v>220</v>
      </c>
      <c r="AS108" s="62">
        <f t="shared" si="125"/>
        <v>220</v>
      </c>
      <c r="AT108" s="62">
        <f t="shared" si="125"/>
        <v>220</v>
      </c>
      <c r="AU108" s="62">
        <f t="shared" si="125"/>
        <v>220</v>
      </c>
      <c r="AV108" s="62">
        <f t="shared" si="125"/>
        <v>220</v>
      </c>
      <c r="AW108" s="31"/>
      <c r="AX108" s="27"/>
    </row>
    <row r="109" spans="1:50" ht="12.75" hidden="1" customHeight="1" outlineLevel="1">
      <c r="A109" s="296"/>
      <c r="B109" s="67"/>
      <c r="C109" s="64"/>
      <c r="D109" s="64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31"/>
      <c r="AX109" s="27"/>
    </row>
    <row r="110" spans="1:50" ht="12.75" hidden="1" customHeight="1" outlineLevel="1">
      <c r="A110" s="296"/>
      <c r="B110" s="13" t="s">
        <v>182</v>
      </c>
      <c r="C110" s="23"/>
      <c r="D110" s="23"/>
      <c r="E110" s="24"/>
      <c r="F110" s="24"/>
      <c r="G110" s="24"/>
      <c r="H110" s="24"/>
      <c r="I110" s="25"/>
      <c r="J110" s="24"/>
      <c r="K110" s="25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6"/>
      <c r="AX110" s="27"/>
    </row>
    <row r="111" spans="1:50" ht="12.75" hidden="1" customHeight="1" outlineLevel="1">
      <c r="A111" s="296"/>
      <c r="B111" s="28" t="s">
        <v>178</v>
      </c>
      <c r="C111" s="23" t="s">
        <v>105</v>
      </c>
      <c r="D111" s="23"/>
      <c r="E111" s="31"/>
      <c r="F111" s="31"/>
      <c r="G111" s="31"/>
      <c r="H111" s="31"/>
      <c r="I111" s="31"/>
      <c r="J111" s="31"/>
      <c r="K111" s="225">
        <v>20</v>
      </c>
      <c r="L111" s="12">
        <f t="shared" ref="L111:AA112" si="126">K111</f>
        <v>20</v>
      </c>
      <c r="M111" s="12">
        <f>L111</f>
        <v>20</v>
      </c>
      <c r="N111" s="12">
        <f t="shared" si="126"/>
        <v>20</v>
      </c>
      <c r="O111" s="12">
        <f t="shared" si="126"/>
        <v>20</v>
      </c>
      <c r="P111" s="12">
        <f t="shared" si="126"/>
        <v>20</v>
      </c>
      <c r="Q111" s="12">
        <f t="shared" si="126"/>
        <v>20</v>
      </c>
      <c r="R111" s="12">
        <f>Q111</f>
        <v>20</v>
      </c>
      <c r="S111" s="12">
        <f t="shared" si="126"/>
        <v>20</v>
      </c>
      <c r="T111" s="12">
        <f t="shared" si="126"/>
        <v>20</v>
      </c>
      <c r="U111" s="12">
        <f t="shared" si="126"/>
        <v>20</v>
      </c>
      <c r="V111" s="12">
        <f t="shared" si="126"/>
        <v>20</v>
      </c>
      <c r="W111" s="12">
        <f t="shared" si="126"/>
        <v>20</v>
      </c>
      <c r="X111" s="12">
        <f t="shared" si="126"/>
        <v>20</v>
      </c>
      <c r="Y111" s="12">
        <f t="shared" si="126"/>
        <v>20</v>
      </c>
      <c r="Z111" s="12">
        <f t="shared" si="126"/>
        <v>20</v>
      </c>
      <c r="AA111" s="12">
        <f t="shared" si="126"/>
        <v>20</v>
      </c>
      <c r="AB111" s="12">
        <f t="shared" ref="N111:AV112" si="127">AA111</f>
        <v>20</v>
      </c>
      <c r="AC111" s="12">
        <f t="shared" si="127"/>
        <v>20</v>
      </c>
      <c r="AD111" s="12">
        <f t="shared" si="127"/>
        <v>20</v>
      </c>
      <c r="AE111" s="12">
        <f t="shared" si="127"/>
        <v>20</v>
      </c>
      <c r="AF111" s="12">
        <f t="shared" si="127"/>
        <v>20</v>
      </c>
      <c r="AG111" s="12">
        <f t="shared" si="127"/>
        <v>20</v>
      </c>
      <c r="AH111" s="12">
        <f t="shared" si="127"/>
        <v>20</v>
      </c>
      <c r="AI111" s="12">
        <f t="shared" si="127"/>
        <v>20</v>
      </c>
      <c r="AJ111" s="12">
        <f t="shared" si="127"/>
        <v>20</v>
      </c>
      <c r="AK111" s="12">
        <f t="shared" si="127"/>
        <v>20</v>
      </c>
      <c r="AL111" s="12">
        <f t="shared" si="127"/>
        <v>20</v>
      </c>
      <c r="AM111" s="12">
        <f t="shared" si="127"/>
        <v>20</v>
      </c>
      <c r="AN111" s="12">
        <f t="shared" si="127"/>
        <v>20</v>
      </c>
      <c r="AO111" s="12">
        <f t="shared" si="127"/>
        <v>20</v>
      </c>
      <c r="AP111" s="12">
        <f t="shared" si="127"/>
        <v>20</v>
      </c>
      <c r="AQ111" s="12">
        <f t="shared" si="127"/>
        <v>20</v>
      </c>
      <c r="AR111" s="12">
        <f t="shared" si="127"/>
        <v>20</v>
      </c>
      <c r="AS111" s="12">
        <f t="shared" si="127"/>
        <v>20</v>
      </c>
      <c r="AT111" s="12">
        <f t="shared" si="127"/>
        <v>20</v>
      </c>
      <c r="AU111" s="12">
        <f t="shared" si="127"/>
        <v>20</v>
      </c>
      <c r="AV111" s="12">
        <f t="shared" si="127"/>
        <v>20</v>
      </c>
      <c r="AW111" s="31"/>
      <c r="AX111" s="27"/>
    </row>
    <row r="112" spans="1:50" ht="12.75" hidden="1" customHeight="1" outlineLevel="1">
      <c r="A112" s="296"/>
      <c r="B112" s="28" t="s">
        <v>179</v>
      </c>
      <c r="C112" s="23" t="s">
        <v>105</v>
      </c>
      <c r="D112" s="23"/>
      <c r="E112" s="24"/>
      <c r="F112" s="24"/>
      <c r="G112" s="24"/>
      <c r="H112" s="24"/>
      <c r="I112" s="25"/>
      <c r="J112" s="24"/>
      <c r="K112" s="225">
        <v>30</v>
      </c>
      <c r="L112" s="12">
        <f t="shared" si="126"/>
        <v>30</v>
      </c>
      <c r="M112" s="12">
        <f>L112</f>
        <v>30</v>
      </c>
      <c r="N112" s="12">
        <f t="shared" si="127"/>
        <v>30</v>
      </c>
      <c r="O112" s="12">
        <f t="shared" si="127"/>
        <v>30</v>
      </c>
      <c r="P112" s="12">
        <f t="shared" si="127"/>
        <v>30</v>
      </c>
      <c r="Q112" s="12">
        <f t="shared" si="127"/>
        <v>30</v>
      </c>
      <c r="R112" s="12">
        <f t="shared" si="127"/>
        <v>30</v>
      </c>
      <c r="S112" s="12">
        <f t="shared" si="127"/>
        <v>30</v>
      </c>
      <c r="T112" s="12">
        <f t="shared" si="127"/>
        <v>30</v>
      </c>
      <c r="U112" s="12">
        <f t="shared" si="127"/>
        <v>30</v>
      </c>
      <c r="V112" s="12">
        <f t="shared" si="127"/>
        <v>30</v>
      </c>
      <c r="W112" s="12">
        <f t="shared" si="127"/>
        <v>30</v>
      </c>
      <c r="X112" s="12">
        <f t="shared" si="127"/>
        <v>30</v>
      </c>
      <c r="Y112" s="12">
        <f t="shared" si="127"/>
        <v>30</v>
      </c>
      <c r="Z112" s="12">
        <f t="shared" si="127"/>
        <v>30</v>
      </c>
      <c r="AA112" s="12">
        <f t="shared" si="127"/>
        <v>30</v>
      </c>
      <c r="AB112" s="12">
        <f t="shared" si="127"/>
        <v>30</v>
      </c>
      <c r="AC112" s="12">
        <f t="shared" si="127"/>
        <v>30</v>
      </c>
      <c r="AD112" s="12">
        <f t="shared" si="127"/>
        <v>30</v>
      </c>
      <c r="AE112" s="12">
        <f t="shared" si="127"/>
        <v>30</v>
      </c>
      <c r="AF112" s="12">
        <f t="shared" si="127"/>
        <v>30</v>
      </c>
      <c r="AG112" s="12">
        <f t="shared" si="127"/>
        <v>30</v>
      </c>
      <c r="AH112" s="12">
        <f t="shared" si="127"/>
        <v>30</v>
      </c>
      <c r="AI112" s="12">
        <f t="shared" si="127"/>
        <v>30</v>
      </c>
      <c r="AJ112" s="12">
        <f t="shared" si="127"/>
        <v>30</v>
      </c>
      <c r="AK112" s="12">
        <f t="shared" si="127"/>
        <v>30</v>
      </c>
      <c r="AL112" s="12">
        <f t="shared" si="127"/>
        <v>30</v>
      </c>
      <c r="AM112" s="12">
        <f t="shared" si="127"/>
        <v>30</v>
      </c>
      <c r="AN112" s="12">
        <f t="shared" si="127"/>
        <v>30</v>
      </c>
      <c r="AO112" s="12">
        <f t="shared" si="127"/>
        <v>30</v>
      </c>
      <c r="AP112" s="12">
        <f t="shared" si="127"/>
        <v>30</v>
      </c>
      <c r="AQ112" s="12">
        <f t="shared" si="127"/>
        <v>30</v>
      </c>
      <c r="AR112" s="12">
        <f t="shared" si="127"/>
        <v>30</v>
      </c>
      <c r="AS112" s="12">
        <f t="shared" si="127"/>
        <v>30</v>
      </c>
      <c r="AT112" s="12">
        <f t="shared" si="127"/>
        <v>30</v>
      </c>
      <c r="AU112" s="12">
        <f t="shared" si="127"/>
        <v>30</v>
      </c>
      <c r="AV112" s="12">
        <f t="shared" si="127"/>
        <v>30</v>
      </c>
      <c r="AW112" s="31"/>
      <c r="AX112" s="27"/>
    </row>
    <row r="113" spans="1:50" ht="12.75" hidden="1" customHeight="1" outlineLevel="1">
      <c r="A113" s="296"/>
      <c r="B113" s="33" t="s">
        <v>118</v>
      </c>
      <c r="C113" s="20" t="s">
        <v>105</v>
      </c>
      <c r="D113" s="20"/>
      <c r="E113" s="62">
        <f t="shared" ref="E113:K113" si="128">SUM(E111:E112)</f>
        <v>0</v>
      </c>
      <c r="F113" s="62">
        <f t="shared" si="128"/>
        <v>0</v>
      </c>
      <c r="G113" s="62">
        <f t="shared" si="128"/>
        <v>0</v>
      </c>
      <c r="H113" s="62">
        <f t="shared" si="128"/>
        <v>0</v>
      </c>
      <c r="I113" s="62">
        <f t="shared" si="128"/>
        <v>0</v>
      </c>
      <c r="J113" s="62">
        <f t="shared" si="128"/>
        <v>0</v>
      </c>
      <c r="K113" s="62">
        <f t="shared" si="128"/>
        <v>50</v>
      </c>
      <c r="L113" s="62">
        <f>SUM(L111:L112)</f>
        <v>50</v>
      </c>
      <c r="M113" s="62">
        <f t="shared" ref="M113:AV113" si="129">SUM(M111:M112)</f>
        <v>50</v>
      </c>
      <c r="N113" s="62">
        <f t="shared" si="129"/>
        <v>50</v>
      </c>
      <c r="O113" s="62">
        <f t="shared" si="129"/>
        <v>50</v>
      </c>
      <c r="P113" s="62">
        <f t="shared" si="129"/>
        <v>50</v>
      </c>
      <c r="Q113" s="62">
        <f t="shared" si="129"/>
        <v>50</v>
      </c>
      <c r="R113" s="62">
        <f t="shared" si="129"/>
        <v>50</v>
      </c>
      <c r="S113" s="62">
        <f t="shared" si="129"/>
        <v>50</v>
      </c>
      <c r="T113" s="62">
        <f t="shared" si="129"/>
        <v>50</v>
      </c>
      <c r="U113" s="62">
        <f t="shared" si="129"/>
        <v>50</v>
      </c>
      <c r="V113" s="62">
        <f t="shared" si="129"/>
        <v>50</v>
      </c>
      <c r="W113" s="62">
        <f t="shared" si="129"/>
        <v>50</v>
      </c>
      <c r="X113" s="62">
        <f t="shared" si="129"/>
        <v>50</v>
      </c>
      <c r="Y113" s="62">
        <f t="shared" si="129"/>
        <v>50</v>
      </c>
      <c r="Z113" s="62">
        <f t="shared" si="129"/>
        <v>50</v>
      </c>
      <c r="AA113" s="62">
        <f t="shared" si="129"/>
        <v>50</v>
      </c>
      <c r="AB113" s="62">
        <f t="shared" si="129"/>
        <v>50</v>
      </c>
      <c r="AC113" s="62">
        <f t="shared" si="129"/>
        <v>50</v>
      </c>
      <c r="AD113" s="62">
        <f t="shared" si="129"/>
        <v>50</v>
      </c>
      <c r="AE113" s="62">
        <f t="shared" si="129"/>
        <v>50</v>
      </c>
      <c r="AF113" s="62">
        <f t="shared" si="129"/>
        <v>50</v>
      </c>
      <c r="AG113" s="62">
        <f t="shared" si="129"/>
        <v>50</v>
      </c>
      <c r="AH113" s="62">
        <f t="shared" si="129"/>
        <v>50</v>
      </c>
      <c r="AI113" s="62">
        <f t="shared" si="129"/>
        <v>50</v>
      </c>
      <c r="AJ113" s="62">
        <f t="shared" si="129"/>
        <v>50</v>
      </c>
      <c r="AK113" s="62">
        <f t="shared" si="129"/>
        <v>50</v>
      </c>
      <c r="AL113" s="62">
        <f t="shared" si="129"/>
        <v>50</v>
      </c>
      <c r="AM113" s="62">
        <f t="shared" si="129"/>
        <v>50</v>
      </c>
      <c r="AN113" s="62">
        <f t="shared" si="129"/>
        <v>50</v>
      </c>
      <c r="AO113" s="62">
        <f t="shared" si="129"/>
        <v>50</v>
      </c>
      <c r="AP113" s="62">
        <f t="shared" si="129"/>
        <v>50</v>
      </c>
      <c r="AQ113" s="62">
        <f t="shared" si="129"/>
        <v>50</v>
      </c>
      <c r="AR113" s="62">
        <f t="shared" si="129"/>
        <v>50</v>
      </c>
      <c r="AS113" s="62">
        <f t="shared" si="129"/>
        <v>50</v>
      </c>
      <c r="AT113" s="62">
        <f t="shared" si="129"/>
        <v>50</v>
      </c>
      <c r="AU113" s="62">
        <f t="shared" si="129"/>
        <v>50</v>
      </c>
      <c r="AV113" s="62">
        <f t="shared" si="129"/>
        <v>50</v>
      </c>
      <c r="AW113" s="31"/>
      <c r="AX113" s="27"/>
    </row>
    <row r="114" spans="1:50" ht="12.75" hidden="1" customHeight="1" outlineLevel="1">
      <c r="A114" s="296"/>
      <c r="B114" s="28" t="s">
        <v>180</v>
      </c>
      <c r="C114" s="23" t="s">
        <v>105</v>
      </c>
      <c r="D114" s="20"/>
      <c r="E114" s="12">
        <f>IF(E105&gt;0,#REF!,0)</f>
        <v>0</v>
      </c>
      <c r="F114" s="12">
        <f t="shared" ref="F114:L114" si="130">IF(F105&gt;0,E114,0)</f>
        <v>0</v>
      </c>
      <c r="G114" s="12">
        <f t="shared" si="130"/>
        <v>0</v>
      </c>
      <c r="H114" s="12">
        <f t="shared" si="130"/>
        <v>0</v>
      </c>
      <c r="I114" s="12">
        <f>IF(I105&gt;0,H114,0)</f>
        <v>0</v>
      </c>
      <c r="J114" s="12">
        <f t="shared" si="130"/>
        <v>0</v>
      </c>
      <c r="K114" s="12">
        <f t="shared" si="130"/>
        <v>0</v>
      </c>
      <c r="L114" s="12">
        <f t="shared" si="130"/>
        <v>0</v>
      </c>
      <c r="M114" s="12">
        <f>IF(M105&gt;0,L114,0)</f>
        <v>0</v>
      </c>
      <c r="N114" s="12">
        <f t="shared" ref="N114:AV114" si="131">IF(N105&gt;0,M114,0)</f>
        <v>0</v>
      </c>
      <c r="O114" s="12">
        <f t="shared" si="131"/>
        <v>0</v>
      </c>
      <c r="P114" s="12">
        <f t="shared" si="131"/>
        <v>0</v>
      </c>
      <c r="Q114" s="12">
        <f t="shared" si="131"/>
        <v>0</v>
      </c>
      <c r="R114" s="12">
        <f t="shared" si="131"/>
        <v>0</v>
      </c>
      <c r="S114" s="12">
        <f t="shared" si="131"/>
        <v>0</v>
      </c>
      <c r="T114" s="12">
        <f t="shared" si="131"/>
        <v>0</v>
      </c>
      <c r="U114" s="12">
        <f t="shared" si="131"/>
        <v>0</v>
      </c>
      <c r="V114" s="12">
        <f t="shared" si="131"/>
        <v>0</v>
      </c>
      <c r="W114" s="12">
        <f t="shared" si="131"/>
        <v>0</v>
      </c>
      <c r="X114" s="12">
        <f t="shared" si="131"/>
        <v>0</v>
      </c>
      <c r="Y114" s="12">
        <f t="shared" si="131"/>
        <v>0</v>
      </c>
      <c r="Z114" s="12">
        <f t="shared" si="131"/>
        <v>0</v>
      </c>
      <c r="AA114" s="12">
        <f t="shared" si="131"/>
        <v>0</v>
      </c>
      <c r="AB114" s="12">
        <f t="shared" si="131"/>
        <v>0</v>
      </c>
      <c r="AC114" s="12">
        <f t="shared" si="131"/>
        <v>0</v>
      </c>
      <c r="AD114" s="12">
        <f t="shared" si="131"/>
        <v>0</v>
      </c>
      <c r="AE114" s="12">
        <f t="shared" si="131"/>
        <v>0</v>
      </c>
      <c r="AF114" s="12">
        <f t="shared" si="131"/>
        <v>0</v>
      </c>
      <c r="AG114" s="12">
        <f t="shared" si="131"/>
        <v>0</v>
      </c>
      <c r="AH114" s="12">
        <f t="shared" si="131"/>
        <v>0</v>
      </c>
      <c r="AI114" s="12">
        <f t="shared" si="131"/>
        <v>0</v>
      </c>
      <c r="AJ114" s="12">
        <f t="shared" si="131"/>
        <v>0</v>
      </c>
      <c r="AK114" s="12">
        <f t="shared" si="131"/>
        <v>0</v>
      </c>
      <c r="AL114" s="12">
        <f t="shared" si="131"/>
        <v>0</v>
      </c>
      <c r="AM114" s="12">
        <f t="shared" si="131"/>
        <v>0</v>
      </c>
      <c r="AN114" s="12">
        <f t="shared" si="131"/>
        <v>0</v>
      </c>
      <c r="AO114" s="12">
        <f t="shared" si="131"/>
        <v>0</v>
      </c>
      <c r="AP114" s="12">
        <f t="shared" si="131"/>
        <v>0</v>
      </c>
      <c r="AQ114" s="12">
        <f t="shared" si="131"/>
        <v>0</v>
      </c>
      <c r="AR114" s="12">
        <f t="shared" si="131"/>
        <v>0</v>
      </c>
      <c r="AS114" s="12">
        <f t="shared" si="131"/>
        <v>0</v>
      </c>
      <c r="AT114" s="12">
        <f t="shared" si="131"/>
        <v>0</v>
      </c>
      <c r="AU114" s="12">
        <f t="shared" si="131"/>
        <v>0</v>
      </c>
      <c r="AV114" s="12">
        <f t="shared" si="131"/>
        <v>0</v>
      </c>
      <c r="AW114" s="31"/>
      <c r="AX114" s="27"/>
    </row>
    <row r="115" spans="1:50" ht="12.75" hidden="1" customHeight="1" outlineLevel="1">
      <c r="A115" s="296"/>
      <c r="B115" s="33" t="s">
        <v>181</v>
      </c>
      <c r="C115" s="20" t="s">
        <v>105</v>
      </c>
      <c r="D115" s="20"/>
      <c r="E115" s="62">
        <f t="shared" ref="E115:K115" si="132">SUM(E113:E114)</f>
        <v>0</v>
      </c>
      <c r="F115" s="62">
        <f t="shared" si="132"/>
        <v>0</v>
      </c>
      <c r="G115" s="62">
        <f t="shared" si="132"/>
        <v>0</v>
      </c>
      <c r="H115" s="62">
        <f t="shared" si="132"/>
        <v>0</v>
      </c>
      <c r="I115" s="62">
        <f t="shared" si="132"/>
        <v>0</v>
      </c>
      <c r="J115" s="62">
        <f t="shared" si="132"/>
        <v>0</v>
      </c>
      <c r="K115" s="62">
        <f t="shared" si="132"/>
        <v>50</v>
      </c>
      <c r="L115" s="62">
        <f>SUM(L113:L114)</f>
        <v>50</v>
      </c>
      <c r="M115" s="62">
        <f t="shared" ref="M115:AV115" si="133">SUM(M113:M114)</f>
        <v>50</v>
      </c>
      <c r="N115" s="62">
        <f t="shared" si="133"/>
        <v>50</v>
      </c>
      <c r="O115" s="62">
        <f t="shared" si="133"/>
        <v>50</v>
      </c>
      <c r="P115" s="62">
        <f t="shared" si="133"/>
        <v>50</v>
      </c>
      <c r="Q115" s="62">
        <f t="shared" si="133"/>
        <v>50</v>
      </c>
      <c r="R115" s="62">
        <f t="shared" si="133"/>
        <v>50</v>
      </c>
      <c r="S115" s="62">
        <f t="shared" si="133"/>
        <v>50</v>
      </c>
      <c r="T115" s="62">
        <f t="shared" si="133"/>
        <v>50</v>
      </c>
      <c r="U115" s="62">
        <f t="shared" si="133"/>
        <v>50</v>
      </c>
      <c r="V115" s="62">
        <f t="shared" si="133"/>
        <v>50</v>
      </c>
      <c r="W115" s="62">
        <f t="shared" si="133"/>
        <v>50</v>
      </c>
      <c r="X115" s="62">
        <f t="shared" si="133"/>
        <v>50</v>
      </c>
      <c r="Y115" s="62">
        <f t="shared" si="133"/>
        <v>50</v>
      </c>
      <c r="Z115" s="62">
        <f t="shared" si="133"/>
        <v>50</v>
      </c>
      <c r="AA115" s="62">
        <f t="shared" si="133"/>
        <v>50</v>
      </c>
      <c r="AB115" s="62">
        <f t="shared" si="133"/>
        <v>50</v>
      </c>
      <c r="AC115" s="62">
        <f t="shared" si="133"/>
        <v>50</v>
      </c>
      <c r="AD115" s="62">
        <f t="shared" si="133"/>
        <v>50</v>
      </c>
      <c r="AE115" s="62">
        <f t="shared" si="133"/>
        <v>50</v>
      </c>
      <c r="AF115" s="62">
        <f t="shared" si="133"/>
        <v>50</v>
      </c>
      <c r="AG115" s="62">
        <f t="shared" si="133"/>
        <v>50</v>
      </c>
      <c r="AH115" s="62">
        <f t="shared" si="133"/>
        <v>50</v>
      </c>
      <c r="AI115" s="62">
        <f t="shared" si="133"/>
        <v>50</v>
      </c>
      <c r="AJ115" s="62">
        <f t="shared" si="133"/>
        <v>50</v>
      </c>
      <c r="AK115" s="62">
        <f t="shared" si="133"/>
        <v>50</v>
      </c>
      <c r="AL115" s="62">
        <f t="shared" si="133"/>
        <v>50</v>
      </c>
      <c r="AM115" s="62">
        <f t="shared" si="133"/>
        <v>50</v>
      </c>
      <c r="AN115" s="62">
        <f t="shared" si="133"/>
        <v>50</v>
      </c>
      <c r="AO115" s="62">
        <f t="shared" si="133"/>
        <v>50</v>
      </c>
      <c r="AP115" s="62">
        <f t="shared" si="133"/>
        <v>50</v>
      </c>
      <c r="AQ115" s="62">
        <f t="shared" si="133"/>
        <v>50</v>
      </c>
      <c r="AR115" s="62">
        <f t="shared" si="133"/>
        <v>50</v>
      </c>
      <c r="AS115" s="62">
        <f t="shared" si="133"/>
        <v>50</v>
      </c>
      <c r="AT115" s="62">
        <f t="shared" si="133"/>
        <v>50</v>
      </c>
      <c r="AU115" s="62">
        <f t="shared" si="133"/>
        <v>50</v>
      </c>
      <c r="AV115" s="62">
        <f t="shared" si="133"/>
        <v>50</v>
      </c>
      <c r="AW115" s="31"/>
      <c r="AX115" s="27"/>
    </row>
    <row r="116" spans="1:50" ht="12.75" hidden="1" customHeight="1" outlineLevel="1">
      <c r="A116" s="296"/>
      <c r="B116" s="67"/>
      <c r="C116" s="64"/>
      <c r="D116" s="64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31"/>
      <c r="AX116" s="27"/>
    </row>
    <row r="117" spans="1:50" ht="12.75" hidden="1" customHeight="1" outlineLevel="1">
      <c r="A117" s="296"/>
      <c r="B117" s="13" t="s">
        <v>0</v>
      </c>
      <c r="C117" s="23"/>
      <c r="D117" s="23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6"/>
      <c r="AX117" s="10"/>
    </row>
    <row r="118" spans="1:50" ht="12.75" hidden="1" customHeight="1" outlineLevel="1">
      <c r="A118" s="296"/>
      <c r="B118" s="28" t="s">
        <v>103</v>
      </c>
      <c r="C118" s="23" t="s">
        <v>42</v>
      </c>
      <c r="D118" s="23"/>
      <c r="E118" s="24">
        <f t="shared" ref="E118:L118" si="134">IF(D80=0,0,((D104*D80)/10^3+(D111*D90)/10^3))</f>
        <v>0</v>
      </c>
      <c r="F118" s="24">
        <f t="shared" si="134"/>
        <v>0</v>
      </c>
      <c r="G118" s="24">
        <f t="shared" si="134"/>
        <v>0</v>
      </c>
      <c r="H118" s="24">
        <f t="shared" si="134"/>
        <v>0</v>
      </c>
      <c r="I118" s="24">
        <f t="shared" si="134"/>
        <v>0</v>
      </c>
      <c r="J118" s="24">
        <f t="shared" si="134"/>
        <v>0</v>
      </c>
      <c r="K118" s="24">
        <f t="shared" si="134"/>
        <v>0</v>
      </c>
      <c r="L118" s="24">
        <f t="shared" si="134"/>
        <v>60.358086360000001</v>
      </c>
      <c r="M118" s="24">
        <f t="shared" ref="M118:AV118" si="135">IF(M67=0,0,((M104*M67)/10^3+(M111*(M67*M89))/10^3))</f>
        <v>0</v>
      </c>
      <c r="N118" s="24">
        <f t="shared" si="135"/>
        <v>72.429703632000013</v>
      </c>
      <c r="O118" s="24">
        <f t="shared" si="135"/>
        <v>0</v>
      </c>
      <c r="P118" s="24">
        <f t="shared" si="135"/>
        <v>0</v>
      </c>
      <c r="Q118" s="24">
        <f t="shared" si="135"/>
        <v>72.429703632000013</v>
      </c>
      <c r="R118" s="24">
        <f t="shared" si="135"/>
        <v>0</v>
      </c>
      <c r="S118" s="24">
        <f t="shared" si="135"/>
        <v>0</v>
      </c>
      <c r="T118" s="24">
        <f t="shared" si="135"/>
        <v>72.429703632000013</v>
      </c>
      <c r="U118" s="24">
        <f t="shared" si="135"/>
        <v>0</v>
      </c>
      <c r="V118" s="24">
        <f t="shared" si="135"/>
        <v>0</v>
      </c>
      <c r="W118" s="24">
        <f t="shared" si="135"/>
        <v>72.429703632000013</v>
      </c>
      <c r="X118" s="24">
        <f t="shared" si="135"/>
        <v>0</v>
      </c>
      <c r="Y118" s="24">
        <f t="shared" si="135"/>
        <v>0</v>
      </c>
      <c r="Z118" s="24">
        <f t="shared" si="135"/>
        <v>72.429703632000013</v>
      </c>
      <c r="AA118" s="24">
        <f t="shared" si="135"/>
        <v>0</v>
      </c>
      <c r="AB118" s="24">
        <f t="shared" si="135"/>
        <v>0</v>
      </c>
      <c r="AC118" s="24">
        <f t="shared" si="135"/>
        <v>72.429703632000013</v>
      </c>
      <c r="AD118" s="24">
        <f t="shared" si="135"/>
        <v>0</v>
      </c>
      <c r="AE118" s="24">
        <f t="shared" si="135"/>
        <v>0</v>
      </c>
      <c r="AF118" s="24">
        <f t="shared" si="135"/>
        <v>72.429703632000013</v>
      </c>
      <c r="AG118" s="24">
        <f t="shared" si="135"/>
        <v>0</v>
      </c>
      <c r="AH118" s="24">
        <f t="shared" si="135"/>
        <v>0</v>
      </c>
      <c r="AI118" s="24">
        <f t="shared" si="135"/>
        <v>72.429703632000013</v>
      </c>
      <c r="AJ118" s="24">
        <f t="shared" si="135"/>
        <v>0</v>
      </c>
      <c r="AK118" s="24">
        <f t="shared" si="135"/>
        <v>0</v>
      </c>
      <c r="AL118" s="24">
        <f t="shared" si="135"/>
        <v>72.429703632000013</v>
      </c>
      <c r="AM118" s="24">
        <f t="shared" si="135"/>
        <v>0</v>
      </c>
      <c r="AN118" s="24">
        <f t="shared" si="135"/>
        <v>0</v>
      </c>
      <c r="AO118" s="24">
        <f t="shared" si="135"/>
        <v>72.429703632000013</v>
      </c>
      <c r="AP118" s="24">
        <f t="shared" si="135"/>
        <v>0</v>
      </c>
      <c r="AQ118" s="24">
        <f t="shared" si="135"/>
        <v>0</v>
      </c>
      <c r="AR118" s="24">
        <f t="shared" si="135"/>
        <v>72.429703632000013</v>
      </c>
      <c r="AS118" s="24">
        <f t="shared" si="135"/>
        <v>0</v>
      </c>
      <c r="AT118" s="24">
        <f t="shared" si="135"/>
        <v>0</v>
      </c>
      <c r="AU118" s="24">
        <f t="shared" si="135"/>
        <v>72.429703632000013</v>
      </c>
      <c r="AV118" s="24">
        <f t="shared" si="135"/>
        <v>0</v>
      </c>
      <c r="AW118" s="26"/>
      <c r="AX118" s="10"/>
    </row>
    <row r="119" spans="1:50" ht="12.75" hidden="1" customHeight="1" outlineLevel="1">
      <c r="A119" s="296"/>
      <c r="B119" s="28" t="s">
        <v>7</v>
      </c>
      <c r="C119" s="23" t="s">
        <v>42</v>
      </c>
      <c r="D119" s="23"/>
      <c r="E119" s="24">
        <f t="shared" ref="E119:L119" si="136">IF(D80=0,0,((D105*D80)/10^3+(D112*D90)/10^3))</f>
        <v>0</v>
      </c>
      <c r="F119" s="24">
        <f t="shared" si="136"/>
        <v>0</v>
      </c>
      <c r="G119" s="24">
        <f t="shared" si="136"/>
        <v>0</v>
      </c>
      <c r="H119" s="24">
        <f t="shared" si="136"/>
        <v>0</v>
      </c>
      <c r="I119" s="24">
        <f t="shared" si="136"/>
        <v>0</v>
      </c>
      <c r="J119" s="24">
        <f t="shared" si="136"/>
        <v>0</v>
      </c>
      <c r="K119" s="24">
        <f t="shared" si="136"/>
        <v>0</v>
      </c>
      <c r="L119" s="24">
        <f t="shared" si="136"/>
        <v>73.126143089999999</v>
      </c>
      <c r="M119" s="24">
        <f t="shared" ref="M119:AV119" si="137">IF(M67=0,0,((M105*M67)/10^3+(M112*(M67*M89))/10^3))</f>
        <v>0</v>
      </c>
      <c r="N119" s="24">
        <f t="shared" si="137"/>
        <v>87.751371708000022</v>
      </c>
      <c r="O119" s="24">
        <f t="shared" si="137"/>
        <v>0</v>
      </c>
      <c r="P119" s="24">
        <f t="shared" si="137"/>
        <v>0</v>
      </c>
      <c r="Q119" s="24">
        <f t="shared" si="137"/>
        <v>87.751371708000022</v>
      </c>
      <c r="R119" s="24">
        <f t="shared" si="137"/>
        <v>0</v>
      </c>
      <c r="S119" s="24">
        <f t="shared" si="137"/>
        <v>0</v>
      </c>
      <c r="T119" s="24">
        <f t="shared" si="137"/>
        <v>87.751371708000022</v>
      </c>
      <c r="U119" s="24">
        <f t="shared" si="137"/>
        <v>0</v>
      </c>
      <c r="V119" s="24">
        <f t="shared" si="137"/>
        <v>0</v>
      </c>
      <c r="W119" s="24">
        <f t="shared" si="137"/>
        <v>87.751371708000022</v>
      </c>
      <c r="X119" s="24">
        <f t="shared" si="137"/>
        <v>0</v>
      </c>
      <c r="Y119" s="24">
        <f t="shared" si="137"/>
        <v>0</v>
      </c>
      <c r="Z119" s="24">
        <f t="shared" si="137"/>
        <v>87.751371708000022</v>
      </c>
      <c r="AA119" s="24">
        <f t="shared" si="137"/>
        <v>0</v>
      </c>
      <c r="AB119" s="24">
        <f t="shared" si="137"/>
        <v>0</v>
      </c>
      <c r="AC119" s="24">
        <f t="shared" si="137"/>
        <v>87.751371708000022</v>
      </c>
      <c r="AD119" s="24">
        <f t="shared" si="137"/>
        <v>0</v>
      </c>
      <c r="AE119" s="24">
        <f t="shared" si="137"/>
        <v>0</v>
      </c>
      <c r="AF119" s="24">
        <f t="shared" si="137"/>
        <v>87.751371708000022</v>
      </c>
      <c r="AG119" s="24">
        <f t="shared" si="137"/>
        <v>0</v>
      </c>
      <c r="AH119" s="24">
        <f t="shared" si="137"/>
        <v>0</v>
      </c>
      <c r="AI119" s="24">
        <f t="shared" si="137"/>
        <v>87.751371708000022</v>
      </c>
      <c r="AJ119" s="24">
        <f t="shared" si="137"/>
        <v>0</v>
      </c>
      <c r="AK119" s="24">
        <f t="shared" si="137"/>
        <v>0</v>
      </c>
      <c r="AL119" s="24">
        <f t="shared" si="137"/>
        <v>87.751371708000022</v>
      </c>
      <c r="AM119" s="24">
        <f t="shared" si="137"/>
        <v>0</v>
      </c>
      <c r="AN119" s="24">
        <f t="shared" si="137"/>
        <v>0</v>
      </c>
      <c r="AO119" s="24">
        <f t="shared" si="137"/>
        <v>87.751371708000022</v>
      </c>
      <c r="AP119" s="24">
        <f t="shared" si="137"/>
        <v>0</v>
      </c>
      <c r="AQ119" s="24">
        <f t="shared" si="137"/>
        <v>0</v>
      </c>
      <c r="AR119" s="24">
        <f t="shared" si="137"/>
        <v>87.751371708000022</v>
      </c>
      <c r="AS119" s="24">
        <f t="shared" si="137"/>
        <v>0</v>
      </c>
      <c r="AT119" s="24">
        <f t="shared" si="137"/>
        <v>0</v>
      </c>
      <c r="AU119" s="24">
        <f t="shared" si="137"/>
        <v>87.751371708000022</v>
      </c>
      <c r="AV119" s="24">
        <f t="shared" si="137"/>
        <v>0</v>
      </c>
      <c r="AW119" s="26"/>
      <c r="AX119" s="10"/>
    </row>
    <row r="120" spans="1:50" ht="12.75" hidden="1" customHeight="1" outlineLevel="1">
      <c r="A120" s="296"/>
      <c r="B120" s="33" t="s">
        <v>0</v>
      </c>
      <c r="C120" s="20" t="s">
        <v>42</v>
      </c>
      <c r="D120" s="20"/>
      <c r="E120" s="39">
        <f t="shared" ref="E120:K120" si="138">SUM(E118:E119)</f>
        <v>0</v>
      </c>
      <c r="F120" s="39">
        <f t="shared" si="138"/>
        <v>0</v>
      </c>
      <c r="G120" s="39">
        <f t="shared" si="138"/>
        <v>0</v>
      </c>
      <c r="H120" s="39">
        <f t="shared" si="138"/>
        <v>0</v>
      </c>
      <c r="I120" s="39">
        <f t="shared" si="138"/>
        <v>0</v>
      </c>
      <c r="J120" s="39">
        <f t="shared" si="138"/>
        <v>0</v>
      </c>
      <c r="K120" s="39">
        <f t="shared" si="138"/>
        <v>0</v>
      </c>
      <c r="L120" s="39">
        <f t="shared" ref="L120:Q120" si="139">SUM(L118:L119)</f>
        <v>133.48422944999999</v>
      </c>
      <c r="M120" s="39">
        <f t="shared" si="139"/>
        <v>0</v>
      </c>
      <c r="N120" s="39">
        <f t="shared" si="139"/>
        <v>160.18107534000004</v>
      </c>
      <c r="O120" s="39">
        <f t="shared" si="139"/>
        <v>0</v>
      </c>
      <c r="P120" s="39">
        <f t="shared" si="139"/>
        <v>0</v>
      </c>
      <c r="Q120" s="39">
        <f t="shared" si="139"/>
        <v>160.18107534000004</v>
      </c>
      <c r="R120" s="39">
        <f>SUM(R118:R119)</f>
        <v>0</v>
      </c>
      <c r="S120" s="39">
        <f t="shared" ref="S120:AV120" si="140">SUM(S118:S119)</f>
        <v>0</v>
      </c>
      <c r="T120" s="39">
        <f t="shared" si="140"/>
        <v>160.18107534000004</v>
      </c>
      <c r="U120" s="39">
        <f t="shared" si="140"/>
        <v>0</v>
      </c>
      <c r="V120" s="39">
        <f t="shared" si="140"/>
        <v>0</v>
      </c>
      <c r="W120" s="39">
        <f t="shared" si="140"/>
        <v>160.18107534000004</v>
      </c>
      <c r="X120" s="39">
        <f t="shared" si="140"/>
        <v>0</v>
      </c>
      <c r="Y120" s="39">
        <f t="shared" si="140"/>
        <v>0</v>
      </c>
      <c r="Z120" s="39">
        <f t="shared" si="140"/>
        <v>160.18107534000004</v>
      </c>
      <c r="AA120" s="39">
        <f t="shared" si="140"/>
        <v>0</v>
      </c>
      <c r="AB120" s="39">
        <f t="shared" si="140"/>
        <v>0</v>
      </c>
      <c r="AC120" s="39">
        <f t="shared" si="140"/>
        <v>160.18107534000004</v>
      </c>
      <c r="AD120" s="39">
        <f t="shared" si="140"/>
        <v>0</v>
      </c>
      <c r="AE120" s="39">
        <f t="shared" si="140"/>
        <v>0</v>
      </c>
      <c r="AF120" s="39">
        <f t="shared" si="140"/>
        <v>160.18107534000004</v>
      </c>
      <c r="AG120" s="39">
        <f t="shared" si="140"/>
        <v>0</v>
      </c>
      <c r="AH120" s="39">
        <f t="shared" si="140"/>
        <v>0</v>
      </c>
      <c r="AI120" s="39">
        <f t="shared" si="140"/>
        <v>160.18107534000004</v>
      </c>
      <c r="AJ120" s="39">
        <f t="shared" si="140"/>
        <v>0</v>
      </c>
      <c r="AK120" s="39">
        <f t="shared" si="140"/>
        <v>0</v>
      </c>
      <c r="AL120" s="39">
        <f t="shared" si="140"/>
        <v>160.18107534000004</v>
      </c>
      <c r="AM120" s="39">
        <f t="shared" si="140"/>
        <v>0</v>
      </c>
      <c r="AN120" s="39">
        <f t="shared" si="140"/>
        <v>0</v>
      </c>
      <c r="AO120" s="39">
        <f t="shared" si="140"/>
        <v>160.18107534000004</v>
      </c>
      <c r="AP120" s="39">
        <f t="shared" si="140"/>
        <v>0</v>
      </c>
      <c r="AQ120" s="39">
        <f t="shared" si="140"/>
        <v>0</v>
      </c>
      <c r="AR120" s="39">
        <f t="shared" si="140"/>
        <v>160.18107534000004</v>
      </c>
      <c r="AS120" s="39">
        <f t="shared" si="140"/>
        <v>0</v>
      </c>
      <c r="AT120" s="39">
        <f t="shared" si="140"/>
        <v>0</v>
      </c>
      <c r="AU120" s="39">
        <f t="shared" si="140"/>
        <v>160.18107534000004</v>
      </c>
      <c r="AV120" s="39">
        <f t="shared" si="140"/>
        <v>0</v>
      </c>
      <c r="AW120" s="26"/>
      <c r="AX120" s="10"/>
    </row>
    <row r="121" spans="1:50" ht="12.75" hidden="1" customHeight="1" outlineLevel="1">
      <c r="A121" s="296"/>
      <c r="B121" s="28" t="s">
        <v>5</v>
      </c>
      <c r="C121" s="23" t="s">
        <v>42</v>
      </c>
      <c r="D121" s="23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10"/>
    </row>
    <row r="122" spans="1:50" s="4" customFormat="1" ht="13.5" hidden="1" customHeight="1" outlineLevel="1" thickBot="1">
      <c r="A122" s="297"/>
      <c r="B122" s="13" t="s">
        <v>120</v>
      </c>
      <c r="C122" s="20" t="s">
        <v>42</v>
      </c>
      <c r="D122" s="20"/>
      <c r="E122" s="37">
        <f t="shared" ref="E122:Q122" si="141">E120+E121</f>
        <v>0</v>
      </c>
      <c r="F122" s="37">
        <f t="shared" si="141"/>
        <v>0</v>
      </c>
      <c r="G122" s="37">
        <f t="shared" si="141"/>
        <v>0</v>
      </c>
      <c r="H122" s="37">
        <f t="shared" si="141"/>
        <v>0</v>
      </c>
      <c r="I122" s="37">
        <f t="shared" si="141"/>
        <v>0</v>
      </c>
      <c r="J122" s="37">
        <f t="shared" si="141"/>
        <v>0</v>
      </c>
      <c r="K122" s="37">
        <f t="shared" si="141"/>
        <v>0</v>
      </c>
      <c r="L122" s="37">
        <f t="shared" si="141"/>
        <v>133.48422944999999</v>
      </c>
      <c r="M122" s="37">
        <f t="shared" si="141"/>
        <v>0</v>
      </c>
      <c r="N122" s="37">
        <f t="shared" si="141"/>
        <v>160.18107534000004</v>
      </c>
      <c r="O122" s="37">
        <f t="shared" si="141"/>
        <v>0</v>
      </c>
      <c r="P122" s="37">
        <f t="shared" si="141"/>
        <v>0</v>
      </c>
      <c r="Q122" s="37">
        <f t="shared" si="141"/>
        <v>160.18107534000004</v>
      </c>
      <c r="R122" s="37">
        <f>R120+R121</f>
        <v>0</v>
      </c>
      <c r="S122" s="37">
        <f t="shared" ref="S122:AV122" si="142">S120+S121</f>
        <v>0</v>
      </c>
      <c r="T122" s="37">
        <f t="shared" si="142"/>
        <v>160.18107534000004</v>
      </c>
      <c r="U122" s="37">
        <f t="shared" si="142"/>
        <v>0</v>
      </c>
      <c r="V122" s="37">
        <f t="shared" si="142"/>
        <v>0</v>
      </c>
      <c r="W122" s="37">
        <f t="shared" si="142"/>
        <v>160.18107534000004</v>
      </c>
      <c r="X122" s="37">
        <f t="shared" si="142"/>
        <v>0</v>
      </c>
      <c r="Y122" s="37">
        <f t="shared" si="142"/>
        <v>0</v>
      </c>
      <c r="Z122" s="37">
        <f t="shared" si="142"/>
        <v>160.18107534000004</v>
      </c>
      <c r="AA122" s="37">
        <f t="shared" si="142"/>
        <v>0</v>
      </c>
      <c r="AB122" s="37">
        <f t="shared" si="142"/>
        <v>0</v>
      </c>
      <c r="AC122" s="37">
        <f t="shared" si="142"/>
        <v>160.18107534000004</v>
      </c>
      <c r="AD122" s="37">
        <f t="shared" si="142"/>
        <v>0</v>
      </c>
      <c r="AE122" s="37">
        <f t="shared" si="142"/>
        <v>0</v>
      </c>
      <c r="AF122" s="37">
        <f t="shared" si="142"/>
        <v>160.18107534000004</v>
      </c>
      <c r="AG122" s="37">
        <f t="shared" si="142"/>
        <v>0</v>
      </c>
      <c r="AH122" s="37">
        <f t="shared" si="142"/>
        <v>0</v>
      </c>
      <c r="AI122" s="37">
        <f t="shared" si="142"/>
        <v>160.18107534000004</v>
      </c>
      <c r="AJ122" s="37">
        <f t="shared" si="142"/>
        <v>0</v>
      </c>
      <c r="AK122" s="37">
        <f t="shared" si="142"/>
        <v>0</v>
      </c>
      <c r="AL122" s="37">
        <f t="shared" si="142"/>
        <v>160.18107534000004</v>
      </c>
      <c r="AM122" s="37">
        <f t="shared" si="142"/>
        <v>0</v>
      </c>
      <c r="AN122" s="37">
        <f t="shared" si="142"/>
        <v>0</v>
      </c>
      <c r="AO122" s="37">
        <f t="shared" si="142"/>
        <v>160.18107534000004</v>
      </c>
      <c r="AP122" s="37">
        <f t="shared" si="142"/>
        <v>0</v>
      </c>
      <c r="AQ122" s="37">
        <f t="shared" si="142"/>
        <v>0</v>
      </c>
      <c r="AR122" s="37">
        <f t="shared" si="142"/>
        <v>160.18107534000004</v>
      </c>
      <c r="AS122" s="37">
        <f t="shared" si="142"/>
        <v>0</v>
      </c>
      <c r="AT122" s="37">
        <f t="shared" si="142"/>
        <v>0</v>
      </c>
      <c r="AU122" s="37">
        <f t="shared" si="142"/>
        <v>160.18107534000004</v>
      </c>
      <c r="AV122" s="37">
        <f t="shared" si="142"/>
        <v>0</v>
      </c>
      <c r="AW122" s="26"/>
    </row>
    <row r="123" spans="1:50" s="4" customFormat="1" ht="13.5" hidden="1" customHeight="1" outlineLevel="1" thickTop="1">
      <c r="A123" s="297"/>
      <c r="B123" s="28" t="s">
        <v>121</v>
      </c>
      <c r="C123" s="23" t="s">
        <v>42</v>
      </c>
      <c r="D123" s="20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6"/>
    </row>
    <row r="124" spans="1:50" s="4" customFormat="1" ht="13.5" hidden="1" customHeight="1" outlineLevel="1" thickBot="1">
      <c r="A124" s="297"/>
      <c r="B124" s="13" t="s">
        <v>3</v>
      </c>
      <c r="C124" s="20" t="s">
        <v>42</v>
      </c>
      <c r="D124" s="20"/>
      <c r="E124" s="37">
        <f t="shared" ref="E124:Q124" si="143">E122+E123</f>
        <v>0</v>
      </c>
      <c r="F124" s="37">
        <f t="shared" si="143"/>
        <v>0</v>
      </c>
      <c r="G124" s="37">
        <f t="shared" si="143"/>
        <v>0</v>
      </c>
      <c r="H124" s="37">
        <f t="shared" si="143"/>
        <v>0</v>
      </c>
      <c r="I124" s="37">
        <f t="shared" si="143"/>
        <v>0</v>
      </c>
      <c r="J124" s="37">
        <f t="shared" si="143"/>
        <v>0</v>
      </c>
      <c r="K124" s="37">
        <f t="shared" si="143"/>
        <v>0</v>
      </c>
      <c r="L124" s="37">
        <f t="shared" si="143"/>
        <v>133.48422944999999</v>
      </c>
      <c r="M124" s="37">
        <f t="shared" si="143"/>
        <v>0</v>
      </c>
      <c r="N124" s="37">
        <f t="shared" si="143"/>
        <v>160.18107534000004</v>
      </c>
      <c r="O124" s="37">
        <f t="shared" si="143"/>
        <v>0</v>
      </c>
      <c r="P124" s="37">
        <f t="shared" si="143"/>
        <v>0</v>
      </c>
      <c r="Q124" s="37">
        <f t="shared" si="143"/>
        <v>160.18107534000004</v>
      </c>
      <c r="R124" s="37">
        <f>R122+R123</f>
        <v>0</v>
      </c>
      <c r="S124" s="37">
        <f t="shared" ref="S124:AV124" si="144">S122+S123</f>
        <v>0</v>
      </c>
      <c r="T124" s="37">
        <f t="shared" si="144"/>
        <v>160.18107534000004</v>
      </c>
      <c r="U124" s="37">
        <f t="shared" si="144"/>
        <v>0</v>
      </c>
      <c r="V124" s="37">
        <f t="shared" si="144"/>
        <v>0</v>
      </c>
      <c r="W124" s="37">
        <f t="shared" si="144"/>
        <v>160.18107534000004</v>
      </c>
      <c r="X124" s="37">
        <f t="shared" si="144"/>
        <v>0</v>
      </c>
      <c r="Y124" s="37">
        <f t="shared" si="144"/>
        <v>0</v>
      </c>
      <c r="Z124" s="37">
        <f t="shared" si="144"/>
        <v>160.18107534000004</v>
      </c>
      <c r="AA124" s="37">
        <f t="shared" si="144"/>
        <v>0</v>
      </c>
      <c r="AB124" s="37">
        <f t="shared" si="144"/>
        <v>0</v>
      </c>
      <c r="AC124" s="37">
        <f t="shared" si="144"/>
        <v>160.18107534000004</v>
      </c>
      <c r="AD124" s="37">
        <f t="shared" si="144"/>
        <v>0</v>
      </c>
      <c r="AE124" s="37">
        <f t="shared" si="144"/>
        <v>0</v>
      </c>
      <c r="AF124" s="37">
        <f t="shared" si="144"/>
        <v>160.18107534000004</v>
      </c>
      <c r="AG124" s="37">
        <f t="shared" si="144"/>
        <v>0</v>
      </c>
      <c r="AH124" s="37">
        <f t="shared" si="144"/>
        <v>0</v>
      </c>
      <c r="AI124" s="37">
        <f t="shared" si="144"/>
        <v>160.18107534000004</v>
      </c>
      <c r="AJ124" s="37">
        <f t="shared" si="144"/>
        <v>0</v>
      </c>
      <c r="AK124" s="37">
        <f t="shared" si="144"/>
        <v>0</v>
      </c>
      <c r="AL124" s="37">
        <f t="shared" si="144"/>
        <v>160.18107534000004</v>
      </c>
      <c r="AM124" s="37">
        <f t="shared" si="144"/>
        <v>0</v>
      </c>
      <c r="AN124" s="37">
        <f t="shared" si="144"/>
        <v>0</v>
      </c>
      <c r="AO124" s="37">
        <f t="shared" si="144"/>
        <v>160.18107534000004</v>
      </c>
      <c r="AP124" s="37">
        <f t="shared" si="144"/>
        <v>0</v>
      </c>
      <c r="AQ124" s="37">
        <f t="shared" si="144"/>
        <v>0</v>
      </c>
      <c r="AR124" s="37">
        <f t="shared" si="144"/>
        <v>160.18107534000004</v>
      </c>
      <c r="AS124" s="37">
        <f t="shared" si="144"/>
        <v>0</v>
      </c>
      <c r="AT124" s="37">
        <f t="shared" si="144"/>
        <v>0</v>
      </c>
      <c r="AU124" s="37">
        <f t="shared" si="144"/>
        <v>160.18107534000004</v>
      </c>
      <c r="AV124" s="37">
        <f t="shared" si="144"/>
        <v>0</v>
      </c>
      <c r="AW124" s="26"/>
    </row>
    <row r="125" spans="1:50" ht="12.75" hidden="1" customHeight="1" outlineLevel="1" thickTop="1">
      <c r="A125" s="296"/>
      <c r="B125" s="28"/>
      <c r="C125" s="20"/>
      <c r="D125" s="35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6"/>
      <c r="AX125" s="10"/>
    </row>
    <row r="126" spans="1:50" ht="13.5" hidden="1" customHeight="1" outlineLevel="1" thickBot="1">
      <c r="A126" s="296"/>
      <c r="B126" s="13" t="s">
        <v>183</v>
      </c>
      <c r="C126" s="20" t="s">
        <v>42</v>
      </c>
      <c r="D126" s="20"/>
      <c r="E126" s="37"/>
      <c r="F126" s="37"/>
      <c r="G126" s="37"/>
      <c r="H126" s="37"/>
      <c r="I126" s="37"/>
      <c r="J126" s="37"/>
      <c r="K126" s="37">
        <f t="shared" ref="K126:M126" si="145">K122+K123+K125</f>
        <v>0</v>
      </c>
      <c r="L126" s="37">
        <f t="shared" si="145"/>
        <v>133.48422944999999</v>
      </c>
      <c r="M126" s="37">
        <f t="shared" si="145"/>
        <v>0</v>
      </c>
      <c r="N126" s="37">
        <f>N122+N123+N125</f>
        <v>160.18107534000004</v>
      </c>
      <c r="O126" s="37">
        <f t="shared" ref="O126:AV126" si="146">O122+O123+O125</f>
        <v>0</v>
      </c>
      <c r="P126" s="37">
        <f t="shared" si="146"/>
        <v>0</v>
      </c>
      <c r="Q126" s="37">
        <f t="shared" si="146"/>
        <v>160.18107534000004</v>
      </c>
      <c r="R126" s="37">
        <f t="shared" si="146"/>
        <v>0</v>
      </c>
      <c r="S126" s="37">
        <f t="shared" si="146"/>
        <v>0</v>
      </c>
      <c r="T126" s="37">
        <f t="shared" si="146"/>
        <v>160.18107534000004</v>
      </c>
      <c r="U126" s="37">
        <f t="shared" si="146"/>
        <v>0</v>
      </c>
      <c r="V126" s="37">
        <f t="shared" si="146"/>
        <v>0</v>
      </c>
      <c r="W126" s="37">
        <f t="shared" si="146"/>
        <v>160.18107534000004</v>
      </c>
      <c r="X126" s="37">
        <f t="shared" si="146"/>
        <v>0</v>
      </c>
      <c r="Y126" s="37">
        <f t="shared" si="146"/>
        <v>0</v>
      </c>
      <c r="Z126" s="37">
        <f t="shared" si="146"/>
        <v>160.18107534000004</v>
      </c>
      <c r="AA126" s="37">
        <f t="shared" si="146"/>
        <v>0</v>
      </c>
      <c r="AB126" s="37">
        <f t="shared" si="146"/>
        <v>0</v>
      </c>
      <c r="AC126" s="37">
        <f t="shared" si="146"/>
        <v>160.18107534000004</v>
      </c>
      <c r="AD126" s="37">
        <f t="shared" si="146"/>
        <v>0</v>
      </c>
      <c r="AE126" s="37">
        <f t="shared" si="146"/>
        <v>0</v>
      </c>
      <c r="AF126" s="37">
        <f t="shared" si="146"/>
        <v>160.18107534000004</v>
      </c>
      <c r="AG126" s="37">
        <f t="shared" si="146"/>
        <v>0</v>
      </c>
      <c r="AH126" s="37">
        <f t="shared" si="146"/>
        <v>0</v>
      </c>
      <c r="AI126" s="37">
        <f t="shared" si="146"/>
        <v>160.18107534000004</v>
      </c>
      <c r="AJ126" s="37">
        <f t="shared" si="146"/>
        <v>0</v>
      </c>
      <c r="AK126" s="37">
        <f t="shared" si="146"/>
        <v>0</v>
      </c>
      <c r="AL126" s="37">
        <f t="shared" si="146"/>
        <v>160.18107534000004</v>
      </c>
      <c r="AM126" s="37">
        <f t="shared" si="146"/>
        <v>0</v>
      </c>
      <c r="AN126" s="37">
        <f t="shared" si="146"/>
        <v>0</v>
      </c>
      <c r="AO126" s="37">
        <f t="shared" si="146"/>
        <v>160.18107534000004</v>
      </c>
      <c r="AP126" s="37">
        <f t="shared" si="146"/>
        <v>0</v>
      </c>
      <c r="AQ126" s="37">
        <f t="shared" si="146"/>
        <v>0</v>
      </c>
      <c r="AR126" s="37">
        <f t="shared" si="146"/>
        <v>160.18107534000004</v>
      </c>
      <c r="AS126" s="37">
        <f t="shared" si="146"/>
        <v>0</v>
      </c>
      <c r="AT126" s="37">
        <f t="shared" si="146"/>
        <v>0</v>
      </c>
      <c r="AU126" s="37">
        <f t="shared" si="146"/>
        <v>160.18107534000004</v>
      </c>
      <c r="AV126" s="37">
        <f t="shared" si="146"/>
        <v>0</v>
      </c>
      <c r="AW126" s="26"/>
      <c r="AX126" s="10"/>
    </row>
    <row r="127" spans="1:50" ht="13.5" hidden="1" customHeight="1" outlineLevel="1" thickTop="1">
      <c r="A127" s="296"/>
      <c r="B127" s="34"/>
      <c r="C127" s="35"/>
      <c r="D127" s="35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26"/>
      <c r="AX127" s="10"/>
    </row>
    <row r="128" spans="1:50" ht="12.75" hidden="1" customHeight="1" outlineLevel="1">
      <c r="A128" s="296"/>
      <c r="B128" s="13" t="s">
        <v>107</v>
      </c>
      <c r="C128" s="20"/>
      <c r="D128" s="20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6"/>
      <c r="AX128" s="10"/>
    </row>
    <row r="129" spans="1:50" ht="12.75" hidden="1" customHeight="1" outlineLevel="1">
      <c r="A129" s="296"/>
      <c r="B129" s="28" t="s">
        <v>103</v>
      </c>
      <c r="C129" s="20" t="s">
        <v>105</v>
      </c>
      <c r="D129" s="20"/>
      <c r="E129" s="24"/>
      <c r="F129" s="24"/>
      <c r="G129" s="24"/>
      <c r="H129" s="24"/>
      <c r="I129" s="24"/>
      <c r="J129" s="24"/>
      <c r="K129" s="24"/>
      <c r="L129" s="24">
        <f>IF(L126=0,0,(L122)/K80*10^3)</f>
        <v>229.99999999999997</v>
      </c>
      <c r="M129" s="24">
        <f t="shared" ref="M129:AV129" si="147">IF(M126=0,0,(M122)/M67*10^3)</f>
        <v>0</v>
      </c>
      <c r="N129" s="24">
        <f t="shared" si="147"/>
        <v>229.99999999999997</v>
      </c>
      <c r="O129" s="24">
        <f t="shared" si="147"/>
        <v>0</v>
      </c>
      <c r="P129" s="24">
        <f t="shared" si="147"/>
        <v>0</v>
      </c>
      <c r="Q129" s="24">
        <f t="shared" si="147"/>
        <v>229.99999999999997</v>
      </c>
      <c r="R129" s="24">
        <f t="shared" si="147"/>
        <v>0</v>
      </c>
      <c r="S129" s="24">
        <f t="shared" si="147"/>
        <v>0</v>
      </c>
      <c r="T129" s="24">
        <f t="shared" si="147"/>
        <v>229.99999999999997</v>
      </c>
      <c r="U129" s="24">
        <f t="shared" si="147"/>
        <v>0</v>
      </c>
      <c r="V129" s="24">
        <f t="shared" si="147"/>
        <v>0</v>
      </c>
      <c r="W129" s="24">
        <f t="shared" si="147"/>
        <v>229.99999999999997</v>
      </c>
      <c r="X129" s="24">
        <f t="shared" si="147"/>
        <v>0</v>
      </c>
      <c r="Y129" s="24">
        <f t="shared" si="147"/>
        <v>0</v>
      </c>
      <c r="Z129" s="24">
        <f t="shared" si="147"/>
        <v>229.99999999999997</v>
      </c>
      <c r="AA129" s="24">
        <f t="shared" si="147"/>
        <v>0</v>
      </c>
      <c r="AB129" s="24">
        <f t="shared" si="147"/>
        <v>0</v>
      </c>
      <c r="AC129" s="24">
        <f t="shared" si="147"/>
        <v>229.99999999999997</v>
      </c>
      <c r="AD129" s="24">
        <f t="shared" si="147"/>
        <v>0</v>
      </c>
      <c r="AE129" s="24">
        <f t="shared" si="147"/>
        <v>0</v>
      </c>
      <c r="AF129" s="24">
        <f t="shared" si="147"/>
        <v>229.99999999999997</v>
      </c>
      <c r="AG129" s="24">
        <f t="shared" si="147"/>
        <v>0</v>
      </c>
      <c r="AH129" s="24">
        <f t="shared" si="147"/>
        <v>0</v>
      </c>
      <c r="AI129" s="24">
        <f t="shared" si="147"/>
        <v>229.99999999999997</v>
      </c>
      <c r="AJ129" s="24">
        <f t="shared" si="147"/>
        <v>0</v>
      </c>
      <c r="AK129" s="24">
        <f t="shared" si="147"/>
        <v>0</v>
      </c>
      <c r="AL129" s="24">
        <f t="shared" si="147"/>
        <v>229.99999999999997</v>
      </c>
      <c r="AM129" s="24">
        <f t="shared" si="147"/>
        <v>0</v>
      </c>
      <c r="AN129" s="24">
        <f t="shared" si="147"/>
        <v>0</v>
      </c>
      <c r="AO129" s="24">
        <f t="shared" si="147"/>
        <v>229.99999999999997</v>
      </c>
      <c r="AP129" s="24">
        <f t="shared" si="147"/>
        <v>0</v>
      </c>
      <c r="AQ129" s="24">
        <f t="shared" si="147"/>
        <v>0</v>
      </c>
      <c r="AR129" s="24">
        <f t="shared" si="147"/>
        <v>229.99999999999997</v>
      </c>
      <c r="AS129" s="24">
        <f t="shared" si="147"/>
        <v>0</v>
      </c>
      <c r="AT129" s="24">
        <f t="shared" si="147"/>
        <v>0</v>
      </c>
      <c r="AU129" s="24">
        <f t="shared" si="147"/>
        <v>229.99999999999997</v>
      </c>
      <c r="AV129" s="24">
        <f t="shared" si="147"/>
        <v>0</v>
      </c>
      <c r="AW129" s="26"/>
      <c r="AX129" s="10"/>
    </row>
    <row r="130" spans="1:50" ht="12.75" hidden="1" customHeight="1" outlineLevel="1">
      <c r="A130" s="296"/>
      <c r="B130" s="13" t="s">
        <v>106</v>
      </c>
      <c r="C130" s="20"/>
      <c r="D130" s="20"/>
      <c r="E130" s="39"/>
      <c r="F130" s="39"/>
      <c r="G130" s="39"/>
      <c r="H130" s="39"/>
      <c r="I130" s="39"/>
      <c r="J130" s="39"/>
      <c r="K130" s="39"/>
      <c r="L130" s="39">
        <f>SUM(L129:L129)</f>
        <v>229.99999999999997</v>
      </c>
      <c r="M130" s="39">
        <f>SUM(M129:M129)</f>
        <v>0</v>
      </c>
      <c r="N130" s="39">
        <f>SUM(N129:N129)</f>
        <v>229.99999999999997</v>
      </c>
      <c r="O130" s="39">
        <f t="shared" ref="O130:AV130" si="148">SUM(O129:O129)</f>
        <v>0</v>
      </c>
      <c r="P130" s="39">
        <f t="shared" si="148"/>
        <v>0</v>
      </c>
      <c r="Q130" s="39">
        <f t="shared" si="148"/>
        <v>229.99999999999997</v>
      </c>
      <c r="R130" s="39">
        <f t="shared" si="148"/>
        <v>0</v>
      </c>
      <c r="S130" s="39">
        <f t="shared" si="148"/>
        <v>0</v>
      </c>
      <c r="T130" s="39">
        <f t="shared" si="148"/>
        <v>229.99999999999997</v>
      </c>
      <c r="U130" s="39">
        <f t="shared" si="148"/>
        <v>0</v>
      </c>
      <c r="V130" s="39">
        <f t="shared" si="148"/>
        <v>0</v>
      </c>
      <c r="W130" s="39">
        <f t="shared" si="148"/>
        <v>229.99999999999997</v>
      </c>
      <c r="X130" s="39">
        <f t="shared" si="148"/>
        <v>0</v>
      </c>
      <c r="Y130" s="39">
        <f t="shared" si="148"/>
        <v>0</v>
      </c>
      <c r="Z130" s="39">
        <f t="shared" si="148"/>
        <v>229.99999999999997</v>
      </c>
      <c r="AA130" s="39">
        <f t="shared" si="148"/>
        <v>0</v>
      </c>
      <c r="AB130" s="39">
        <f t="shared" si="148"/>
        <v>0</v>
      </c>
      <c r="AC130" s="39">
        <f t="shared" si="148"/>
        <v>229.99999999999997</v>
      </c>
      <c r="AD130" s="39">
        <f t="shared" si="148"/>
        <v>0</v>
      </c>
      <c r="AE130" s="39">
        <f t="shared" si="148"/>
        <v>0</v>
      </c>
      <c r="AF130" s="39">
        <f t="shared" si="148"/>
        <v>229.99999999999997</v>
      </c>
      <c r="AG130" s="39">
        <f t="shared" si="148"/>
        <v>0</v>
      </c>
      <c r="AH130" s="39">
        <f t="shared" si="148"/>
        <v>0</v>
      </c>
      <c r="AI130" s="39">
        <f t="shared" si="148"/>
        <v>229.99999999999997</v>
      </c>
      <c r="AJ130" s="39">
        <f t="shared" si="148"/>
        <v>0</v>
      </c>
      <c r="AK130" s="39">
        <f t="shared" si="148"/>
        <v>0</v>
      </c>
      <c r="AL130" s="39">
        <f t="shared" si="148"/>
        <v>229.99999999999997</v>
      </c>
      <c r="AM130" s="39">
        <f t="shared" si="148"/>
        <v>0</v>
      </c>
      <c r="AN130" s="39">
        <f t="shared" si="148"/>
        <v>0</v>
      </c>
      <c r="AO130" s="39">
        <f t="shared" si="148"/>
        <v>229.99999999999997</v>
      </c>
      <c r="AP130" s="39">
        <f t="shared" si="148"/>
        <v>0</v>
      </c>
      <c r="AQ130" s="39">
        <f t="shared" si="148"/>
        <v>0</v>
      </c>
      <c r="AR130" s="39">
        <f t="shared" si="148"/>
        <v>229.99999999999997</v>
      </c>
      <c r="AS130" s="39">
        <f t="shared" si="148"/>
        <v>0</v>
      </c>
      <c r="AT130" s="39">
        <f t="shared" si="148"/>
        <v>0</v>
      </c>
      <c r="AU130" s="39">
        <f t="shared" si="148"/>
        <v>229.99999999999997</v>
      </c>
      <c r="AV130" s="39">
        <f t="shared" si="148"/>
        <v>0</v>
      </c>
      <c r="AW130" s="26"/>
      <c r="AX130" s="10"/>
    </row>
    <row r="131" spans="1:50" ht="12.75" hidden="1" customHeight="1" outlineLevel="1">
      <c r="A131" s="296"/>
      <c r="B131" s="13" t="s">
        <v>111</v>
      </c>
      <c r="C131" s="20" t="s">
        <v>112</v>
      </c>
      <c r="D131" s="20"/>
      <c r="E131" s="160"/>
      <c r="F131" s="160"/>
      <c r="G131" s="160"/>
      <c r="H131" s="160"/>
      <c r="I131" s="160"/>
      <c r="J131" s="160"/>
      <c r="K131" s="160"/>
      <c r="L131" s="160">
        <f>IF(L126=0,0,(L122*10^3)/((K80+K90)*lbs_grams))</f>
        <v>0.42255301386855731</v>
      </c>
      <c r="M131" s="160">
        <f t="shared" ref="M131:AV131" si="149">IF(M126=0,0,(M122*10^3)/((M67+M67*M89)*lbs_grams))</f>
        <v>0</v>
      </c>
      <c r="N131" s="160">
        <f t="shared" si="149"/>
        <v>0.42255301386855731</v>
      </c>
      <c r="O131" s="160">
        <f t="shared" si="149"/>
        <v>0</v>
      </c>
      <c r="P131" s="160">
        <f t="shared" si="149"/>
        <v>0</v>
      </c>
      <c r="Q131" s="160">
        <f t="shared" si="149"/>
        <v>0.42255301386855731</v>
      </c>
      <c r="R131" s="160">
        <f t="shared" si="149"/>
        <v>0</v>
      </c>
      <c r="S131" s="160">
        <f t="shared" si="149"/>
        <v>0</v>
      </c>
      <c r="T131" s="160">
        <f t="shared" si="149"/>
        <v>0.42255301386855731</v>
      </c>
      <c r="U131" s="160">
        <f t="shared" si="149"/>
        <v>0</v>
      </c>
      <c r="V131" s="160">
        <f t="shared" si="149"/>
        <v>0</v>
      </c>
      <c r="W131" s="160">
        <f t="shared" si="149"/>
        <v>0.42255301386855731</v>
      </c>
      <c r="X131" s="160">
        <f t="shared" si="149"/>
        <v>0</v>
      </c>
      <c r="Y131" s="160">
        <f t="shared" si="149"/>
        <v>0</v>
      </c>
      <c r="Z131" s="160">
        <f t="shared" si="149"/>
        <v>0.42255301386855731</v>
      </c>
      <c r="AA131" s="160">
        <f t="shared" si="149"/>
        <v>0</v>
      </c>
      <c r="AB131" s="160">
        <f t="shared" si="149"/>
        <v>0</v>
      </c>
      <c r="AC131" s="160">
        <f t="shared" si="149"/>
        <v>0.42255301386855731</v>
      </c>
      <c r="AD131" s="160">
        <f t="shared" si="149"/>
        <v>0</v>
      </c>
      <c r="AE131" s="160">
        <f t="shared" si="149"/>
        <v>0</v>
      </c>
      <c r="AF131" s="160">
        <f t="shared" si="149"/>
        <v>0.42255301386855731</v>
      </c>
      <c r="AG131" s="160">
        <f t="shared" si="149"/>
        <v>0</v>
      </c>
      <c r="AH131" s="160">
        <f t="shared" si="149"/>
        <v>0</v>
      </c>
      <c r="AI131" s="160">
        <f t="shared" si="149"/>
        <v>0.42255301386855731</v>
      </c>
      <c r="AJ131" s="160">
        <f t="shared" si="149"/>
        <v>0</v>
      </c>
      <c r="AK131" s="160">
        <f t="shared" si="149"/>
        <v>0</v>
      </c>
      <c r="AL131" s="160">
        <f t="shared" si="149"/>
        <v>0.42255301386855731</v>
      </c>
      <c r="AM131" s="160">
        <f t="shared" si="149"/>
        <v>0</v>
      </c>
      <c r="AN131" s="160">
        <f t="shared" si="149"/>
        <v>0</v>
      </c>
      <c r="AO131" s="160">
        <f t="shared" si="149"/>
        <v>0.42255301386855731</v>
      </c>
      <c r="AP131" s="160">
        <f t="shared" si="149"/>
        <v>0</v>
      </c>
      <c r="AQ131" s="160">
        <f t="shared" si="149"/>
        <v>0</v>
      </c>
      <c r="AR131" s="160">
        <f t="shared" si="149"/>
        <v>0.42255301386855731</v>
      </c>
      <c r="AS131" s="160">
        <f t="shared" si="149"/>
        <v>0</v>
      </c>
      <c r="AT131" s="160">
        <f t="shared" si="149"/>
        <v>0</v>
      </c>
      <c r="AU131" s="160">
        <f t="shared" si="149"/>
        <v>0.42255301386855731</v>
      </c>
      <c r="AV131" s="160">
        <f t="shared" si="149"/>
        <v>0</v>
      </c>
      <c r="AW131" s="26"/>
      <c r="AX131" s="10"/>
    </row>
    <row r="132" spans="1:50" ht="12.75" hidden="1" customHeight="1" outlineLevel="1">
      <c r="A132" s="296"/>
      <c r="B132" s="13"/>
      <c r="C132" s="20"/>
      <c r="D132" s="20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  <c r="AA132" s="152"/>
      <c r="AB132" s="152"/>
      <c r="AC132" s="152"/>
      <c r="AD132" s="152"/>
      <c r="AE132" s="152"/>
      <c r="AF132" s="152"/>
      <c r="AG132" s="152"/>
      <c r="AH132" s="152"/>
      <c r="AI132" s="152"/>
      <c r="AJ132" s="152"/>
      <c r="AK132" s="152"/>
      <c r="AL132" s="152"/>
      <c r="AM132" s="152"/>
      <c r="AN132" s="152"/>
      <c r="AO132" s="152"/>
      <c r="AP132" s="152"/>
      <c r="AQ132" s="152"/>
      <c r="AR132" s="152"/>
      <c r="AS132" s="152"/>
      <c r="AT132" s="152"/>
      <c r="AU132" s="152"/>
      <c r="AV132" s="152"/>
      <c r="AW132" s="26"/>
      <c r="AX132" s="10"/>
    </row>
    <row r="133" spans="1:50" ht="12.75" hidden="1" customHeight="1" outlineLevel="1">
      <c r="A133" s="296"/>
      <c r="B133" s="28" t="s">
        <v>116</v>
      </c>
      <c r="C133" s="20"/>
      <c r="D133" s="23"/>
      <c r="E133" s="24">
        <f t="shared" ref="E133:AV133" si="150">IF(E123=0,0,(E123)/E80*10^3)</f>
        <v>0</v>
      </c>
      <c r="F133" s="24">
        <f t="shared" si="150"/>
        <v>0</v>
      </c>
      <c r="G133" s="24">
        <f t="shared" si="150"/>
        <v>0</v>
      </c>
      <c r="H133" s="24">
        <f t="shared" si="150"/>
        <v>0</v>
      </c>
      <c r="I133" s="24">
        <f t="shared" si="150"/>
        <v>0</v>
      </c>
      <c r="J133" s="24">
        <f t="shared" si="150"/>
        <v>0</v>
      </c>
      <c r="K133" s="24">
        <f t="shared" si="150"/>
        <v>0</v>
      </c>
      <c r="L133" s="24">
        <f t="shared" si="150"/>
        <v>0</v>
      </c>
      <c r="M133" s="24">
        <f t="shared" si="150"/>
        <v>0</v>
      </c>
      <c r="N133" s="24">
        <f t="shared" si="150"/>
        <v>0</v>
      </c>
      <c r="O133" s="24">
        <f t="shared" si="150"/>
        <v>0</v>
      </c>
      <c r="P133" s="24">
        <f t="shared" si="150"/>
        <v>0</v>
      </c>
      <c r="Q133" s="24">
        <f t="shared" si="150"/>
        <v>0</v>
      </c>
      <c r="R133" s="24">
        <f t="shared" si="150"/>
        <v>0</v>
      </c>
      <c r="S133" s="24">
        <f t="shared" si="150"/>
        <v>0</v>
      </c>
      <c r="T133" s="24">
        <f t="shared" si="150"/>
        <v>0</v>
      </c>
      <c r="U133" s="24">
        <f t="shared" si="150"/>
        <v>0</v>
      </c>
      <c r="V133" s="24">
        <f t="shared" si="150"/>
        <v>0</v>
      </c>
      <c r="W133" s="24">
        <f t="shared" si="150"/>
        <v>0</v>
      </c>
      <c r="X133" s="24">
        <f t="shared" si="150"/>
        <v>0</v>
      </c>
      <c r="Y133" s="24">
        <f t="shared" si="150"/>
        <v>0</v>
      </c>
      <c r="Z133" s="24">
        <f t="shared" si="150"/>
        <v>0</v>
      </c>
      <c r="AA133" s="24">
        <f t="shared" si="150"/>
        <v>0</v>
      </c>
      <c r="AB133" s="24">
        <f t="shared" si="150"/>
        <v>0</v>
      </c>
      <c r="AC133" s="24">
        <f t="shared" si="150"/>
        <v>0</v>
      </c>
      <c r="AD133" s="24">
        <f t="shared" si="150"/>
        <v>0</v>
      </c>
      <c r="AE133" s="24">
        <f t="shared" si="150"/>
        <v>0</v>
      </c>
      <c r="AF133" s="24">
        <f t="shared" si="150"/>
        <v>0</v>
      </c>
      <c r="AG133" s="24">
        <f t="shared" si="150"/>
        <v>0</v>
      </c>
      <c r="AH133" s="24">
        <f t="shared" si="150"/>
        <v>0</v>
      </c>
      <c r="AI133" s="24">
        <f t="shared" si="150"/>
        <v>0</v>
      </c>
      <c r="AJ133" s="24">
        <f t="shared" si="150"/>
        <v>0</v>
      </c>
      <c r="AK133" s="24">
        <f t="shared" si="150"/>
        <v>0</v>
      </c>
      <c r="AL133" s="24">
        <f t="shared" si="150"/>
        <v>0</v>
      </c>
      <c r="AM133" s="24">
        <f t="shared" si="150"/>
        <v>0</v>
      </c>
      <c r="AN133" s="24">
        <f t="shared" si="150"/>
        <v>0</v>
      </c>
      <c r="AO133" s="24">
        <f t="shared" si="150"/>
        <v>0</v>
      </c>
      <c r="AP133" s="24">
        <f t="shared" si="150"/>
        <v>0</v>
      </c>
      <c r="AQ133" s="24">
        <f t="shared" si="150"/>
        <v>0</v>
      </c>
      <c r="AR133" s="24">
        <f t="shared" si="150"/>
        <v>0</v>
      </c>
      <c r="AS133" s="24">
        <f t="shared" si="150"/>
        <v>0</v>
      </c>
      <c r="AT133" s="24">
        <f t="shared" si="150"/>
        <v>0</v>
      </c>
      <c r="AU133" s="24">
        <f t="shared" si="150"/>
        <v>0</v>
      </c>
      <c r="AV133" s="24">
        <f t="shared" si="150"/>
        <v>0</v>
      </c>
      <c r="AW133" s="26"/>
      <c r="AX133" s="10"/>
    </row>
    <row r="134" spans="1:50" ht="12.75" hidden="1" customHeight="1" outlineLevel="1">
      <c r="A134" s="296"/>
      <c r="B134" s="13" t="s">
        <v>119</v>
      </c>
      <c r="C134" s="20" t="s">
        <v>112</v>
      </c>
      <c r="D134" s="23"/>
      <c r="E134" s="160">
        <f t="shared" ref="E134:K134" si="151">IF(E124=0,0,(E124)/((E80+E90)*lbs_grams)*10^3)</f>
        <v>0</v>
      </c>
      <c r="F134" s="160">
        <f t="shared" si="151"/>
        <v>0</v>
      </c>
      <c r="G134" s="160">
        <f t="shared" si="151"/>
        <v>0</v>
      </c>
      <c r="H134" s="160">
        <f t="shared" si="151"/>
        <v>0</v>
      </c>
      <c r="I134" s="160">
        <f t="shared" si="151"/>
        <v>0</v>
      </c>
      <c r="J134" s="160">
        <f t="shared" si="151"/>
        <v>0</v>
      </c>
      <c r="K134" s="160">
        <f t="shared" si="151"/>
        <v>0</v>
      </c>
      <c r="L134" s="160">
        <f>IF(L124=0,0,(L124)/((K80+K90)*lbs_grams)*10^3)</f>
        <v>0.42255301386855731</v>
      </c>
      <c r="M134" s="160">
        <f t="shared" ref="M134:AV134" si="152">IF(M126=0,0,(M122*10^3)/((M67+M67*M89)*lbs_grams))</f>
        <v>0</v>
      </c>
      <c r="N134" s="160">
        <f t="shared" si="152"/>
        <v>0.42255301386855731</v>
      </c>
      <c r="O134" s="160">
        <f t="shared" si="152"/>
        <v>0</v>
      </c>
      <c r="P134" s="160">
        <f t="shared" si="152"/>
        <v>0</v>
      </c>
      <c r="Q134" s="160">
        <f t="shared" si="152"/>
        <v>0.42255301386855731</v>
      </c>
      <c r="R134" s="160">
        <f t="shared" si="152"/>
        <v>0</v>
      </c>
      <c r="S134" s="160">
        <f t="shared" si="152"/>
        <v>0</v>
      </c>
      <c r="T134" s="160">
        <f t="shared" si="152"/>
        <v>0.42255301386855731</v>
      </c>
      <c r="U134" s="160">
        <f t="shared" si="152"/>
        <v>0</v>
      </c>
      <c r="V134" s="160">
        <f t="shared" si="152"/>
        <v>0</v>
      </c>
      <c r="W134" s="160">
        <f t="shared" si="152"/>
        <v>0.42255301386855731</v>
      </c>
      <c r="X134" s="160">
        <f t="shared" si="152"/>
        <v>0</v>
      </c>
      <c r="Y134" s="160">
        <f t="shared" si="152"/>
        <v>0</v>
      </c>
      <c r="Z134" s="160">
        <f t="shared" si="152"/>
        <v>0.42255301386855731</v>
      </c>
      <c r="AA134" s="160">
        <f t="shared" si="152"/>
        <v>0</v>
      </c>
      <c r="AB134" s="160">
        <f t="shared" si="152"/>
        <v>0</v>
      </c>
      <c r="AC134" s="160">
        <f t="shared" si="152"/>
        <v>0.42255301386855731</v>
      </c>
      <c r="AD134" s="160">
        <f t="shared" si="152"/>
        <v>0</v>
      </c>
      <c r="AE134" s="160">
        <f t="shared" si="152"/>
        <v>0</v>
      </c>
      <c r="AF134" s="160">
        <f t="shared" si="152"/>
        <v>0.42255301386855731</v>
      </c>
      <c r="AG134" s="160">
        <f t="shared" si="152"/>
        <v>0</v>
      </c>
      <c r="AH134" s="160">
        <f t="shared" si="152"/>
        <v>0</v>
      </c>
      <c r="AI134" s="160">
        <f t="shared" si="152"/>
        <v>0.42255301386855731</v>
      </c>
      <c r="AJ134" s="160">
        <f t="shared" si="152"/>
        <v>0</v>
      </c>
      <c r="AK134" s="160">
        <f t="shared" si="152"/>
        <v>0</v>
      </c>
      <c r="AL134" s="160">
        <f t="shared" si="152"/>
        <v>0.42255301386855731</v>
      </c>
      <c r="AM134" s="160">
        <f t="shared" si="152"/>
        <v>0</v>
      </c>
      <c r="AN134" s="160">
        <f t="shared" si="152"/>
        <v>0</v>
      </c>
      <c r="AO134" s="160">
        <f t="shared" si="152"/>
        <v>0.42255301386855731</v>
      </c>
      <c r="AP134" s="160">
        <f t="shared" si="152"/>
        <v>0</v>
      </c>
      <c r="AQ134" s="160">
        <f t="shared" si="152"/>
        <v>0</v>
      </c>
      <c r="AR134" s="160">
        <f t="shared" si="152"/>
        <v>0.42255301386855731</v>
      </c>
      <c r="AS134" s="160">
        <f t="shared" si="152"/>
        <v>0</v>
      </c>
      <c r="AT134" s="160">
        <f t="shared" si="152"/>
        <v>0</v>
      </c>
      <c r="AU134" s="160">
        <f t="shared" si="152"/>
        <v>0.42255301386855731</v>
      </c>
      <c r="AV134" s="160">
        <f t="shared" si="152"/>
        <v>0</v>
      </c>
      <c r="AW134" s="26"/>
      <c r="AX134" s="10"/>
    </row>
    <row r="135" spans="1:50" ht="12.75" hidden="1" customHeight="1" outlineLevel="1">
      <c r="A135" s="296"/>
      <c r="B135" s="13"/>
      <c r="C135" s="20"/>
      <c r="D135" s="23"/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  <c r="AA135" s="152"/>
      <c r="AB135" s="152"/>
      <c r="AC135" s="152"/>
      <c r="AD135" s="152"/>
      <c r="AE135" s="152"/>
      <c r="AF135" s="152"/>
      <c r="AG135" s="152"/>
      <c r="AH135" s="152"/>
      <c r="AI135" s="152"/>
      <c r="AJ135" s="152"/>
      <c r="AK135" s="152"/>
      <c r="AL135" s="152"/>
      <c r="AM135" s="152"/>
      <c r="AN135" s="152"/>
      <c r="AO135" s="152"/>
      <c r="AP135" s="152"/>
      <c r="AQ135" s="152"/>
      <c r="AR135" s="152"/>
      <c r="AS135" s="152"/>
      <c r="AT135" s="152"/>
      <c r="AU135" s="152"/>
      <c r="AV135" s="152"/>
      <c r="AW135" s="26"/>
      <c r="AX135" s="10"/>
    </row>
    <row r="136" spans="1:50" ht="12.75" hidden="1" customHeight="1" outlineLevel="1">
      <c r="A136" s="296"/>
      <c r="B136" s="13"/>
      <c r="C136" s="20"/>
      <c r="D136" s="23"/>
      <c r="E136" s="211"/>
      <c r="F136" s="211"/>
      <c r="G136" s="211"/>
      <c r="H136" s="211"/>
      <c r="I136" s="211"/>
      <c r="J136" s="211"/>
      <c r="K136" s="211"/>
      <c r="L136" s="211"/>
      <c r="M136" s="211"/>
      <c r="N136" s="211"/>
      <c r="O136" s="211"/>
      <c r="P136" s="211"/>
      <c r="Q136" s="211"/>
      <c r="R136" s="211"/>
      <c r="S136" s="211"/>
      <c r="T136" s="211"/>
      <c r="U136" s="211"/>
      <c r="V136" s="211"/>
      <c r="W136" s="211"/>
      <c r="X136" s="211"/>
      <c r="Y136" s="211"/>
      <c r="Z136" s="211"/>
      <c r="AA136" s="211"/>
      <c r="AB136" s="211"/>
      <c r="AC136" s="211"/>
      <c r="AD136" s="211"/>
      <c r="AE136" s="211"/>
      <c r="AF136" s="211"/>
      <c r="AG136" s="211"/>
      <c r="AH136" s="211"/>
      <c r="AI136" s="211"/>
      <c r="AJ136" s="211"/>
      <c r="AK136" s="211"/>
      <c r="AL136" s="211"/>
      <c r="AM136" s="211"/>
      <c r="AN136" s="211"/>
      <c r="AO136" s="211"/>
      <c r="AP136" s="211"/>
      <c r="AQ136" s="211"/>
      <c r="AR136" s="211"/>
      <c r="AS136" s="211"/>
      <c r="AT136" s="211"/>
      <c r="AU136" s="211"/>
      <c r="AV136" s="211"/>
      <c r="AW136" s="26"/>
      <c r="AX136" s="10"/>
    </row>
    <row r="137" spans="1:50" ht="12.75" hidden="1" customHeight="1" outlineLevel="1">
      <c r="A137" s="296"/>
      <c r="B137" s="13" t="s">
        <v>153</v>
      </c>
      <c r="C137" s="20" t="s">
        <v>112</v>
      </c>
      <c r="D137" s="23"/>
      <c r="E137" s="160"/>
      <c r="F137" s="160">
        <f t="shared" ref="F137:M137" si="153">IF(E258&lt;=0,0,(E124)/((E258+E260)*lbs_grams)*10^3)</f>
        <v>0</v>
      </c>
      <c r="G137" s="160">
        <f t="shared" si="153"/>
        <v>0</v>
      </c>
      <c r="H137" s="160">
        <f t="shared" si="153"/>
        <v>0</v>
      </c>
      <c r="I137" s="303">
        <f t="shared" si="153"/>
        <v>0</v>
      </c>
      <c r="J137" s="303">
        <f t="shared" si="153"/>
        <v>0</v>
      </c>
      <c r="K137" s="303">
        <f t="shared" si="153"/>
        <v>0</v>
      </c>
      <c r="L137" s="303">
        <f t="shared" si="153"/>
        <v>0</v>
      </c>
      <c r="M137" s="303">
        <f t="shared" si="153"/>
        <v>0</v>
      </c>
      <c r="N137" s="303">
        <f>IF(M258&lt;=0,0,(N124)/((M258+M260)*lbs_grams)*10^3)</f>
        <v>0</v>
      </c>
      <c r="O137" s="303">
        <f>IF(N258&lt;=0,0,(O124)/((N258+N260)*lbs_grams)*10^3)</f>
        <v>0</v>
      </c>
      <c r="P137" s="303">
        <f>IF(O258&lt;=0,0,(P124)/((O258+O260)*lbs_grams)*10^3)</f>
        <v>0</v>
      </c>
      <c r="Q137" s="303">
        <f t="shared" ref="Q137:AV137" si="154">IF(P258&lt;=0,0,(P124)/((P258+P260)*lbs_grams)*10^3)</f>
        <v>0</v>
      </c>
      <c r="R137" s="303">
        <f t="shared" si="154"/>
        <v>0</v>
      </c>
      <c r="S137" s="303">
        <f t="shared" si="154"/>
        <v>0</v>
      </c>
      <c r="T137" s="303">
        <f t="shared" si="154"/>
        <v>0</v>
      </c>
      <c r="U137" s="303">
        <f t="shared" si="154"/>
        <v>0</v>
      </c>
      <c r="V137" s="303">
        <f t="shared" si="154"/>
        <v>0</v>
      </c>
      <c r="W137" s="303">
        <f t="shared" si="154"/>
        <v>0</v>
      </c>
      <c r="X137" s="303">
        <f t="shared" si="154"/>
        <v>0</v>
      </c>
      <c r="Y137" s="303">
        <f t="shared" si="154"/>
        <v>0</v>
      </c>
      <c r="Z137" s="303">
        <f t="shared" si="154"/>
        <v>0</v>
      </c>
      <c r="AA137" s="303">
        <f t="shared" si="154"/>
        <v>0</v>
      </c>
      <c r="AB137" s="303">
        <f t="shared" si="154"/>
        <v>0</v>
      </c>
      <c r="AC137" s="303">
        <f t="shared" si="154"/>
        <v>0</v>
      </c>
      <c r="AD137" s="303">
        <f t="shared" si="154"/>
        <v>0</v>
      </c>
      <c r="AE137" s="303">
        <f t="shared" si="154"/>
        <v>0</v>
      </c>
      <c r="AF137" s="303">
        <f t="shared" si="154"/>
        <v>0</v>
      </c>
      <c r="AG137" s="303">
        <f t="shared" si="154"/>
        <v>0</v>
      </c>
      <c r="AH137" s="303">
        <f t="shared" si="154"/>
        <v>0</v>
      </c>
      <c r="AI137" s="303">
        <f t="shared" si="154"/>
        <v>0</v>
      </c>
      <c r="AJ137" s="303">
        <f t="shared" si="154"/>
        <v>0</v>
      </c>
      <c r="AK137" s="303">
        <f t="shared" si="154"/>
        <v>0</v>
      </c>
      <c r="AL137" s="303">
        <f t="shared" si="154"/>
        <v>0</v>
      </c>
      <c r="AM137" s="303">
        <f t="shared" si="154"/>
        <v>0</v>
      </c>
      <c r="AN137" s="303">
        <f t="shared" si="154"/>
        <v>0</v>
      </c>
      <c r="AO137" s="303">
        <f t="shared" si="154"/>
        <v>0</v>
      </c>
      <c r="AP137" s="303">
        <f t="shared" si="154"/>
        <v>0</v>
      </c>
      <c r="AQ137" s="303">
        <f t="shared" si="154"/>
        <v>0</v>
      </c>
      <c r="AR137" s="303">
        <f t="shared" si="154"/>
        <v>0</v>
      </c>
      <c r="AS137" s="303">
        <f t="shared" si="154"/>
        <v>0</v>
      </c>
      <c r="AT137" s="303">
        <f t="shared" si="154"/>
        <v>0</v>
      </c>
      <c r="AU137" s="303">
        <f t="shared" si="154"/>
        <v>0</v>
      </c>
      <c r="AV137" s="303">
        <f t="shared" si="154"/>
        <v>0</v>
      </c>
      <c r="AW137" s="26"/>
      <c r="AX137" s="10"/>
    </row>
    <row r="138" spans="1:50" ht="12.75" hidden="1" customHeight="1" outlineLevel="1">
      <c r="A138" s="296"/>
      <c r="B138" s="13"/>
      <c r="C138" s="20"/>
      <c r="D138" s="23"/>
      <c r="E138" s="152"/>
      <c r="F138" s="152"/>
      <c r="G138" s="152"/>
      <c r="H138" s="152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6"/>
      <c r="AX138" s="10"/>
    </row>
    <row r="139" spans="1:50" ht="12.75" hidden="1" customHeight="1" outlineLevel="1">
      <c r="A139" s="296"/>
      <c r="B139" s="13" t="s">
        <v>214</v>
      </c>
      <c r="C139" s="23"/>
      <c r="D139" s="23"/>
      <c r="E139" s="24"/>
      <c r="F139" s="24"/>
      <c r="G139" s="24"/>
      <c r="H139" s="24"/>
      <c r="I139" s="25"/>
      <c r="J139" s="24"/>
      <c r="K139" s="24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26"/>
      <c r="AX139" s="27"/>
    </row>
    <row r="140" spans="1:50" ht="12.75" hidden="1" customHeight="1" outlineLevel="1">
      <c r="A140" s="296"/>
      <c r="B140" s="246" t="s">
        <v>210</v>
      </c>
      <c r="C140" s="23" t="s">
        <v>105</v>
      </c>
      <c r="D140" s="23"/>
      <c r="E140" s="12"/>
      <c r="F140" s="12"/>
      <c r="G140" s="12"/>
      <c r="H140" s="12"/>
      <c r="I140" s="12"/>
      <c r="J140" s="12"/>
      <c r="K140" s="225">
        <v>75</v>
      </c>
      <c r="L140" s="12">
        <f t="shared" ref="L140:AA140" si="155">K140</f>
        <v>75</v>
      </c>
      <c r="M140" s="12">
        <f>L140</f>
        <v>75</v>
      </c>
      <c r="N140" s="12">
        <f>M140</f>
        <v>75</v>
      </c>
      <c r="O140" s="12">
        <f t="shared" si="155"/>
        <v>75</v>
      </c>
      <c r="P140" s="12">
        <f t="shared" si="155"/>
        <v>75</v>
      </c>
      <c r="Q140" s="12">
        <f t="shared" si="155"/>
        <v>75</v>
      </c>
      <c r="R140" s="12">
        <f t="shared" si="155"/>
        <v>75</v>
      </c>
      <c r="S140" s="12">
        <f t="shared" si="155"/>
        <v>75</v>
      </c>
      <c r="T140" s="12">
        <f t="shared" si="155"/>
        <v>75</v>
      </c>
      <c r="U140" s="12">
        <f t="shared" si="155"/>
        <v>75</v>
      </c>
      <c r="V140" s="12">
        <f t="shared" si="155"/>
        <v>75</v>
      </c>
      <c r="W140" s="12">
        <f t="shared" si="155"/>
        <v>75</v>
      </c>
      <c r="X140" s="12">
        <f t="shared" si="155"/>
        <v>75</v>
      </c>
      <c r="Y140" s="12">
        <f t="shared" si="155"/>
        <v>75</v>
      </c>
      <c r="Z140" s="12">
        <f t="shared" si="155"/>
        <v>75</v>
      </c>
      <c r="AA140" s="12">
        <f t="shared" si="155"/>
        <v>75</v>
      </c>
      <c r="AB140" s="12">
        <f t="shared" ref="N140:AV143" si="156">AA140</f>
        <v>75</v>
      </c>
      <c r="AC140" s="12">
        <f t="shared" si="156"/>
        <v>75</v>
      </c>
      <c r="AD140" s="12">
        <f t="shared" si="156"/>
        <v>75</v>
      </c>
      <c r="AE140" s="12">
        <f t="shared" si="156"/>
        <v>75</v>
      </c>
      <c r="AF140" s="12">
        <f t="shared" si="156"/>
        <v>75</v>
      </c>
      <c r="AG140" s="12">
        <f t="shared" si="156"/>
        <v>75</v>
      </c>
      <c r="AH140" s="12">
        <f t="shared" si="156"/>
        <v>75</v>
      </c>
      <c r="AI140" s="12">
        <f t="shared" si="156"/>
        <v>75</v>
      </c>
      <c r="AJ140" s="12">
        <f t="shared" si="156"/>
        <v>75</v>
      </c>
      <c r="AK140" s="12">
        <f t="shared" si="156"/>
        <v>75</v>
      </c>
      <c r="AL140" s="12">
        <f t="shared" si="156"/>
        <v>75</v>
      </c>
      <c r="AM140" s="12">
        <f t="shared" si="156"/>
        <v>75</v>
      </c>
      <c r="AN140" s="12">
        <f t="shared" si="156"/>
        <v>75</v>
      </c>
      <c r="AO140" s="12">
        <f t="shared" si="156"/>
        <v>75</v>
      </c>
      <c r="AP140" s="12">
        <f t="shared" si="156"/>
        <v>75</v>
      </c>
      <c r="AQ140" s="12">
        <f t="shared" si="156"/>
        <v>75</v>
      </c>
      <c r="AR140" s="12">
        <f t="shared" si="156"/>
        <v>75</v>
      </c>
      <c r="AS140" s="12">
        <f t="shared" si="156"/>
        <v>75</v>
      </c>
      <c r="AT140" s="12">
        <f t="shared" si="156"/>
        <v>75</v>
      </c>
      <c r="AU140" s="12">
        <f t="shared" si="156"/>
        <v>75</v>
      </c>
      <c r="AV140" s="12">
        <f t="shared" si="156"/>
        <v>75</v>
      </c>
      <c r="AW140" s="31"/>
      <c r="AX140" s="27"/>
    </row>
    <row r="141" spans="1:50" ht="12.75" hidden="1" customHeight="1" outlineLevel="1">
      <c r="A141" s="296"/>
      <c r="B141" s="246" t="s">
        <v>211</v>
      </c>
      <c r="C141" s="23" t="s">
        <v>105</v>
      </c>
      <c r="D141" s="23"/>
      <c r="E141" s="12"/>
      <c r="F141" s="12"/>
      <c r="G141" s="12"/>
      <c r="H141" s="12"/>
      <c r="I141" s="12"/>
      <c r="J141" s="12"/>
      <c r="K141" s="225">
        <v>15</v>
      </c>
      <c r="L141" s="12">
        <f t="shared" ref="L141:M143" si="157">K141</f>
        <v>15</v>
      </c>
      <c r="M141" s="12">
        <f t="shared" si="157"/>
        <v>15</v>
      </c>
      <c r="N141" s="12">
        <f t="shared" si="156"/>
        <v>15</v>
      </c>
      <c r="O141" s="12">
        <f t="shared" si="156"/>
        <v>15</v>
      </c>
      <c r="P141" s="12">
        <f t="shared" si="156"/>
        <v>15</v>
      </c>
      <c r="Q141" s="12">
        <f t="shared" si="156"/>
        <v>15</v>
      </c>
      <c r="R141" s="12">
        <f t="shared" si="156"/>
        <v>15</v>
      </c>
      <c r="S141" s="12">
        <f t="shared" si="156"/>
        <v>15</v>
      </c>
      <c r="T141" s="12">
        <f t="shared" si="156"/>
        <v>15</v>
      </c>
      <c r="U141" s="12">
        <f t="shared" si="156"/>
        <v>15</v>
      </c>
      <c r="V141" s="12">
        <f t="shared" si="156"/>
        <v>15</v>
      </c>
      <c r="W141" s="12">
        <f t="shared" si="156"/>
        <v>15</v>
      </c>
      <c r="X141" s="12">
        <f t="shared" si="156"/>
        <v>15</v>
      </c>
      <c r="Y141" s="12">
        <f t="shared" si="156"/>
        <v>15</v>
      </c>
      <c r="Z141" s="12">
        <f t="shared" si="156"/>
        <v>15</v>
      </c>
      <c r="AA141" s="12">
        <f t="shared" si="156"/>
        <v>15</v>
      </c>
      <c r="AB141" s="12">
        <f t="shared" si="156"/>
        <v>15</v>
      </c>
      <c r="AC141" s="12">
        <f t="shared" si="156"/>
        <v>15</v>
      </c>
      <c r="AD141" s="12">
        <f t="shared" si="156"/>
        <v>15</v>
      </c>
      <c r="AE141" s="12">
        <f t="shared" si="156"/>
        <v>15</v>
      </c>
      <c r="AF141" s="12">
        <f t="shared" si="156"/>
        <v>15</v>
      </c>
      <c r="AG141" s="12">
        <f t="shared" si="156"/>
        <v>15</v>
      </c>
      <c r="AH141" s="12">
        <f t="shared" si="156"/>
        <v>15</v>
      </c>
      <c r="AI141" s="12">
        <f t="shared" si="156"/>
        <v>15</v>
      </c>
      <c r="AJ141" s="12">
        <f t="shared" si="156"/>
        <v>15</v>
      </c>
      <c r="AK141" s="12">
        <f t="shared" si="156"/>
        <v>15</v>
      </c>
      <c r="AL141" s="12">
        <f t="shared" si="156"/>
        <v>15</v>
      </c>
      <c r="AM141" s="12">
        <f t="shared" si="156"/>
        <v>15</v>
      </c>
      <c r="AN141" s="12">
        <f t="shared" si="156"/>
        <v>15</v>
      </c>
      <c r="AO141" s="12">
        <f t="shared" si="156"/>
        <v>15</v>
      </c>
      <c r="AP141" s="12">
        <f t="shared" si="156"/>
        <v>15</v>
      </c>
      <c r="AQ141" s="12">
        <f t="shared" si="156"/>
        <v>15</v>
      </c>
      <c r="AR141" s="12">
        <f t="shared" si="156"/>
        <v>15</v>
      </c>
      <c r="AS141" s="12">
        <f t="shared" si="156"/>
        <v>15</v>
      </c>
      <c r="AT141" s="12">
        <f t="shared" si="156"/>
        <v>15</v>
      </c>
      <c r="AU141" s="12">
        <f t="shared" si="156"/>
        <v>15</v>
      </c>
      <c r="AV141" s="12">
        <f t="shared" si="156"/>
        <v>15</v>
      </c>
      <c r="AW141" s="31"/>
      <c r="AX141" s="27"/>
    </row>
    <row r="142" spans="1:50" ht="12.75" hidden="1" customHeight="1" outlineLevel="1">
      <c r="A142" s="296"/>
      <c r="B142" s="246" t="s">
        <v>212</v>
      </c>
      <c r="C142" s="23" t="s">
        <v>105</v>
      </c>
      <c r="D142" s="23"/>
      <c r="E142" s="12"/>
      <c r="F142" s="12"/>
      <c r="G142" s="12"/>
      <c r="H142" s="12"/>
      <c r="I142" s="12"/>
      <c r="J142" s="12"/>
      <c r="K142" s="225">
        <v>10</v>
      </c>
      <c r="L142" s="12">
        <f t="shared" si="157"/>
        <v>10</v>
      </c>
      <c r="M142" s="12">
        <f t="shared" si="157"/>
        <v>10</v>
      </c>
      <c r="N142" s="12">
        <f t="shared" si="156"/>
        <v>10</v>
      </c>
      <c r="O142" s="12">
        <f t="shared" si="156"/>
        <v>10</v>
      </c>
      <c r="P142" s="12">
        <f t="shared" si="156"/>
        <v>10</v>
      </c>
      <c r="Q142" s="12">
        <f t="shared" si="156"/>
        <v>10</v>
      </c>
      <c r="R142" s="12">
        <f t="shared" si="156"/>
        <v>10</v>
      </c>
      <c r="S142" s="12">
        <f t="shared" si="156"/>
        <v>10</v>
      </c>
      <c r="T142" s="12">
        <f t="shared" si="156"/>
        <v>10</v>
      </c>
      <c r="U142" s="12">
        <f t="shared" si="156"/>
        <v>10</v>
      </c>
      <c r="V142" s="12">
        <f t="shared" si="156"/>
        <v>10</v>
      </c>
      <c r="W142" s="12">
        <f t="shared" si="156"/>
        <v>10</v>
      </c>
      <c r="X142" s="12">
        <f t="shared" si="156"/>
        <v>10</v>
      </c>
      <c r="Y142" s="12">
        <f t="shared" si="156"/>
        <v>10</v>
      </c>
      <c r="Z142" s="12">
        <f t="shared" si="156"/>
        <v>10</v>
      </c>
      <c r="AA142" s="12">
        <f t="shared" si="156"/>
        <v>10</v>
      </c>
      <c r="AB142" s="12">
        <f t="shared" si="156"/>
        <v>10</v>
      </c>
      <c r="AC142" s="12">
        <f t="shared" si="156"/>
        <v>10</v>
      </c>
      <c r="AD142" s="12">
        <f t="shared" si="156"/>
        <v>10</v>
      </c>
      <c r="AE142" s="12">
        <f t="shared" si="156"/>
        <v>10</v>
      </c>
      <c r="AF142" s="12">
        <f t="shared" si="156"/>
        <v>10</v>
      </c>
      <c r="AG142" s="12">
        <f t="shared" si="156"/>
        <v>10</v>
      </c>
      <c r="AH142" s="12">
        <f t="shared" si="156"/>
        <v>10</v>
      </c>
      <c r="AI142" s="12">
        <f t="shared" si="156"/>
        <v>10</v>
      </c>
      <c r="AJ142" s="12">
        <f t="shared" si="156"/>
        <v>10</v>
      </c>
      <c r="AK142" s="12">
        <f t="shared" si="156"/>
        <v>10</v>
      </c>
      <c r="AL142" s="12">
        <f t="shared" si="156"/>
        <v>10</v>
      </c>
      <c r="AM142" s="12">
        <f t="shared" si="156"/>
        <v>10</v>
      </c>
      <c r="AN142" s="12">
        <f t="shared" si="156"/>
        <v>10</v>
      </c>
      <c r="AO142" s="12">
        <f t="shared" si="156"/>
        <v>10</v>
      </c>
      <c r="AP142" s="12">
        <f t="shared" si="156"/>
        <v>10</v>
      </c>
      <c r="AQ142" s="12">
        <f t="shared" si="156"/>
        <v>10</v>
      </c>
      <c r="AR142" s="12">
        <f t="shared" si="156"/>
        <v>10</v>
      </c>
      <c r="AS142" s="12">
        <f t="shared" si="156"/>
        <v>10</v>
      </c>
      <c r="AT142" s="12">
        <f t="shared" si="156"/>
        <v>10</v>
      </c>
      <c r="AU142" s="12">
        <f t="shared" si="156"/>
        <v>10</v>
      </c>
      <c r="AV142" s="12">
        <f t="shared" si="156"/>
        <v>10</v>
      </c>
      <c r="AW142" s="31"/>
      <c r="AX142" s="27"/>
    </row>
    <row r="143" spans="1:50" ht="12.75" hidden="1" customHeight="1" outlineLevel="1">
      <c r="A143" s="296"/>
      <c r="B143" s="246" t="s">
        <v>213</v>
      </c>
      <c r="C143" s="23" t="s">
        <v>105</v>
      </c>
      <c r="D143" s="23"/>
      <c r="E143" s="12"/>
      <c r="F143" s="12"/>
      <c r="G143" s="12"/>
      <c r="H143" s="12"/>
      <c r="I143" s="12"/>
      <c r="J143" s="12"/>
      <c r="K143" s="225">
        <v>5</v>
      </c>
      <c r="L143" s="12">
        <f t="shared" si="157"/>
        <v>5</v>
      </c>
      <c r="M143" s="12">
        <f t="shared" si="157"/>
        <v>5</v>
      </c>
      <c r="N143" s="12">
        <f t="shared" si="156"/>
        <v>5</v>
      </c>
      <c r="O143" s="12">
        <f t="shared" si="156"/>
        <v>5</v>
      </c>
      <c r="P143" s="12">
        <f t="shared" si="156"/>
        <v>5</v>
      </c>
      <c r="Q143" s="12">
        <f t="shared" si="156"/>
        <v>5</v>
      </c>
      <c r="R143" s="12">
        <f t="shared" si="156"/>
        <v>5</v>
      </c>
      <c r="S143" s="12">
        <f t="shared" si="156"/>
        <v>5</v>
      </c>
      <c r="T143" s="12">
        <f t="shared" si="156"/>
        <v>5</v>
      </c>
      <c r="U143" s="12">
        <f t="shared" si="156"/>
        <v>5</v>
      </c>
      <c r="V143" s="12">
        <f t="shared" si="156"/>
        <v>5</v>
      </c>
      <c r="W143" s="12">
        <f t="shared" si="156"/>
        <v>5</v>
      </c>
      <c r="X143" s="12">
        <f t="shared" si="156"/>
        <v>5</v>
      </c>
      <c r="Y143" s="12">
        <f t="shared" si="156"/>
        <v>5</v>
      </c>
      <c r="Z143" s="12">
        <f t="shared" si="156"/>
        <v>5</v>
      </c>
      <c r="AA143" s="12">
        <f t="shared" si="156"/>
        <v>5</v>
      </c>
      <c r="AB143" s="12">
        <f t="shared" si="156"/>
        <v>5</v>
      </c>
      <c r="AC143" s="12">
        <f t="shared" si="156"/>
        <v>5</v>
      </c>
      <c r="AD143" s="12">
        <f t="shared" si="156"/>
        <v>5</v>
      </c>
      <c r="AE143" s="12">
        <f t="shared" si="156"/>
        <v>5</v>
      </c>
      <c r="AF143" s="12">
        <f t="shared" si="156"/>
        <v>5</v>
      </c>
      <c r="AG143" s="12">
        <f t="shared" si="156"/>
        <v>5</v>
      </c>
      <c r="AH143" s="12">
        <f t="shared" si="156"/>
        <v>5</v>
      </c>
      <c r="AI143" s="12">
        <f t="shared" si="156"/>
        <v>5</v>
      </c>
      <c r="AJ143" s="12">
        <f t="shared" si="156"/>
        <v>5</v>
      </c>
      <c r="AK143" s="12">
        <f t="shared" si="156"/>
        <v>5</v>
      </c>
      <c r="AL143" s="12">
        <f t="shared" si="156"/>
        <v>5</v>
      </c>
      <c r="AM143" s="12">
        <f t="shared" si="156"/>
        <v>5</v>
      </c>
      <c r="AN143" s="12">
        <f t="shared" si="156"/>
        <v>5</v>
      </c>
      <c r="AO143" s="12">
        <f t="shared" si="156"/>
        <v>5</v>
      </c>
      <c r="AP143" s="12">
        <f t="shared" si="156"/>
        <v>5</v>
      </c>
      <c r="AQ143" s="12">
        <f t="shared" si="156"/>
        <v>5</v>
      </c>
      <c r="AR143" s="12">
        <f t="shared" si="156"/>
        <v>5</v>
      </c>
      <c r="AS143" s="12">
        <f t="shared" si="156"/>
        <v>5</v>
      </c>
      <c r="AT143" s="12">
        <f t="shared" si="156"/>
        <v>5</v>
      </c>
      <c r="AU143" s="12">
        <f t="shared" si="156"/>
        <v>5</v>
      </c>
      <c r="AV143" s="12">
        <f t="shared" si="156"/>
        <v>5</v>
      </c>
      <c r="AW143" s="31"/>
      <c r="AX143" s="27"/>
    </row>
    <row r="144" spans="1:50" ht="12.75" hidden="1" customHeight="1" outlineLevel="1">
      <c r="A144" s="296"/>
      <c r="B144" s="33" t="s">
        <v>118</v>
      </c>
      <c r="C144" s="20" t="s">
        <v>105</v>
      </c>
      <c r="D144" s="20"/>
      <c r="E144" s="62"/>
      <c r="F144" s="62"/>
      <c r="G144" s="62"/>
      <c r="H144" s="62"/>
      <c r="I144" s="62"/>
      <c r="J144" s="62"/>
      <c r="K144" s="62">
        <f>SUM(K140:K143)</f>
        <v>105</v>
      </c>
      <c r="L144" s="62">
        <f t="shared" ref="L144:AV144" si="158">SUM(L140:L143)</f>
        <v>105</v>
      </c>
      <c r="M144" s="62">
        <f t="shared" si="158"/>
        <v>105</v>
      </c>
      <c r="N144" s="62">
        <f t="shared" si="158"/>
        <v>105</v>
      </c>
      <c r="O144" s="62">
        <f t="shared" si="158"/>
        <v>105</v>
      </c>
      <c r="P144" s="62">
        <f t="shared" si="158"/>
        <v>105</v>
      </c>
      <c r="Q144" s="62">
        <f t="shared" si="158"/>
        <v>105</v>
      </c>
      <c r="R144" s="62">
        <f t="shared" si="158"/>
        <v>105</v>
      </c>
      <c r="S144" s="62">
        <f t="shared" si="158"/>
        <v>105</v>
      </c>
      <c r="T144" s="62">
        <f t="shared" si="158"/>
        <v>105</v>
      </c>
      <c r="U144" s="62">
        <f t="shared" si="158"/>
        <v>105</v>
      </c>
      <c r="V144" s="62">
        <f t="shared" si="158"/>
        <v>105</v>
      </c>
      <c r="W144" s="62">
        <f t="shared" si="158"/>
        <v>105</v>
      </c>
      <c r="X144" s="62">
        <f t="shared" si="158"/>
        <v>105</v>
      </c>
      <c r="Y144" s="62">
        <f t="shared" si="158"/>
        <v>105</v>
      </c>
      <c r="Z144" s="62">
        <f t="shared" si="158"/>
        <v>105</v>
      </c>
      <c r="AA144" s="62">
        <f t="shared" si="158"/>
        <v>105</v>
      </c>
      <c r="AB144" s="62">
        <f t="shared" si="158"/>
        <v>105</v>
      </c>
      <c r="AC144" s="62">
        <f t="shared" si="158"/>
        <v>105</v>
      </c>
      <c r="AD144" s="62">
        <f t="shared" si="158"/>
        <v>105</v>
      </c>
      <c r="AE144" s="62">
        <f t="shared" si="158"/>
        <v>105</v>
      </c>
      <c r="AF144" s="62">
        <f t="shared" si="158"/>
        <v>105</v>
      </c>
      <c r="AG144" s="62">
        <f t="shared" si="158"/>
        <v>105</v>
      </c>
      <c r="AH144" s="62">
        <f t="shared" si="158"/>
        <v>105</v>
      </c>
      <c r="AI144" s="62">
        <f t="shared" si="158"/>
        <v>105</v>
      </c>
      <c r="AJ144" s="62">
        <f t="shared" si="158"/>
        <v>105</v>
      </c>
      <c r="AK144" s="62">
        <f t="shared" si="158"/>
        <v>105</v>
      </c>
      <c r="AL144" s="62">
        <f t="shared" si="158"/>
        <v>105</v>
      </c>
      <c r="AM144" s="62">
        <f t="shared" si="158"/>
        <v>105</v>
      </c>
      <c r="AN144" s="62">
        <f t="shared" si="158"/>
        <v>105</v>
      </c>
      <c r="AO144" s="62">
        <f t="shared" si="158"/>
        <v>105</v>
      </c>
      <c r="AP144" s="62">
        <f t="shared" si="158"/>
        <v>105</v>
      </c>
      <c r="AQ144" s="62">
        <f t="shared" si="158"/>
        <v>105</v>
      </c>
      <c r="AR144" s="62">
        <f t="shared" si="158"/>
        <v>105</v>
      </c>
      <c r="AS144" s="62">
        <f t="shared" si="158"/>
        <v>105</v>
      </c>
      <c r="AT144" s="62">
        <f t="shared" si="158"/>
        <v>105</v>
      </c>
      <c r="AU144" s="62">
        <f t="shared" si="158"/>
        <v>105</v>
      </c>
      <c r="AV144" s="62">
        <f t="shared" si="158"/>
        <v>105</v>
      </c>
      <c r="AW144" s="31"/>
      <c r="AX144" s="27"/>
    </row>
    <row r="145" spans="1:50" ht="12.75" hidden="1" customHeight="1" outlineLevel="1">
      <c r="A145" s="296"/>
      <c r="B145" s="33"/>
      <c r="C145" s="20"/>
      <c r="D145" s="20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27"/>
    </row>
    <row r="146" spans="1:50" ht="12.75" hidden="1" customHeight="1" outlineLevel="1">
      <c r="A146" s="296"/>
      <c r="B146" s="13" t="s">
        <v>215</v>
      </c>
      <c r="C146" s="20"/>
      <c r="D146" s="20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27"/>
    </row>
    <row r="147" spans="1:50" ht="12.75" hidden="1" customHeight="1" outlineLevel="1">
      <c r="A147" s="296"/>
      <c r="B147" s="246" t="s">
        <v>210</v>
      </c>
      <c r="C147" s="23" t="s">
        <v>42</v>
      </c>
      <c r="D147" s="20"/>
      <c r="E147" s="31"/>
      <c r="F147" s="31"/>
      <c r="G147" s="31"/>
      <c r="H147" s="31"/>
      <c r="I147" s="24">
        <f t="shared" ref="I147:J150" si="159">IF(I$95=0,0,((I140*I$95/10^3)))</f>
        <v>0</v>
      </c>
      <c r="J147" s="24">
        <f t="shared" si="159"/>
        <v>0</v>
      </c>
      <c r="K147" s="24"/>
      <c r="L147" s="24">
        <f>IF(L$67=0,0,((L140*L$67/10^3)))</f>
        <v>0</v>
      </c>
      <c r="M147" s="24">
        <f t="shared" ref="M147:AV150" si="160">IF(M$67=0,0,((M140*M$67/10^3)))</f>
        <v>0</v>
      </c>
      <c r="N147" s="24">
        <f>IF(N$67=0,0,((N140*N$67/10^3)))</f>
        <v>52.232959350000009</v>
      </c>
      <c r="O147" s="24">
        <f t="shared" si="160"/>
        <v>0</v>
      </c>
      <c r="P147" s="24">
        <f t="shared" si="160"/>
        <v>0</v>
      </c>
      <c r="Q147" s="24">
        <f t="shared" si="160"/>
        <v>52.232959350000009</v>
      </c>
      <c r="R147" s="24">
        <f t="shared" si="160"/>
        <v>0</v>
      </c>
      <c r="S147" s="24">
        <f t="shared" si="160"/>
        <v>0</v>
      </c>
      <c r="T147" s="24">
        <f t="shared" si="160"/>
        <v>52.232959350000009</v>
      </c>
      <c r="U147" s="24">
        <f t="shared" si="160"/>
        <v>0</v>
      </c>
      <c r="V147" s="24">
        <f t="shared" si="160"/>
        <v>0</v>
      </c>
      <c r="W147" s="24">
        <f t="shared" si="160"/>
        <v>52.232959350000009</v>
      </c>
      <c r="X147" s="24">
        <f t="shared" si="160"/>
        <v>0</v>
      </c>
      <c r="Y147" s="24">
        <f t="shared" si="160"/>
        <v>0</v>
      </c>
      <c r="Z147" s="24">
        <f t="shared" si="160"/>
        <v>52.232959350000009</v>
      </c>
      <c r="AA147" s="24">
        <f t="shared" si="160"/>
        <v>0</v>
      </c>
      <c r="AB147" s="24">
        <f t="shared" si="160"/>
        <v>0</v>
      </c>
      <c r="AC147" s="24">
        <f t="shared" si="160"/>
        <v>52.232959350000009</v>
      </c>
      <c r="AD147" s="24">
        <f t="shared" si="160"/>
        <v>0</v>
      </c>
      <c r="AE147" s="24">
        <f t="shared" si="160"/>
        <v>0</v>
      </c>
      <c r="AF147" s="24">
        <f t="shared" si="160"/>
        <v>52.232959350000009</v>
      </c>
      <c r="AG147" s="24">
        <f t="shared" si="160"/>
        <v>0</v>
      </c>
      <c r="AH147" s="24">
        <f t="shared" si="160"/>
        <v>0</v>
      </c>
      <c r="AI147" s="24">
        <f t="shared" si="160"/>
        <v>52.232959350000009</v>
      </c>
      <c r="AJ147" s="24">
        <f t="shared" si="160"/>
        <v>0</v>
      </c>
      <c r="AK147" s="24">
        <f t="shared" si="160"/>
        <v>0</v>
      </c>
      <c r="AL147" s="24">
        <f t="shared" si="160"/>
        <v>52.232959350000009</v>
      </c>
      <c r="AM147" s="24">
        <f t="shared" si="160"/>
        <v>0</v>
      </c>
      <c r="AN147" s="24">
        <f t="shared" si="160"/>
        <v>0</v>
      </c>
      <c r="AO147" s="24">
        <f t="shared" si="160"/>
        <v>52.232959350000009</v>
      </c>
      <c r="AP147" s="24">
        <f t="shared" si="160"/>
        <v>0</v>
      </c>
      <c r="AQ147" s="24">
        <f t="shared" si="160"/>
        <v>0</v>
      </c>
      <c r="AR147" s="24">
        <f t="shared" si="160"/>
        <v>52.232959350000009</v>
      </c>
      <c r="AS147" s="24">
        <f t="shared" si="160"/>
        <v>0</v>
      </c>
      <c r="AT147" s="24">
        <f t="shared" si="160"/>
        <v>0</v>
      </c>
      <c r="AU147" s="24">
        <f t="shared" si="160"/>
        <v>52.232959350000009</v>
      </c>
      <c r="AV147" s="24">
        <f t="shared" si="160"/>
        <v>0</v>
      </c>
      <c r="AW147" s="31"/>
      <c r="AX147" s="27"/>
    </row>
    <row r="148" spans="1:50" ht="12.75" hidden="1" customHeight="1" outlineLevel="1">
      <c r="A148" s="296"/>
      <c r="B148" s="246" t="s">
        <v>211</v>
      </c>
      <c r="C148" s="23" t="s">
        <v>42</v>
      </c>
      <c r="D148" s="20"/>
      <c r="E148" s="31"/>
      <c r="F148" s="31"/>
      <c r="G148" s="31"/>
      <c r="H148" s="31"/>
      <c r="I148" s="24">
        <f t="shared" si="159"/>
        <v>0</v>
      </c>
      <c r="J148" s="24">
        <f t="shared" si="159"/>
        <v>0</v>
      </c>
      <c r="K148" s="24"/>
      <c r="L148" s="24">
        <f t="shared" ref="L148:AA150" si="161">IF(L$67=0,0,((L141*L$67/10^3)))</f>
        <v>0</v>
      </c>
      <c r="M148" s="24">
        <f t="shared" si="161"/>
        <v>0</v>
      </c>
      <c r="N148" s="24">
        <f t="shared" si="161"/>
        <v>10.446591870000002</v>
      </c>
      <c r="O148" s="24">
        <f t="shared" si="161"/>
        <v>0</v>
      </c>
      <c r="P148" s="24">
        <f t="shared" si="161"/>
        <v>0</v>
      </c>
      <c r="Q148" s="24">
        <f t="shared" si="161"/>
        <v>10.446591870000002</v>
      </c>
      <c r="R148" s="24">
        <f t="shared" si="161"/>
        <v>0</v>
      </c>
      <c r="S148" s="24">
        <f t="shared" si="161"/>
        <v>0</v>
      </c>
      <c r="T148" s="24">
        <f t="shared" si="161"/>
        <v>10.446591870000002</v>
      </c>
      <c r="U148" s="24">
        <f t="shared" si="161"/>
        <v>0</v>
      </c>
      <c r="V148" s="24">
        <f t="shared" si="161"/>
        <v>0</v>
      </c>
      <c r="W148" s="24">
        <f t="shared" si="161"/>
        <v>10.446591870000002</v>
      </c>
      <c r="X148" s="24">
        <f t="shared" si="161"/>
        <v>0</v>
      </c>
      <c r="Y148" s="24">
        <f t="shared" si="161"/>
        <v>0</v>
      </c>
      <c r="Z148" s="24">
        <f t="shared" si="161"/>
        <v>10.446591870000002</v>
      </c>
      <c r="AA148" s="24">
        <f t="shared" si="161"/>
        <v>0</v>
      </c>
      <c r="AB148" s="24">
        <f t="shared" si="160"/>
        <v>0</v>
      </c>
      <c r="AC148" s="24">
        <f t="shared" si="160"/>
        <v>10.446591870000002</v>
      </c>
      <c r="AD148" s="24">
        <f t="shared" si="160"/>
        <v>0</v>
      </c>
      <c r="AE148" s="24">
        <f t="shared" si="160"/>
        <v>0</v>
      </c>
      <c r="AF148" s="24">
        <f t="shared" si="160"/>
        <v>10.446591870000002</v>
      </c>
      <c r="AG148" s="24">
        <f t="shared" si="160"/>
        <v>0</v>
      </c>
      <c r="AH148" s="24">
        <f t="shared" si="160"/>
        <v>0</v>
      </c>
      <c r="AI148" s="24">
        <f t="shared" si="160"/>
        <v>10.446591870000002</v>
      </c>
      <c r="AJ148" s="24">
        <f t="shared" si="160"/>
        <v>0</v>
      </c>
      <c r="AK148" s="24">
        <f t="shared" si="160"/>
        <v>0</v>
      </c>
      <c r="AL148" s="24">
        <f t="shared" si="160"/>
        <v>10.446591870000002</v>
      </c>
      <c r="AM148" s="24">
        <f t="shared" si="160"/>
        <v>0</v>
      </c>
      <c r="AN148" s="24">
        <f t="shared" si="160"/>
        <v>0</v>
      </c>
      <c r="AO148" s="24">
        <f t="shared" si="160"/>
        <v>10.446591870000002</v>
      </c>
      <c r="AP148" s="24">
        <f t="shared" si="160"/>
        <v>0</v>
      </c>
      <c r="AQ148" s="24">
        <f t="shared" si="160"/>
        <v>0</v>
      </c>
      <c r="AR148" s="24">
        <f t="shared" si="160"/>
        <v>10.446591870000002</v>
      </c>
      <c r="AS148" s="24">
        <f t="shared" si="160"/>
        <v>0</v>
      </c>
      <c r="AT148" s="24">
        <f t="shared" si="160"/>
        <v>0</v>
      </c>
      <c r="AU148" s="24">
        <f t="shared" si="160"/>
        <v>10.446591870000002</v>
      </c>
      <c r="AV148" s="24">
        <f t="shared" si="160"/>
        <v>0</v>
      </c>
      <c r="AW148" s="31"/>
      <c r="AX148" s="27"/>
    </row>
    <row r="149" spans="1:50" ht="12.75" hidden="1" customHeight="1" outlineLevel="1">
      <c r="A149" s="296"/>
      <c r="B149" s="246" t="s">
        <v>212</v>
      </c>
      <c r="C149" s="23" t="s">
        <v>42</v>
      </c>
      <c r="D149" s="20"/>
      <c r="E149" s="31"/>
      <c r="F149" s="31"/>
      <c r="G149" s="31"/>
      <c r="H149" s="31"/>
      <c r="I149" s="24">
        <f t="shared" si="159"/>
        <v>0</v>
      </c>
      <c r="J149" s="24">
        <f t="shared" si="159"/>
        <v>0</v>
      </c>
      <c r="K149" s="24"/>
      <c r="L149" s="24">
        <f t="shared" si="161"/>
        <v>0</v>
      </c>
      <c r="M149" s="24">
        <f t="shared" si="160"/>
        <v>0</v>
      </c>
      <c r="N149" s="24">
        <f t="shared" si="160"/>
        <v>6.9643945800000022</v>
      </c>
      <c r="O149" s="24">
        <f t="shared" si="160"/>
        <v>0</v>
      </c>
      <c r="P149" s="24">
        <f t="shared" si="160"/>
        <v>0</v>
      </c>
      <c r="Q149" s="24">
        <f t="shared" si="160"/>
        <v>6.9643945800000022</v>
      </c>
      <c r="R149" s="24">
        <f t="shared" si="160"/>
        <v>0</v>
      </c>
      <c r="S149" s="24">
        <f t="shared" si="160"/>
        <v>0</v>
      </c>
      <c r="T149" s="24">
        <f t="shared" si="160"/>
        <v>6.9643945800000022</v>
      </c>
      <c r="U149" s="24">
        <f t="shared" si="160"/>
        <v>0</v>
      </c>
      <c r="V149" s="24">
        <f t="shared" si="160"/>
        <v>0</v>
      </c>
      <c r="W149" s="24">
        <f t="shared" si="160"/>
        <v>6.9643945800000022</v>
      </c>
      <c r="X149" s="24">
        <f t="shared" si="160"/>
        <v>0</v>
      </c>
      <c r="Y149" s="24">
        <f t="shared" si="160"/>
        <v>0</v>
      </c>
      <c r="Z149" s="24">
        <f t="shared" si="160"/>
        <v>6.9643945800000022</v>
      </c>
      <c r="AA149" s="24">
        <f t="shared" si="160"/>
        <v>0</v>
      </c>
      <c r="AB149" s="24">
        <f t="shared" si="160"/>
        <v>0</v>
      </c>
      <c r="AC149" s="24">
        <f t="shared" si="160"/>
        <v>6.9643945800000022</v>
      </c>
      <c r="AD149" s="24">
        <f t="shared" si="160"/>
        <v>0</v>
      </c>
      <c r="AE149" s="24">
        <f t="shared" si="160"/>
        <v>0</v>
      </c>
      <c r="AF149" s="24">
        <f t="shared" si="160"/>
        <v>6.9643945800000022</v>
      </c>
      <c r="AG149" s="24">
        <f t="shared" si="160"/>
        <v>0</v>
      </c>
      <c r="AH149" s="24">
        <f t="shared" si="160"/>
        <v>0</v>
      </c>
      <c r="AI149" s="24">
        <f t="shared" si="160"/>
        <v>6.9643945800000022</v>
      </c>
      <c r="AJ149" s="24">
        <f t="shared" si="160"/>
        <v>0</v>
      </c>
      <c r="AK149" s="24">
        <f t="shared" si="160"/>
        <v>0</v>
      </c>
      <c r="AL149" s="24">
        <f t="shared" si="160"/>
        <v>6.9643945800000022</v>
      </c>
      <c r="AM149" s="24">
        <f t="shared" si="160"/>
        <v>0</v>
      </c>
      <c r="AN149" s="24">
        <f t="shared" si="160"/>
        <v>0</v>
      </c>
      <c r="AO149" s="24">
        <f t="shared" si="160"/>
        <v>6.9643945800000022</v>
      </c>
      <c r="AP149" s="24">
        <f t="shared" si="160"/>
        <v>0</v>
      </c>
      <c r="AQ149" s="24">
        <f t="shared" si="160"/>
        <v>0</v>
      </c>
      <c r="AR149" s="24">
        <f t="shared" si="160"/>
        <v>6.9643945800000022</v>
      </c>
      <c r="AS149" s="24">
        <f t="shared" si="160"/>
        <v>0</v>
      </c>
      <c r="AT149" s="24">
        <f t="shared" si="160"/>
        <v>0</v>
      </c>
      <c r="AU149" s="24">
        <f t="shared" si="160"/>
        <v>6.9643945800000022</v>
      </c>
      <c r="AV149" s="24">
        <f t="shared" si="160"/>
        <v>0</v>
      </c>
      <c r="AW149" s="31"/>
      <c r="AX149" s="27"/>
    </row>
    <row r="150" spans="1:50" ht="12.75" hidden="1" customHeight="1" outlineLevel="1">
      <c r="A150" s="296"/>
      <c r="B150" s="246" t="s">
        <v>213</v>
      </c>
      <c r="C150" s="23" t="s">
        <v>42</v>
      </c>
      <c r="D150" s="23"/>
      <c r="E150" s="304"/>
      <c r="F150" s="304"/>
      <c r="G150" s="304"/>
      <c r="H150" s="304"/>
      <c r="I150" s="24">
        <f t="shared" si="159"/>
        <v>0</v>
      </c>
      <c r="J150" s="24">
        <f t="shared" si="159"/>
        <v>0</v>
      </c>
      <c r="K150" s="24"/>
      <c r="L150" s="24">
        <f t="shared" si="161"/>
        <v>0</v>
      </c>
      <c r="M150" s="24">
        <f t="shared" si="160"/>
        <v>0</v>
      </c>
      <c r="N150" s="24">
        <f t="shared" si="160"/>
        <v>3.4821972900000011</v>
      </c>
      <c r="O150" s="24">
        <f t="shared" si="160"/>
        <v>0</v>
      </c>
      <c r="P150" s="24">
        <f t="shared" si="160"/>
        <v>0</v>
      </c>
      <c r="Q150" s="24">
        <f t="shared" si="160"/>
        <v>3.4821972900000011</v>
      </c>
      <c r="R150" s="24">
        <f t="shared" si="160"/>
        <v>0</v>
      </c>
      <c r="S150" s="24">
        <f t="shared" si="160"/>
        <v>0</v>
      </c>
      <c r="T150" s="24">
        <f t="shared" si="160"/>
        <v>3.4821972900000011</v>
      </c>
      <c r="U150" s="24">
        <f t="shared" si="160"/>
        <v>0</v>
      </c>
      <c r="V150" s="24">
        <f t="shared" si="160"/>
        <v>0</v>
      </c>
      <c r="W150" s="24">
        <f t="shared" si="160"/>
        <v>3.4821972900000011</v>
      </c>
      <c r="X150" s="24">
        <f t="shared" si="160"/>
        <v>0</v>
      </c>
      <c r="Y150" s="24">
        <f t="shared" si="160"/>
        <v>0</v>
      </c>
      <c r="Z150" s="24">
        <f t="shared" si="160"/>
        <v>3.4821972900000011</v>
      </c>
      <c r="AA150" s="24">
        <f t="shared" si="160"/>
        <v>0</v>
      </c>
      <c r="AB150" s="24">
        <f t="shared" si="160"/>
        <v>0</v>
      </c>
      <c r="AC150" s="24">
        <f t="shared" si="160"/>
        <v>3.4821972900000011</v>
      </c>
      <c r="AD150" s="24">
        <f t="shared" si="160"/>
        <v>0</v>
      </c>
      <c r="AE150" s="24">
        <f t="shared" si="160"/>
        <v>0</v>
      </c>
      <c r="AF150" s="24">
        <f t="shared" si="160"/>
        <v>3.4821972900000011</v>
      </c>
      <c r="AG150" s="24">
        <f t="shared" si="160"/>
        <v>0</v>
      </c>
      <c r="AH150" s="24">
        <f t="shared" si="160"/>
        <v>0</v>
      </c>
      <c r="AI150" s="24">
        <f t="shared" si="160"/>
        <v>3.4821972900000011</v>
      </c>
      <c r="AJ150" s="24">
        <f t="shared" si="160"/>
        <v>0</v>
      </c>
      <c r="AK150" s="24">
        <f t="shared" si="160"/>
        <v>0</v>
      </c>
      <c r="AL150" s="24">
        <f t="shared" si="160"/>
        <v>3.4821972900000011</v>
      </c>
      <c r="AM150" s="24">
        <f t="shared" si="160"/>
        <v>0</v>
      </c>
      <c r="AN150" s="24">
        <f t="shared" si="160"/>
        <v>0</v>
      </c>
      <c r="AO150" s="24">
        <f t="shared" si="160"/>
        <v>3.4821972900000011</v>
      </c>
      <c r="AP150" s="24">
        <f t="shared" si="160"/>
        <v>0</v>
      </c>
      <c r="AQ150" s="24">
        <f t="shared" si="160"/>
        <v>0</v>
      </c>
      <c r="AR150" s="24">
        <f t="shared" si="160"/>
        <v>3.4821972900000011</v>
      </c>
      <c r="AS150" s="24">
        <f t="shared" si="160"/>
        <v>0</v>
      </c>
      <c r="AT150" s="24">
        <f t="shared" si="160"/>
        <v>0</v>
      </c>
      <c r="AU150" s="24">
        <f t="shared" si="160"/>
        <v>3.4821972900000011</v>
      </c>
      <c r="AV150" s="24">
        <f t="shared" si="160"/>
        <v>0</v>
      </c>
      <c r="AW150" s="26"/>
      <c r="AX150" s="10"/>
    </row>
    <row r="151" spans="1:50" ht="12.75" hidden="1" customHeight="1" outlineLevel="1">
      <c r="A151" s="296"/>
      <c r="B151" s="33" t="s">
        <v>216</v>
      </c>
      <c r="C151" s="20" t="s">
        <v>42</v>
      </c>
      <c r="D151" s="23"/>
      <c r="E151" s="304"/>
      <c r="F151" s="304"/>
      <c r="G151" s="304"/>
      <c r="H151" s="304"/>
      <c r="I151" s="40">
        <f t="shared" ref="I151:Q151" si="162">SUM(I147:I150)</f>
        <v>0</v>
      </c>
      <c r="J151" s="40">
        <f t="shared" si="162"/>
        <v>0</v>
      </c>
      <c r="K151" s="40">
        <f t="shared" si="162"/>
        <v>0</v>
      </c>
      <c r="L151" s="40">
        <f t="shared" si="162"/>
        <v>0</v>
      </c>
      <c r="M151" s="40">
        <f t="shared" si="162"/>
        <v>0</v>
      </c>
      <c r="N151" s="40">
        <f t="shared" si="162"/>
        <v>73.126143090000014</v>
      </c>
      <c r="O151" s="40">
        <f t="shared" si="162"/>
        <v>0</v>
      </c>
      <c r="P151" s="40">
        <f t="shared" si="162"/>
        <v>0</v>
      </c>
      <c r="Q151" s="40">
        <f t="shared" si="162"/>
        <v>73.126143090000014</v>
      </c>
      <c r="R151" s="40">
        <f t="shared" ref="R151:AV151" si="163">SUM(R147:R150)</f>
        <v>0</v>
      </c>
      <c r="S151" s="40">
        <f t="shared" si="163"/>
        <v>0</v>
      </c>
      <c r="T151" s="40">
        <f t="shared" si="163"/>
        <v>73.126143090000014</v>
      </c>
      <c r="U151" s="40">
        <f t="shared" si="163"/>
        <v>0</v>
      </c>
      <c r="V151" s="40">
        <f t="shared" si="163"/>
        <v>0</v>
      </c>
      <c r="W151" s="40">
        <f t="shared" si="163"/>
        <v>73.126143090000014</v>
      </c>
      <c r="X151" s="40">
        <f t="shared" si="163"/>
        <v>0</v>
      </c>
      <c r="Y151" s="40">
        <f t="shared" si="163"/>
        <v>0</v>
      </c>
      <c r="Z151" s="40">
        <f t="shared" si="163"/>
        <v>73.126143090000014</v>
      </c>
      <c r="AA151" s="40">
        <f t="shared" si="163"/>
        <v>0</v>
      </c>
      <c r="AB151" s="40">
        <f t="shared" si="163"/>
        <v>0</v>
      </c>
      <c r="AC151" s="40">
        <f t="shared" si="163"/>
        <v>73.126143090000014</v>
      </c>
      <c r="AD151" s="40">
        <f t="shared" si="163"/>
        <v>0</v>
      </c>
      <c r="AE151" s="40">
        <f t="shared" si="163"/>
        <v>0</v>
      </c>
      <c r="AF151" s="40">
        <f t="shared" si="163"/>
        <v>73.126143090000014</v>
      </c>
      <c r="AG151" s="40">
        <f t="shared" si="163"/>
        <v>0</v>
      </c>
      <c r="AH151" s="40">
        <f t="shared" si="163"/>
        <v>0</v>
      </c>
      <c r="AI151" s="40">
        <f t="shared" si="163"/>
        <v>73.126143090000014</v>
      </c>
      <c r="AJ151" s="40">
        <f t="shared" si="163"/>
        <v>0</v>
      </c>
      <c r="AK151" s="40">
        <f t="shared" si="163"/>
        <v>0</v>
      </c>
      <c r="AL151" s="40">
        <f t="shared" si="163"/>
        <v>73.126143090000014</v>
      </c>
      <c r="AM151" s="40">
        <f t="shared" si="163"/>
        <v>0</v>
      </c>
      <c r="AN151" s="40">
        <f t="shared" si="163"/>
        <v>0</v>
      </c>
      <c r="AO151" s="40">
        <f t="shared" si="163"/>
        <v>73.126143090000014</v>
      </c>
      <c r="AP151" s="40">
        <f t="shared" si="163"/>
        <v>0</v>
      </c>
      <c r="AQ151" s="40">
        <f t="shared" si="163"/>
        <v>0</v>
      </c>
      <c r="AR151" s="40">
        <f t="shared" si="163"/>
        <v>73.126143090000014</v>
      </c>
      <c r="AS151" s="40">
        <f t="shared" si="163"/>
        <v>0</v>
      </c>
      <c r="AT151" s="40">
        <f t="shared" si="163"/>
        <v>0</v>
      </c>
      <c r="AU151" s="40">
        <f t="shared" si="163"/>
        <v>73.126143090000014</v>
      </c>
      <c r="AV151" s="40">
        <f t="shared" si="163"/>
        <v>0</v>
      </c>
      <c r="AW151" s="26"/>
      <c r="AX151" s="10"/>
    </row>
    <row r="152" spans="1:50" ht="12.75" hidden="1" customHeight="1" outlineLevel="1">
      <c r="A152" s="296"/>
      <c r="B152" s="33"/>
      <c r="C152" s="20"/>
      <c r="D152" s="23"/>
      <c r="E152" s="304"/>
      <c r="F152" s="304"/>
      <c r="G152" s="304"/>
      <c r="H152" s="304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10"/>
    </row>
    <row r="153" spans="1:50" ht="12.75" hidden="1" customHeight="1" outlineLevel="1">
      <c r="A153" s="296"/>
      <c r="B153" s="13" t="s">
        <v>132</v>
      </c>
      <c r="C153" s="20" t="s">
        <v>105</v>
      </c>
      <c r="D153" s="20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10"/>
    </row>
    <row r="154" spans="1:50" ht="12.75" hidden="1" customHeight="1" outlineLevel="1">
      <c r="A154" s="296"/>
      <c r="B154" s="30" t="s">
        <v>216</v>
      </c>
      <c r="C154" s="23" t="s">
        <v>112</v>
      </c>
      <c r="D154" s="20"/>
      <c r="E154" s="12">
        <f t="shared" ref="E154:AV154" si="164">IF(E67=0,0,((E151))/(E68+E68*E89)*10^3)</f>
        <v>0</v>
      </c>
      <c r="F154" s="12">
        <f t="shared" si="164"/>
        <v>0</v>
      </c>
      <c r="G154" s="12">
        <f t="shared" si="164"/>
        <v>0</v>
      </c>
      <c r="H154" s="12">
        <f t="shared" si="164"/>
        <v>0</v>
      </c>
      <c r="I154" s="12">
        <f t="shared" si="164"/>
        <v>0</v>
      </c>
      <c r="J154" s="12">
        <f t="shared" si="164"/>
        <v>0</v>
      </c>
      <c r="K154" s="12">
        <f t="shared" si="164"/>
        <v>0</v>
      </c>
      <c r="L154" s="12">
        <f t="shared" si="164"/>
        <v>0</v>
      </c>
      <c r="M154" s="12">
        <f t="shared" si="164"/>
        <v>0</v>
      </c>
      <c r="N154" s="12">
        <f t="shared" si="164"/>
        <v>0.19290425</v>
      </c>
      <c r="O154" s="12">
        <f t="shared" si="164"/>
        <v>0</v>
      </c>
      <c r="P154" s="12">
        <f t="shared" si="164"/>
        <v>0</v>
      </c>
      <c r="Q154" s="12">
        <f t="shared" si="164"/>
        <v>0.19290425</v>
      </c>
      <c r="R154" s="12">
        <f t="shared" si="164"/>
        <v>0</v>
      </c>
      <c r="S154" s="12">
        <f t="shared" si="164"/>
        <v>0</v>
      </c>
      <c r="T154" s="12">
        <f t="shared" si="164"/>
        <v>0.19290425</v>
      </c>
      <c r="U154" s="12">
        <f t="shared" si="164"/>
        <v>0</v>
      </c>
      <c r="V154" s="12">
        <f t="shared" si="164"/>
        <v>0</v>
      </c>
      <c r="W154" s="12">
        <f t="shared" si="164"/>
        <v>0.19290425</v>
      </c>
      <c r="X154" s="12">
        <f t="shared" si="164"/>
        <v>0</v>
      </c>
      <c r="Y154" s="12">
        <f t="shared" si="164"/>
        <v>0</v>
      </c>
      <c r="Z154" s="12">
        <f t="shared" si="164"/>
        <v>0.19290425</v>
      </c>
      <c r="AA154" s="12">
        <f t="shared" si="164"/>
        <v>0</v>
      </c>
      <c r="AB154" s="12">
        <f t="shared" si="164"/>
        <v>0</v>
      </c>
      <c r="AC154" s="12">
        <f t="shared" si="164"/>
        <v>0.19290425</v>
      </c>
      <c r="AD154" s="12">
        <f t="shared" si="164"/>
        <v>0</v>
      </c>
      <c r="AE154" s="12">
        <f t="shared" si="164"/>
        <v>0</v>
      </c>
      <c r="AF154" s="12">
        <f t="shared" si="164"/>
        <v>0.19290425</v>
      </c>
      <c r="AG154" s="12">
        <f t="shared" si="164"/>
        <v>0</v>
      </c>
      <c r="AH154" s="12">
        <f t="shared" si="164"/>
        <v>0</v>
      </c>
      <c r="AI154" s="12">
        <f t="shared" si="164"/>
        <v>0.19290425</v>
      </c>
      <c r="AJ154" s="12">
        <f t="shared" si="164"/>
        <v>0</v>
      </c>
      <c r="AK154" s="12">
        <f t="shared" si="164"/>
        <v>0</v>
      </c>
      <c r="AL154" s="12">
        <f t="shared" si="164"/>
        <v>0.19290425</v>
      </c>
      <c r="AM154" s="12">
        <f t="shared" si="164"/>
        <v>0</v>
      </c>
      <c r="AN154" s="12">
        <f t="shared" si="164"/>
        <v>0</v>
      </c>
      <c r="AO154" s="12">
        <f t="shared" si="164"/>
        <v>0.19290425</v>
      </c>
      <c r="AP154" s="12">
        <f t="shared" si="164"/>
        <v>0</v>
      </c>
      <c r="AQ154" s="12">
        <f t="shared" si="164"/>
        <v>0</v>
      </c>
      <c r="AR154" s="12">
        <f t="shared" si="164"/>
        <v>0.19290425</v>
      </c>
      <c r="AS154" s="12">
        <f t="shared" si="164"/>
        <v>0</v>
      </c>
      <c r="AT154" s="12">
        <f t="shared" si="164"/>
        <v>0</v>
      </c>
      <c r="AU154" s="12">
        <f t="shared" si="164"/>
        <v>0.19290425</v>
      </c>
      <c r="AV154" s="12">
        <f t="shared" si="164"/>
        <v>0</v>
      </c>
      <c r="AW154" s="26"/>
      <c r="AX154" s="10"/>
    </row>
    <row r="155" spans="1:50" ht="12" hidden="1" customHeight="1" outlineLevel="1">
      <c r="A155" s="296"/>
      <c r="B155" s="13" t="s">
        <v>133</v>
      </c>
      <c r="C155" s="20" t="s">
        <v>112</v>
      </c>
      <c r="D155" s="23"/>
      <c r="E155" s="160">
        <f t="shared" ref="E155:L155" si="165">E131+E154</f>
        <v>0</v>
      </c>
      <c r="F155" s="160">
        <f t="shared" si="165"/>
        <v>0</v>
      </c>
      <c r="G155" s="160">
        <f t="shared" si="165"/>
        <v>0</v>
      </c>
      <c r="H155" s="160">
        <f t="shared" si="165"/>
        <v>0</v>
      </c>
      <c r="I155" s="160">
        <f t="shared" si="165"/>
        <v>0</v>
      </c>
      <c r="J155" s="160">
        <f t="shared" si="165"/>
        <v>0</v>
      </c>
      <c r="K155" s="160">
        <f t="shared" si="165"/>
        <v>0</v>
      </c>
      <c r="L155" s="160">
        <f t="shared" si="165"/>
        <v>0.42255301386855731</v>
      </c>
      <c r="M155" s="160">
        <f t="shared" ref="M155" si="166">M131+M154</f>
        <v>0</v>
      </c>
      <c r="N155" s="160">
        <f t="shared" ref="N155" si="167">N131+N154</f>
        <v>0.61545726386855737</v>
      </c>
      <c r="O155" s="160">
        <f t="shared" ref="O155" si="168">O131+O154</f>
        <v>0</v>
      </c>
      <c r="P155" s="160">
        <f t="shared" ref="P155" si="169">P131+P154</f>
        <v>0</v>
      </c>
      <c r="Q155" s="160">
        <f t="shared" ref="Q155" si="170">Q131+Q154</f>
        <v>0.61545726386855737</v>
      </c>
      <c r="R155" s="160">
        <f t="shared" ref="R155" si="171">R131+R154</f>
        <v>0</v>
      </c>
      <c r="S155" s="160">
        <f t="shared" ref="S155" si="172">S131+S154</f>
        <v>0</v>
      </c>
      <c r="T155" s="160">
        <f t="shared" ref="T155" si="173">T131+T154</f>
        <v>0.61545726386855737</v>
      </c>
      <c r="U155" s="160">
        <f t="shared" ref="U155" si="174">U131+U154</f>
        <v>0</v>
      </c>
      <c r="V155" s="160">
        <f t="shared" ref="V155" si="175">V131+V154</f>
        <v>0</v>
      </c>
      <c r="W155" s="160">
        <f t="shared" ref="W155" si="176">W131+W154</f>
        <v>0.61545726386855737</v>
      </c>
      <c r="X155" s="160">
        <f t="shared" ref="X155" si="177">X131+X154</f>
        <v>0</v>
      </c>
      <c r="Y155" s="160">
        <f t="shared" ref="Y155" si="178">Y131+Y154</f>
        <v>0</v>
      </c>
      <c r="Z155" s="160">
        <f t="shared" ref="Z155" si="179">Z131+Z154</f>
        <v>0.61545726386855737</v>
      </c>
      <c r="AA155" s="160">
        <f t="shared" ref="AA155" si="180">AA131+AA154</f>
        <v>0</v>
      </c>
      <c r="AB155" s="160">
        <f t="shared" ref="AB155" si="181">AB131+AB154</f>
        <v>0</v>
      </c>
      <c r="AC155" s="160">
        <f t="shared" ref="AC155" si="182">AC131+AC154</f>
        <v>0.61545726386855737</v>
      </c>
      <c r="AD155" s="160">
        <f t="shared" ref="AD155" si="183">AD131+AD154</f>
        <v>0</v>
      </c>
      <c r="AE155" s="160">
        <f t="shared" ref="AE155" si="184">AE131+AE154</f>
        <v>0</v>
      </c>
      <c r="AF155" s="160">
        <f t="shared" ref="AF155" si="185">AF131+AF154</f>
        <v>0.61545726386855737</v>
      </c>
      <c r="AG155" s="160">
        <f t="shared" ref="AG155" si="186">AG131+AG154</f>
        <v>0</v>
      </c>
      <c r="AH155" s="160">
        <f t="shared" ref="AH155" si="187">AH131+AH154</f>
        <v>0</v>
      </c>
      <c r="AI155" s="160">
        <f t="shared" ref="AI155" si="188">AI131+AI154</f>
        <v>0.61545726386855737</v>
      </c>
      <c r="AJ155" s="160">
        <f t="shared" ref="AJ155" si="189">AJ131+AJ154</f>
        <v>0</v>
      </c>
      <c r="AK155" s="160">
        <f t="shared" ref="AK155" si="190">AK131+AK154</f>
        <v>0</v>
      </c>
      <c r="AL155" s="160">
        <f t="shared" ref="AL155" si="191">AL131+AL154</f>
        <v>0.61545726386855737</v>
      </c>
      <c r="AM155" s="160">
        <f t="shared" ref="AM155" si="192">AM131+AM154</f>
        <v>0</v>
      </c>
      <c r="AN155" s="160">
        <f t="shared" ref="AN155" si="193">AN131+AN154</f>
        <v>0</v>
      </c>
      <c r="AO155" s="160">
        <f t="shared" ref="AO155" si="194">AO131+AO154</f>
        <v>0.61545726386855737</v>
      </c>
      <c r="AP155" s="160">
        <f t="shared" ref="AP155" si="195">AP131+AP154</f>
        <v>0</v>
      </c>
      <c r="AQ155" s="160">
        <f t="shared" ref="AQ155" si="196">AQ131+AQ154</f>
        <v>0</v>
      </c>
      <c r="AR155" s="160">
        <f t="shared" ref="AR155" si="197">AR131+AR154</f>
        <v>0.61545726386855737</v>
      </c>
      <c r="AS155" s="160">
        <f t="shared" ref="AS155" si="198">AS131+AS154</f>
        <v>0</v>
      </c>
      <c r="AT155" s="160">
        <f t="shared" ref="AT155" si="199">AT131+AT154</f>
        <v>0</v>
      </c>
      <c r="AU155" s="160">
        <f t="shared" ref="AU155" si="200">AU131+AU154</f>
        <v>0.61545726386855737</v>
      </c>
      <c r="AV155" s="160">
        <f t="shared" ref="AV155" si="201">AV131+AV154</f>
        <v>0</v>
      </c>
      <c r="AW155" s="26"/>
      <c r="AX155" s="10"/>
    </row>
    <row r="156" spans="1:50" ht="12" hidden="1" customHeight="1" outlineLevel="1">
      <c r="A156" s="296"/>
      <c r="B156" s="13"/>
      <c r="C156" s="20"/>
      <c r="D156" s="23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26"/>
      <c r="AX156" s="10"/>
    </row>
    <row r="157" spans="1:50" ht="12" hidden="1" customHeight="1" outlineLevel="1">
      <c r="A157" s="296"/>
      <c r="B157" s="13"/>
      <c r="C157" s="315"/>
      <c r="D157" s="23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26"/>
      <c r="AX157" s="10"/>
    </row>
    <row r="158" spans="1:50" ht="12" hidden="1" customHeight="1" outlineLevel="1">
      <c r="A158" s="296"/>
      <c r="B158" s="13"/>
      <c r="C158" s="315"/>
      <c r="D158" s="23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26"/>
      <c r="AX158" s="10"/>
    </row>
    <row r="159" spans="1:50" ht="12.75" hidden="1" customHeight="1" outlineLevel="1">
      <c r="A159" s="296"/>
      <c r="B159" s="212" t="s">
        <v>293</v>
      </c>
      <c r="C159" s="64"/>
      <c r="D159" s="64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31"/>
      <c r="AX159" s="27"/>
    </row>
    <row r="160" spans="1:50" ht="12.75" hidden="1" customHeight="1" outlineLevel="1">
      <c r="A160" s="296"/>
      <c r="B160" s="67"/>
      <c r="C160" s="64"/>
      <c r="D160" s="64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31"/>
      <c r="AX160" s="27"/>
    </row>
    <row r="161" spans="1:50" ht="12.75" hidden="1" customHeight="1" outlineLevel="1">
      <c r="A161" s="296"/>
      <c r="B161" s="13" t="s">
        <v>48</v>
      </c>
      <c r="C161" s="23"/>
      <c r="D161" s="23"/>
      <c r="E161" s="24"/>
      <c r="F161" s="24"/>
      <c r="G161" s="24"/>
      <c r="H161" s="24"/>
      <c r="I161" s="25"/>
      <c r="J161" s="24"/>
      <c r="K161" s="24"/>
      <c r="L161" s="12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6"/>
      <c r="AX161" s="27"/>
    </row>
    <row r="162" spans="1:50" ht="12.75" hidden="1" customHeight="1" outlineLevel="1">
      <c r="A162" s="296"/>
      <c r="B162" s="28" t="s">
        <v>103</v>
      </c>
      <c r="C162" s="23" t="s">
        <v>105</v>
      </c>
      <c r="D162" s="23"/>
      <c r="E162" s="92"/>
      <c r="F162" s="12"/>
      <c r="G162" s="12"/>
      <c r="H162" s="12"/>
      <c r="I162" s="12"/>
      <c r="J162" s="12"/>
      <c r="K162" s="225"/>
      <c r="L162" s="225">
        <v>300</v>
      </c>
      <c r="M162" s="12">
        <f t="shared" ref="M162:M163" si="202">L162</f>
        <v>300</v>
      </c>
      <c r="N162" s="12">
        <f t="shared" ref="N162:N163" si="203">M162</f>
        <v>300</v>
      </c>
      <c r="O162" s="12">
        <f t="shared" ref="O162:O163" si="204">N162</f>
        <v>300</v>
      </c>
      <c r="P162" s="12">
        <f t="shared" ref="P162:AV162" si="205">O162</f>
        <v>300</v>
      </c>
      <c r="Q162" s="12">
        <f t="shared" si="205"/>
        <v>300</v>
      </c>
      <c r="R162" s="225">
        <f>O162*80%</f>
        <v>240</v>
      </c>
      <c r="S162" s="12">
        <f t="shared" si="205"/>
        <v>240</v>
      </c>
      <c r="T162" s="12">
        <f t="shared" si="205"/>
        <v>240</v>
      </c>
      <c r="U162" s="225">
        <v>225</v>
      </c>
      <c r="V162" s="12">
        <f t="shared" si="205"/>
        <v>225</v>
      </c>
      <c r="W162" s="12">
        <f t="shared" si="205"/>
        <v>225</v>
      </c>
      <c r="X162" s="12">
        <f t="shared" si="205"/>
        <v>225</v>
      </c>
      <c r="Y162" s="12">
        <f t="shared" si="205"/>
        <v>225</v>
      </c>
      <c r="Z162" s="12">
        <f t="shared" si="205"/>
        <v>225</v>
      </c>
      <c r="AA162" s="12">
        <f t="shared" si="205"/>
        <v>225</v>
      </c>
      <c r="AB162" s="12">
        <f t="shared" si="205"/>
        <v>225</v>
      </c>
      <c r="AC162" s="12">
        <f t="shared" si="205"/>
        <v>225</v>
      </c>
      <c r="AD162" s="12">
        <f t="shared" si="205"/>
        <v>225</v>
      </c>
      <c r="AE162" s="12">
        <f t="shared" si="205"/>
        <v>225</v>
      </c>
      <c r="AF162" s="12">
        <f t="shared" si="205"/>
        <v>225</v>
      </c>
      <c r="AG162" s="12">
        <f t="shared" si="205"/>
        <v>225</v>
      </c>
      <c r="AH162" s="12">
        <f t="shared" si="205"/>
        <v>225</v>
      </c>
      <c r="AI162" s="12">
        <f t="shared" si="205"/>
        <v>225</v>
      </c>
      <c r="AJ162" s="12">
        <f t="shared" si="205"/>
        <v>225</v>
      </c>
      <c r="AK162" s="12">
        <f t="shared" si="205"/>
        <v>225</v>
      </c>
      <c r="AL162" s="12">
        <f t="shared" si="205"/>
        <v>225</v>
      </c>
      <c r="AM162" s="12">
        <f t="shared" si="205"/>
        <v>225</v>
      </c>
      <c r="AN162" s="12">
        <f t="shared" si="205"/>
        <v>225</v>
      </c>
      <c r="AO162" s="12">
        <f t="shared" si="205"/>
        <v>225</v>
      </c>
      <c r="AP162" s="12">
        <f t="shared" si="205"/>
        <v>225</v>
      </c>
      <c r="AQ162" s="12">
        <f t="shared" si="205"/>
        <v>225</v>
      </c>
      <c r="AR162" s="12">
        <f t="shared" si="205"/>
        <v>225</v>
      </c>
      <c r="AS162" s="12">
        <f t="shared" si="205"/>
        <v>225</v>
      </c>
      <c r="AT162" s="12">
        <f t="shared" si="205"/>
        <v>225</v>
      </c>
      <c r="AU162" s="12">
        <f t="shared" si="205"/>
        <v>225</v>
      </c>
      <c r="AV162" s="12">
        <f t="shared" si="205"/>
        <v>225</v>
      </c>
      <c r="AW162" s="31"/>
      <c r="AX162" s="27"/>
    </row>
    <row r="163" spans="1:50" ht="12.75" hidden="1" customHeight="1" outlineLevel="1">
      <c r="A163" s="296"/>
      <c r="B163" s="28" t="s">
        <v>104</v>
      </c>
      <c r="C163" s="23" t="s">
        <v>105</v>
      </c>
      <c r="D163" s="23"/>
      <c r="E163" s="92"/>
      <c r="F163" s="151"/>
      <c r="G163" s="151"/>
      <c r="H163" s="151"/>
      <c r="I163" s="151"/>
      <c r="J163" s="151"/>
      <c r="K163" s="225"/>
      <c r="L163" s="225">
        <v>360</v>
      </c>
      <c r="M163" s="12">
        <f t="shared" si="202"/>
        <v>360</v>
      </c>
      <c r="N163" s="12">
        <f t="shared" si="203"/>
        <v>360</v>
      </c>
      <c r="O163" s="12">
        <f t="shared" si="204"/>
        <v>360</v>
      </c>
      <c r="P163" s="12">
        <f t="shared" ref="P163:AV163" si="206">O163</f>
        <v>360</v>
      </c>
      <c r="Q163" s="12">
        <f t="shared" si="206"/>
        <v>360</v>
      </c>
      <c r="R163" s="225">
        <f>O163*80%</f>
        <v>288</v>
      </c>
      <c r="S163" s="12">
        <f t="shared" si="206"/>
        <v>288</v>
      </c>
      <c r="T163" s="12">
        <f t="shared" si="206"/>
        <v>288</v>
      </c>
      <c r="U163" s="225">
        <v>250</v>
      </c>
      <c r="V163" s="12">
        <f t="shared" si="206"/>
        <v>250</v>
      </c>
      <c r="W163" s="12">
        <f t="shared" si="206"/>
        <v>250</v>
      </c>
      <c r="X163" s="12">
        <f t="shared" si="206"/>
        <v>250</v>
      </c>
      <c r="Y163" s="12">
        <f t="shared" si="206"/>
        <v>250</v>
      </c>
      <c r="Z163" s="12">
        <f t="shared" si="206"/>
        <v>250</v>
      </c>
      <c r="AA163" s="12">
        <f t="shared" si="206"/>
        <v>250</v>
      </c>
      <c r="AB163" s="12">
        <f t="shared" si="206"/>
        <v>250</v>
      </c>
      <c r="AC163" s="12">
        <f t="shared" si="206"/>
        <v>250</v>
      </c>
      <c r="AD163" s="12">
        <f t="shared" si="206"/>
        <v>250</v>
      </c>
      <c r="AE163" s="12">
        <f t="shared" si="206"/>
        <v>250</v>
      </c>
      <c r="AF163" s="12">
        <f t="shared" si="206"/>
        <v>250</v>
      </c>
      <c r="AG163" s="12">
        <f t="shared" si="206"/>
        <v>250</v>
      </c>
      <c r="AH163" s="12">
        <f t="shared" si="206"/>
        <v>250</v>
      </c>
      <c r="AI163" s="12">
        <f t="shared" si="206"/>
        <v>250</v>
      </c>
      <c r="AJ163" s="12">
        <f t="shared" si="206"/>
        <v>250</v>
      </c>
      <c r="AK163" s="12">
        <f t="shared" si="206"/>
        <v>250</v>
      </c>
      <c r="AL163" s="12">
        <f t="shared" si="206"/>
        <v>250</v>
      </c>
      <c r="AM163" s="12">
        <f t="shared" si="206"/>
        <v>250</v>
      </c>
      <c r="AN163" s="12">
        <f t="shared" si="206"/>
        <v>250</v>
      </c>
      <c r="AO163" s="12">
        <f t="shared" si="206"/>
        <v>250</v>
      </c>
      <c r="AP163" s="12">
        <f t="shared" si="206"/>
        <v>250</v>
      </c>
      <c r="AQ163" s="12">
        <f t="shared" si="206"/>
        <v>250</v>
      </c>
      <c r="AR163" s="12">
        <f t="shared" si="206"/>
        <v>250</v>
      </c>
      <c r="AS163" s="12">
        <f t="shared" si="206"/>
        <v>250</v>
      </c>
      <c r="AT163" s="12">
        <f t="shared" si="206"/>
        <v>250</v>
      </c>
      <c r="AU163" s="12">
        <f t="shared" si="206"/>
        <v>250</v>
      </c>
      <c r="AV163" s="12">
        <f t="shared" si="206"/>
        <v>250</v>
      </c>
      <c r="AW163" s="31"/>
      <c r="AX163" s="27"/>
    </row>
    <row r="164" spans="1:50" ht="12.75" hidden="1" customHeight="1" outlineLevel="1">
      <c r="A164" s="296"/>
      <c r="B164" s="33" t="s">
        <v>118</v>
      </c>
      <c r="C164" s="315" t="s">
        <v>105</v>
      </c>
      <c r="D164" s="315"/>
      <c r="E164" s="62"/>
      <c r="F164" s="62"/>
      <c r="G164" s="62"/>
      <c r="H164" s="62"/>
      <c r="I164" s="62"/>
      <c r="J164" s="62"/>
      <c r="K164" s="62"/>
      <c r="L164" s="62">
        <f>SUM(L162:L163)</f>
        <v>660</v>
      </c>
      <c r="M164" s="62">
        <f t="shared" ref="M164:O164" si="207">SUM(M162:M163)</f>
        <v>660</v>
      </c>
      <c r="N164" s="62">
        <f t="shared" si="207"/>
        <v>660</v>
      </c>
      <c r="O164" s="62">
        <f t="shared" si="207"/>
        <v>660</v>
      </c>
      <c r="P164" s="62">
        <f t="shared" ref="P164:AV164" si="208">SUM(P162:P163)</f>
        <v>660</v>
      </c>
      <c r="Q164" s="62">
        <f t="shared" si="208"/>
        <v>660</v>
      </c>
      <c r="R164" s="62">
        <f t="shared" si="208"/>
        <v>528</v>
      </c>
      <c r="S164" s="62">
        <f t="shared" ref="S164:T164" si="209">SUM(S162:S163)</f>
        <v>528</v>
      </c>
      <c r="T164" s="62">
        <f t="shared" si="209"/>
        <v>528</v>
      </c>
      <c r="U164" s="62">
        <f>SUM(U162:U163)</f>
        <v>475</v>
      </c>
      <c r="V164" s="62">
        <f t="shared" si="208"/>
        <v>475</v>
      </c>
      <c r="W164" s="62">
        <f t="shared" si="208"/>
        <v>475</v>
      </c>
      <c r="X164" s="62">
        <f t="shared" si="208"/>
        <v>475</v>
      </c>
      <c r="Y164" s="62">
        <f t="shared" si="208"/>
        <v>475</v>
      </c>
      <c r="Z164" s="62">
        <f t="shared" si="208"/>
        <v>475</v>
      </c>
      <c r="AA164" s="62">
        <f t="shared" si="208"/>
        <v>475</v>
      </c>
      <c r="AB164" s="62">
        <f t="shared" si="208"/>
        <v>475</v>
      </c>
      <c r="AC164" s="62">
        <f t="shared" si="208"/>
        <v>475</v>
      </c>
      <c r="AD164" s="62">
        <f t="shared" si="208"/>
        <v>475</v>
      </c>
      <c r="AE164" s="62">
        <f t="shared" si="208"/>
        <v>475</v>
      </c>
      <c r="AF164" s="62">
        <f t="shared" si="208"/>
        <v>475</v>
      </c>
      <c r="AG164" s="62">
        <f t="shared" si="208"/>
        <v>475</v>
      </c>
      <c r="AH164" s="62">
        <f t="shared" si="208"/>
        <v>475</v>
      </c>
      <c r="AI164" s="62">
        <f t="shared" si="208"/>
        <v>475</v>
      </c>
      <c r="AJ164" s="62">
        <f t="shared" si="208"/>
        <v>475</v>
      </c>
      <c r="AK164" s="62">
        <f t="shared" si="208"/>
        <v>475</v>
      </c>
      <c r="AL164" s="62">
        <f t="shared" si="208"/>
        <v>475</v>
      </c>
      <c r="AM164" s="62">
        <f t="shared" si="208"/>
        <v>475</v>
      </c>
      <c r="AN164" s="62">
        <f t="shared" si="208"/>
        <v>475</v>
      </c>
      <c r="AO164" s="62">
        <f t="shared" si="208"/>
        <v>475</v>
      </c>
      <c r="AP164" s="62">
        <f t="shared" si="208"/>
        <v>475</v>
      </c>
      <c r="AQ164" s="62">
        <f t="shared" si="208"/>
        <v>475</v>
      </c>
      <c r="AR164" s="62">
        <f t="shared" si="208"/>
        <v>475</v>
      </c>
      <c r="AS164" s="62">
        <f t="shared" si="208"/>
        <v>475</v>
      </c>
      <c r="AT164" s="62">
        <f t="shared" si="208"/>
        <v>475</v>
      </c>
      <c r="AU164" s="62">
        <f t="shared" si="208"/>
        <v>475</v>
      </c>
      <c r="AV164" s="62">
        <f t="shared" si="208"/>
        <v>475</v>
      </c>
      <c r="AW164" s="31"/>
      <c r="AX164" s="27"/>
    </row>
    <row r="165" spans="1:50" ht="12.75" hidden="1" customHeight="1" outlineLevel="1">
      <c r="A165" s="296"/>
      <c r="B165" s="28" t="s">
        <v>116</v>
      </c>
      <c r="C165" s="23" t="s">
        <v>105</v>
      </c>
      <c r="D165" s="315"/>
      <c r="E165" s="92"/>
      <c r="F165" s="12"/>
      <c r="G165" s="12"/>
      <c r="H165" s="12"/>
      <c r="I165" s="12"/>
      <c r="J165" s="12"/>
      <c r="K165" s="225"/>
      <c r="L165" s="225">
        <v>40</v>
      </c>
      <c r="M165" s="12">
        <f t="shared" ref="M165" si="210">L165</f>
        <v>40</v>
      </c>
      <c r="N165" s="12">
        <f t="shared" ref="N165" si="211">M165</f>
        <v>40</v>
      </c>
      <c r="O165" s="12">
        <f t="shared" ref="O165" si="212">N165</f>
        <v>40</v>
      </c>
      <c r="P165" s="12">
        <f t="shared" ref="P165:AV165" si="213">O165</f>
        <v>40</v>
      </c>
      <c r="Q165" s="12">
        <f t="shared" si="213"/>
        <v>40</v>
      </c>
      <c r="R165" s="225">
        <f>O165*80%</f>
        <v>32</v>
      </c>
      <c r="S165" s="12">
        <f t="shared" si="213"/>
        <v>32</v>
      </c>
      <c r="T165" s="12">
        <f t="shared" si="213"/>
        <v>32</v>
      </c>
      <c r="U165" s="225">
        <v>25</v>
      </c>
      <c r="V165" s="12">
        <f t="shared" si="213"/>
        <v>25</v>
      </c>
      <c r="W165" s="12">
        <f t="shared" si="213"/>
        <v>25</v>
      </c>
      <c r="X165" s="12">
        <f t="shared" si="213"/>
        <v>25</v>
      </c>
      <c r="Y165" s="12">
        <f t="shared" si="213"/>
        <v>25</v>
      </c>
      <c r="Z165" s="12">
        <f t="shared" si="213"/>
        <v>25</v>
      </c>
      <c r="AA165" s="12">
        <f t="shared" si="213"/>
        <v>25</v>
      </c>
      <c r="AB165" s="12">
        <f t="shared" si="213"/>
        <v>25</v>
      </c>
      <c r="AC165" s="12">
        <f t="shared" si="213"/>
        <v>25</v>
      </c>
      <c r="AD165" s="12">
        <f t="shared" si="213"/>
        <v>25</v>
      </c>
      <c r="AE165" s="12">
        <f t="shared" si="213"/>
        <v>25</v>
      </c>
      <c r="AF165" s="12">
        <f t="shared" si="213"/>
        <v>25</v>
      </c>
      <c r="AG165" s="12">
        <f t="shared" si="213"/>
        <v>25</v>
      </c>
      <c r="AH165" s="12">
        <f t="shared" si="213"/>
        <v>25</v>
      </c>
      <c r="AI165" s="12">
        <f t="shared" si="213"/>
        <v>25</v>
      </c>
      <c r="AJ165" s="12">
        <f t="shared" si="213"/>
        <v>25</v>
      </c>
      <c r="AK165" s="12">
        <f t="shared" si="213"/>
        <v>25</v>
      </c>
      <c r="AL165" s="12">
        <f t="shared" si="213"/>
        <v>25</v>
      </c>
      <c r="AM165" s="12">
        <f t="shared" si="213"/>
        <v>25</v>
      </c>
      <c r="AN165" s="12">
        <f t="shared" si="213"/>
        <v>25</v>
      </c>
      <c r="AO165" s="12">
        <f t="shared" si="213"/>
        <v>25</v>
      </c>
      <c r="AP165" s="12">
        <f t="shared" si="213"/>
        <v>25</v>
      </c>
      <c r="AQ165" s="12">
        <f t="shared" si="213"/>
        <v>25</v>
      </c>
      <c r="AR165" s="12">
        <f t="shared" si="213"/>
        <v>25</v>
      </c>
      <c r="AS165" s="12">
        <f t="shared" si="213"/>
        <v>25</v>
      </c>
      <c r="AT165" s="12">
        <f t="shared" si="213"/>
        <v>25</v>
      </c>
      <c r="AU165" s="12">
        <f t="shared" si="213"/>
        <v>25</v>
      </c>
      <c r="AV165" s="12">
        <f t="shared" si="213"/>
        <v>25</v>
      </c>
      <c r="AW165" s="31"/>
      <c r="AX165" s="27"/>
    </row>
    <row r="166" spans="1:50" ht="12.75" hidden="1" customHeight="1" outlineLevel="1">
      <c r="A166" s="296"/>
      <c r="B166" s="33" t="s">
        <v>117</v>
      </c>
      <c r="C166" s="315" t="s">
        <v>105</v>
      </c>
      <c r="D166" s="315"/>
      <c r="E166" s="62"/>
      <c r="F166" s="62"/>
      <c r="G166" s="62"/>
      <c r="H166" s="62"/>
      <c r="I166" s="62"/>
      <c r="J166" s="62"/>
      <c r="K166" s="62"/>
      <c r="L166" s="62">
        <f t="shared" ref="L166:O166" si="214">SUM(L164:L165)</f>
        <v>700</v>
      </c>
      <c r="M166" s="62">
        <f t="shared" si="214"/>
        <v>700</v>
      </c>
      <c r="N166" s="62">
        <f t="shared" si="214"/>
        <v>700</v>
      </c>
      <c r="O166" s="62">
        <f t="shared" si="214"/>
        <v>700</v>
      </c>
      <c r="P166" s="62">
        <f t="shared" ref="P166:W166" si="215">SUM(P164:P165)</f>
        <v>700</v>
      </c>
      <c r="Q166" s="62">
        <f t="shared" si="215"/>
        <v>700</v>
      </c>
      <c r="R166" s="62">
        <f t="shared" si="215"/>
        <v>560</v>
      </c>
      <c r="S166" s="62">
        <f t="shared" ref="S166:T166" si="216">SUM(S164:S165)</f>
        <v>560</v>
      </c>
      <c r="T166" s="62">
        <f t="shared" si="216"/>
        <v>560</v>
      </c>
      <c r="U166" s="62">
        <f>SUM(U164:U165)</f>
        <v>500</v>
      </c>
      <c r="V166" s="62">
        <f t="shared" si="215"/>
        <v>500</v>
      </c>
      <c r="W166" s="62">
        <f t="shared" si="215"/>
        <v>500</v>
      </c>
      <c r="X166" s="62">
        <f>SUM(X164:X165)</f>
        <v>500</v>
      </c>
      <c r="Y166" s="62">
        <f t="shared" ref="Y166:AV166" si="217">SUM(Y164:Y165)</f>
        <v>500</v>
      </c>
      <c r="Z166" s="62">
        <f t="shared" si="217"/>
        <v>500</v>
      </c>
      <c r="AA166" s="62">
        <f t="shared" si="217"/>
        <v>500</v>
      </c>
      <c r="AB166" s="62">
        <f t="shared" si="217"/>
        <v>500</v>
      </c>
      <c r="AC166" s="62">
        <f t="shared" si="217"/>
        <v>500</v>
      </c>
      <c r="AD166" s="62">
        <f t="shared" si="217"/>
        <v>500</v>
      </c>
      <c r="AE166" s="62">
        <f t="shared" si="217"/>
        <v>500</v>
      </c>
      <c r="AF166" s="62">
        <f t="shared" si="217"/>
        <v>500</v>
      </c>
      <c r="AG166" s="62">
        <f t="shared" si="217"/>
        <v>500</v>
      </c>
      <c r="AH166" s="62">
        <f t="shared" si="217"/>
        <v>500</v>
      </c>
      <c r="AI166" s="62">
        <f t="shared" si="217"/>
        <v>500</v>
      </c>
      <c r="AJ166" s="62">
        <f t="shared" si="217"/>
        <v>500</v>
      </c>
      <c r="AK166" s="62">
        <f t="shared" si="217"/>
        <v>500</v>
      </c>
      <c r="AL166" s="62">
        <f t="shared" si="217"/>
        <v>500</v>
      </c>
      <c r="AM166" s="62">
        <f t="shared" si="217"/>
        <v>500</v>
      </c>
      <c r="AN166" s="62">
        <f t="shared" si="217"/>
        <v>500</v>
      </c>
      <c r="AO166" s="62">
        <f t="shared" si="217"/>
        <v>500</v>
      </c>
      <c r="AP166" s="62">
        <f t="shared" si="217"/>
        <v>500</v>
      </c>
      <c r="AQ166" s="62">
        <f t="shared" si="217"/>
        <v>500</v>
      </c>
      <c r="AR166" s="62">
        <f t="shared" si="217"/>
        <v>500</v>
      </c>
      <c r="AS166" s="62">
        <f t="shared" si="217"/>
        <v>500</v>
      </c>
      <c r="AT166" s="62">
        <f t="shared" si="217"/>
        <v>500</v>
      </c>
      <c r="AU166" s="62">
        <f t="shared" si="217"/>
        <v>500</v>
      </c>
      <c r="AV166" s="62">
        <f t="shared" si="217"/>
        <v>500</v>
      </c>
      <c r="AW166" s="31"/>
      <c r="AX166" s="27"/>
    </row>
    <row r="167" spans="1:50" ht="12.75" hidden="1" customHeight="1" outlineLevel="1">
      <c r="A167" s="296"/>
      <c r="B167" s="67"/>
      <c r="C167" s="64"/>
      <c r="D167" s="64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31"/>
      <c r="AX167" s="27"/>
    </row>
    <row r="168" spans="1:50" ht="12.75" hidden="1" customHeight="1" outlineLevel="1">
      <c r="A168" s="296"/>
      <c r="B168" s="13" t="s">
        <v>182</v>
      </c>
      <c r="C168" s="23"/>
      <c r="D168" s="23"/>
      <c r="E168" s="24"/>
      <c r="F168" s="24"/>
      <c r="G168" s="24"/>
      <c r="H168" s="24"/>
      <c r="I168" s="25"/>
      <c r="J168" s="24"/>
      <c r="K168" s="25"/>
      <c r="L168" s="25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6"/>
      <c r="AX168" s="27"/>
    </row>
    <row r="169" spans="1:50" ht="12.75" hidden="1" customHeight="1" outlineLevel="1">
      <c r="A169" s="296"/>
      <c r="B169" s="28" t="s">
        <v>178</v>
      </c>
      <c r="C169" s="23" t="s">
        <v>105</v>
      </c>
      <c r="D169" s="23"/>
      <c r="E169" s="31"/>
      <c r="F169" s="31"/>
      <c r="G169" s="31"/>
      <c r="H169" s="31"/>
      <c r="I169" s="31"/>
      <c r="J169" s="31"/>
      <c r="K169" s="225"/>
      <c r="L169" s="225">
        <f>L162*20%</f>
        <v>60</v>
      </c>
      <c r="M169" s="12">
        <f t="shared" ref="M169:M170" si="218">L169</f>
        <v>60</v>
      </c>
      <c r="N169" s="12">
        <f t="shared" ref="N169:N170" si="219">M169</f>
        <v>60</v>
      </c>
      <c r="O169" s="12">
        <f t="shared" ref="O169:O170" si="220">N169</f>
        <v>60</v>
      </c>
      <c r="P169" s="12">
        <f t="shared" ref="P169:AV169" si="221">O169</f>
        <v>60</v>
      </c>
      <c r="Q169" s="12">
        <f t="shared" si="221"/>
        <v>60</v>
      </c>
      <c r="R169" s="225">
        <f>O169*80%</f>
        <v>48</v>
      </c>
      <c r="S169" s="12">
        <f t="shared" si="221"/>
        <v>48</v>
      </c>
      <c r="T169" s="12">
        <f t="shared" si="221"/>
        <v>48</v>
      </c>
      <c r="U169" s="225">
        <f>U162*20%</f>
        <v>45</v>
      </c>
      <c r="V169" s="12">
        <f t="shared" si="221"/>
        <v>45</v>
      </c>
      <c r="W169" s="12">
        <f t="shared" si="221"/>
        <v>45</v>
      </c>
      <c r="X169" s="12">
        <f t="shared" si="221"/>
        <v>45</v>
      </c>
      <c r="Y169" s="12">
        <f t="shared" si="221"/>
        <v>45</v>
      </c>
      <c r="Z169" s="12">
        <f t="shared" si="221"/>
        <v>45</v>
      </c>
      <c r="AA169" s="12">
        <f t="shared" si="221"/>
        <v>45</v>
      </c>
      <c r="AB169" s="12">
        <f t="shared" si="221"/>
        <v>45</v>
      </c>
      <c r="AC169" s="12">
        <f t="shared" si="221"/>
        <v>45</v>
      </c>
      <c r="AD169" s="12">
        <f t="shared" si="221"/>
        <v>45</v>
      </c>
      <c r="AE169" s="12">
        <f t="shared" si="221"/>
        <v>45</v>
      </c>
      <c r="AF169" s="12">
        <f t="shared" si="221"/>
        <v>45</v>
      </c>
      <c r="AG169" s="12">
        <f t="shared" si="221"/>
        <v>45</v>
      </c>
      <c r="AH169" s="12">
        <f t="shared" si="221"/>
        <v>45</v>
      </c>
      <c r="AI169" s="12">
        <f t="shared" si="221"/>
        <v>45</v>
      </c>
      <c r="AJ169" s="12">
        <f t="shared" si="221"/>
        <v>45</v>
      </c>
      <c r="AK169" s="12">
        <f t="shared" si="221"/>
        <v>45</v>
      </c>
      <c r="AL169" s="12">
        <f t="shared" si="221"/>
        <v>45</v>
      </c>
      <c r="AM169" s="12">
        <f t="shared" si="221"/>
        <v>45</v>
      </c>
      <c r="AN169" s="12">
        <f t="shared" si="221"/>
        <v>45</v>
      </c>
      <c r="AO169" s="12">
        <f t="shared" si="221"/>
        <v>45</v>
      </c>
      <c r="AP169" s="12">
        <f t="shared" si="221"/>
        <v>45</v>
      </c>
      <c r="AQ169" s="12">
        <f t="shared" si="221"/>
        <v>45</v>
      </c>
      <c r="AR169" s="12">
        <f t="shared" si="221"/>
        <v>45</v>
      </c>
      <c r="AS169" s="12">
        <f t="shared" si="221"/>
        <v>45</v>
      </c>
      <c r="AT169" s="12">
        <f t="shared" si="221"/>
        <v>45</v>
      </c>
      <c r="AU169" s="12">
        <f t="shared" si="221"/>
        <v>45</v>
      </c>
      <c r="AV169" s="12">
        <f t="shared" si="221"/>
        <v>45</v>
      </c>
      <c r="AW169" s="31"/>
      <c r="AX169" s="27"/>
    </row>
    <row r="170" spans="1:50" ht="12.75" hidden="1" customHeight="1" outlineLevel="1">
      <c r="A170" s="296"/>
      <c r="B170" s="28" t="s">
        <v>179</v>
      </c>
      <c r="C170" s="23" t="s">
        <v>105</v>
      </c>
      <c r="D170" s="23"/>
      <c r="E170" s="24"/>
      <c r="F170" s="24"/>
      <c r="G170" s="24"/>
      <c r="H170" s="24"/>
      <c r="I170" s="25"/>
      <c r="J170" s="24"/>
      <c r="K170" s="225"/>
      <c r="L170" s="225">
        <f>L163*20%</f>
        <v>72</v>
      </c>
      <c r="M170" s="12">
        <f t="shared" si="218"/>
        <v>72</v>
      </c>
      <c r="N170" s="12">
        <f t="shared" si="219"/>
        <v>72</v>
      </c>
      <c r="O170" s="12">
        <f t="shared" si="220"/>
        <v>72</v>
      </c>
      <c r="P170" s="12">
        <f t="shared" ref="P170:AV170" si="222">O170</f>
        <v>72</v>
      </c>
      <c r="Q170" s="12">
        <f t="shared" si="222"/>
        <v>72</v>
      </c>
      <c r="R170" s="225">
        <f>O170*80%</f>
        <v>57.6</v>
      </c>
      <c r="S170" s="12">
        <f t="shared" si="222"/>
        <v>57.6</v>
      </c>
      <c r="T170" s="12">
        <f t="shared" si="222"/>
        <v>57.6</v>
      </c>
      <c r="U170" s="225">
        <f>U163*20%</f>
        <v>50</v>
      </c>
      <c r="V170" s="12">
        <f t="shared" si="222"/>
        <v>50</v>
      </c>
      <c r="W170" s="12">
        <f t="shared" si="222"/>
        <v>50</v>
      </c>
      <c r="X170" s="12">
        <f t="shared" si="222"/>
        <v>50</v>
      </c>
      <c r="Y170" s="12">
        <f t="shared" si="222"/>
        <v>50</v>
      </c>
      <c r="Z170" s="12">
        <f t="shared" si="222"/>
        <v>50</v>
      </c>
      <c r="AA170" s="12">
        <f t="shared" si="222"/>
        <v>50</v>
      </c>
      <c r="AB170" s="12">
        <f t="shared" si="222"/>
        <v>50</v>
      </c>
      <c r="AC170" s="12">
        <f t="shared" si="222"/>
        <v>50</v>
      </c>
      <c r="AD170" s="12">
        <f t="shared" si="222"/>
        <v>50</v>
      </c>
      <c r="AE170" s="12">
        <f t="shared" si="222"/>
        <v>50</v>
      </c>
      <c r="AF170" s="12">
        <f t="shared" si="222"/>
        <v>50</v>
      </c>
      <c r="AG170" s="12">
        <f t="shared" si="222"/>
        <v>50</v>
      </c>
      <c r="AH170" s="12">
        <f t="shared" si="222"/>
        <v>50</v>
      </c>
      <c r="AI170" s="12">
        <f t="shared" si="222"/>
        <v>50</v>
      </c>
      <c r="AJ170" s="12">
        <f t="shared" si="222"/>
        <v>50</v>
      </c>
      <c r="AK170" s="12">
        <f t="shared" si="222"/>
        <v>50</v>
      </c>
      <c r="AL170" s="12">
        <f t="shared" si="222"/>
        <v>50</v>
      </c>
      <c r="AM170" s="12">
        <f t="shared" si="222"/>
        <v>50</v>
      </c>
      <c r="AN170" s="12">
        <f t="shared" si="222"/>
        <v>50</v>
      </c>
      <c r="AO170" s="12">
        <f t="shared" si="222"/>
        <v>50</v>
      </c>
      <c r="AP170" s="12">
        <f t="shared" si="222"/>
        <v>50</v>
      </c>
      <c r="AQ170" s="12">
        <f t="shared" si="222"/>
        <v>50</v>
      </c>
      <c r="AR170" s="12">
        <f t="shared" si="222"/>
        <v>50</v>
      </c>
      <c r="AS170" s="12">
        <f t="shared" si="222"/>
        <v>50</v>
      </c>
      <c r="AT170" s="12">
        <f t="shared" si="222"/>
        <v>50</v>
      </c>
      <c r="AU170" s="12">
        <f t="shared" si="222"/>
        <v>50</v>
      </c>
      <c r="AV170" s="12">
        <f t="shared" si="222"/>
        <v>50</v>
      </c>
      <c r="AW170" s="31"/>
      <c r="AX170" s="27"/>
    </row>
    <row r="171" spans="1:50" ht="12.75" hidden="1" customHeight="1" outlineLevel="1">
      <c r="A171" s="296"/>
      <c r="B171" s="33" t="s">
        <v>118</v>
      </c>
      <c r="C171" s="315" t="s">
        <v>105</v>
      </c>
      <c r="D171" s="315"/>
      <c r="E171" s="62"/>
      <c r="F171" s="62"/>
      <c r="G171" s="62"/>
      <c r="H171" s="62"/>
      <c r="I171" s="62"/>
      <c r="J171" s="62"/>
      <c r="K171" s="62"/>
      <c r="L171" s="62">
        <f>SUM(L169:L170)</f>
        <v>132</v>
      </c>
      <c r="M171" s="62">
        <f t="shared" ref="M171:O171" si="223">SUM(M169:M170)</f>
        <v>132</v>
      </c>
      <c r="N171" s="62">
        <f t="shared" si="223"/>
        <v>132</v>
      </c>
      <c r="O171" s="62">
        <f t="shared" si="223"/>
        <v>132</v>
      </c>
      <c r="P171" s="62">
        <f t="shared" ref="P171:AV171" si="224">SUM(P169:P170)</f>
        <v>132</v>
      </c>
      <c r="Q171" s="62">
        <f t="shared" si="224"/>
        <v>132</v>
      </c>
      <c r="R171" s="62">
        <f t="shared" si="224"/>
        <v>105.6</v>
      </c>
      <c r="S171" s="62">
        <f t="shared" si="224"/>
        <v>105.6</v>
      </c>
      <c r="T171" s="62">
        <f t="shared" si="224"/>
        <v>105.6</v>
      </c>
      <c r="U171" s="62">
        <f t="shared" si="224"/>
        <v>95</v>
      </c>
      <c r="V171" s="62">
        <f t="shared" si="224"/>
        <v>95</v>
      </c>
      <c r="W171" s="62">
        <f t="shared" si="224"/>
        <v>95</v>
      </c>
      <c r="X171" s="62">
        <f t="shared" si="224"/>
        <v>95</v>
      </c>
      <c r="Y171" s="62">
        <f t="shared" si="224"/>
        <v>95</v>
      </c>
      <c r="Z171" s="62">
        <f t="shared" si="224"/>
        <v>95</v>
      </c>
      <c r="AA171" s="62">
        <f t="shared" si="224"/>
        <v>95</v>
      </c>
      <c r="AB171" s="62">
        <f t="shared" si="224"/>
        <v>95</v>
      </c>
      <c r="AC171" s="62">
        <f t="shared" si="224"/>
        <v>95</v>
      </c>
      <c r="AD171" s="62">
        <f t="shared" si="224"/>
        <v>95</v>
      </c>
      <c r="AE171" s="62">
        <f t="shared" si="224"/>
        <v>95</v>
      </c>
      <c r="AF171" s="62">
        <f t="shared" si="224"/>
        <v>95</v>
      </c>
      <c r="AG171" s="62">
        <f t="shared" si="224"/>
        <v>95</v>
      </c>
      <c r="AH171" s="62">
        <f t="shared" si="224"/>
        <v>95</v>
      </c>
      <c r="AI171" s="62">
        <f t="shared" si="224"/>
        <v>95</v>
      </c>
      <c r="AJ171" s="62">
        <f t="shared" si="224"/>
        <v>95</v>
      </c>
      <c r="AK171" s="62">
        <f t="shared" si="224"/>
        <v>95</v>
      </c>
      <c r="AL171" s="62">
        <f t="shared" si="224"/>
        <v>95</v>
      </c>
      <c r="AM171" s="62">
        <f t="shared" si="224"/>
        <v>95</v>
      </c>
      <c r="AN171" s="62">
        <f t="shared" si="224"/>
        <v>95</v>
      </c>
      <c r="AO171" s="62">
        <f t="shared" si="224"/>
        <v>95</v>
      </c>
      <c r="AP171" s="62">
        <f t="shared" si="224"/>
        <v>95</v>
      </c>
      <c r="AQ171" s="62">
        <f t="shared" si="224"/>
        <v>95</v>
      </c>
      <c r="AR171" s="62">
        <f t="shared" si="224"/>
        <v>95</v>
      </c>
      <c r="AS171" s="62">
        <f t="shared" si="224"/>
        <v>95</v>
      </c>
      <c r="AT171" s="62">
        <f t="shared" si="224"/>
        <v>95</v>
      </c>
      <c r="AU171" s="62">
        <f t="shared" si="224"/>
        <v>95</v>
      </c>
      <c r="AV171" s="62">
        <f t="shared" si="224"/>
        <v>95</v>
      </c>
      <c r="AW171" s="31"/>
      <c r="AX171" s="27"/>
    </row>
    <row r="172" spans="1:50" ht="12.75" hidden="1" customHeight="1" outlineLevel="1">
      <c r="A172" s="296"/>
      <c r="B172" s="28" t="s">
        <v>180</v>
      </c>
      <c r="C172" s="23" t="s">
        <v>105</v>
      </c>
      <c r="D172" s="315"/>
      <c r="E172" s="12"/>
      <c r="F172" s="12"/>
      <c r="G172" s="12"/>
      <c r="H172" s="12"/>
      <c r="I172" s="12"/>
      <c r="J172" s="12"/>
      <c r="K172" s="12"/>
      <c r="L172" s="12">
        <f>0</f>
        <v>0</v>
      </c>
      <c r="M172" s="12">
        <f>0</f>
        <v>0</v>
      </c>
      <c r="N172" s="12">
        <f>0</f>
        <v>0</v>
      </c>
      <c r="O172" s="12">
        <f>0</f>
        <v>0</v>
      </c>
      <c r="P172" s="12">
        <f>0</f>
        <v>0</v>
      </c>
      <c r="Q172" s="12">
        <f>0</f>
        <v>0</v>
      </c>
      <c r="R172" s="12">
        <f>0</f>
        <v>0</v>
      </c>
      <c r="S172" s="12">
        <f>0</f>
        <v>0</v>
      </c>
      <c r="T172" s="12">
        <f>0</f>
        <v>0</v>
      </c>
      <c r="U172" s="12">
        <f>0</f>
        <v>0</v>
      </c>
      <c r="V172" s="12">
        <f>0</f>
        <v>0</v>
      </c>
      <c r="W172" s="12">
        <f>0</f>
        <v>0</v>
      </c>
      <c r="X172" s="12">
        <f>0</f>
        <v>0</v>
      </c>
      <c r="Y172" s="12">
        <f>0</f>
        <v>0</v>
      </c>
      <c r="Z172" s="12">
        <f>0</f>
        <v>0</v>
      </c>
      <c r="AA172" s="12">
        <f>0</f>
        <v>0</v>
      </c>
      <c r="AB172" s="12">
        <f>0</f>
        <v>0</v>
      </c>
      <c r="AC172" s="12">
        <f>0</f>
        <v>0</v>
      </c>
      <c r="AD172" s="12">
        <f>0</f>
        <v>0</v>
      </c>
      <c r="AE172" s="12">
        <f>0</f>
        <v>0</v>
      </c>
      <c r="AF172" s="12">
        <f>0</f>
        <v>0</v>
      </c>
      <c r="AG172" s="12">
        <f>0</f>
        <v>0</v>
      </c>
      <c r="AH172" s="12">
        <f>0</f>
        <v>0</v>
      </c>
      <c r="AI172" s="12">
        <f>0</f>
        <v>0</v>
      </c>
      <c r="AJ172" s="12">
        <f>0</f>
        <v>0</v>
      </c>
      <c r="AK172" s="12">
        <f>0</f>
        <v>0</v>
      </c>
      <c r="AL172" s="12">
        <f>0</f>
        <v>0</v>
      </c>
      <c r="AM172" s="12">
        <f>0</f>
        <v>0</v>
      </c>
      <c r="AN172" s="12">
        <f>0</f>
        <v>0</v>
      </c>
      <c r="AO172" s="12">
        <f>0</f>
        <v>0</v>
      </c>
      <c r="AP172" s="12">
        <f>0</f>
        <v>0</v>
      </c>
      <c r="AQ172" s="12">
        <f>0</f>
        <v>0</v>
      </c>
      <c r="AR172" s="12">
        <f>0</f>
        <v>0</v>
      </c>
      <c r="AS172" s="12">
        <f>0</f>
        <v>0</v>
      </c>
      <c r="AT172" s="12">
        <f>0</f>
        <v>0</v>
      </c>
      <c r="AU172" s="12">
        <f>0</f>
        <v>0</v>
      </c>
      <c r="AV172" s="12">
        <f>0</f>
        <v>0</v>
      </c>
      <c r="AW172" s="31"/>
      <c r="AX172" s="27"/>
    </row>
    <row r="173" spans="1:50" ht="12.75" hidden="1" customHeight="1" outlineLevel="1">
      <c r="A173" s="296"/>
      <c r="B173" s="33" t="s">
        <v>181</v>
      </c>
      <c r="C173" s="315" t="s">
        <v>105</v>
      </c>
      <c r="D173" s="315"/>
      <c r="E173" s="62"/>
      <c r="F173" s="62"/>
      <c r="G173" s="62"/>
      <c r="H173" s="62"/>
      <c r="I173" s="62"/>
      <c r="J173" s="62"/>
      <c r="K173" s="62"/>
      <c r="L173" s="62">
        <f t="shared" ref="L173:O173" si="225">SUM(L171:L172)</f>
        <v>132</v>
      </c>
      <c r="M173" s="62">
        <f t="shared" si="225"/>
        <v>132</v>
      </c>
      <c r="N173" s="62">
        <f t="shared" si="225"/>
        <v>132</v>
      </c>
      <c r="O173" s="62">
        <f t="shared" si="225"/>
        <v>132</v>
      </c>
      <c r="P173" s="62">
        <f t="shared" ref="P173:AV173" si="226">SUM(P171:P172)</f>
        <v>132</v>
      </c>
      <c r="Q173" s="62">
        <f t="shared" si="226"/>
        <v>132</v>
      </c>
      <c r="R173" s="62">
        <f t="shared" si="226"/>
        <v>105.6</v>
      </c>
      <c r="S173" s="62">
        <f t="shared" si="226"/>
        <v>105.6</v>
      </c>
      <c r="T173" s="62">
        <f t="shared" si="226"/>
        <v>105.6</v>
      </c>
      <c r="U173" s="62">
        <f t="shared" si="226"/>
        <v>95</v>
      </c>
      <c r="V173" s="62">
        <f t="shared" si="226"/>
        <v>95</v>
      </c>
      <c r="W173" s="62">
        <f t="shared" si="226"/>
        <v>95</v>
      </c>
      <c r="X173" s="62">
        <f t="shared" si="226"/>
        <v>95</v>
      </c>
      <c r="Y173" s="62">
        <f t="shared" si="226"/>
        <v>95</v>
      </c>
      <c r="Z173" s="62">
        <f t="shared" si="226"/>
        <v>95</v>
      </c>
      <c r="AA173" s="62">
        <f t="shared" si="226"/>
        <v>95</v>
      </c>
      <c r="AB173" s="62">
        <f t="shared" si="226"/>
        <v>95</v>
      </c>
      <c r="AC173" s="62">
        <f t="shared" si="226"/>
        <v>95</v>
      </c>
      <c r="AD173" s="62">
        <f t="shared" si="226"/>
        <v>95</v>
      </c>
      <c r="AE173" s="62">
        <f t="shared" si="226"/>
        <v>95</v>
      </c>
      <c r="AF173" s="62">
        <f t="shared" si="226"/>
        <v>95</v>
      </c>
      <c r="AG173" s="62">
        <f t="shared" si="226"/>
        <v>95</v>
      </c>
      <c r="AH173" s="62">
        <f t="shared" si="226"/>
        <v>95</v>
      </c>
      <c r="AI173" s="62">
        <f t="shared" si="226"/>
        <v>95</v>
      </c>
      <c r="AJ173" s="62">
        <f t="shared" si="226"/>
        <v>95</v>
      </c>
      <c r="AK173" s="62">
        <f t="shared" si="226"/>
        <v>95</v>
      </c>
      <c r="AL173" s="62">
        <f t="shared" si="226"/>
        <v>95</v>
      </c>
      <c r="AM173" s="62">
        <f t="shared" si="226"/>
        <v>95</v>
      </c>
      <c r="AN173" s="62">
        <f t="shared" si="226"/>
        <v>95</v>
      </c>
      <c r="AO173" s="62">
        <f t="shared" si="226"/>
        <v>95</v>
      </c>
      <c r="AP173" s="62">
        <f t="shared" si="226"/>
        <v>95</v>
      </c>
      <c r="AQ173" s="62">
        <f t="shared" si="226"/>
        <v>95</v>
      </c>
      <c r="AR173" s="62">
        <f t="shared" si="226"/>
        <v>95</v>
      </c>
      <c r="AS173" s="62">
        <f t="shared" si="226"/>
        <v>95</v>
      </c>
      <c r="AT173" s="62">
        <f t="shared" si="226"/>
        <v>95</v>
      </c>
      <c r="AU173" s="62">
        <f t="shared" si="226"/>
        <v>95</v>
      </c>
      <c r="AV173" s="62">
        <f t="shared" si="226"/>
        <v>95</v>
      </c>
      <c r="AW173" s="31"/>
      <c r="AX173" s="27"/>
    </row>
    <row r="174" spans="1:50" ht="12.75" hidden="1" customHeight="1" outlineLevel="1">
      <c r="A174" s="296"/>
      <c r="B174" s="67"/>
      <c r="C174" s="64"/>
      <c r="D174" s="64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31"/>
      <c r="AX174" s="27"/>
    </row>
    <row r="175" spans="1:50" ht="12.75" hidden="1" customHeight="1" outlineLevel="1">
      <c r="A175" s="296"/>
      <c r="B175" s="67"/>
      <c r="C175" s="64"/>
      <c r="D175" s="64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31"/>
      <c r="AX175" s="27"/>
    </row>
    <row r="176" spans="1:50" ht="12.75" hidden="1" customHeight="1" outlineLevel="1">
      <c r="A176" s="296"/>
      <c r="B176" s="13" t="s">
        <v>0</v>
      </c>
      <c r="C176" s="23"/>
      <c r="D176" s="23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6"/>
      <c r="AX176" s="10"/>
    </row>
    <row r="177" spans="1:50" ht="12.75" hidden="1" customHeight="1" outlineLevel="1">
      <c r="A177" s="296"/>
      <c r="B177" s="28" t="s">
        <v>103</v>
      </c>
      <c r="C177" s="23" t="s">
        <v>42</v>
      </c>
      <c r="D177" s="23"/>
      <c r="E177" s="24"/>
      <c r="F177" s="24"/>
      <c r="G177" s="24"/>
      <c r="H177" s="24"/>
      <c r="I177" s="24"/>
      <c r="J177" s="24"/>
      <c r="K177" s="24"/>
      <c r="L177" s="24">
        <f t="shared" ref="L177:AV177" si="227">IF(L77=0,0,((L162*L77)/10^3+(L169*(L77*L89))/10^3))</f>
        <v>36.697716506879999</v>
      </c>
      <c r="M177" s="24">
        <f t="shared" si="227"/>
        <v>36.697716506879999</v>
      </c>
      <c r="N177" s="24">
        <f t="shared" si="227"/>
        <v>40.216675623978084</v>
      </c>
      <c r="O177" s="24">
        <f t="shared" si="227"/>
        <v>40.216675623978084</v>
      </c>
      <c r="P177" s="24">
        <f t="shared" si="227"/>
        <v>40.216675623978084</v>
      </c>
      <c r="Q177" s="24">
        <f t="shared" si="227"/>
        <v>40.216675623978084</v>
      </c>
      <c r="R177" s="24">
        <f t="shared" si="227"/>
        <v>207.36723368613696</v>
      </c>
      <c r="S177" s="24">
        <f t="shared" si="227"/>
        <v>414.73446737227391</v>
      </c>
      <c r="T177" s="24">
        <f t="shared" si="227"/>
        <v>414.73446737227391</v>
      </c>
      <c r="U177" s="24">
        <f t="shared" si="227"/>
        <v>388.81356316150686</v>
      </c>
      <c r="V177" s="24">
        <f t="shared" si="227"/>
        <v>388.81356316150686</v>
      </c>
      <c r="W177" s="24">
        <f t="shared" si="227"/>
        <v>388.81356316150686</v>
      </c>
      <c r="X177" s="24">
        <f t="shared" si="227"/>
        <v>388.81356316150686</v>
      </c>
      <c r="Y177" s="24">
        <f t="shared" si="227"/>
        <v>388.81356316150686</v>
      </c>
      <c r="Z177" s="24">
        <f t="shared" si="227"/>
        <v>388.81356316150686</v>
      </c>
      <c r="AA177" s="24">
        <f t="shared" si="227"/>
        <v>388.81356316150686</v>
      </c>
      <c r="AB177" s="24">
        <f t="shared" si="227"/>
        <v>388.81356316150686</v>
      </c>
      <c r="AC177" s="24">
        <f t="shared" si="227"/>
        <v>388.81356316150686</v>
      </c>
      <c r="AD177" s="24">
        <f t="shared" si="227"/>
        <v>388.81356316150686</v>
      </c>
      <c r="AE177" s="24">
        <f t="shared" si="227"/>
        <v>388.81356316150686</v>
      </c>
      <c r="AF177" s="24">
        <f t="shared" si="227"/>
        <v>388.81356316150686</v>
      </c>
      <c r="AG177" s="24">
        <f t="shared" si="227"/>
        <v>388.81356316150686</v>
      </c>
      <c r="AH177" s="24">
        <f t="shared" si="227"/>
        <v>388.81356316150686</v>
      </c>
      <c r="AI177" s="24">
        <f t="shared" si="227"/>
        <v>388.81356316150686</v>
      </c>
      <c r="AJ177" s="24">
        <f t="shared" si="227"/>
        <v>388.81356316150686</v>
      </c>
      <c r="AK177" s="24">
        <f t="shared" si="227"/>
        <v>388.81356316150686</v>
      </c>
      <c r="AL177" s="24">
        <f t="shared" si="227"/>
        <v>388.81356316150686</v>
      </c>
      <c r="AM177" s="24">
        <f t="shared" si="227"/>
        <v>388.81356316150686</v>
      </c>
      <c r="AN177" s="24">
        <f t="shared" si="227"/>
        <v>388.81356316150686</v>
      </c>
      <c r="AO177" s="24">
        <f t="shared" si="227"/>
        <v>388.81356316150686</v>
      </c>
      <c r="AP177" s="24">
        <f t="shared" si="227"/>
        <v>388.81356316150686</v>
      </c>
      <c r="AQ177" s="24">
        <f t="shared" si="227"/>
        <v>388.81356316150686</v>
      </c>
      <c r="AR177" s="24">
        <f t="shared" si="227"/>
        <v>388.81356316150686</v>
      </c>
      <c r="AS177" s="24">
        <f t="shared" si="227"/>
        <v>388.81356316150686</v>
      </c>
      <c r="AT177" s="24">
        <f t="shared" si="227"/>
        <v>388.81356316150686</v>
      </c>
      <c r="AU177" s="24">
        <f t="shared" si="227"/>
        <v>388.81356316150686</v>
      </c>
      <c r="AV177" s="24">
        <f t="shared" si="227"/>
        <v>388.81356316150686</v>
      </c>
      <c r="AW177" s="26"/>
      <c r="AX177" s="10"/>
    </row>
    <row r="178" spans="1:50" ht="12.75" hidden="1" customHeight="1" outlineLevel="1">
      <c r="A178" s="296"/>
      <c r="B178" s="28" t="s">
        <v>7</v>
      </c>
      <c r="C178" s="23" t="s">
        <v>42</v>
      </c>
      <c r="D178" s="23"/>
      <c r="E178" s="24"/>
      <c r="F178" s="24"/>
      <c r="G178" s="24"/>
      <c r="H178" s="24"/>
      <c r="I178" s="24"/>
      <c r="J178" s="24"/>
      <c r="K178" s="24"/>
      <c r="L178" s="24">
        <f t="shared" ref="L178:AV178" si="228">IF(L77=0,0,((L163*L77)/10^3+(L170*(L77*L89))/10^3))</f>
        <v>44.037259808256003</v>
      </c>
      <c r="M178" s="24">
        <f t="shared" si="228"/>
        <v>44.037259808256003</v>
      </c>
      <c r="N178" s="24">
        <f t="shared" si="228"/>
        <v>48.260010748773702</v>
      </c>
      <c r="O178" s="24">
        <f t="shared" si="228"/>
        <v>48.260010748773702</v>
      </c>
      <c r="P178" s="24">
        <f t="shared" si="228"/>
        <v>48.260010748773702</v>
      </c>
      <c r="Q178" s="24">
        <f>IF(Q77=0,0,((Q163*Q77)/10^3+(Q170*(Q77*Q89))/10^3))</f>
        <v>48.260010748773702</v>
      </c>
      <c r="R178" s="24">
        <f t="shared" si="228"/>
        <v>248.84068042336435</v>
      </c>
      <c r="S178" s="24">
        <f t="shared" si="228"/>
        <v>497.68136084672869</v>
      </c>
      <c r="T178" s="24">
        <f t="shared" si="228"/>
        <v>497.68136084672869</v>
      </c>
      <c r="U178" s="24">
        <f t="shared" si="228"/>
        <v>432.01507017945198</v>
      </c>
      <c r="V178" s="24">
        <f t="shared" si="228"/>
        <v>432.01507017945198</v>
      </c>
      <c r="W178" s="24">
        <f t="shared" si="228"/>
        <v>432.01507017945198</v>
      </c>
      <c r="X178" s="24">
        <f t="shared" si="228"/>
        <v>432.01507017945198</v>
      </c>
      <c r="Y178" s="24">
        <f t="shared" si="228"/>
        <v>432.01507017945198</v>
      </c>
      <c r="Z178" s="24">
        <f t="shared" si="228"/>
        <v>432.01507017945198</v>
      </c>
      <c r="AA178" s="24">
        <f t="shared" si="228"/>
        <v>432.01507017945198</v>
      </c>
      <c r="AB178" s="24">
        <f t="shared" si="228"/>
        <v>432.01507017945198</v>
      </c>
      <c r="AC178" s="24">
        <f t="shared" si="228"/>
        <v>432.01507017945198</v>
      </c>
      <c r="AD178" s="24">
        <f t="shared" si="228"/>
        <v>432.01507017945198</v>
      </c>
      <c r="AE178" s="24">
        <f t="shared" si="228"/>
        <v>432.01507017945198</v>
      </c>
      <c r="AF178" s="24">
        <f t="shared" si="228"/>
        <v>432.01507017945198</v>
      </c>
      <c r="AG178" s="24">
        <f t="shared" si="228"/>
        <v>432.01507017945198</v>
      </c>
      <c r="AH178" s="24">
        <f t="shared" si="228"/>
        <v>432.01507017945198</v>
      </c>
      <c r="AI178" s="24">
        <f t="shared" si="228"/>
        <v>432.01507017945198</v>
      </c>
      <c r="AJ178" s="24">
        <f t="shared" si="228"/>
        <v>432.01507017945198</v>
      </c>
      <c r="AK178" s="24">
        <f t="shared" si="228"/>
        <v>432.01507017945198</v>
      </c>
      <c r="AL178" s="24">
        <f t="shared" si="228"/>
        <v>432.01507017945198</v>
      </c>
      <c r="AM178" s="24">
        <f t="shared" si="228"/>
        <v>432.01507017945198</v>
      </c>
      <c r="AN178" s="24">
        <f t="shared" si="228"/>
        <v>432.01507017945198</v>
      </c>
      <c r="AO178" s="24">
        <f t="shared" si="228"/>
        <v>432.01507017945198</v>
      </c>
      <c r="AP178" s="24">
        <f t="shared" si="228"/>
        <v>432.01507017945198</v>
      </c>
      <c r="AQ178" s="24">
        <f t="shared" si="228"/>
        <v>432.01507017945198</v>
      </c>
      <c r="AR178" s="24">
        <f t="shared" si="228"/>
        <v>432.01507017945198</v>
      </c>
      <c r="AS178" s="24">
        <f t="shared" si="228"/>
        <v>432.01507017945198</v>
      </c>
      <c r="AT178" s="24">
        <f t="shared" si="228"/>
        <v>432.01507017945198</v>
      </c>
      <c r="AU178" s="24">
        <f t="shared" si="228"/>
        <v>432.01507017945198</v>
      </c>
      <c r="AV178" s="24">
        <f t="shared" si="228"/>
        <v>432.01507017945198</v>
      </c>
      <c r="AW178" s="26"/>
      <c r="AX178" s="10"/>
    </row>
    <row r="179" spans="1:50" ht="12.75" hidden="1" customHeight="1" outlineLevel="1">
      <c r="A179" s="296"/>
      <c r="B179" s="33" t="s">
        <v>0</v>
      </c>
      <c r="C179" s="315" t="s">
        <v>42</v>
      </c>
      <c r="D179" s="315"/>
      <c r="E179" s="39"/>
      <c r="F179" s="39"/>
      <c r="G179" s="39"/>
      <c r="H179" s="39"/>
      <c r="I179" s="39"/>
      <c r="J179" s="39"/>
      <c r="K179" s="39"/>
      <c r="L179" s="39">
        <f t="shared" ref="L179" si="229">SUM(L177:L178)</f>
        <v>80.734976315136009</v>
      </c>
      <c r="M179" s="39">
        <f t="shared" ref="M179:O179" si="230">SUM(M177:M178)</f>
        <v>80.734976315136009</v>
      </c>
      <c r="N179" s="39">
        <f t="shared" si="230"/>
        <v>88.476686372751786</v>
      </c>
      <c r="O179" s="39">
        <f t="shared" si="230"/>
        <v>88.476686372751786</v>
      </c>
      <c r="P179" s="39">
        <f t="shared" ref="P179" si="231">SUM(P177:P178)</f>
        <v>88.476686372751786</v>
      </c>
      <c r="Q179" s="39">
        <f>SUM(Q177:Q178)</f>
        <v>88.476686372751786</v>
      </c>
      <c r="R179" s="39">
        <f>SUM(R177:R178)</f>
        <v>456.2079141095013</v>
      </c>
      <c r="S179" s="39">
        <f t="shared" ref="S179:AV179" si="232">SUM(S177:S178)</f>
        <v>912.41582821900261</v>
      </c>
      <c r="T179" s="39">
        <f t="shared" si="232"/>
        <v>912.41582821900261</v>
      </c>
      <c r="U179" s="39">
        <f t="shared" si="232"/>
        <v>820.82863334095885</v>
      </c>
      <c r="V179" s="39">
        <f>SUM(V177:V178)</f>
        <v>820.82863334095885</v>
      </c>
      <c r="W179" s="39">
        <f t="shared" si="232"/>
        <v>820.82863334095885</v>
      </c>
      <c r="X179" s="39">
        <f t="shared" si="232"/>
        <v>820.82863334095885</v>
      </c>
      <c r="Y179" s="39">
        <f t="shared" si="232"/>
        <v>820.82863334095885</v>
      </c>
      <c r="Z179" s="39">
        <f t="shared" si="232"/>
        <v>820.82863334095885</v>
      </c>
      <c r="AA179" s="39">
        <f t="shared" si="232"/>
        <v>820.82863334095885</v>
      </c>
      <c r="AB179" s="39">
        <f t="shared" si="232"/>
        <v>820.82863334095885</v>
      </c>
      <c r="AC179" s="39">
        <f t="shared" si="232"/>
        <v>820.82863334095885</v>
      </c>
      <c r="AD179" s="39">
        <f t="shared" si="232"/>
        <v>820.82863334095885</v>
      </c>
      <c r="AE179" s="39">
        <f t="shared" si="232"/>
        <v>820.82863334095885</v>
      </c>
      <c r="AF179" s="39">
        <f t="shared" si="232"/>
        <v>820.82863334095885</v>
      </c>
      <c r="AG179" s="39">
        <f t="shared" si="232"/>
        <v>820.82863334095885</v>
      </c>
      <c r="AH179" s="39">
        <f t="shared" si="232"/>
        <v>820.82863334095885</v>
      </c>
      <c r="AI179" s="39">
        <f t="shared" si="232"/>
        <v>820.82863334095885</v>
      </c>
      <c r="AJ179" s="39">
        <f t="shared" si="232"/>
        <v>820.82863334095885</v>
      </c>
      <c r="AK179" s="39">
        <f t="shared" si="232"/>
        <v>820.82863334095885</v>
      </c>
      <c r="AL179" s="39">
        <f t="shared" si="232"/>
        <v>820.82863334095885</v>
      </c>
      <c r="AM179" s="39">
        <f t="shared" si="232"/>
        <v>820.82863334095885</v>
      </c>
      <c r="AN179" s="39">
        <f t="shared" si="232"/>
        <v>820.82863334095885</v>
      </c>
      <c r="AO179" s="39">
        <f t="shared" si="232"/>
        <v>820.82863334095885</v>
      </c>
      <c r="AP179" s="39">
        <f t="shared" si="232"/>
        <v>820.82863334095885</v>
      </c>
      <c r="AQ179" s="39">
        <f t="shared" si="232"/>
        <v>820.82863334095885</v>
      </c>
      <c r="AR179" s="39">
        <f t="shared" si="232"/>
        <v>820.82863334095885</v>
      </c>
      <c r="AS179" s="39">
        <f t="shared" si="232"/>
        <v>820.82863334095885</v>
      </c>
      <c r="AT179" s="39">
        <f t="shared" si="232"/>
        <v>820.82863334095885</v>
      </c>
      <c r="AU179" s="39">
        <f t="shared" si="232"/>
        <v>820.82863334095885</v>
      </c>
      <c r="AV179" s="39">
        <f t="shared" si="232"/>
        <v>820.82863334095885</v>
      </c>
      <c r="AW179" s="26"/>
      <c r="AX179" s="10"/>
    </row>
    <row r="180" spans="1:50" ht="12.75" hidden="1" customHeight="1" outlineLevel="1">
      <c r="A180" s="296"/>
      <c r="B180" s="28" t="s">
        <v>5</v>
      </c>
      <c r="C180" s="23" t="s">
        <v>42</v>
      </c>
      <c r="D180" s="23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10"/>
    </row>
    <row r="181" spans="1:50" s="4" customFormat="1" ht="13.5" hidden="1" customHeight="1" outlineLevel="1" thickBot="1">
      <c r="A181" s="297"/>
      <c r="B181" s="13" t="s">
        <v>120</v>
      </c>
      <c r="C181" s="315" t="s">
        <v>42</v>
      </c>
      <c r="D181" s="315"/>
      <c r="E181" s="37"/>
      <c r="F181" s="37"/>
      <c r="G181" s="37"/>
      <c r="H181" s="37"/>
      <c r="I181" s="37"/>
      <c r="J181" s="37"/>
      <c r="K181" s="37"/>
      <c r="L181" s="37">
        <f t="shared" ref="L181" si="233">L179+L180</f>
        <v>80.734976315136009</v>
      </c>
      <c r="M181" s="37">
        <f t="shared" ref="M181:O181" si="234">M179+M180</f>
        <v>80.734976315136009</v>
      </c>
      <c r="N181" s="37">
        <f t="shared" si="234"/>
        <v>88.476686372751786</v>
      </c>
      <c r="O181" s="37">
        <f t="shared" si="234"/>
        <v>88.476686372751786</v>
      </c>
      <c r="P181" s="37">
        <f t="shared" ref="P181" si="235">P179+P180</f>
        <v>88.476686372751786</v>
      </c>
      <c r="Q181" s="37">
        <f>Q179+Q180</f>
        <v>88.476686372751786</v>
      </c>
      <c r="R181" s="37">
        <f t="shared" ref="R181:AV181" si="236">R179+R180</f>
        <v>456.2079141095013</v>
      </c>
      <c r="S181" s="37">
        <f>S179+S180</f>
        <v>912.41582821900261</v>
      </c>
      <c r="T181" s="37">
        <f t="shared" si="236"/>
        <v>912.41582821900261</v>
      </c>
      <c r="U181" s="37">
        <f t="shared" si="236"/>
        <v>820.82863334095885</v>
      </c>
      <c r="V181" s="37">
        <f t="shared" si="236"/>
        <v>820.82863334095885</v>
      </c>
      <c r="W181" s="37">
        <f t="shared" si="236"/>
        <v>820.82863334095885</v>
      </c>
      <c r="X181" s="37">
        <f t="shared" si="236"/>
        <v>820.82863334095885</v>
      </c>
      <c r="Y181" s="37">
        <f t="shared" si="236"/>
        <v>820.82863334095885</v>
      </c>
      <c r="Z181" s="37">
        <f t="shared" si="236"/>
        <v>820.82863334095885</v>
      </c>
      <c r="AA181" s="37">
        <f t="shared" si="236"/>
        <v>820.82863334095885</v>
      </c>
      <c r="AB181" s="37">
        <f t="shared" si="236"/>
        <v>820.82863334095885</v>
      </c>
      <c r="AC181" s="37">
        <f t="shared" si="236"/>
        <v>820.82863334095885</v>
      </c>
      <c r="AD181" s="37">
        <f t="shared" si="236"/>
        <v>820.82863334095885</v>
      </c>
      <c r="AE181" s="37">
        <f t="shared" si="236"/>
        <v>820.82863334095885</v>
      </c>
      <c r="AF181" s="37">
        <f t="shared" si="236"/>
        <v>820.82863334095885</v>
      </c>
      <c r="AG181" s="37">
        <f t="shared" si="236"/>
        <v>820.82863334095885</v>
      </c>
      <c r="AH181" s="37">
        <f t="shared" si="236"/>
        <v>820.82863334095885</v>
      </c>
      <c r="AI181" s="37">
        <f t="shared" si="236"/>
        <v>820.82863334095885</v>
      </c>
      <c r="AJ181" s="37">
        <f t="shared" si="236"/>
        <v>820.82863334095885</v>
      </c>
      <c r="AK181" s="37">
        <f t="shared" si="236"/>
        <v>820.82863334095885</v>
      </c>
      <c r="AL181" s="37">
        <f t="shared" si="236"/>
        <v>820.82863334095885</v>
      </c>
      <c r="AM181" s="37">
        <f t="shared" si="236"/>
        <v>820.82863334095885</v>
      </c>
      <c r="AN181" s="37">
        <f t="shared" si="236"/>
        <v>820.82863334095885</v>
      </c>
      <c r="AO181" s="37">
        <f t="shared" si="236"/>
        <v>820.82863334095885</v>
      </c>
      <c r="AP181" s="37">
        <f t="shared" si="236"/>
        <v>820.82863334095885</v>
      </c>
      <c r="AQ181" s="37">
        <f t="shared" si="236"/>
        <v>820.82863334095885</v>
      </c>
      <c r="AR181" s="37">
        <f t="shared" si="236"/>
        <v>820.82863334095885</v>
      </c>
      <c r="AS181" s="37">
        <f t="shared" si="236"/>
        <v>820.82863334095885</v>
      </c>
      <c r="AT181" s="37">
        <f t="shared" si="236"/>
        <v>820.82863334095885</v>
      </c>
      <c r="AU181" s="37">
        <f t="shared" si="236"/>
        <v>820.82863334095885</v>
      </c>
      <c r="AV181" s="37">
        <f t="shared" si="236"/>
        <v>820.82863334095885</v>
      </c>
      <c r="AW181" s="26"/>
    </row>
    <row r="182" spans="1:50" s="4" customFormat="1" ht="13.5" hidden="1" customHeight="1" outlineLevel="1" thickTop="1">
      <c r="A182" s="297"/>
      <c r="B182" s="28" t="s">
        <v>121</v>
      </c>
      <c r="C182" s="23" t="s">
        <v>42</v>
      </c>
      <c r="D182" s="315"/>
      <c r="E182" s="24"/>
      <c r="F182" s="24"/>
      <c r="G182" s="24"/>
      <c r="H182" s="24"/>
      <c r="I182" s="24"/>
      <c r="J182" s="24"/>
      <c r="K182" s="24"/>
      <c r="L182" s="24">
        <f t="shared" ref="L182:P182" si="237">IF(L77=0,0,((L165*L77)/10^3))</f>
        <v>4.7048354496</v>
      </c>
      <c r="M182" s="24">
        <f t="shared" si="237"/>
        <v>4.7048354496</v>
      </c>
      <c r="N182" s="24">
        <f t="shared" si="237"/>
        <v>5.1559840543561641</v>
      </c>
      <c r="O182" s="24">
        <f t="shared" si="237"/>
        <v>5.1559840543561641</v>
      </c>
      <c r="P182" s="24">
        <f t="shared" si="237"/>
        <v>5.1559840543561641</v>
      </c>
      <c r="Q182" s="24">
        <f>IF(Q77=0,0,((Q165*Q77)/10^3))</f>
        <v>5.1559840543561641</v>
      </c>
      <c r="R182" s="24">
        <f t="shared" ref="R182:AV182" si="238">IF(R77=0,0,((R165*R77)/10^3))</f>
        <v>26.585542780273968</v>
      </c>
      <c r="S182" s="24">
        <f t="shared" si="238"/>
        <v>53.171085560547937</v>
      </c>
      <c r="T182" s="24">
        <f t="shared" si="238"/>
        <v>53.171085560547937</v>
      </c>
      <c r="U182" s="24">
        <f t="shared" si="238"/>
        <v>41.539910594178075</v>
      </c>
      <c r="V182" s="24">
        <f t="shared" si="238"/>
        <v>41.539910594178075</v>
      </c>
      <c r="W182" s="24">
        <f t="shared" si="238"/>
        <v>41.539910594178075</v>
      </c>
      <c r="X182" s="24">
        <f t="shared" si="238"/>
        <v>41.539910594178075</v>
      </c>
      <c r="Y182" s="24">
        <f t="shared" si="238"/>
        <v>41.539910594178075</v>
      </c>
      <c r="Z182" s="24">
        <f t="shared" si="238"/>
        <v>41.539910594178075</v>
      </c>
      <c r="AA182" s="24">
        <f t="shared" si="238"/>
        <v>41.539910594178075</v>
      </c>
      <c r="AB182" s="24">
        <f t="shared" si="238"/>
        <v>41.539910594178075</v>
      </c>
      <c r="AC182" s="24">
        <f t="shared" si="238"/>
        <v>41.539910594178075</v>
      </c>
      <c r="AD182" s="24">
        <f t="shared" si="238"/>
        <v>41.539910594178075</v>
      </c>
      <c r="AE182" s="24">
        <f t="shared" si="238"/>
        <v>41.539910594178075</v>
      </c>
      <c r="AF182" s="24">
        <f t="shared" si="238"/>
        <v>41.539910594178075</v>
      </c>
      <c r="AG182" s="24">
        <f t="shared" si="238"/>
        <v>41.539910594178075</v>
      </c>
      <c r="AH182" s="24">
        <f t="shared" si="238"/>
        <v>41.539910594178075</v>
      </c>
      <c r="AI182" s="24">
        <f t="shared" si="238"/>
        <v>41.539910594178075</v>
      </c>
      <c r="AJ182" s="24">
        <f t="shared" si="238"/>
        <v>41.539910594178075</v>
      </c>
      <c r="AK182" s="24">
        <f t="shared" si="238"/>
        <v>41.539910594178075</v>
      </c>
      <c r="AL182" s="24">
        <f t="shared" si="238"/>
        <v>41.539910594178075</v>
      </c>
      <c r="AM182" s="24">
        <f t="shared" si="238"/>
        <v>41.539910594178075</v>
      </c>
      <c r="AN182" s="24">
        <f t="shared" si="238"/>
        <v>41.539910594178075</v>
      </c>
      <c r="AO182" s="24">
        <f t="shared" si="238"/>
        <v>41.539910594178075</v>
      </c>
      <c r="AP182" s="24">
        <f t="shared" si="238"/>
        <v>41.539910594178075</v>
      </c>
      <c r="AQ182" s="24">
        <f t="shared" si="238"/>
        <v>41.539910594178075</v>
      </c>
      <c r="AR182" s="24">
        <f t="shared" si="238"/>
        <v>41.539910594178075</v>
      </c>
      <c r="AS182" s="24">
        <f t="shared" si="238"/>
        <v>41.539910594178075</v>
      </c>
      <c r="AT182" s="24">
        <f t="shared" si="238"/>
        <v>41.539910594178075</v>
      </c>
      <c r="AU182" s="24">
        <f t="shared" si="238"/>
        <v>41.539910594178075</v>
      </c>
      <c r="AV182" s="24">
        <f t="shared" si="238"/>
        <v>41.539910594178075</v>
      </c>
      <c r="AW182" s="26"/>
    </row>
    <row r="183" spans="1:50" s="4" customFormat="1" ht="13.5" hidden="1" customHeight="1" outlineLevel="1" thickBot="1">
      <c r="A183" s="297"/>
      <c r="B183" s="13" t="s">
        <v>3</v>
      </c>
      <c r="C183" s="315" t="s">
        <v>42</v>
      </c>
      <c r="D183" s="315"/>
      <c r="E183" s="37"/>
      <c r="F183" s="37"/>
      <c r="G183" s="37"/>
      <c r="H183" s="37"/>
      <c r="I183" s="37"/>
      <c r="J183" s="37"/>
      <c r="K183" s="37"/>
      <c r="L183" s="37">
        <f t="shared" ref="L183" si="239">L181+L182</f>
        <v>85.439811764736007</v>
      </c>
      <c r="M183" s="37">
        <f t="shared" ref="M183:O183" si="240">M181+M182</f>
        <v>85.439811764736007</v>
      </c>
      <c r="N183" s="37">
        <f t="shared" si="240"/>
        <v>93.632670427107954</v>
      </c>
      <c r="O183" s="37">
        <f t="shared" si="240"/>
        <v>93.632670427107954</v>
      </c>
      <c r="P183" s="37">
        <f t="shared" ref="P183" si="241">P181+P182</f>
        <v>93.632670427107954</v>
      </c>
      <c r="Q183" s="37">
        <f>Q181+Q182</f>
        <v>93.632670427107954</v>
      </c>
      <c r="R183" s="37">
        <f t="shared" ref="R183:AV183" si="242">R181+R182</f>
        <v>482.79345688977526</v>
      </c>
      <c r="S183" s="37">
        <f>S181+S182</f>
        <v>965.58691377955051</v>
      </c>
      <c r="T183" s="37">
        <f t="shared" si="242"/>
        <v>965.58691377955051</v>
      </c>
      <c r="U183" s="37">
        <f t="shared" si="242"/>
        <v>862.36854393513693</v>
      </c>
      <c r="V183" s="37">
        <f t="shared" si="242"/>
        <v>862.36854393513693</v>
      </c>
      <c r="W183" s="37">
        <f t="shared" si="242"/>
        <v>862.36854393513693</v>
      </c>
      <c r="X183" s="37">
        <f t="shared" si="242"/>
        <v>862.36854393513693</v>
      </c>
      <c r="Y183" s="37">
        <f t="shared" si="242"/>
        <v>862.36854393513693</v>
      </c>
      <c r="Z183" s="37">
        <f t="shared" si="242"/>
        <v>862.36854393513693</v>
      </c>
      <c r="AA183" s="37">
        <f t="shared" si="242"/>
        <v>862.36854393513693</v>
      </c>
      <c r="AB183" s="37">
        <f t="shared" si="242"/>
        <v>862.36854393513693</v>
      </c>
      <c r="AC183" s="37">
        <f t="shared" si="242"/>
        <v>862.36854393513693</v>
      </c>
      <c r="AD183" s="37">
        <f t="shared" si="242"/>
        <v>862.36854393513693</v>
      </c>
      <c r="AE183" s="37">
        <f t="shared" si="242"/>
        <v>862.36854393513693</v>
      </c>
      <c r="AF183" s="37">
        <f t="shared" si="242"/>
        <v>862.36854393513693</v>
      </c>
      <c r="AG183" s="37">
        <f t="shared" si="242"/>
        <v>862.36854393513693</v>
      </c>
      <c r="AH183" s="37">
        <f t="shared" si="242"/>
        <v>862.36854393513693</v>
      </c>
      <c r="AI183" s="37">
        <f t="shared" si="242"/>
        <v>862.36854393513693</v>
      </c>
      <c r="AJ183" s="37">
        <f t="shared" si="242"/>
        <v>862.36854393513693</v>
      </c>
      <c r="AK183" s="37">
        <f t="shared" si="242"/>
        <v>862.36854393513693</v>
      </c>
      <c r="AL183" s="37">
        <f t="shared" si="242"/>
        <v>862.36854393513693</v>
      </c>
      <c r="AM183" s="37">
        <f t="shared" si="242"/>
        <v>862.36854393513693</v>
      </c>
      <c r="AN183" s="37">
        <f t="shared" si="242"/>
        <v>862.36854393513693</v>
      </c>
      <c r="AO183" s="37">
        <f t="shared" si="242"/>
        <v>862.36854393513693</v>
      </c>
      <c r="AP183" s="37">
        <f t="shared" si="242"/>
        <v>862.36854393513693</v>
      </c>
      <c r="AQ183" s="37">
        <f t="shared" si="242"/>
        <v>862.36854393513693</v>
      </c>
      <c r="AR183" s="37">
        <f t="shared" si="242"/>
        <v>862.36854393513693</v>
      </c>
      <c r="AS183" s="37">
        <f t="shared" si="242"/>
        <v>862.36854393513693</v>
      </c>
      <c r="AT183" s="37">
        <f t="shared" si="242"/>
        <v>862.36854393513693</v>
      </c>
      <c r="AU183" s="37">
        <f t="shared" si="242"/>
        <v>862.36854393513693</v>
      </c>
      <c r="AV183" s="37">
        <f t="shared" si="242"/>
        <v>862.36854393513693</v>
      </c>
      <c r="AW183" s="26"/>
    </row>
    <row r="184" spans="1:50" ht="12.75" hidden="1" customHeight="1" outlineLevel="1" thickTop="1">
      <c r="A184" s="296"/>
      <c r="B184" s="28"/>
      <c r="C184" s="315"/>
      <c r="D184" s="315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6"/>
      <c r="AX184" s="10"/>
    </row>
    <row r="185" spans="1:50" ht="12.75" hidden="1" customHeight="1" outlineLevel="1">
      <c r="A185" s="296"/>
      <c r="B185" s="28"/>
      <c r="C185" s="381"/>
      <c r="D185" s="381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6"/>
      <c r="AX185" s="10"/>
    </row>
    <row r="186" spans="1:50" ht="12.75" hidden="1" customHeight="1" outlineLevel="1">
      <c r="A186" s="296"/>
      <c r="B186" s="28"/>
      <c r="C186" s="381"/>
      <c r="D186" s="381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6"/>
      <c r="AX186" s="10"/>
    </row>
    <row r="187" spans="1:50" ht="12.75" hidden="1" customHeight="1" outlineLevel="1">
      <c r="A187" s="296"/>
      <c r="B187" s="28" t="s">
        <v>392</v>
      </c>
      <c r="C187" s="23" t="s">
        <v>42</v>
      </c>
      <c r="D187" s="381"/>
      <c r="E187" s="24">
        <f t="shared" ref="E187:J187" si="243">IF(E239=0,0,((-E161*E239)/10^3+IF(E243&gt;E149,(-E149*E168)/10^3,(-E168*E243)/10^3)))</f>
        <v>0</v>
      </c>
      <c r="F187" s="24">
        <f t="shared" si="243"/>
        <v>0</v>
      </c>
      <c r="G187" s="24">
        <f t="shared" si="243"/>
        <v>0</v>
      </c>
      <c r="H187" s="24">
        <f t="shared" si="243"/>
        <v>0</v>
      </c>
      <c r="I187" s="24">
        <f t="shared" si="243"/>
        <v>0</v>
      </c>
      <c r="J187" s="24">
        <f t="shared" si="243"/>
        <v>0</v>
      </c>
      <c r="K187" s="24"/>
      <c r="L187" s="24">
        <f t="shared" ref="L187:P187" si="244">IF(L246=0,0,((-L166*L246)/10^3))</f>
        <v>0</v>
      </c>
      <c r="M187" s="24">
        <f t="shared" si="244"/>
        <v>0</v>
      </c>
      <c r="N187" s="24">
        <f t="shared" si="244"/>
        <v>0</v>
      </c>
      <c r="O187" s="24">
        <f t="shared" si="244"/>
        <v>0</v>
      </c>
      <c r="P187" s="24">
        <f t="shared" si="244"/>
        <v>0</v>
      </c>
      <c r="Q187" s="24">
        <f>IF(Q246=0,0,((-Q166*Q246)/10^3))</f>
        <v>-196.76233499999998</v>
      </c>
      <c r="R187" s="24">
        <f t="shared" ref="R187:AV187" si="245">IF(R246=0,0,((-R166*R246)/10^3))</f>
        <v>-259.72628220000001</v>
      </c>
      <c r="S187" s="24">
        <f t="shared" si="245"/>
        <v>-324.65785275000002</v>
      </c>
      <c r="T187" s="24">
        <f t="shared" si="245"/>
        <v>-373.35653066250001</v>
      </c>
      <c r="U187" s="24">
        <f t="shared" si="245"/>
        <v>-383.35715201953127</v>
      </c>
      <c r="V187" s="24">
        <f t="shared" si="245"/>
        <v>-421.69286722148445</v>
      </c>
      <c r="W187" s="24">
        <f t="shared" si="245"/>
        <v>-442.77751058255865</v>
      </c>
      <c r="X187" s="24">
        <f t="shared" si="245"/>
        <v>-464.91638611168662</v>
      </c>
      <c r="Y187" s="24">
        <f t="shared" si="245"/>
        <v>-488.16220541727091</v>
      </c>
      <c r="Z187" s="24">
        <f t="shared" si="245"/>
        <v>-497.92544952561639</v>
      </c>
      <c r="AA187" s="24">
        <f t="shared" si="245"/>
        <v>-507.8839585161287</v>
      </c>
      <c r="AB187" s="24">
        <f t="shared" si="245"/>
        <v>-518.04163768645128</v>
      </c>
      <c r="AC187" s="24">
        <f t="shared" si="245"/>
        <v>-528.40247044018031</v>
      </c>
      <c r="AD187" s="24">
        <f t="shared" si="245"/>
        <v>-538.97051984898394</v>
      </c>
      <c r="AE187" s="24">
        <f t="shared" si="245"/>
        <v>-549.74993024596358</v>
      </c>
      <c r="AF187" s="24">
        <f t="shared" si="245"/>
        <v>-560.74492885088296</v>
      </c>
      <c r="AG187" s="24">
        <f t="shared" si="245"/>
        <v>-571.95982742790056</v>
      </c>
      <c r="AH187" s="24">
        <f t="shared" si="245"/>
        <v>-583.39902397645858</v>
      </c>
      <c r="AI187" s="24">
        <f t="shared" si="245"/>
        <v>-595.0670044559879</v>
      </c>
      <c r="AJ187" s="24">
        <f t="shared" si="245"/>
        <v>-606.96834454510758</v>
      </c>
      <c r="AK187" s="24">
        <f t="shared" si="245"/>
        <v>-619.10771143600994</v>
      </c>
      <c r="AL187" s="24">
        <f t="shared" si="245"/>
        <v>-631.48986566473002</v>
      </c>
      <c r="AM187" s="24">
        <f t="shared" si="245"/>
        <v>-644.11966297802462</v>
      </c>
      <c r="AN187" s="24">
        <f t="shared" si="245"/>
        <v>-657.00205623758529</v>
      </c>
      <c r="AO187" s="24">
        <f t="shared" si="245"/>
        <v>-670.14209736233693</v>
      </c>
      <c r="AP187" s="24">
        <f t="shared" si="245"/>
        <v>-683.5449393095837</v>
      </c>
      <c r="AQ187" s="24">
        <f t="shared" si="245"/>
        <v>-697.21583809577544</v>
      </c>
      <c r="AR187" s="24">
        <f t="shared" si="245"/>
        <v>-711.16015485769083</v>
      </c>
      <c r="AS187" s="24">
        <f t="shared" si="245"/>
        <v>-725.38335795484477</v>
      </c>
      <c r="AT187" s="24">
        <f t="shared" si="245"/>
        <v>-739.89102511394174</v>
      </c>
      <c r="AU187" s="24">
        <f t="shared" si="245"/>
        <v>-754.68884561622053</v>
      </c>
      <c r="AV187" s="24">
        <f t="shared" si="245"/>
        <v>-769.78262252854506</v>
      </c>
      <c r="AW187" s="26"/>
      <c r="AX187" s="10"/>
    </row>
    <row r="188" spans="1:50" ht="12.75" hidden="1" customHeight="1" outlineLevel="1">
      <c r="A188" s="296"/>
      <c r="B188" s="28" t="s">
        <v>393</v>
      </c>
      <c r="C188" s="23" t="s">
        <v>42</v>
      </c>
      <c r="D188" s="381"/>
      <c r="E188" s="24">
        <f t="shared" ref="E188:J188" si="246">IF(E239=0,0,((-E162*E239)/10^3+IF(E243&gt;E149,(-E149*E169)/10^3,(-E169*E243)/10^3)))</f>
        <v>0</v>
      </c>
      <c r="F188" s="24">
        <f t="shared" si="246"/>
        <v>0</v>
      </c>
      <c r="G188" s="24">
        <f t="shared" si="246"/>
        <v>0</v>
      </c>
      <c r="H188" s="24">
        <f t="shared" si="246"/>
        <v>0</v>
      </c>
      <c r="I188" s="24">
        <f t="shared" si="246"/>
        <v>0</v>
      </c>
      <c r="J188" s="24">
        <f t="shared" si="246"/>
        <v>0</v>
      </c>
      <c r="K188" s="24"/>
      <c r="L188" s="24">
        <f t="shared" ref="L188" si="247">IF(L243=0,0,((-L170*L243)/10^3))</f>
        <v>0</v>
      </c>
      <c r="M188" s="24">
        <f t="shared" ref="M188:P188" si="248">IF(M254=0,0,((-M171*M254)/10^3))</f>
        <v>0</v>
      </c>
      <c r="N188" s="24">
        <f t="shared" si="248"/>
        <v>0</v>
      </c>
      <c r="O188" s="24">
        <f t="shared" si="248"/>
        <v>0</v>
      </c>
      <c r="P188" s="24">
        <f t="shared" si="248"/>
        <v>-2.7223595807000551</v>
      </c>
      <c r="Q188" s="24">
        <f>IF(Q254=0,0,((-Q171*Q254)/10^3))</f>
        <v>0</v>
      </c>
      <c r="R188" s="24">
        <f t="shared" ref="R188:AV188" si="249">IF(R254=0,0,((-R171*R254)/10^3))</f>
        <v>-8.720720099248048</v>
      </c>
      <c r="S188" s="24">
        <f t="shared" si="249"/>
        <v>-7.5069057783846587</v>
      </c>
      <c r="T188" s="24">
        <f t="shared" si="249"/>
        <v>-20.564533244929311</v>
      </c>
      <c r="U188" s="24">
        <f t="shared" si="249"/>
        <v>-31.581870512172504</v>
      </c>
      <c r="V188" s="24">
        <f t="shared" si="249"/>
        <v>-18.798701473767959</v>
      </c>
      <c r="W188" s="24">
        <f t="shared" si="249"/>
        <v>-18.317971605135469</v>
      </c>
      <c r="X188" s="24">
        <f t="shared" si="249"/>
        <v>-29.722319974871365</v>
      </c>
      <c r="Y188" s="24">
        <f t="shared" si="249"/>
        <v>-19.20355618100448</v>
      </c>
      <c r="Z188" s="24">
        <f t="shared" si="249"/>
        <v>-18.956220663593061</v>
      </c>
      <c r="AA188" s="24">
        <f t="shared" si="249"/>
        <v>-31.936288137833426</v>
      </c>
      <c r="AB188" s="24">
        <f t="shared" si="249"/>
        <v>-18.446610563518576</v>
      </c>
      <c r="AC188" s="24">
        <f t="shared" si="249"/>
        <v>-18.184136133757441</v>
      </c>
      <c r="AD188" s="24">
        <f t="shared" si="249"/>
        <v>-31.148761917401096</v>
      </c>
      <c r="AE188" s="24">
        <f t="shared" si="249"/>
        <v>-17.643333818677597</v>
      </c>
      <c r="AF188" s="24">
        <f t="shared" si="249"/>
        <v>-17.364793854019641</v>
      </c>
      <c r="AG188" s="24">
        <f t="shared" si="249"/>
        <v>-30.313032792068537</v>
      </c>
      <c r="AH188" s="24">
        <f t="shared" si="249"/>
        <v>-16.79089011083839</v>
      </c>
      <c r="AI188" s="24">
        <f t="shared" si="249"/>
        <v>-16.495301272023649</v>
      </c>
      <c r="AJ188" s="24">
        <f t="shared" si="249"/>
        <v>-29.426150358432619</v>
      </c>
      <c r="AK188" s="24">
        <f t="shared" si="249"/>
        <v>-15.88627002852976</v>
      </c>
      <c r="AL188" s="24">
        <f t="shared" si="249"/>
        <v>-15.572588788068847</v>
      </c>
      <c r="AM188" s="24">
        <f t="shared" si="249"/>
        <v>-28.484983624798726</v>
      </c>
      <c r="AN188" s="24">
        <f t="shared" si="249"/>
        <v>-14.926279960223182</v>
      </c>
      <c r="AO188" s="24">
        <f t="shared" si="249"/>
        <v>-14.593398918396138</v>
      </c>
      <c r="AP188" s="24">
        <f t="shared" si="249"/>
        <v>-27.486209957732562</v>
      </c>
      <c r="AQ188" s="24">
        <f t="shared" si="249"/>
        <v>-13.907530819815697</v>
      </c>
      <c r="AR188" s="24">
        <f t="shared" si="249"/>
        <v>-13.554274795180508</v>
      </c>
      <c r="AS188" s="24">
        <f t="shared" si="249"/>
        <v>-26.426303352052617</v>
      </c>
      <c r="AT188" s="24">
        <f t="shared" si="249"/>
        <v>-12.826426082022154</v>
      </c>
      <c r="AU188" s="24">
        <f t="shared" si="249"/>
        <v>-12.451547962631089</v>
      </c>
      <c r="AV188" s="24">
        <f t="shared" si="249"/>
        <v>-25.301521982852215</v>
      </c>
      <c r="AW188" s="26"/>
      <c r="AX188" s="10"/>
    </row>
    <row r="189" spans="1:50" ht="12.75" hidden="1" customHeight="1" outlineLevel="1">
      <c r="A189" s="296"/>
      <c r="B189" s="28" t="s">
        <v>394</v>
      </c>
      <c r="C189" s="23" t="s">
        <v>42</v>
      </c>
      <c r="D189" s="381"/>
      <c r="E189" s="24"/>
      <c r="F189" s="24"/>
      <c r="G189" s="24"/>
      <c r="H189" s="24"/>
      <c r="I189" s="24"/>
      <c r="J189" s="24"/>
      <c r="K189" s="24"/>
      <c r="L189" s="24">
        <f t="shared" ref="L189" si="250">(-L247*L170)/10^3</f>
        <v>0</v>
      </c>
      <c r="M189" s="24">
        <f t="shared" ref="M189:P189" si="251">(-M254*M171)/10^3</f>
        <v>0</v>
      </c>
      <c r="N189" s="24">
        <f t="shared" si="251"/>
        <v>0</v>
      </c>
      <c r="O189" s="24">
        <f t="shared" si="251"/>
        <v>0</v>
      </c>
      <c r="P189" s="24">
        <f t="shared" si="251"/>
        <v>-2.7223595807000551</v>
      </c>
      <c r="Q189" s="24">
        <f>(-Q254*Q171)/10^3</f>
        <v>0</v>
      </c>
      <c r="R189" s="24">
        <f t="shared" ref="R189:AV189" si="252">(-R254*R171)/10^3</f>
        <v>-8.720720099248048</v>
      </c>
      <c r="S189" s="24">
        <f t="shared" si="252"/>
        <v>-7.5069057783846587</v>
      </c>
      <c r="T189" s="24">
        <f t="shared" si="252"/>
        <v>-20.564533244929311</v>
      </c>
      <c r="U189" s="24">
        <f t="shared" si="252"/>
        <v>-31.581870512172504</v>
      </c>
      <c r="V189" s="24">
        <f t="shared" si="252"/>
        <v>-18.798701473767959</v>
      </c>
      <c r="W189" s="24">
        <f t="shared" si="252"/>
        <v>-18.317971605135469</v>
      </c>
      <c r="X189" s="24">
        <f t="shared" si="252"/>
        <v>-29.722319974871365</v>
      </c>
      <c r="Y189" s="24">
        <f t="shared" si="252"/>
        <v>-19.20355618100448</v>
      </c>
      <c r="Z189" s="24">
        <f t="shared" si="252"/>
        <v>-18.956220663593061</v>
      </c>
      <c r="AA189" s="24">
        <f t="shared" si="252"/>
        <v>-31.936288137833426</v>
      </c>
      <c r="AB189" s="24">
        <f t="shared" si="252"/>
        <v>-18.446610563518576</v>
      </c>
      <c r="AC189" s="24">
        <f t="shared" si="252"/>
        <v>-18.184136133757441</v>
      </c>
      <c r="AD189" s="24">
        <f t="shared" si="252"/>
        <v>-31.148761917401096</v>
      </c>
      <c r="AE189" s="24">
        <f t="shared" si="252"/>
        <v>-17.643333818677597</v>
      </c>
      <c r="AF189" s="24">
        <f t="shared" si="252"/>
        <v>-17.364793854019641</v>
      </c>
      <c r="AG189" s="24">
        <f t="shared" si="252"/>
        <v>-30.313032792068537</v>
      </c>
      <c r="AH189" s="24">
        <f t="shared" si="252"/>
        <v>-16.79089011083839</v>
      </c>
      <c r="AI189" s="24">
        <f t="shared" si="252"/>
        <v>-16.495301272023649</v>
      </c>
      <c r="AJ189" s="24">
        <f t="shared" si="252"/>
        <v>-29.426150358432619</v>
      </c>
      <c r="AK189" s="24">
        <f t="shared" si="252"/>
        <v>-15.88627002852976</v>
      </c>
      <c r="AL189" s="24">
        <f t="shared" si="252"/>
        <v>-15.572588788068847</v>
      </c>
      <c r="AM189" s="24">
        <f t="shared" si="252"/>
        <v>-28.484983624798726</v>
      </c>
      <c r="AN189" s="24">
        <f t="shared" si="252"/>
        <v>-14.926279960223182</v>
      </c>
      <c r="AO189" s="24">
        <f t="shared" si="252"/>
        <v>-14.593398918396138</v>
      </c>
      <c r="AP189" s="24">
        <f t="shared" si="252"/>
        <v>-27.486209957732562</v>
      </c>
      <c r="AQ189" s="24">
        <f t="shared" si="252"/>
        <v>-13.907530819815697</v>
      </c>
      <c r="AR189" s="24">
        <f t="shared" si="252"/>
        <v>-13.554274795180508</v>
      </c>
      <c r="AS189" s="24">
        <f t="shared" si="252"/>
        <v>-26.426303352052617</v>
      </c>
      <c r="AT189" s="24">
        <f t="shared" si="252"/>
        <v>-12.826426082022154</v>
      </c>
      <c r="AU189" s="24">
        <f t="shared" si="252"/>
        <v>-12.451547962631089</v>
      </c>
      <c r="AV189" s="24">
        <f t="shared" si="252"/>
        <v>-25.301521982852215</v>
      </c>
      <c r="AW189" s="26"/>
      <c r="AX189" s="10"/>
    </row>
    <row r="190" spans="1:50" ht="13.5" hidden="1" customHeight="1" outlineLevel="1" thickBot="1">
      <c r="A190" s="296"/>
      <c r="B190" s="13" t="s">
        <v>183</v>
      </c>
      <c r="C190" s="315" t="s">
        <v>42</v>
      </c>
      <c r="D190" s="315"/>
      <c r="E190" s="37"/>
      <c r="F190" s="37"/>
      <c r="G190" s="37"/>
      <c r="H190" s="37"/>
      <c r="I190" s="37"/>
      <c r="J190" s="37"/>
      <c r="K190" s="37"/>
      <c r="L190" s="37">
        <f t="shared" ref="L190:P190" si="253">L181+L182+L187+L188+L189</f>
        <v>85.439811764736007</v>
      </c>
      <c r="M190" s="37">
        <f t="shared" si="253"/>
        <v>85.439811764736007</v>
      </c>
      <c r="N190" s="37">
        <f t="shared" si="253"/>
        <v>93.632670427107954</v>
      </c>
      <c r="O190" s="37">
        <f t="shared" si="253"/>
        <v>93.632670427107954</v>
      </c>
      <c r="P190" s="37">
        <f t="shared" si="253"/>
        <v>88.187951265707838</v>
      </c>
      <c r="Q190" s="37">
        <f>Q181+Q182+Q187+Q188+Q189</f>
        <v>-103.12966457289203</v>
      </c>
      <c r="R190" s="37">
        <f t="shared" ref="R190:AV190" si="254">R181+R182+R187+R188+R189</f>
        <v>205.62573449127916</v>
      </c>
      <c r="S190" s="37">
        <f t="shared" si="254"/>
        <v>625.91524947278117</v>
      </c>
      <c r="T190" s="37">
        <f>T181+T182+T187+T188+T189</f>
        <v>551.10131662719186</v>
      </c>
      <c r="U190" s="37">
        <f t="shared" si="254"/>
        <v>415.84765089126068</v>
      </c>
      <c r="V190" s="37">
        <f t="shared" si="254"/>
        <v>403.07827376611658</v>
      </c>
      <c r="W190" s="37">
        <f t="shared" si="254"/>
        <v>382.95509014230731</v>
      </c>
      <c r="X190" s="37">
        <f t="shared" si="254"/>
        <v>338.00751787370757</v>
      </c>
      <c r="Y190" s="37">
        <f t="shared" si="254"/>
        <v>335.79922615585701</v>
      </c>
      <c r="Z190" s="37">
        <f t="shared" si="254"/>
        <v>326.53065308233442</v>
      </c>
      <c r="AA190" s="37">
        <f t="shared" si="254"/>
        <v>290.61200914334142</v>
      </c>
      <c r="AB190" s="37">
        <f t="shared" si="254"/>
        <v>307.43368512164852</v>
      </c>
      <c r="AC190" s="37">
        <f t="shared" si="254"/>
        <v>297.59780122744178</v>
      </c>
      <c r="AD190" s="37">
        <f t="shared" si="254"/>
        <v>261.10050025135081</v>
      </c>
      <c r="AE190" s="37">
        <f t="shared" si="254"/>
        <v>277.33194605181814</v>
      </c>
      <c r="AF190" s="37">
        <f t="shared" si="254"/>
        <v>266.89402737621469</v>
      </c>
      <c r="AG190" s="37">
        <f t="shared" si="254"/>
        <v>229.78265092309928</v>
      </c>
      <c r="AH190" s="37">
        <f t="shared" si="254"/>
        <v>245.38773973700154</v>
      </c>
      <c r="AI190" s="37">
        <f t="shared" si="254"/>
        <v>234.31093693510172</v>
      </c>
      <c r="AJ190" s="37">
        <f t="shared" si="254"/>
        <v>196.54789867316413</v>
      </c>
      <c r="AK190" s="37">
        <f t="shared" si="254"/>
        <v>211.48829244206746</v>
      </c>
      <c r="AL190" s="37">
        <f t="shared" si="254"/>
        <v>199.7335006942692</v>
      </c>
      <c r="AM190" s="37">
        <f t="shared" si="254"/>
        <v>161.27891370751485</v>
      </c>
      <c r="AN190" s="37">
        <f t="shared" si="254"/>
        <v>175.51392777710527</v>
      </c>
      <c r="AO190" s="37">
        <f t="shared" si="254"/>
        <v>163.03964873600773</v>
      </c>
      <c r="AP190" s="37">
        <f t="shared" si="254"/>
        <v>123.85118471008809</v>
      </c>
      <c r="AQ190" s="37">
        <f t="shared" si="254"/>
        <v>137.33764419973011</v>
      </c>
      <c r="AR190" s="37">
        <f t="shared" si="254"/>
        <v>124.09983948708509</v>
      </c>
      <c r="AS190" s="37">
        <f t="shared" si="254"/>
        <v>84.132579276186931</v>
      </c>
      <c r="AT190" s="37">
        <f t="shared" si="254"/>
        <v>96.824666657150885</v>
      </c>
      <c r="AU190" s="37">
        <f t="shared" si="254"/>
        <v>82.77660239365423</v>
      </c>
      <c r="AV190" s="37">
        <f t="shared" si="254"/>
        <v>41.982877440887428</v>
      </c>
      <c r="AW190" s="26"/>
      <c r="AX190" s="10"/>
    </row>
    <row r="191" spans="1:50" ht="13.5" hidden="1" customHeight="1" outlineLevel="1" thickTop="1">
      <c r="A191" s="296"/>
      <c r="B191" s="34"/>
      <c r="C191" s="35"/>
      <c r="D191" s="35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26"/>
      <c r="AX191" s="10"/>
    </row>
    <row r="192" spans="1:50" ht="12.75" hidden="1" customHeight="1" outlineLevel="1">
      <c r="A192" s="296"/>
      <c r="B192" s="32"/>
      <c r="C192" s="23"/>
      <c r="D192" s="23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6"/>
      <c r="AX192" s="10"/>
    </row>
    <row r="193" spans="1:50" ht="12.75" hidden="1" customHeight="1" outlineLevel="1">
      <c r="A193" s="296"/>
      <c r="B193" s="13" t="s">
        <v>107</v>
      </c>
      <c r="C193" s="315"/>
      <c r="D193" s="315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6"/>
      <c r="AX193" s="10"/>
    </row>
    <row r="194" spans="1:50" ht="12.75" hidden="1" customHeight="1" outlineLevel="1">
      <c r="A194" s="296"/>
      <c r="B194" s="28" t="s">
        <v>103</v>
      </c>
      <c r="C194" s="315" t="s">
        <v>105</v>
      </c>
      <c r="D194" s="315"/>
      <c r="E194" s="24"/>
      <c r="F194" s="24"/>
      <c r="G194" s="24"/>
      <c r="H194" s="24"/>
      <c r="I194" s="24"/>
      <c r="J194" s="24"/>
      <c r="K194" s="24"/>
      <c r="L194" s="24">
        <f t="shared" ref="L194:AV194" si="255">IF(L190=0,0,(L183)/L77*10^3)</f>
        <v>726.40000000000009</v>
      </c>
      <c r="M194" s="24">
        <f t="shared" si="255"/>
        <v>726.40000000000009</v>
      </c>
      <c r="N194" s="24">
        <f t="shared" si="255"/>
        <v>726.40000000000009</v>
      </c>
      <c r="O194" s="24">
        <f t="shared" si="255"/>
        <v>726.40000000000009</v>
      </c>
      <c r="P194" s="24">
        <f t="shared" si="255"/>
        <v>726.40000000000009</v>
      </c>
      <c r="Q194" s="24">
        <f t="shared" si="255"/>
        <v>726.40000000000009</v>
      </c>
      <c r="R194" s="24">
        <f t="shared" si="255"/>
        <v>581.12</v>
      </c>
      <c r="S194" s="24">
        <f t="shared" si="255"/>
        <v>581.12</v>
      </c>
      <c r="T194" s="24">
        <f t="shared" si="255"/>
        <v>581.12</v>
      </c>
      <c r="U194" s="24">
        <f t="shared" si="255"/>
        <v>519</v>
      </c>
      <c r="V194" s="24">
        <f t="shared" si="255"/>
        <v>519</v>
      </c>
      <c r="W194" s="24">
        <f t="shared" si="255"/>
        <v>519</v>
      </c>
      <c r="X194" s="24">
        <f t="shared" si="255"/>
        <v>519</v>
      </c>
      <c r="Y194" s="24">
        <f t="shared" si="255"/>
        <v>519</v>
      </c>
      <c r="Z194" s="24">
        <f t="shared" si="255"/>
        <v>519</v>
      </c>
      <c r="AA194" s="24">
        <f t="shared" si="255"/>
        <v>519</v>
      </c>
      <c r="AB194" s="24">
        <f t="shared" si="255"/>
        <v>519</v>
      </c>
      <c r="AC194" s="24">
        <f t="shared" si="255"/>
        <v>519</v>
      </c>
      <c r="AD194" s="24">
        <f t="shared" si="255"/>
        <v>519</v>
      </c>
      <c r="AE194" s="24">
        <f t="shared" si="255"/>
        <v>519</v>
      </c>
      <c r="AF194" s="24">
        <f t="shared" si="255"/>
        <v>519</v>
      </c>
      <c r="AG194" s="24">
        <f t="shared" si="255"/>
        <v>519</v>
      </c>
      <c r="AH194" s="24">
        <f t="shared" si="255"/>
        <v>519</v>
      </c>
      <c r="AI194" s="24">
        <f t="shared" si="255"/>
        <v>519</v>
      </c>
      <c r="AJ194" s="24">
        <f t="shared" si="255"/>
        <v>519</v>
      </c>
      <c r="AK194" s="24">
        <f t="shared" si="255"/>
        <v>519</v>
      </c>
      <c r="AL194" s="24">
        <f t="shared" si="255"/>
        <v>519</v>
      </c>
      <c r="AM194" s="24">
        <f t="shared" si="255"/>
        <v>519</v>
      </c>
      <c r="AN194" s="24">
        <f t="shared" si="255"/>
        <v>519</v>
      </c>
      <c r="AO194" s="24">
        <f t="shared" si="255"/>
        <v>519</v>
      </c>
      <c r="AP194" s="24">
        <f t="shared" si="255"/>
        <v>519</v>
      </c>
      <c r="AQ194" s="24">
        <f t="shared" si="255"/>
        <v>519</v>
      </c>
      <c r="AR194" s="24">
        <f t="shared" si="255"/>
        <v>519</v>
      </c>
      <c r="AS194" s="24">
        <f t="shared" si="255"/>
        <v>519</v>
      </c>
      <c r="AT194" s="24">
        <f t="shared" si="255"/>
        <v>519</v>
      </c>
      <c r="AU194" s="24">
        <f t="shared" si="255"/>
        <v>519</v>
      </c>
      <c r="AV194" s="24">
        <f t="shared" si="255"/>
        <v>519</v>
      </c>
      <c r="AW194" s="26"/>
      <c r="AX194" s="10"/>
    </row>
    <row r="195" spans="1:50" ht="12.75" hidden="1" customHeight="1" outlineLevel="1">
      <c r="A195" s="296"/>
      <c r="B195" s="13" t="s">
        <v>106</v>
      </c>
      <c r="C195" s="315"/>
      <c r="D195" s="315"/>
      <c r="E195" s="39"/>
      <c r="F195" s="39"/>
      <c r="G195" s="39"/>
      <c r="H195" s="39"/>
      <c r="I195" s="39"/>
      <c r="J195" s="39"/>
      <c r="K195" s="39"/>
      <c r="L195" s="39">
        <f t="shared" ref="L195" si="256">SUM(L194:L194)</f>
        <v>726.40000000000009</v>
      </c>
      <c r="M195" s="39">
        <f t="shared" ref="M195:O195" si="257">SUM(M194:M194)</f>
        <v>726.40000000000009</v>
      </c>
      <c r="N195" s="39">
        <f t="shared" si="257"/>
        <v>726.40000000000009</v>
      </c>
      <c r="O195" s="39">
        <f t="shared" si="257"/>
        <v>726.40000000000009</v>
      </c>
      <c r="P195" s="39">
        <f t="shared" ref="P195:Q195" si="258">SUM(P194:P194)</f>
        <v>726.40000000000009</v>
      </c>
      <c r="Q195" s="39">
        <f t="shared" si="258"/>
        <v>726.40000000000009</v>
      </c>
      <c r="R195" s="39">
        <f t="shared" ref="R195:AV195" si="259">SUM(R194:R194)</f>
        <v>581.12</v>
      </c>
      <c r="S195" s="39">
        <f t="shared" si="259"/>
        <v>581.12</v>
      </c>
      <c r="T195" s="39">
        <f t="shared" si="259"/>
        <v>581.12</v>
      </c>
      <c r="U195" s="39">
        <f t="shared" si="259"/>
        <v>519</v>
      </c>
      <c r="V195" s="39">
        <f t="shared" si="259"/>
        <v>519</v>
      </c>
      <c r="W195" s="39">
        <f t="shared" si="259"/>
        <v>519</v>
      </c>
      <c r="X195" s="39">
        <f t="shared" si="259"/>
        <v>519</v>
      </c>
      <c r="Y195" s="39">
        <f t="shared" si="259"/>
        <v>519</v>
      </c>
      <c r="Z195" s="39">
        <f t="shared" si="259"/>
        <v>519</v>
      </c>
      <c r="AA195" s="39">
        <f t="shared" si="259"/>
        <v>519</v>
      </c>
      <c r="AB195" s="39">
        <f t="shared" si="259"/>
        <v>519</v>
      </c>
      <c r="AC195" s="39">
        <f t="shared" si="259"/>
        <v>519</v>
      </c>
      <c r="AD195" s="39">
        <f t="shared" si="259"/>
        <v>519</v>
      </c>
      <c r="AE195" s="39">
        <f t="shared" si="259"/>
        <v>519</v>
      </c>
      <c r="AF195" s="39">
        <f t="shared" si="259"/>
        <v>519</v>
      </c>
      <c r="AG195" s="39">
        <f t="shared" si="259"/>
        <v>519</v>
      </c>
      <c r="AH195" s="39">
        <f t="shared" si="259"/>
        <v>519</v>
      </c>
      <c r="AI195" s="39">
        <f t="shared" si="259"/>
        <v>519</v>
      </c>
      <c r="AJ195" s="39">
        <f t="shared" si="259"/>
        <v>519</v>
      </c>
      <c r="AK195" s="39">
        <f t="shared" si="259"/>
        <v>519</v>
      </c>
      <c r="AL195" s="39">
        <f t="shared" si="259"/>
        <v>519</v>
      </c>
      <c r="AM195" s="39">
        <f t="shared" si="259"/>
        <v>519</v>
      </c>
      <c r="AN195" s="39">
        <f t="shared" si="259"/>
        <v>519</v>
      </c>
      <c r="AO195" s="39">
        <f t="shared" si="259"/>
        <v>519</v>
      </c>
      <c r="AP195" s="39">
        <f t="shared" si="259"/>
        <v>519</v>
      </c>
      <c r="AQ195" s="39">
        <f t="shared" si="259"/>
        <v>519</v>
      </c>
      <c r="AR195" s="39">
        <f t="shared" si="259"/>
        <v>519</v>
      </c>
      <c r="AS195" s="39">
        <f t="shared" si="259"/>
        <v>519</v>
      </c>
      <c r="AT195" s="39">
        <f t="shared" si="259"/>
        <v>519</v>
      </c>
      <c r="AU195" s="39">
        <f t="shared" si="259"/>
        <v>519</v>
      </c>
      <c r="AV195" s="39">
        <f t="shared" si="259"/>
        <v>519</v>
      </c>
      <c r="AW195" s="26"/>
      <c r="AX195" s="10"/>
    </row>
    <row r="196" spans="1:50" ht="12.75" hidden="1" customHeight="1" outlineLevel="1">
      <c r="A196" s="296"/>
      <c r="B196" s="13" t="s">
        <v>111</v>
      </c>
      <c r="C196" s="315" t="s">
        <v>112</v>
      </c>
      <c r="D196" s="315"/>
      <c r="E196" s="160"/>
      <c r="F196" s="160"/>
      <c r="G196" s="160"/>
      <c r="H196" s="160"/>
      <c r="I196" s="160"/>
      <c r="J196" s="160"/>
      <c r="K196" s="160"/>
      <c r="L196" s="160">
        <f t="shared" ref="L196:AV196" si="260">IF(L183=0,0,(L179*10^3)/((L77+L77*L89)*lbs_grams))</f>
        <v>1.2610451683451209</v>
      </c>
      <c r="M196" s="160">
        <f t="shared" si="260"/>
        <v>1.2610451683451209</v>
      </c>
      <c r="N196" s="160">
        <f t="shared" si="260"/>
        <v>1.2610451683451211</v>
      </c>
      <c r="O196" s="160">
        <f t="shared" si="260"/>
        <v>1.2610451683451211</v>
      </c>
      <c r="P196" s="160">
        <f t="shared" si="260"/>
        <v>1.2610451683451211</v>
      </c>
      <c r="Q196" s="160">
        <f t="shared" si="260"/>
        <v>1.2610451683451211</v>
      </c>
      <c r="R196" s="160">
        <f t="shared" si="260"/>
        <v>1.0088361346760966</v>
      </c>
      <c r="S196" s="160">
        <f t="shared" si="260"/>
        <v>1.0088361346760966</v>
      </c>
      <c r="T196" s="160">
        <f t="shared" si="260"/>
        <v>1.0088361346760966</v>
      </c>
      <c r="U196" s="160">
        <f t="shared" si="260"/>
        <v>0.90757038630898845</v>
      </c>
      <c r="V196" s="160">
        <f t="shared" si="260"/>
        <v>0.90757038630898845</v>
      </c>
      <c r="W196" s="160">
        <f t="shared" si="260"/>
        <v>0.90757038630898845</v>
      </c>
      <c r="X196" s="160">
        <f t="shared" si="260"/>
        <v>0.90757038630898845</v>
      </c>
      <c r="Y196" s="160">
        <f t="shared" si="260"/>
        <v>0.90757038630898845</v>
      </c>
      <c r="Z196" s="160">
        <f t="shared" si="260"/>
        <v>0.90757038630898845</v>
      </c>
      <c r="AA196" s="160">
        <f t="shared" si="260"/>
        <v>0.90757038630898845</v>
      </c>
      <c r="AB196" s="160">
        <f t="shared" si="260"/>
        <v>0.90757038630898845</v>
      </c>
      <c r="AC196" s="160">
        <f t="shared" si="260"/>
        <v>0.90757038630898845</v>
      </c>
      <c r="AD196" s="160">
        <f t="shared" si="260"/>
        <v>0.90757038630898845</v>
      </c>
      <c r="AE196" s="160">
        <f t="shared" si="260"/>
        <v>0.90757038630898845</v>
      </c>
      <c r="AF196" s="160">
        <f t="shared" si="260"/>
        <v>0.90757038630898845</v>
      </c>
      <c r="AG196" s="160">
        <f t="shared" si="260"/>
        <v>0.90757038630898845</v>
      </c>
      <c r="AH196" s="160">
        <f t="shared" si="260"/>
        <v>0.90757038630898845</v>
      </c>
      <c r="AI196" s="160">
        <f t="shared" si="260"/>
        <v>0.90757038630898845</v>
      </c>
      <c r="AJ196" s="160">
        <f t="shared" si="260"/>
        <v>0.90757038630898845</v>
      </c>
      <c r="AK196" s="160">
        <f t="shared" si="260"/>
        <v>0.90757038630898845</v>
      </c>
      <c r="AL196" s="160">
        <f t="shared" si="260"/>
        <v>0.90757038630898845</v>
      </c>
      <c r="AM196" s="160">
        <f t="shared" si="260"/>
        <v>0.90757038630898845</v>
      </c>
      <c r="AN196" s="160">
        <f t="shared" si="260"/>
        <v>0.90757038630898845</v>
      </c>
      <c r="AO196" s="160">
        <f t="shared" si="260"/>
        <v>0.90757038630898845</v>
      </c>
      <c r="AP196" s="160">
        <f t="shared" si="260"/>
        <v>0.90757038630898845</v>
      </c>
      <c r="AQ196" s="160">
        <f t="shared" si="260"/>
        <v>0.90757038630898845</v>
      </c>
      <c r="AR196" s="160">
        <f t="shared" si="260"/>
        <v>0.90757038630898845</v>
      </c>
      <c r="AS196" s="160">
        <f t="shared" si="260"/>
        <v>0.90757038630898845</v>
      </c>
      <c r="AT196" s="160">
        <f t="shared" si="260"/>
        <v>0.90757038630898845</v>
      </c>
      <c r="AU196" s="160">
        <f t="shared" si="260"/>
        <v>0.90757038630898845</v>
      </c>
      <c r="AV196" s="160">
        <f t="shared" si="260"/>
        <v>0.90757038630898845</v>
      </c>
      <c r="AW196" s="26"/>
      <c r="AX196" s="10"/>
    </row>
    <row r="197" spans="1:50" ht="12.75" hidden="1" customHeight="1" outlineLevel="1">
      <c r="A197" s="296"/>
      <c r="B197" s="13"/>
      <c r="C197" s="315"/>
      <c r="D197" s="315"/>
      <c r="E197" s="152"/>
      <c r="F197" s="152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  <c r="AA197" s="152"/>
      <c r="AB197" s="152"/>
      <c r="AC197" s="152"/>
      <c r="AD197" s="152"/>
      <c r="AE197" s="152"/>
      <c r="AF197" s="152"/>
      <c r="AG197" s="152"/>
      <c r="AH197" s="152"/>
      <c r="AI197" s="152"/>
      <c r="AJ197" s="152"/>
      <c r="AK197" s="152"/>
      <c r="AL197" s="152"/>
      <c r="AM197" s="152"/>
      <c r="AN197" s="152"/>
      <c r="AO197" s="152"/>
      <c r="AP197" s="152"/>
      <c r="AQ197" s="152"/>
      <c r="AR197" s="152"/>
      <c r="AS197" s="152"/>
      <c r="AT197" s="152"/>
      <c r="AU197" s="152"/>
      <c r="AV197" s="152"/>
      <c r="AW197" s="26"/>
      <c r="AX197" s="10"/>
    </row>
    <row r="198" spans="1:50" ht="12.75" hidden="1" customHeight="1" outlineLevel="1">
      <c r="A198" s="296"/>
      <c r="B198" s="28"/>
      <c r="C198" s="315"/>
      <c r="D198" s="23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6"/>
      <c r="AX198" s="10"/>
    </row>
    <row r="199" spans="1:50" ht="12.75" hidden="1" customHeight="1" outlineLevel="1">
      <c r="A199" s="296"/>
      <c r="B199" s="13" t="s">
        <v>119</v>
      </c>
      <c r="C199" s="315" t="s">
        <v>112</v>
      </c>
      <c r="D199" s="23"/>
      <c r="E199" s="160"/>
      <c r="F199" s="160"/>
      <c r="G199" s="160"/>
      <c r="H199" s="160"/>
      <c r="I199" s="160"/>
      <c r="J199" s="160"/>
      <c r="K199" s="160"/>
      <c r="L199" s="160">
        <f t="shared" ref="L199:AV199" si="261">IF(L190=0,0,(L181*10^3)/((L77+L77*L89)*lbs_grams))</f>
        <v>1.2610451683451209</v>
      </c>
      <c r="M199" s="160">
        <f t="shared" si="261"/>
        <v>1.2610451683451209</v>
      </c>
      <c r="N199" s="160">
        <f t="shared" si="261"/>
        <v>1.2610451683451211</v>
      </c>
      <c r="O199" s="160">
        <f t="shared" si="261"/>
        <v>1.2610451683451211</v>
      </c>
      <c r="P199" s="160">
        <f t="shared" si="261"/>
        <v>1.2610451683451211</v>
      </c>
      <c r="Q199" s="160">
        <f t="shared" si="261"/>
        <v>1.2610451683451211</v>
      </c>
      <c r="R199" s="160">
        <f t="shared" si="261"/>
        <v>1.0088361346760966</v>
      </c>
      <c r="S199" s="160">
        <f>IF(S190=0,0,(S181*10^3)/((S77+S77*S89)*lbs_grams))</f>
        <v>1.0088361346760966</v>
      </c>
      <c r="T199" s="160">
        <f t="shared" si="261"/>
        <v>1.0088361346760966</v>
      </c>
      <c r="U199" s="160">
        <f t="shared" si="261"/>
        <v>0.90757038630898845</v>
      </c>
      <c r="V199" s="160">
        <f t="shared" si="261"/>
        <v>0.90757038630898845</v>
      </c>
      <c r="W199" s="160">
        <f t="shared" si="261"/>
        <v>0.90757038630898845</v>
      </c>
      <c r="X199" s="160">
        <f t="shared" si="261"/>
        <v>0.90757038630898845</v>
      </c>
      <c r="Y199" s="160">
        <f t="shared" si="261"/>
        <v>0.90757038630898845</v>
      </c>
      <c r="Z199" s="160">
        <f t="shared" si="261"/>
        <v>0.90757038630898845</v>
      </c>
      <c r="AA199" s="160">
        <f t="shared" si="261"/>
        <v>0.90757038630898845</v>
      </c>
      <c r="AB199" s="160">
        <f t="shared" si="261"/>
        <v>0.90757038630898845</v>
      </c>
      <c r="AC199" s="160">
        <f t="shared" si="261"/>
        <v>0.90757038630898845</v>
      </c>
      <c r="AD199" s="160">
        <f t="shared" si="261"/>
        <v>0.90757038630898845</v>
      </c>
      <c r="AE199" s="160">
        <f t="shared" si="261"/>
        <v>0.90757038630898845</v>
      </c>
      <c r="AF199" s="160">
        <f t="shared" si="261"/>
        <v>0.90757038630898845</v>
      </c>
      <c r="AG199" s="160">
        <f t="shared" si="261"/>
        <v>0.90757038630898845</v>
      </c>
      <c r="AH199" s="160">
        <f t="shared" si="261"/>
        <v>0.90757038630898845</v>
      </c>
      <c r="AI199" s="160">
        <f t="shared" si="261"/>
        <v>0.90757038630898845</v>
      </c>
      <c r="AJ199" s="160">
        <f t="shared" si="261"/>
        <v>0.90757038630898845</v>
      </c>
      <c r="AK199" s="160">
        <f t="shared" si="261"/>
        <v>0.90757038630898845</v>
      </c>
      <c r="AL199" s="160">
        <f t="shared" si="261"/>
        <v>0.90757038630898845</v>
      </c>
      <c r="AM199" s="160">
        <f t="shared" si="261"/>
        <v>0.90757038630898845</v>
      </c>
      <c r="AN199" s="160">
        <f t="shared" si="261"/>
        <v>0.90757038630898845</v>
      </c>
      <c r="AO199" s="160">
        <f t="shared" si="261"/>
        <v>0.90757038630898845</v>
      </c>
      <c r="AP199" s="160">
        <f t="shared" si="261"/>
        <v>0.90757038630898845</v>
      </c>
      <c r="AQ199" s="160">
        <f t="shared" si="261"/>
        <v>0.90757038630898845</v>
      </c>
      <c r="AR199" s="160">
        <f t="shared" si="261"/>
        <v>0.90757038630898845</v>
      </c>
      <c r="AS199" s="160">
        <f t="shared" si="261"/>
        <v>0.90757038630898845</v>
      </c>
      <c r="AT199" s="160">
        <f t="shared" si="261"/>
        <v>0.90757038630898845</v>
      </c>
      <c r="AU199" s="160">
        <f t="shared" si="261"/>
        <v>0.90757038630898845</v>
      </c>
      <c r="AV199" s="160">
        <f t="shared" si="261"/>
        <v>0.90757038630898845</v>
      </c>
      <c r="AW199" s="26"/>
      <c r="AX199" s="10"/>
    </row>
    <row r="200" spans="1:50" ht="12.75" hidden="1" customHeight="1" outlineLevel="1">
      <c r="A200" s="296"/>
      <c r="B200" s="13"/>
      <c r="C200" s="315"/>
      <c r="D200" s="23"/>
      <c r="E200" s="152"/>
      <c r="F200" s="152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  <c r="AA200" s="152"/>
      <c r="AB200" s="152"/>
      <c r="AC200" s="152"/>
      <c r="AD200" s="152"/>
      <c r="AE200" s="152"/>
      <c r="AF200" s="152"/>
      <c r="AG200" s="152"/>
      <c r="AH200" s="152"/>
      <c r="AI200" s="152"/>
      <c r="AJ200" s="152"/>
      <c r="AK200" s="152"/>
      <c r="AL200" s="152"/>
      <c r="AM200" s="152"/>
      <c r="AN200" s="152"/>
      <c r="AO200" s="152"/>
      <c r="AP200" s="152"/>
      <c r="AQ200" s="152"/>
      <c r="AR200" s="152"/>
      <c r="AS200" s="152"/>
      <c r="AT200" s="152"/>
      <c r="AU200" s="152"/>
      <c r="AV200" s="152"/>
      <c r="AW200" s="26"/>
      <c r="AX200" s="10"/>
    </row>
    <row r="201" spans="1:50" ht="12.75" hidden="1" customHeight="1" outlineLevel="1">
      <c r="A201" s="296"/>
      <c r="B201" s="13" t="s">
        <v>214</v>
      </c>
      <c r="C201" s="23"/>
      <c r="D201" s="23"/>
      <c r="E201" s="24"/>
      <c r="F201" s="24"/>
      <c r="G201" s="24"/>
      <c r="H201" s="24"/>
      <c r="I201" s="25"/>
      <c r="J201" s="24"/>
      <c r="K201" s="24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26"/>
      <c r="AX201" s="27"/>
    </row>
    <row r="202" spans="1:50" ht="12.75" hidden="1" customHeight="1" outlineLevel="1">
      <c r="A202" s="296"/>
      <c r="B202" s="317" t="s">
        <v>210</v>
      </c>
      <c r="C202" s="23" t="s">
        <v>105</v>
      </c>
      <c r="D202" s="23"/>
      <c r="E202" s="12"/>
      <c r="F202" s="12"/>
      <c r="G202" s="12"/>
      <c r="H202" s="12"/>
      <c r="I202" s="12"/>
      <c r="J202" s="12"/>
      <c r="K202" s="225"/>
      <c r="L202" s="225">
        <v>250</v>
      </c>
      <c r="M202" s="12">
        <f t="shared" ref="M202:O205" si="262">L202</f>
        <v>250</v>
      </c>
      <c r="N202" s="12">
        <f t="shared" si="262"/>
        <v>250</v>
      </c>
      <c r="O202" s="12">
        <f t="shared" si="262"/>
        <v>250</v>
      </c>
      <c r="P202" s="12">
        <f>O202</f>
        <v>250</v>
      </c>
      <c r="Q202" s="12">
        <f t="shared" ref="Q202:Q205" si="263">P202</f>
        <v>250</v>
      </c>
      <c r="R202" s="225">
        <f>N202*80%</f>
        <v>200</v>
      </c>
      <c r="S202" s="12">
        <f>R202</f>
        <v>200</v>
      </c>
      <c r="T202" s="12">
        <f>S202</f>
        <v>200</v>
      </c>
      <c r="U202" s="225">
        <v>150</v>
      </c>
      <c r="V202" s="12">
        <f t="shared" ref="V202:AV202" si="264">U202</f>
        <v>150</v>
      </c>
      <c r="W202" s="12">
        <f t="shared" si="264"/>
        <v>150</v>
      </c>
      <c r="X202" s="12">
        <f t="shared" si="264"/>
        <v>150</v>
      </c>
      <c r="Y202" s="12">
        <f t="shared" si="264"/>
        <v>150</v>
      </c>
      <c r="Z202" s="12">
        <f t="shared" si="264"/>
        <v>150</v>
      </c>
      <c r="AA202" s="12">
        <f t="shared" si="264"/>
        <v>150</v>
      </c>
      <c r="AB202" s="12">
        <f t="shared" si="264"/>
        <v>150</v>
      </c>
      <c r="AC202" s="12">
        <f t="shared" si="264"/>
        <v>150</v>
      </c>
      <c r="AD202" s="12">
        <f t="shared" si="264"/>
        <v>150</v>
      </c>
      <c r="AE202" s="12">
        <f t="shared" si="264"/>
        <v>150</v>
      </c>
      <c r="AF202" s="12">
        <f t="shared" si="264"/>
        <v>150</v>
      </c>
      <c r="AG202" s="12">
        <f t="shared" si="264"/>
        <v>150</v>
      </c>
      <c r="AH202" s="12">
        <f t="shared" si="264"/>
        <v>150</v>
      </c>
      <c r="AI202" s="12">
        <f t="shared" si="264"/>
        <v>150</v>
      </c>
      <c r="AJ202" s="12">
        <f t="shared" si="264"/>
        <v>150</v>
      </c>
      <c r="AK202" s="12">
        <f t="shared" si="264"/>
        <v>150</v>
      </c>
      <c r="AL202" s="12">
        <f t="shared" si="264"/>
        <v>150</v>
      </c>
      <c r="AM202" s="12">
        <f t="shared" si="264"/>
        <v>150</v>
      </c>
      <c r="AN202" s="12">
        <f t="shared" si="264"/>
        <v>150</v>
      </c>
      <c r="AO202" s="12">
        <f t="shared" si="264"/>
        <v>150</v>
      </c>
      <c r="AP202" s="12">
        <f t="shared" si="264"/>
        <v>150</v>
      </c>
      <c r="AQ202" s="12">
        <f t="shared" si="264"/>
        <v>150</v>
      </c>
      <c r="AR202" s="12">
        <f t="shared" si="264"/>
        <v>150</v>
      </c>
      <c r="AS202" s="12">
        <f t="shared" si="264"/>
        <v>150</v>
      </c>
      <c r="AT202" s="12">
        <f t="shared" si="264"/>
        <v>150</v>
      </c>
      <c r="AU202" s="12">
        <f t="shared" si="264"/>
        <v>150</v>
      </c>
      <c r="AV202" s="12">
        <f t="shared" si="264"/>
        <v>150</v>
      </c>
      <c r="AW202" s="31"/>
      <c r="AX202" s="27"/>
    </row>
    <row r="203" spans="1:50" ht="12.75" hidden="1" customHeight="1" outlineLevel="1">
      <c r="A203" s="296"/>
      <c r="B203" s="317" t="s">
        <v>211</v>
      </c>
      <c r="C203" s="23" t="s">
        <v>105</v>
      </c>
      <c r="D203" s="23"/>
      <c r="E203" s="12"/>
      <c r="F203" s="12"/>
      <c r="G203" s="12"/>
      <c r="H203" s="12"/>
      <c r="I203" s="12"/>
      <c r="J203" s="12"/>
      <c r="K203" s="225"/>
      <c r="L203" s="225">
        <v>20</v>
      </c>
      <c r="M203" s="12">
        <f t="shared" si="262"/>
        <v>20</v>
      </c>
      <c r="N203" s="12">
        <f t="shared" si="262"/>
        <v>20</v>
      </c>
      <c r="O203" s="12">
        <f t="shared" si="262"/>
        <v>20</v>
      </c>
      <c r="P203" s="12">
        <f t="shared" ref="P203:P205" si="265">O203</f>
        <v>20</v>
      </c>
      <c r="Q203" s="12">
        <f t="shared" si="263"/>
        <v>20</v>
      </c>
      <c r="R203" s="225">
        <f>N203*80%</f>
        <v>16</v>
      </c>
      <c r="S203" s="12">
        <f t="shared" ref="S203:S205" si="266">R203</f>
        <v>16</v>
      </c>
      <c r="T203" s="12">
        <f t="shared" ref="T203:T205" si="267">S203</f>
        <v>16</v>
      </c>
      <c r="U203" s="225">
        <v>10</v>
      </c>
      <c r="V203" s="12">
        <f t="shared" ref="V203:AV203" si="268">U203</f>
        <v>10</v>
      </c>
      <c r="W203" s="12">
        <f t="shared" si="268"/>
        <v>10</v>
      </c>
      <c r="X203" s="12">
        <f t="shared" si="268"/>
        <v>10</v>
      </c>
      <c r="Y203" s="12">
        <f t="shared" si="268"/>
        <v>10</v>
      </c>
      <c r="Z203" s="12">
        <f t="shared" si="268"/>
        <v>10</v>
      </c>
      <c r="AA203" s="12">
        <f t="shared" si="268"/>
        <v>10</v>
      </c>
      <c r="AB203" s="12">
        <f t="shared" si="268"/>
        <v>10</v>
      </c>
      <c r="AC203" s="12">
        <f t="shared" si="268"/>
        <v>10</v>
      </c>
      <c r="AD203" s="12">
        <f t="shared" si="268"/>
        <v>10</v>
      </c>
      <c r="AE203" s="12">
        <f t="shared" si="268"/>
        <v>10</v>
      </c>
      <c r="AF203" s="12">
        <f t="shared" si="268"/>
        <v>10</v>
      </c>
      <c r="AG203" s="12">
        <f t="shared" si="268"/>
        <v>10</v>
      </c>
      <c r="AH203" s="12">
        <f t="shared" si="268"/>
        <v>10</v>
      </c>
      <c r="AI203" s="12">
        <f t="shared" si="268"/>
        <v>10</v>
      </c>
      <c r="AJ203" s="12">
        <f t="shared" si="268"/>
        <v>10</v>
      </c>
      <c r="AK203" s="12">
        <f t="shared" si="268"/>
        <v>10</v>
      </c>
      <c r="AL203" s="12">
        <f t="shared" si="268"/>
        <v>10</v>
      </c>
      <c r="AM203" s="12">
        <f t="shared" si="268"/>
        <v>10</v>
      </c>
      <c r="AN203" s="12">
        <f t="shared" si="268"/>
        <v>10</v>
      </c>
      <c r="AO203" s="12">
        <f t="shared" si="268"/>
        <v>10</v>
      </c>
      <c r="AP203" s="12">
        <f t="shared" si="268"/>
        <v>10</v>
      </c>
      <c r="AQ203" s="12">
        <f t="shared" si="268"/>
        <v>10</v>
      </c>
      <c r="AR203" s="12">
        <f t="shared" si="268"/>
        <v>10</v>
      </c>
      <c r="AS203" s="12">
        <f t="shared" si="268"/>
        <v>10</v>
      </c>
      <c r="AT203" s="12">
        <f t="shared" si="268"/>
        <v>10</v>
      </c>
      <c r="AU203" s="12">
        <f t="shared" si="268"/>
        <v>10</v>
      </c>
      <c r="AV203" s="12">
        <f t="shared" si="268"/>
        <v>10</v>
      </c>
      <c r="AW203" s="31"/>
      <c r="AX203" s="27"/>
    </row>
    <row r="204" spans="1:50" ht="12.75" hidden="1" customHeight="1" outlineLevel="1">
      <c r="A204" s="296"/>
      <c r="B204" s="317" t="s">
        <v>212</v>
      </c>
      <c r="C204" s="23" t="s">
        <v>105</v>
      </c>
      <c r="D204" s="23"/>
      <c r="E204" s="12"/>
      <c r="F204" s="12"/>
      <c r="G204" s="12"/>
      <c r="H204" s="12"/>
      <c r="I204" s="12"/>
      <c r="J204" s="12"/>
      <c r="K204" s="225"/>
      <c r="L204" s="225">
        <v>10</v>
      </c>
      <c r="M204" s="12">
        <f t="shared" si="262"/>
        <v>10</v>
      </c>
      <c r="N204" s="12">
        <f t="shared" si="262"/>
        <v>10</v>
      </c>
      <c r="O204" s="12">
        <f t="shared" si="262"/>
        <v>10</v>
      </c>
      <c r="P204" s="12">
        <f t="shared" si="265"/>
        <v>10</v>
      </c>
      <c r="Q204" s="12">
        <f t="shared" si="263"/>
        <v>10</v>
      </c>
      <c r="R204" s="225">
        <f>N204*80%</f>
        <v>8</v>
      </c>
      <c r="S204" s="12">
        <f t="shared" si="266"/>
        <v>8</v>
      </c>
      <c r="T204" s="12">
        <f t="shared" si="267"/>
        <v>8</v>
      </c>
      <c r="U204" s="225">
        <v>5</v>
      </c>
      <c r="V204" s="12">
        <f t="shared" ref="V204:AV204" si="269">U204</f>
        <v>5</v>
      </c>
      <c r="W204" s="12">
        <f t="shared" si="269"/>
        <v>5</v>
      </c>
      <c r="X204" s="12">
        <f t="shared" si="269"/>
        <v>5</v>
      </c>
      <c r="Y204" s="12">
        <f t="shared" si="269"/>
        <v>5</v>
      </c>
      <c r="Z204" s="12">
        <f t="shared" si="269"/>
        <v>5</v>
      </c>
      <c r="AA204" s="12">
        <f t="shared" si="269"/>
        <v>5</v>
      </c>
      <c r="AB204" s="12">
        <f t="shared" si="269"/>
        <v>5</v>
      </c>
      <c r="AC204" s="12">
        <f t="shared" si="269"/>
        <v>5</v>
      </c>
      <c r="AD204" s="12">
        <f t="shared" si="269"/>
        <v>5</v>
      </c>
      <c r="AE204" s="12">
        <f t="shared" si="269"/>
        <v>5</v>
      </c>
      <c r="AF204" s="12">
        <f t="shared" si="269"/>
        <v>5</v>
      </c>
      <c r="AG204" s="12">
        <f t="shared" si="269"/>
        <v>5</v>
      </c>
      <c r="AH204" s="12">
        <f t="shared" si="269"/>
        <v>5</v>
      </c>
      <c r="AI204" s="12">
        <f t="shared" si="269"/>
        <v>5</v>
      </c>
      <c r="AJ204" s="12">
        <f t="shared" si="269"/>
        <v>5</v>
      </c>
      <c r="AK204" s="12">
        <f t="shared" si="269"/>
        <v>5</v>
      </c>
      <c r="AL204" s="12">
        <f t="shared" si="269"/>
        <v>5</v>
      </c>
      <c r="AM204" s="12">
        <f t="shared" si="269"/>
        <v>5</v>
      </c>
      <c r="AN204" s="12">
        <f t="shared" si="269"/>
        <v>5</v>
      </c>
      <c r="AO204" s="12">
        <f t="shared" si="269"/>
        <v>5</v>
      </c>
      <c r="AP204" s="12">
        <f t="shared" si="269"/>
        <v>5</v>
      </c>
      <c r="AQ204" s="12">
        <f t="shared" si="269"/>
        <v>5</v>
      </c>
      <c r="AR204" s="12">
        <f t="shared" si="269"/>
        <v>5</v>
      </c>
      <c r="AS204" s="12">
        <f t="shared" si="269"/>
        <v>5</v>
      </c>
      <c r="AT204" s="12">
        <f t="shared" si="269"/>
        <v>5</v>
      </c>
      <c r="AU204" s="12">
        <f t="shared" si="269"/>
        <v>5</v>
      </c>
      <c r="AV204" s="12">
        <f t="shared" si="269"/>
        <v>5</v>
      </c>
      <c r="AW204" s="31"/>
      <c r="AX204" s="27"/>
    </row>
    <row r="205" spans="1:50" ht="12.75" hidden="1" customHeight="1" outlineLevel="1">
      <c r="A205" s="296"/>
      <c r="B205" s="317" t="s">
        <v>213</v>
      </c>
      <c r="C205" s="23" t="s">
        <v>105</v>
      </c>
      <c r="D205" s="23"/>
      <c r="E205" s="12"/>
      <c r="F205" s="12"/>
      <c r="G205" s="12"/>
      <c r="H205" s="12"/>
      <c r="I205" s="12"/>
      <c r="J205" s="12"/>
      <c r="K205" s="225"/>
      <c r="L205" s="225">
        <v>30</v>
      </c>
      <c r="M205" s="12">
        <f t="shared" si="262"/>
        <v>30</v>
      </c>
      <c r="N205" s="12">
        <f t="shared" si="262"/>
        <v>30</v>
      </c>
      <c r="O205" s="12">
        <f t="shared" si="262"/>
        <v>30</v>
      </c>
      <c r="P205" s="12">
        <f t="shared" si="265"/>
        <v>30</v>
      </c>
      <c r="Q205" s="12">
        <f t="shared" si="263"/>
        <v>30</v>
      </c>
      <c r="R205" s="225">
        <f>N205*80%</f>
        <v>24</v>
      </c>
      <c r="S205" s="12">
        <f t="shared" si="266"/>
        <v>24</v>
      </c>
      <c r="T205" s="12">
        <f t="shared" si="267"/>
        <v>24</v>
      </c>
      <c r="U205" s="225">
        <v>15</v>
      </c>
      <c r="V205" s="12">
        <f t="shared" ref="V205:AV205" si="270">U205</f>
        <v>15</v>
      </c>
      <c r="W205" s="12">
        <f t="shared" si="270"/>
        <v>15</v>
      </c>
      <c r="X205" s="12">
        <f t="shared" si="270"/>
        <v>15</v>
      </c>
      <c r="Y205" s="12">
        <f t="shared" si="270"/>
        <v>15</v>
      </c>
      <c r="Z205" s="12">
        <f t="shared" si="270"/>
        <v>15</v>
      </c>
      <c r="AA205" s="12">
        <f t="shared" si="270"/>
        <v>15</v>
      </c>
      <c r="AB205" s="12">
        <f t="shared" si="270"/>
        <v>15</v>
      </c>
      <c r="AC205" s="12">
        <f t="shared" si="270"/>
        <v>15</v>
      </c>
      <c r="AD205" s="12">
        <f t="shared" si="270"/>
        <v>15</v>
      </c>
      <c r="AE205" s="12">
        <f t="shared" si="270"/>
        <v>15</v>
      </c>
      <c r="AF205" s="12">
        <f t="shared" si="270"/>
        <v>15</v>
      </c>
      <c r="AG205" s="12">
        <f t="shared" si="270"/>
        <v>15</v>
      </c>
      <c r="AH205" s="12">
        <f t="shared" si="270"/>
        <v>15</v>
      </c>
      <c r="AI205" s="12">
        <f t="shared" si="270"/>
        <v>15</v>
      </c>
      <c r="AJ205" s="12">
        <f t="shared" si="270"/>
        <v>15</v>
      </c>
      <c r="AK205" s="12">
        <f t="shared" si="270"/>
        <v>15</v>
      </c>
      <c r="AL205" s="12">
        <f t="shared" si="270"/>
        <v>15</v>
      </c>
      <c r="AM205" s="12">
        <f t="shared" si="270"/>
        <v>15</v>
      </c>
      <c r="AN205" s="12">
        <f t="shared" si="270"/>
        <v>15</v>
      </c>
      <c r="AO205" s="12">
        <f t="shared" si="270"/>
        <v>15</v>
      </c>
      <c r="AP205" s="12">
        <f t="shared" si="270"/>
        <v>15</v>
      </c>
      <c r="AQ205" s="12">
        <f t="shared" si="270"/>
        <v>15</v>
      </c>
      <c r="AR205" s="12">
        <f t="shared" si="270"/>
        <v>15</v>
      </c>
      <c r="AS205" s="12">
        <f t="shared" si="270"/>
        <v>15</v>
      </c>
      <c r="AT205" s="12">
        <f t="shared" si="270"/>
        <v>15</v>
      </c>
      <c r="AU205" s="12">
        <f t="shared" si="270"/>
        <v>15</v>
      </c>
      <c r="AV205" s="12">
        <f t="shared" si="270"/>
        <v>15</v>
      </c>
      <c r="AW205" s="31"/>
      <c r="AX205" s="27"/>
    </row>
    <row r="206" spans="1:50" ht="12.75" hidden="1" customHeight="1" outlineLevel="1">
      <c r="A206" s="296"/>
      <c r="B206" s="33" t="s">
        <v>118</v>
      </c>
      <c r="C206" s="315" t="s">
        <v>105</v>
      </c>
      <c r="D206" s="315"/>
      <c r="E206" s="62"/>
      <c r="F206" s="62"/>
      <c r="G206" s="62"/>
      <c r="H206" s="62"/>
      <c r="I206" s="62"/>
      <c r="J206" s="62"/>
      <c r="K206" s="62"/>
      <c r="L206" s="62">
        <f>SUM(L202:L205)</f>
        <v>310</v>
      </c>
      <c r="M206" s="62">
        <f t="shared" ref="M206:O206" si="271">SUM(M202:M205)</f>
        <v>310</v>
      </c>
      <c r="N206" s="62">
        <f t="shared" si="271"/>
        <v>310</v>
      </c>
      <c r="O206" s="62">
        <f t="shared" si="271"/>
        <v>310</v>
      </c>
      <c r="P206" s="62">
        <f t="shared" ref="P206:V206" si="272">SUM(P202:P205)</f>
        <v>310</v>
      </c>
      <c r="Q206" s="62">
        <f t="shared" si="272"/>
        <v>310</v>
      </c>
      <c r="R206" s="62">
        <f t="shared" si="272"/>
        <v>248</v>
      </c>
      <c r="S206" s="62">
        <f t="shared" si="272"/>
        <v>248</v>
      </c>
      <c r="T206" s="62">
        <f t="shared" si="272"/>
        <v>248</v>
      </c>
      <c r="U206" s="62">
        <f t="shared" si="272"/>
        <v>180</v>
      </c>
      <c r="V206" s="62">
        <f t="shared" si="272"/>
        <v>180</v>
      </c>
      <c r="W206" s="62">
        <f t="shared" ref="W206:AV206" si="273">SUM(W202:W205)</f>
        <v>180</v>
      </c>
      <c r="X206" s="62">
        <f t="shared" si="273"/>
        <v>180</v>
      </c>
      <c r="Y206" s="62">
        <f t="shared" si="273"/>
        <v>180</v>
      </c>
      <c r="Z206" s="62">
        <f t="shared" si="273"/>
        <v>180</v>
      </c>
      <c r="AA206" s="62">
        <f t="shared" si="273"/>
        <v>180</v>
      </c>
      <c r="AB206" s="62">
        <f t="shared" si="273"/>
        <v>180</v>
      </c>
      <c r="AC206" s="62">
        <f t="shared" si="273"/>
        <v>180</v>
      </c>
      <c r="AD206" s="62">
        <f t="shared" si="273"/>
        <v>180</v>
      </c>
      <c r="AE206" s="62">
        <f t="shared" si="273"/>
        <v>180</v>
      </c>
      <c r="AF206" s="62">
        <f t="shared" si="273"/>
        <v>180</v>
      </c>
      <c r="AG206" s="62">
        <f t="shared" si="273"/>
        <v>180</v>
      </c>
      <c r="AH206" s="62">
        <f t="shared" si="273"/>
        <v>180</v>
      </c>
      <c r="AI206" s="62">
        <f t="shared" si="273"/>
        <v>180</v>
      </c>
      <c r="AJ206" s="62">
        <f t="shared" si="273"/>
        <v>180</v>
      </c>
      <c r="AK206" s="62">
        <f t="shared" si="273"/>
        <v>180</v>
      </c>
      <c r="AL206" s="62">
        <f t="shared" si="273"/>
        <v>180</v>
      </c>
      <c r="AM206" s="62">
        <f t="shared" si="273"/>
        <v>180</v>
      </c>
      <c r="AN206" s="62">
        <f t="shared" si="273"/>
        <v>180</v>
      </c>
      <c r="AO206" s="62">
        <f t="shared" si="273"/>
        <v>180</v>
      </c>
      <c r="AP206" s="62">
        <f t="shared" si="273"/>
        <v>180</v>
      </c>
      <c r="AQ206" s="62">
        <f t="shared" si="273"/>
        <v>180</v>
      </c>
      <c r="AR206" s="62">
        <f t="shared" si="273"/>
        <v>180</v>
      </c>
      <c r="AS206" s="62">
        <f t="shared" si="273"/>
        <v>180</v>
      </c>
      <c r="AT206" s="62">
        <f t="shared" si="273"/>
        <v>180</v>
      </c>
      <c r="AU206" s="62">
        <f t="shared" si="273"/>
        <v>180</v>
      </c>
      <c r="AV206" s="62">
        <f t="shared" si="273"/>
        <v>180</v>
      </c>
      <c r="AW206" s="31"/>
      <c r="AX206" s="27"/>
    </row>
    <row r="207" spans="1:50" ht="12.75" hidden="1" customHeight="1" outlineLevel="1">
      <c r="A207" s="296"/>
      <c r="B207" s="33"/>
      <c r="C207" s="315"/>
      <c r="D207" s="315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27"/>
    </row>
    <row r="208" spans="1:50" ht="12.75" hidden="1" customHeight="1" outlineLevel="1">
      <c r="A208" s="296"/>
      <c r="B208" s="13" t="s">
        <v>215</v>
      </c>
      <c r="C208" s="315"/>
      <c r="D208" s="315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27"/>
    </row>
    <row r="209" spans="1:50" ht="12.75" hidden="1" customHeight="1" outlineLevel="1">
      <c r="A209" s="296"/>
      <c r="B209" s="317" t="s">
        <v>210</v>
      </c>
      <c r="C209" s="23" t="s">
        <v>42</v>
      </c>
      <c r="D209" s="315"/>
      <c r="E209" s="326"/>
      <c r="F209" s="326"/>
      <c r="G209" s="326"/>
      <c r="H209" s="326"/>
      <c r="I209" s="24"/>
      <c r="J209" s="24"/>
      <c r="K209" s="24"/>
      <c r="L209" s="24">
        <f>IF(L$77=0,0,((L202*(L$77)/10^3)))</f>
        <v>29.405221560000001</v>
      </c>
      <c r="M209" s="24">
        <f t="shared" ref="M209:O209" si="274">IF(M$77=0,0,((M202*(M$77)/10^3)))</f>
        <v>29.405221560000001</v>
      </c>
      <c r="N209" s="24">
        <f t="shared" si="274"/>
        <v>32.224900339726027</v>
      </c>
      <c r="O209" s="24">
        <f t="shared" si="274"/>
        <v>32.224900339726027</v>
      </c>
      <c r="P209" s="24">
        <f t="shared" ref="P209:Q212" si="275">IF(P$77=0,0,((P202*(P$77)/10^3)))</f>
        <v>32.224900339726027</v>
      </c>
      <c r="Q209" s="24">
        <f t="shared" si="275"/>
        <v>32.224900339726027</v>
      </c>
      <c r="R209" s="24">
        <f t="shared" ref="R209:AV209" si="276">IF(R$77=0,0,((R202*(R$77)/10^3)))</f>
        <v>166.1596423767123</v>
      </c>
      <c r="S209" s="24">
        <f t="shared" si="276"/>
        <v>332.3192847534246</v>
      </c>
      <c r="T209" s="24">
        <f t="shared" si="276"/>
        <v>332.3192847534246</v>
      </c>
      <c r="U209" s="24">
        <f t="shared" si="276"/>
        <v>249.23946356506846</v>
      </c>
      <c r="V209" s="24">
        <f t="shared" si="276"/>
        <v>249.23946356506846</v>
      </c>
      <c r="W209" s="24">
        <f t="shared" si="276"/>
        <v>249.23946356506846</v>
      </c>
      <c r="X209" s="24">
        <f t="shared" si="276"/>
        <v>249.23946356506846</v>
      </c>
      <c r="Y209" s="24">
        <f t="shared" si="276"/>
        <v>249.23946356506846</v>
      </c>
      <c r="Z209" s="24">
        <f t="shared" si="276"/>
        <v>249.23946356506846</v>
      </c>
      <c r="AA209" s="24">
        <f t="shared" si="276"/>
        <v>249.23946356506846</v>
      </c>
      <c r="AB209" s="24">
        <f t="shared" si="276"/>
        <v>249.23946356506846</v>
      </c>
      <c r="AC209" s="24">
        <f t="shared" si="276"/>
        <v>249.23946356506846</v>
      </c>
      <c r="AD209" s="24">
        <f t="shared" si="276"/>
        <v>249.23946356506846</v>
      </c>
      <c r="AE209" s="24">
        <f t="shared" si="276"/>
        <v>249.23946356506846</v>
      </c>
      <c r="AF209" s="24">
        <f t="shared" si="276"/>
        <v>249.23946356506846</v>
      </c>
      <c r="AG209" s="24">
        <f t="shared" si="276"/>
        <v>249.23946356506846</v>
      </c>
      <c r="AH209" s="24">
        <f t="shared" si="276"/>
        <v>249.23946356506846</v>
      </c>
      <c r="AI209" s="24">
        <f t="shared" si="276"/>
        <v>249.23946356506846</v>
      </c>
      <c r="AJ209" s="24">
        <f t="shared" si="276"/>
        <v>249.23946356506846</v>
      </c>
      <c r="AK209" s="24">
        <f t="shared" si="276"/>
        <v>249.23946356506846</v>
      </c>
      <c r="AL209" s="24">
        <f t="shared" si="276"/>
        <v>249.23946356506846</v>
      </c>
      <c r="AM209" s="24">
        <f t="shared" si="276"/>
        <v>249.23946356506846</v>
      </c>
      <c r="AN209" s="24">
        <f t="shared" si="276"/>
        <v>249.23946356506846</v>
      </c>
      <c r="AO209" s="24">
        <f t="shared" si="276"/>
        <v>249.23946356506846</v>
      </c>
      <c r="AP209" s="24">
        <f t="shared" si="276"/>
        <v>249.23946356506846</v>
      </c>
      <c r="AQ209" s="24">
        <f t="shared" si="276"/>
        <v>249.23946356506846</v>
      </c>
      <c r="AR209" s="24">
        <f t="shared" si="276"/>
        <v>249.23946356506846</v>
      </c>
      <c r="AS209" s="24">
        <f t="shared" si="276"/>
        <v>249.23946356506846</v>
      </c>
      <c r="AT209" s="24">
        <f t="shared" si="276"/>
        <v>249.23946356506846</v>
      </c>
      <c r="AU209" s="24">
        <f t="shared" si="276"/>
        <v>249.23946356506846</v>
      </c>
      <c r="AV209" s="24">
        <f t="shared" si="276"/>
        <v>249.23946356506846</v>
      </c>
      <c r="AW209" s="31"/>
      <c r="AX209" s="27"/>
    </row>
    <row r="210" spans="1:50" ht="12.75" hidden="1" customHeight="1" outlineLevel="1">
      <c r="A210" s="296"/>
      <c r="B210" s="317" t="s">
        <v>211</v>
      </c>
      <c r="C210" s="23" t="s">
        <v>42</v>
      </c>
      <c r="D210" s="315"/>
      <c r="E210" s="326"/>
      <c r="F210" s="326"/>
      <c r="G210" s="326"/>
      <c r="H210" s="326"/>
      <c r="I210" s="24"/>
      <c r="J210" s="24"/>
      <c r="K210" s="24"/>
      <c r="L210" s="24">
        <f t="shared" ref="L210:O210" si="277">IF(L$77=0,0,((L203*(L$77)/10^3)))</f>
        <v>2.3524177248</v>
      </c>
      <c r="M210" s="24">
        <f t="shared" si="277"/>
        <v>2.3524177248</v>
      </c>
      <c r="N210" s="24">
        <f t="shared" si="277"/>
        <v>2.5779920271780821</v>
      </c>
      <c r="O210" s="24">
        <f t="shared" si="277"/>
        <v>2.5779920271780821</v>
      </c>
      <c r="P210" s="24">
        <f t="shared" si="275"/>
        <v>2.5779920271780821</v>
      </c>
      <c r="Q210" s="24">
        <f t="shared" si="275"/>
        <v>2.5779920271780821</v>
      </c>
      <c r="R210" s="24">
        <f t="shared" ref="R210:AV210" si="278">IF(R$77=0,0,((R203*(R$77)/10^3)))</f>
        <v>13.292771390136984</v>
      </c>
      <c r="S210" s="24">
        <f t="shared" si="278"/>
        <v>26.585542780273968</v>
      </c>
      <c r="T210" s="24">
        <f t="shared" si="278"/>
        <v>26.585542780273968</v>
      </c>
      <c r="U210" s="24">
        <f t="shared" si="278"/>
        <v>16.615964237671228</v>
      </c>
      <c r="V210" s="24">
        <f t="shared" si="278"/>
        <v>16.615964237671228</v>
      </c>
      <c r="W210" s="24">
        <f t="shared" si="278"/>
        <v>16.615964237671228</v>
      </c>
      <c r="X210" s="24">
        <f t="shared" si="278"/>
        <v>16.615964237671228</v>
      </c>
      <c r="Y210" s="24">
        <f t="shared" si="278"/>
        <v>16.615964237671228</v>
      </c>
      <c r="Z210" s="24">
        <f t="shared" si="278"/>
        <v>16.615964237671228</v>
      </c>
      <c r="AA210" s="24">
        <f t="shared" si="278"/>
        <v>16.615964237671228</v>
      </c>
      <c r="AB210" s="24">
        <f t="shared" si="278"/>
        <v>16.615964237671228</v>
      </c>
      <c r="AC210" s="24">
        <f t="shared" si="278"/>
        <v>16.615964237671228</v>
      </c>
      <c r="AD210" s="24">
        <f t="shared" si="278"/>
        <v>16.615964237671228</v>
      </c>
      <c r="AE210" s="24">
        <f t="shared" si="278"/>
        <v>16.615964237671228</v>
      </c>
      <c r="AF210" s="24">
        <f t="shared" si="278"/>
        <v>16.615964237671228</v>
      </c>
      <c r="AG210" s="24">
        <f t="shared" si="278"/>
        <v>16.615964237671228</v>
      </c>
      <c r="AH210" s="24">
        <f t="shared" si="278"/>
        <v>16.615964237671228</v>
      </c>
      <c r="AI210" s="24">
        <f t="shared" si="278"/>
        <v>16.615964237671228</v>
      </c>
      <c r="AJ210" s="24">
        <f t="shared" si="278"/>
        <v>16.615964237671228</v>
      </c>
      <c r="AK210" s="24">
        <f t="shared" si="278"/>
        <v>16.615964237671228</v>
      </c>
      <c r="AL210" s="24">
        <f t="shared" si="278"/>
        <v>16.615964237671228</v>
      </c>
      <c r="AM210" s="24">
        <f t="shared" si="278"/>
        <v>16.615964237671228</v>
      </c>
      <c r="AN210" s="24">
        <f t="shared" si="278"/>
        <v>16.615964237671228</v>
      </c>
      <c r="AO210" s="24">
        <f t="shared" si="278"/>
        <v>16.615964237671228</v>
      </c>
      <c r="AP210" s="24">
        <f t="shared" si="278"/>
        <v>16.615964237671228</v>
      </c>
      <c r="AQ210" s="24">
        <f t="shared" si="278"/>
        <v>16.615964237671228</v>
      </c>
      <c r="AR210" s="24">
        <f t="shared" si="278"/>
        <v>16.615964237671228</v>
      </c>
      <c r="AS210" s="24">
        <f t="shared" si="278"/>
        <v>16.615964237671228</v>
      </c>
      <c r="AT210" s="24">
        <f t="shared" si="278"/>
        <v>16.615964237671228</v>
      </c>
      <c r="AU210" s="24">
        <f t="shared" si="278"/>
        <v>16.615964237671228</v>
      </c>
      <c r="AV210" s="24">
        <f t="shared" si="278"/>
        <v>16.615964237671228</v>
      </c>
      <c r="AW210" s="31"/>
      <c r="AX210" s="27"/>
    </row>
    <row r="211" spans="1:50" ht="12.75" hidden="1" customHeight="1" outlineLevel="1">
      <c r="A211" s="296"/>
      <c r="B211" s="317" t="s">
        <v>212</v>
      </c>
      <c r="C211" s="23" t="s">
        <v>42</v>
      </c>
      <c r="D211" s="315"/>
      <c r="E211" s="326"/>
      <c r="F211" s="326"/>
      <c r="G211" s="326"/>
      <c r="H211" s="326"/>
      <c r="I211" s="24"/>
      <c r="J211" s="24"/>
      <c r="K211" s="24"/>
      <c r="L211" s="24">
        <f t="shared" ref="L211:O211" si="279">IF(L$77=0,0,((L204*(L$77)/10^3)))</f>
        <v>1.1762088624</v>
      </c>
      <c r="M211" s="24">
        <f t="shared" si="279"/>
        <v>1.1762088624</v>
      </c>
      <c r="N211" s="24">
        <f t="shared" si="279"/>
        <v>1.288996013589041</v>
      </c>
      <c r="O211" s="24">
        <f t="shared" si="279"/>
        <v>1.288996013589041</v>
      </c>
      <c r="P211" s="24">
        <f t="shared" si="275"/>
        <v>1.288996013589041</v>
      </c>
      <c r="Q211" s="24">
        <f t="shared" si="275"/>
        <v>1.288996013589041</v>
      </c>
      <c r="R211" s="24">
        <f t="shared" ref="R211:AV211" si="280">IF(R$77=0,0,((R204*(R$77)/10^3)))</f>
        <v>6.6463856950684921</v>
      </c>
      <c r="S211" s="24">
        <f t="shared" si="280"/>
        <v>13.292771390136984</v>
      </c>
      <c r="T211" s="24">
        <f t="shared" si="280"/>
        <v>13.292771390136984</v>
      </c>
      <c r="U211" s="24">
        <f t="shared" si="280"/>
        <v>8.3079821188356142</v>
      </c>
      <c r="V211" s="24">
        <f t="shared" si="280"/>
        <v>8.3079821188356142</v>
      </c>
      <c r="W211" s="24">
        <f t="shared" si="280"/>
        <v>8.3079821188356142</v>
      </c>
      <c r="X211" s="24">
        <f t="shared" si="280"/>
        <v>8.3079821188356142</v>
      </c>
      <c r="Y211" s="24">
        <f t="shared" si="280"/>
        <v>8.3079821188356142</v>
      </c>
      <c r="Z211" s="24">
        <f t="shared" si="280"/>
        <v>8.3079821188356142</v>
      </c>
      <c r="AA211" s="24">
        <f t="shared" si="280"/>
        <v>8.3079821188356142</v>
      </c>
      <c r="AB211" s="24">
        <f t="shared" si="280"/>
        <v>8.3079821188356142</v>
      </c>
      <c r="AC211" s="24">
        <f t="shared" si="280"/>
        <v>8.3079821188356142</v>
      </c>
      <c r="AD211" s="24">
        <f t="shared" si="280"/>
        <v>8.3079821188356142</v>
      </c>
      <c r="AE211" s="24">
        <f t="shared" si="280"/>
        <v>8.3079821188356142</v>
      </c>
      <c r="AF211" s="24">
        <f t="shared" si="280"/>
        <v>8.3079821188356142</v>
      </c>
      <c r="AG211" s="24">
        <f t="shared" si="280"/>
        <v>8.3079821188356142</v>
      </c>
      <c r="AH211" s="24">
        <f t="shared" si="280"/>
        <v>8.3079821188356142</v>
      </c>
      <c r="AI211" s="24">
        <f t="shared" si="280"/>
        <v>8.3079821188356142</v>
      </c>
      <c r="AJ211" s="24">
        <f t="shared" si="280"/>
        <v>8.3079821188356142</v>
      </c>
      <c r="AK211" s="24">
        <f t="shared" si="280"/>
        <v>8.3079821188356142</v>
      </c>
      <c r="AL211" s="24">
        <f t="shared" si="280"/>
        <v>8.3079821188356142</v>
      </c>
      <c r="AM211" s="24">
        <f t="shared" si="280"/>
        <v>8.3079821188356142</v>
      </c>
      <c r="AN211" s="24">
        <f t="shared" si="280"/>
        <v>8.3079821188356142</v>
      </c>
      <c r="AO211" s="24">
        <f t="shared" si="280"/>
        <v>8.3079821188356142</v>
      </c>
      <c r="AP211" s="24">
        <f t="shared" si="280"/>
        <v>8.3079821188356142</v>
      </c>
      <c r="AQ211" s="24">
        <f t="shared" si="280"/>
        <v>8.3079821188356142</v>
      </c>
      <c r="AR211" s="24">
        <f t="shared" si="280"/>
        <v>8.3079821188356142</v>
      </c>
      <c r="AS211" s="24">
        <f t="shared" si="280"/>
        <v>8.3079821188356142</v>
      </c>
      <c r="AT211" s="24">
        <f t="shared" si="280"/>
        <v>8.3079821188356142</v>
      </c>
      <c r="AU211" s="24">
        <f t="shared" si="280"/>
        <v>8.3079821188356142</v>
      </c>
      <c r="AV211" s="24">
        <f t="shared" si="280"/>
        <v>8.3079821188356142</v>
      </c>
      <c r="AW211" s="31"/>
      <c r="AX211" s="27"/>
    </row>
    <row r="212" spans="1:50" ht="12.75" hidden="1" customHeight="1" outlineLevel="1">
      <c r="A212" s="296"/>
      <c r="B212" s="317" t="s">
        <v>213</v>
      </c>
      <c r="C212" s="23" t="s">
        <v>42</v>
      </c>
      <c r="D212" s="23"/>
      <c r="E212" s="328"/>
      <c r="F212" s="328"/>
      <c r="G212" s="328"/>
      <c r="H212" s="328"/>
      <c r="I212" s="24"/>
      <c r="J212" s="24"/>
      <c r="K212" s="24"/>
      <c r="L212" s="24">
        <f t="shared" ref="L212:O212" si="281">IF(L$77=0,0,((L205*(L$77)/10^3)))</f>
        <v>3.5286265872000002</v>
      </c>
      <c r="M212" s="24">
        <f t="shared" si="281"/>
        <v>3.5286265872000002</v>
      </c>
      <c r="N212" s="24">
        <f t="shared" si="281"/>
        <v>3.8669880407671231</v>
      </c>
      <c r="O212" s="24">
        <f t="shared" si="281"/>
        <v>3.8669880407671231</v>
      </c>
      <c r="P212" s="24">
        <f t="shared" si="275"/>
        <v>3.8669880407671231</v>
      </c>
      <c r="Q212" s="24">
        <f t="shared" si="275"/>
        <v>3.8669880407671231</v>
      </c>
      <c r="R212" s="24">
        <f t="shared" ref="R212:AV212" si="282">IF(R$77=0,0,((R205*(R$77)/10^3)))</f>
        <v>19.939157085205476</v>
      </c>
      <c r="S212" s="24">
        <f t="shared" si="282"/>
        <v>39.878314170410952</v>
      </c>
      <c r="T212" s="24">
        <f t="shared" si="282"/>
        <v>39.878314170410952</v>
      </c>
      <c r="U212" s="24">
        <f t="shared" si="282"/>
        <v>24.923946356506846</v>
      </c>
      <c r="V212" s="24">
        <f t="shared" si="282"/>
        <v>24.923946356506846</v>
      </c>
      <c r="W212" s="24">
        <f t="shared" si="282"/>
        <v>24.923946356506846</v>
      </c>
      <c r="X212" s="24">
        <f t="shared" si="282"/>
        <v>24.923946356506846</v>
      </c>
      <c r="Y212" s="24">
        <f t="shared" si="282"/>
        <v>24.923946356506846</v>
      </c>
      <c r="Z212" s="24">
        <f t="shared" si="282"/>
        <v>24.923946356506846</v>
      </c>
      <c r="AA212" s="24">
        <f t="shared" si="282"/>
        <v>24.923946356506846</v>
      </c>
      <c r="AB212" s="24">
        <f t="shared" si="282"/>
        <v>24.923946356506846</v>
      </c>
      <c r="AC212" s="24">
        <f t="shared" si="282"/>
        <v>24.923946356506846</v>
      </c>
      <c r="AD212" s="24">
        <f t="shared" si="282"/>
        <v>24.923946356506846</v>
      </c>
      <c r="AE212" s="24">
        <f t="shared" si="282"/>
        <v>24.923946356506846</v>
      </c>
      <c r="AF212" s="24">
        <f t="shared" si="282"/>
        <v>24.923946356506846</v>
      </c>
      <c r="AG212" s="24">
        <f t="shared" si="282"/>
        <v>24.923946356506846</v>
      </c>
      <c r="AH212" s="24">
        <f t="shared" si="282"/>
        <v>24.923946356506846</v>
      </c>
      <c r="AI212" s="24">
        <f t="shared" si="282"/>
        <v>24.923946356506846</v>
      </c>
      <c r="AJ212" s="24">
        <f t="shared" si="282"/>
        <v>24.923946356506846</v>
      </c>
      <c r="AK212" s="24">
        <f t="shared" si="282"/>
        <v>24.923946356506846</v>
      </c>
      <c r="AL212" s="24">
        <f t="shared" si="282"/>
        <v>24.923946356506846</v>
      </c>
      <c r="AM212" s="24">
        <f t="shared" si="282"/>
        <v>24.923946356506846</v>
      </c>
      <c r="AN212" s="24">
        <f t="shared" si="282"/>
        <v>24.923946356506846</v>
      </c>
      <c r="AO212" s="24">
        <f t="shared" si="282"/>
        <v>24.923946356506846</v>
      </c>
      <c r="AP212" s="24">
        <f t="shared" si="282"/>
        <v>24.923946356506846</v>
      </c>
      <c r="AQ212" s="24">
        <f t="shared" si="282"/>
        <v>24.923946356506846</v>
      </c>
      <c r="AR212" s="24">
        <f t="shared" si="282"/>
        <v>24.923946356506846</v>
      </c>
      <c r="AS212" s="24">
        <f t="shared" si="282"/>
        <v>24.923946356506846</v>
      </c>
      <c r="AT212" s="24">
        <f t="shared" si="282"/>
        <v>24.923946356506846</v>
      </c>
      <c r="AU212" s="24">
        <f t="shared" si="282"/>
        <v>24.923946356506846</v>
      </c>
      <c r="AV212" s="24">
        <f t="shared" si="282"/>
        <v>24.923946356506846</v>
      </c>
      <c r="AW212" s="26"/>
      <c r="AX212" s="10"/>
    </row>
    <row r="213" spans="1:50" ht="12.75" hidden="1" customHeight="1" outlineLevel="1">
      <c r="A213" s="296"/>
      <c r="B213" s="33" t="s">
        <v>216</v>
      </c>
      <c r="C213" s="315" t="s">
        <v>42</v>
      </c>
      <c r="D213" s="23"/>
      <c r="E213" s="328"/>
      <c r="F213" s="328"/>
      <c r="G213" s="328"/>
      <c r="H213" s="328"/>
      <c r="I213" s="40"/>
      <c r="J213" s="40"/>
      <c r="K213" s="40"/>
      <c r="L213" s="40">
        <f t="shared" ref="L213:O213" si="283">SUM(L209:L212)</f>
        <v>36.462474734400004</v>
      </c>
      <c r="M213" s="40">
        <f t="shared" si="283"/>
        <v>36.462474734400004</v>
      </c>
      <c r="N213" s="40">
        <f t="shared" si="283"/>
        <v>39.958876421260278</v>
      </c>
      <c r="O213" s="40">
        <f t="shared" si="283"/>
        <v>39.958876421260278</v>
      </c>
      <c r="P213" s="40">
        <f t="shared" ref="P213" si="284">SUM(P209:P212)</f>
        <v>39.958876421260278</v>
      </c>
      <c r="Q213" s="40">
        <f>SUM(Q209:Q212)</f>
        <v>39.958876421260278</v>
      </c>
      <c r="R213" s="40">
        <f t="shared" ref="R213:AV213" si="285">SUM(R209:R212)</f>
        <v>206.03795654712323</v>
      </c>
      <c r="S213" s="40">
        <f t="shared" si="285"/>
        <v>412.07591309424646</v>
      </c>
      <c r="T213" s="40">
        <f t="shared" si="285"/>
        <v>412.07591309424646</v>
      </c>
      <c r="U213" s="40">
        <f t="shared" si="285"/>
        <v>299.08735627808221</v>
      </c>
      <c r="V213" s="40">
        <f t="shared" si="285"/>
        <v>299.08735627808221</v>
      </c>
      <c r="W213" s="40">
        <f t="shared" si="285"/>
        <v>299.08735627808221</v>
      </c>
      <c r="X213" s="40">
        <f t="shared" si="285"/>
        <v>299.08735627808221</v>
      </c>
      <c r="Y213" s="40">
        <f t="shared" si="285"/>
        <v>299.08735627808221</v>
      </c>
      <c r="Z213" s="40">
        <f t="shared" si="285"/>
        <v>299.08735627808221</v>
      </c>
      <c r="AA213" s="40">
        <f t="shared" si="285"/>
        <v>299.08735627808221</v>
      </c>
      <c r="AB213" s="40">
        <f t="shared" si="285"/>
        <v>299.08735627808221</v>
      </c>
      <c r="AC213" s="40">
        <f t="shared" si="285"/>
        <v>299.08735627808221</v>
      </c>
      <c r="AD213" s="40">
        <f t="shared" si="285"/>
        <v>299.08735627808221</v>
      </c>
      <c r="AE213" s="40">
        <f t="shared" si="285"/>
        <v>299.08735627808221</v>
      </c>
      <c r="AF213" s="40">
        <f t="shared" si="285"/>
        <v>299.08735627808221</v>
      </c>
      <c r="AG213" s="40">
        <f t="shared" si="285"/>
        <v>299.08735627808221</v>
      </c>
      <c r="AH213" s="40">
        <f t="shared" si="285"/>
        <v>299.08735627808221</v>
      </c>
      <c r="AI213" s="40">
        <f t="shared" si="285"/>
        <v>299.08735627808221</v>
      </c>
      <c r="AJ213" s="40">
        <f t="shared" si="285"/>
        <v>299.08735627808221</v>
      </c>
      <c r="AK213" s="40">
        <f t="shared" si="285"/>
        <v>299.08735627808221</v>
      </c>
      <c r="AL213" s="40">
        <f t="shared" si="285"/>
        <v>299.08735627808221</v>
      </c>
      <c r="AM213" s="40">
        <f t="shared" si="285"/>
        <v>299.08735627808221</v>
      </c>
      <c r="AN213" s="40">
        <f t="shared" si="285"/>
        <v>299.08735627808221</v>
      </c>
      <c r="AO213" s="40">
        <f t="shared" si="285"/>
        <v>299.08735627808221</v>
      </c>
      <c r="AP213" s="40">
        <f t="shared" si="285"/>
        <v>299.08735627808221</v>
      </c>
      <c r="AQ213" s="40">
        <f t="shared" si="285"/>
        <v>299.08735627808221</v>
      </c>
      <c r="AR213" s="40">
        <f t="shared" si="285"/>
        <v>299.08735627808221</v>
      </c>
      <c r="AS213" s="40">
        <f t="shared" si="285"/>
        <v>299.08735627808221</v>
      </c>
      <c r="AT213" s="40">
        <f t="shared" si="285"/>
        <v>299.08735627808221</v>
      </c>
      <c r="AU213" s="40">
        <f t="shared" si="285"/>
        <v>299.08735627808221</v>
      </c>
      <c r="AV213" s="40">
        <f t="shared" si="285"/>
        <v>299.08735627808221</v>
      </c>
      <c r="AW213" s="26"/>
      <c r="AX213" s="10"/>
    </row>
    <row r="214" spans="1:50" ht="12.75" hidden="1" customHeight="1" outlineLevel="1">
      <c r="A214" s="296"/>
      <c r="B214" s="33"/>
      <c r="C214" s="315"/>
      <c r="D214" s="23"/>
      <c r="E214" s="328"/>
      <c r="F214" s="328"/>
      <c r="G214" s="328"/>
      <c r="H214" s="328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10"/>
    </row>
    <row r="215" spans="1:50" ht="12.75" hidden="1" customHeight="1" outlineLevel="1">
      <c r="A215" s="296"/>
      <c r="B215" s="13" t="s">
        <v>132</v>
      </c>
      <c r="C215" s="315" t="s">
        <v>105</v>
      </c>
      <c r="D215" s="315"/>
      <c r="E215" s="256"/>
      <c r="F215" s="256"/>
      <c r="G215" s="256"/>
      <c r="H215" s="25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10"/>
    </row>
    <row r="216" spans="1:50" ht="12.75" hidden="1" customHeight="1" outlineLevel="1">
      <c r="A216" s="296"/>
      <c r="B216" s="30" t="s">
        <v>216</v>
      </c>
      <c r="C216" s="23" t="s">
        <v>112</v>
      </c>
      <c r="D216" s="315"/>
      <c r="E216" s="256"/>
      <c r="F216" s="256"/>
      <c r="G216" s="256"/>
      <c r="H216" s="256"/>
      <c r="I216" s="12"/>
      <c r="J216" s="12"/>
      <c r="K216" s="12"/>
      <c r="L216" s="12">
        <f t="shared" ref="L216:AV216" si="286">IF(L77=0,0,((L213))/(L78+L78*L89)*10^3)</f>
        <v>0.56952683333333343</v>
      </c>
      <c r="M216" s="12">
        <f t="shared" si="286"/>
        <v>0.56952683333333343</v>
      </c>
      <c r="N216" s="12">
        <f t="shared" si="286"/>
        <v>0.56952683333333343</v>
      </c>
      <c r="O216" s="12">
        <f t="shared" si="286"/>
        <v>0.56952683333333343</v>
      </c>
      <c r="P216" s="12">
        <f t="shared" si="286"/>
        <v>0.56952683333333343</v>
      </c>
      <c r="Q216" s="12">
        <f t="shared" si="286"/>
        <v>0.56952683333333343</v>
      </c>
      <c r="R216" s="12">
        <f t="shared" si="286"/>
        <v>0.45562146666666659</v>
      </c>
      <c r="S216" s="12">
        <f t="shared" si="286"/>
        <v>0.45562146666666659</v>
      </c>
      <c r="T216" s="12">
        <f t="shared" si="286"/>
        <v>0.45562146666666659</v>
      </c>
      <c r="U216" s="12">
        <f t="shared" si="286"/>
        <v>0.33069300000000007</v>
      </c>
      <c r="V216" s="12">
        <f t="shared" si="286"/>
        <v>0.33069300000000007</v>
      </c>
      <c r="W216" s="12">
        <f t="shared" si="286"/>
        <v>0.33069300000000007</v>
      </c>
      <c r="X216" s="12">
        <f t="shared" si="286"/>
        <v>0.33069300000000007</v>
      </c>
      <c r="Y216" s="12">
        <f t="shared" si="286"/>
        <v>0.33069300000000007</v>
      </c>
      <c r="Z216" s="12">
        <f t="shared" si="286"/>
        <v>0.33069300000000007</v>
      </c>
      <c r="AA216" s="12">
        <f t="shared" si="286"/>
        <v>0.33069300000000007</v>
      </c>
      <c r="AB216" s="12">
        <f t="shared" si="286"/>
        <v>0.33069300000000007</v>
      </c>
      <c r="AC216" s="12">
        <f t="shared" si="286"/>
        <v>0.33069300000000007</v>
      </c>
      <c r="AD216" s="12">
        <f t="shared" si="286"/>
        <v>0.33069300000000007</v>
      </c>
      <c r="AE216" s="12">
        <f t="shared" si="286"/>
        <v>0.33069300000000007</v>
      </c>
      <c r="AF216" s="12">
        <f t="shared" si="286"/>
        <v>0.33069300000000007</v>
      </c>
      <c r="AG216" s="12">
        <f t="shared" si="286"/>
        <v>0.33069300000000007</v>
      </c>
      <c r="AH216" s="12">
        <f t="shared" si="286"/>
        <v>0.33069300000000007</v>
      </c>
      <c r="AI216" s="12">
        <f t="shared" si="286"/>
        <v>0.33069300000000007</v>
      </c>
      <c r="AJ216" s="12">
        <f t="shared" si="286"/>
        <v>0.33069300000000007</v>
      </c>
      <c r="AK216" s="12">
        <f t="shared" si="286"/>
        <v>0.33069300000000007</v>
      </c>
      <c r="AL216" s="12">
        <f t="shared" si="286"/>
        <v>0.33069300000000007</v>
      </c>
      <c r="AM216" s="12">
        <f t="shared" si="286"/>
        <v>0.33069300000000007</v>
      </c>
      <c r="AN216" s="12">
        <f t="shared" si="286"/>
        <v>0.33069300000000007</v>
      </c>
      <c r="AO216" s="12">
        <f t="shared" si="286"/>
        <v>0.33069300000000007</v>
      </c>
      <c r="AP216" s="12">
        <f t="shared" si="286"/>
        <v>0.33069300000000007</v>
      </c>
      <c r="AQ216" s="12">
        <f t="shared" si="286"/>
        <v>0.33069300000000007</v>
      </c>
      <c r="AR216" s="12">
        <f t="shared" si="286"/>
        <v>0.33069300000000007</v>
      </c>
      <c r="AS216" s="12">
        <f t="shared" si="286"/>
        <v>0.33069300000000007</v>
      </c>
      <c r="AT216" s="12">
        <f t="shared" si="286"/>
        <v>0.33069300000000007</v>
      </c>
      <c r="AU216" s="12">
        <f t="shared" si="286"/>
        <v>0.33069300000000007</v>
      </c>
      <c r="AV216" s="12">
        <f t="shared" si="286"/>
        <v>0.33069300000000007</v>
      </c>
      <c r="AW216" s="26"/>
      <c r="AX216" s="10"/>
    </row>
    <row r="217" spans="1:50" ht="12.75" hidden="1" customHeight="1" outlineLevel="1">
      <c r="A217" s="296"/>
      <c r="B217" s="30" t="s">
        <v>151</v>
      </c>
      <c r="C217" s="23" t="s">
        <v>105</v>
      </c>
      <c r="D217" s="23"/>
      <c r="E217" s="327"/>
      <c r="F217" s="327"/>
      <c r="G217" s="327"/>
      <c r="H217" s="327"/>
      <c r="I217" s="227"/>
      <c r="J217" s="227"/>
      <c r="K217" s="227"/>
      <c r="L217" s="227">
        <f t="shared" ref="L217:AV217" si="287">IF(L78=0,0,((-L554))/(L78+L78*L89)*10^3)</f>
        <v>0.78097665816964057</v>
      </c>
      <c r="M217" s="227">
        <f t="shared" si="287"/>
        <v>0.78097665816964057</v>
      </c>
      <c r="N217" s="227">
        <f t="shared" si="287"/>
        <v>0.71264120057979707</v>
      </c>
      <c r="O217" s="227">
        <f t="shared" si="287"/>
        <v>0.71264120057979707</v>
      </c>
      <c r="P217" s="227">
        <f t="shared" si="287"/>
        <v>31.356212825511079</v>
      </c>
      <c r="Q217" s="227">
        <f t="shared" si="287"/>
        <v>31.356212825511079</v>
      </c>
      <c r="R217" s="227">
        <f t="shared" si="287"/>
        <v>4.8649639292914157</v>
      </c>
      <c r="S217" s="227">
        <f t="shared" si="287"/>
        <v>5.5283681014675172E-2</v>
      </c>
      <c r="T217" s="227">
        <f t="shared" si="287"/>
        <v>5.5283681014675172E-2</v>
      </c>
      <c r="U217" s="227">
        <f t="shared" si="287"/>
        <v>5.5283681014675172E-2</v>
      </c>
      <c r="V217" s="227">
        <f t="shared" si="287"/>
        <v>5.5283681014675172E-2</v>
      </c>
      <c r="W217" s="227">
        <f t="shared" si="287"/>
        <v>5.5283681014675172E-2</v>
      </c>
      <c r="X217" s="227">
        <f t="shared" si="287"/>
        <v>5.5283681014675172E-2</v>
      </c>
      <c r="Y217" s="227">
        <f t="shared" si="287"/>
        <v>5.5283681014675172E-2</v>
      </c>
      <c r="Z217" s="227">
        <f t="shared" si="287"/>
        <v>5.5283681014675172E-2</v>
      </c>
      <c r="AA217" s="227">
        <f t="shared" si="287"/>
        <v>5.5283681014675172E-2</v>
      </c>
      <c r="AB217" s="227">
        <f t="shared" si="287"/>
        <v>5.5283681014675172E-2</v>
      </c>
      <c r="AC217" s="227">
        <f t="shared" si="287"/>
        <v>5.5283681014675172E-2</v>
      </c>
      <c r="AD217" s="227">
        <f t="shared" si="287"/>
        <v>5.5283681014675172E-2</v>
      </c>
      <c r="AE217" s="227">
        <f t="shared" si="287"/>
        <v>5.5283681014675172E-2</v>
      </c>
      <c r="AF217" s="227">
        <f t="shared" si="287"/>
        <v>5.5283681014675172E-2</v>
      </c>
      <c r="AG217" s="227">
        <f t="shared" si="287"/>
        <v>5.5283681014675172E-2</v>
      </c>
      <c r="AH217" s="227">
        <f t="shared" si="287"/>
        <v>5.5283681014675172E-2</v>
      </c>
      <c r="AI217" s="227">
        <f t="shared" si="287"/>
        <v>5.5283681014675172E-2</v>
      </c>
      <c r="AJ217" s="227">
        <f t="shared" si="287"/>
        <v>5.5283681014675172E-2</v>
      </c>
      <c r="AK217" s="227">
        <f t="shared" si="287"/>
        <v>5.5283681014675172E-2</v>
      </c>
      <c r="AL217" s="227">
        <f t="shared" si="287"/>
        <v>5.5283681014675172E-2</v>
      </c>
      <c r="AM217" s="227">
        <f t="shared" si="287"/>
        <v>5.5283681014675172E-2</v>
      </c>
      <c r="AN217" s="227">
        <f t="shared" si="287"/>
        <v>5.5283681014675172E-2</v>
      </c>
      <c r="AO217" s="227">
        <f t="shared" si="287"/>
        <v>5.5283681014675172E-2</v>
      </c>
      <c r="AP217" s="227">
        <f t="shared" si="287"/>
        <v>5.5283681014675172E-2</v>
      </c>
      <c r="AQ217" s="227">
        <f t="shared" si="287"/>
        <v>5.5283681014675172E-2</v>
      </c>
      <c r="AR217" s="227">
        <f t="shared" si="287"/>
        <v>5.5283681014675172E-2</v>
      </c>
      <c r="AS217" s="227">
        <f t="shared" si="287"/>
        <v>5.5283681014675172E-2</v>
      </c>
      <c r="AT217" s="227">
        <f t="shared" si="287"/>
        <v>5.5283681014675172E-2</v>
      </c>
      <c r="AU217" s="227">
        <f t="shared" si="287"/>
        <v>5.5283681014675172E-2</v>
      </c>
      <c r="AV217" s="227">
        <f t="shared" si="287"/>
        <v>5.5283681014675172E-2</v>
      </c>
      <c r="AW217" s="26"/>
      <c r="AX217" s="10"/>
    </row>
    <row r="218" spans="1:50" ht="12" hidden="1" customHeight="1" outlineLevel="1">
      <c r="A218" s="296"/>
      <c r="B218" s="13" t="s">
        <v>133</v>
      </c>
      <c r="C218" s="315" t="s">
        <v>112</v>
      </c>
      <c r="D218" s="23"/>
      <c r="E218" s="160"/>
      <c r="F218" s="160"/>
      <c r="G218" s="160"/>
      <c r="H218" s="160"/>
      <c r="I218" s="160"/>
      <c r="J218" s="160"/>
      <c r="K218" s="160"/>
      <c r="L218" s="160">
        <f t="shared" ref="L218:O218" si="288">L196+L217+L216</f>
        <v>2.6115486598480953</v>
      </c>
      <c r="M218" s="160">
        <f t="shared" si="288"/>
        <v>2.6115486598480953</v>
      </c>
      <c r="N218" s="160">
        <f t="shared" si="288"/>
        <v>2.5432132022582516</v>
      </c>
      <c r="O218" s="160">
        <f t="shared" si="288"/>
        <v>2.5432132022582516</v>
      </c>
      <c r="P218" s="160">
        <f t="shared" ref="P218:AV218" si="289">P196+P217+P216</f>
        <v>33.186784827189534</v>
      </c>
      <c r="Q218" s="160">
        <f t="shared" si="289"/>
        <v>33.186784827189534</v>
      </c>
      <c r="R218" s="160">
        <f t="shared" si="289"/>
        <v>6.3294215306341792</v>
      </c>
      <c r="S218" s="160">
        <f t="shared" si="289"/>
        <v>1.5197412823574381</v>
      </c>
      <c r="T218" s="160">
        <f t="shared" si="289"/>
        <v>1.5197412823574381</v>
      </c>
      <c r="U218" s="160">
        <f t="shared" si="289"/>
        <v>1.2935470673236638</v>
      </c>
      <c r="V218" s="160">
        <f t="shared" si="289"/>
        <v>1.2935470673236638</v>
      </c>
      <c r="W218" s="160">
        <f t="shared" si="289"/>
        <v>1.2935470673236638</v>
      </c>
      <c r="X218" s="160">
        <f t="shared" si="289"/>
        <v>1.2935470673236638</v>
      </c>
      <c r="Y218" s="160">
        <f t="shared" si="289"/>
        <v>1.2935470673236638</v>
      </c>
      <c r="Z218" s="160">
        <f t="shared" si="289"/>
        <v>1.2935470673236638</v>
      </c>
      <c r="AA218" s="160">
        <f t="shared" si="289"/>
        <v>1.2935470673236638</v>
      </c>
      <c r="AB218" s="160">
        <f t="shared" si="289"/>
        <v>1.2935470673236638</v>
      </c>
      <c r="AC218" s="160">
        <f t="shared" si="289"/>
        <v>1.2935470673236638</v>
      </c>
      <c r="AD218" s="160">
        <f t="shared" si="289"/>
        <v>1.2935470673236638</v>
      </c>
      <c r="AE218" s="160">
        <f t="shared" si="289"/>
        <v>1.2935470673236638</v>
      </c>
      <c r="AF218" s="160">
        <f t="shared" si="289"/>
        <v>1.2935470673236638</v>
      </c>
      <c r="AG218" s="160">
        <f t="shared" si="289"/>
        <v>1.2935470673236638</v>
      </c>
      <c r="AH218" s="160">
        <f t="shared" si="289"/>
        <v>1.2935470673236638</v>
      </c>
      <c r="AI218" s="160">
        <f t="shared" si="289"/>
        <v>1.2935470673236638</v>
      </c>
      <c r="AJ218" s="160">
        <f t="shared" si="289"/>
        <v>1.2935470673236638</v>
      </c>
      <c r="AK218" s="160">
        <f t="shared" si="289"/>
        <v>1.2935470673236638</v>
      </c>
      <c r="AL218" s="160">
        <f t="shared" si="289"/>
        <v>1.2935470673236638</v>
      </c>
      <c r="AM218" s="160">
        <f t="shared" si="289"/>
        <v>1.2935470673236638</v>
      </c>
      <c r="AN218" s="160">
        <f t="shared" si="289"/>
        <v>1.2935470673236638</v>
      </c>
      <c r="AO218" s="160">
        <f t="shared" si="289"/>
        <v>1.2935470673236638</v>
      </c>
      <c r="AP218" s="160">
        <f t="shared" si="289"/>
        <v>1.2935470673236638</v>
      </c>
      <c r="AQ218" s="160">
        <f t="shared" si="289"/>
        <v>1.2935470673236638</v>
      </c>
      <c r="AR218" s="160">
        <f t="shared" si="289"/>
        <v>1.2935470673236638</v>
      </c>
      <c r="AS218" s="160">
        <f t="shared" si="289"/>
        <v>1.2935470673236638</v>
      </c>
      <c r="AT218" s="160">
        <f t="shared" si="289"/>
        <v>1.2935470673236638</v>
      </c>
      <c r="AU218" s="160">
        <f t="shared" si="289"/>
        <v>1.2935470673236638</v>
      </c>
      <c r="AV218" s="160">
        <f t="shared" si="289"/>
        <v>1.2935470673236638</v>
      </c>
      <c r="AW218" s="26"/>
      <c r="AX218" s="10"/>
    </row>
    <row r="219" spans="1:50" ht="12" hidden="1" customHeight="1" outlineLevel="1">
      <c r="A219" s="296"/>
      <c r="B219" s="13"/>
      <c r="C219" s="315"/>
      <c r="D219" s="23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26"/>
      <c r="AX219" s="10"/>
    </row>
    <row r="220" spans="1:50" ht="12" hidden="1" customHeight="1" outlineLevel="1">
      <c r="A220" s="296"/>
      <c r="B220" s="13"/>
      <c r="C220" s="315"/>
      <c r="D220" s="23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26"/>
      <c r="AX220" s="10"/>
    </row>
    <row r="221" spans="1:50" ht="12" hidden="1" customHeight="1" outlineLevel="1">
      <c r="A221" s="296"/>
      <c r="B221" s="41"/>
      <c r="C221" s="23"/>
      <c r="D221" s="23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10"/>
    </row>
    <row r="222" spans="1:50" collapsed="1">
      <c r="A222" s="296" t="s">
        <v>138</v>
      </c>
      <c r="B222" s="21" t="s">
        <v>268</v>
      </c>
      <c r="C222" s="22"/>
      <c r="D222" s="146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20"/>
      <c r="AX222" s="10"/>
    </row>
    <row r="223" spans="1:50" ht="12.75" hidden="1" customHeight="1" outlineLevel="1">
      <c r="A223" s="296"/>
      <c r="B223" s="13" t="s">
        <v>134</v>
      </c>
      <c r="C223" s="23"/>
      <c r="D223" s="23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6"/>
      <c r="AX223" s="10"/>
    </row>
    <row r="224" spans="1:50" ht="12.75" hidden="1" customHeight="1" outlineLevel="1">
      <c r="A224" s="296"/>
      <c r="B224" s="28" t="s">
        <v>280</v>
      </c>
      <c r="C224" s="23" t="s">
        <v>105</v>
      </c>
      <c r="D224" s="23"/>
      <c r="E224" s="24"/>
      <c r="F224" s="24"/>
      <c r="G224" s="24"/>
      <c r="H224" s="24"/>
      <c r="I224" s="24">
        <f>'Price Deck'!D3</f>
        <v>900</v>
      </c>
      <c r="J224" s="24">
        <f>'Price Deck'!E3</f>
        <v>900</v>
      </c>
      <c r="K224" s="24">
        <f>'Price Deck'!F3</f>
        <v>900</v>
      </c>
      <c r="L224" s="24">
        <f>'Price Deck'!G3</f>
        <v>900</v>
      </c>
      <c r="M224" s="24">
        <f>'Price Deck'!H3</f>
        <v>860</v>
      </c>
      <c r="N224" s="24">
        <f>'Price Deck'!I3</f>
        <v>860</v>
      </c>
      <c r="O224" s="24">
        <f>'Price Deck'!J3</f>
        <v>860</v>
      </c>
      <c r="P224" s="24">
        <f>'Price Deck'!K3</f>
        <v>860</v>
      </c>
      <c r="Q224" s="24">
        <f>'Price Deck'!L3</f>
        <v>810</v>
      </c>
      <c r="R224" s="24">
        <f>'Price Deck'!M3</f>
        <v>810</v>
      </c>
      <c r="S224" s="24">
        <f>'Price Deck'!N3</f>
        <v>810</v>
      </c>
      <c r="T224" s="24">
        <f>'Price Deck'!O3</f>
        <v>810</v>
      </c>
      <c r="U224" s="24">
        <f>'Price Deck'!P3</f>
        <v>770</v>
      </c>
      <c r="V224" s="24">
        <f>'Price Deck'!Q3</f>
        <v>770</v>
      </c>
      <c r="W224" s="24">
        <f>'Price Deck'!R3</f>
        <v>770</v>
      </c>
      <c r="X224" s="24">
        <f>'Price Deck'!S3</f>
        <v>770</v>
      </c>
      <c r="Y224" s="24">
        <f>X224</f>
        <v>770</v>
      </c>
      <c r="Z224" s="24">
        <f t="shared" ref="Z224:AV224" si="290">Y224</f>
        <v>770</v>
      </c>
      <c r="AA224" s="24">
        <f t="shared" si="290"/>
        <v>770</v>
      </c>
      <c r="AB224" s="24">
        <f t="shared" si="290"/>
        <v>770</v>
      </c>
      <c r="AC224" s="24">
        <f t="shared" si="290"/>
        <v>770</v>
      </c>
      <c r="AD224" s="24">
        <f t="shared" si="290"/>
        <v>770</v>
      </c>
      <c r="AE224" s="24">
        <f t="shared" si="290"/>
        <v>770</v>
      </c>
      <c r="AF224" s="24">
        <f t="shared" si="290"/>
        <v>770</v>
      </c>
      <c r="AG224" s="24">
        <f t="shared" si="290"/>
        <v>770</v>
      </c>
      <c r="AH224" s="24">
        <f t="shared" si="290"/>
        <v>770</v>
      </c>
      <c r="AI224" s="24">
        <f t="shared" si="290"/>
        <v>770</v>
      </c>
      <c r="AJ224" s="24">
        <f t="shared" si="290"/>
        <v>770</v>
      </c>
      <c r="AK224" s="24">
        <f t="shared" si="290"/>
        <v>770</v>
      </c>
      <c r="AL224" s="24">
        <f t="shared" si="290"/>
        <v>770</v>
      </c>
      <c r="AM224" s="24">
        <f t="shared" si="290"/>
        <v>770</v>
      </c>
      <c r="AN224" s="24">
        <f t="shared" si="290"/>
        <v>770</v>
      </c>
      <c r="AO224" s="24">
        <f t="shared" si="290"/>
        <v>770</v>
      </c>
      <c r="AP224" s="24">
        <f t="shared" si="290"/>
        <v>770</v>
      </c>
      <c r="AQ224" s="24">
        <f t="shared" si="290"/>
        <v>770</v>
      </c>
      <c r="AR224" s="24">
        <f t="shared" si="290"/>
        <v>770</v>
      </c>
      <c r="AS224" s="24">
        <f t="shared" si="290"/>
        <v>770</v>
      </c>
      <c r="AT224" s="24">
        <f t="shared" si="290"/>
        <v>770</v>
      </c>
      <c r="AU224" s="24">
        <f t="shared" si="290"/>
        <v>770</v>
      </c>
      <c r="AV224" s="24">
        <f t="shared" si="290"/>
        <v>770</v>
      </c>
      <c r="AW224" s="26"/>
      <c r="AX224" s="10"/>
    </row>
    <row r="225" spans="1:50" ht="12.75" hidden="1" customHeight="1" outlineLevel="1">
      <c r="A225" s="296"/>
      <c r="B225" s="28" t="s">
        <v>281</v>
      </c>
      <c r="C225" s="23" t="s">
        <v>105</v>
      </c>
      <c r="D225" s="23"/>
      <c r="E225" s="9"/>
      <c r="F225" s="9"/>
      <c r="G225" s="9"/>
      <c r="H225" s="9"/>
      <c r="I225" s="9">
        <f>'Price Deck'!D6</f>
        <v>180</v>
      </c>
      <c r="J225" s="9">
        <f>'Price Deck'!E6</f>
        <v>180</v>
      </c>
      <c r="K225" s="9">
        <f>'Price Deck'!F6</f>
        <v>180</v>
      </c>
      <c r="L225" s="9">
        <f>'Price Deck'!G6</f>
        <v>180</v>
      </c>
      <c r="M225" s="9">
        <f>'Price Deck'!H6</f>
        <v>171</v>
      </c>
      <c r="N225" s="9">
        <f>'Price Deck'!I6</f>
        <v>171</v>
      </c>
      <c r="O225" s="9">
        <f>'Price Deck'!J6</f>
        <v>171</v>
      </c>
      <c r="P225" s="9">
        <f>'Price Deck'!K6</f>
        <v>171</v>
      </c>
      <c r="Q225" s="9">
        <f>'Price Deck'!L6</f>
        <v>162.45000000000002</v>
      </c>
      <c r="R225" s="9">
        <f>'Price Deck'!M6</f>
        <v>162.45000000000002</v>
      </c>
      <c r="S225" s="9">
        <f>'Price Deck'!N6</f>
        <v>162.45000000000002</v>
      </c>
      <c r="T225" s="9">
        <f>'Price Deck'!O6</f>
        <v>162.45000000000002</v>
      </c>
      <c r="U225" s="9">
        <f>'Price Deck'!P6</f>
        <v>154.32749999999999</v>
      </c>
      <c r="V225" s="9">
        <f>'Price Deck'!Q6</f>
        <v>154.32749999999999</v>
      </c>
      <c r="W225" s="9">
        <f>'Price Deck'!R6</f>
        <v>154.32749999999999</v>
      </c>
      <c r="X225" s="9">
        <f>'Price Deck'!S6</f>
        <v>154.32749999999999</v>
      </c>
      <c r="Y225" s="9">
        <f>X225</f>
        <v>154.32749999999999</v>
      </c>
      <c r="Z225" s="9">
        <f t="shared" ref="Z225:AV225" si="291">Y225</f>
        <v>154.32749999999999</v>
      </c>
      <c r="AA225" s="9">
        <f t="shared" si="291"/>
        <v>154.32749999999999</v>
      </c>
      <c r="AB225" s="9">
        <f t="shared" si="291"/>
        <v>154.32749999999999</v>
      </c>
      <c r="AC225" s="9">
        <f t="shared" si="291"/>
        <v>154.32749999999999</v>
      </c>
      <c r="AD225" s="9">
        <f t="shared" si="291"/>
        <v>154.32749999999999</v>
      </c>
      <c r="AE225" s="9">
        <f t="shared" si="291"/>
        <v>154.32749999999999</v>
      </c>
      <c r="AF225" s="9">
        <f t="shared" si="291"/>
        <v>154.32749999999999</v>
      </c>
      <c r="AG225" s="9">
        <f t="shared" si="291"/>
        <v>154.32749999999999</v>
      </c>
      <c r="AH225" s="9">
        <f t="shared" si="291"/>
        <v>154.32749999999999</v>
      </c>
      <c r="AI225" s="9">
        <f t="shared" si="291"/>
        <v>154.32749999999999</v>
      </c>
      <c r="AJ225" s="9">
        <f t="shared" si="291"/>
        <v>154.32749999999999</v>
      </c>
      <c r="AK225" s="9">
        <f t="shared" si="291"/>
        <v>154.32749999999999</v>
      </c>
      <c r="AL225" s="9">
        <f t="shared" si="291"/>
        <v>154.32749999999999</v>
      </c>
      <c r="AM225" s="9">
        <f t="shared" si="291"/>
        <v>154.32749999999999</v>
      </c>
      <c r="AN225" s="9">
        <f t="shared" si="291"/>
        <v>154.32749999999999</v>
      </c>
      <c r="AO225" s="9">
        <f t="shared" si="291"/>
        <v>154.32749999999999</v>
      </c>
      <c r="AP225" s="9">
        <f t="shared" si="291"/>
        <v>154.32749999999999</v>
      </c>
      <c r="AQ225" s="9">
        <f t="shared" si="291"/>
        <v>154.32749999999999</v>
      </c>
      <c r="AR225" s="9">
        <f t="shared" si="291"/>
        <v>154.32749999999999</v>
      </c>
      <c r="AS225" s="9">
        <f t="shared" si="291"/>
        <v>154.32749999999999</v>
      </c>
      <c r="AT225" s="9">
        <f t="shared" si="291"/>
        <v>154.32749999999999</v>
      </c>
      <c r="AU225" s="9">
        <f t="shared" si="291"/>
        <v>154.32749999999999</v>
      </c>
      <c r="AV225" s="9">
        <f t="shared" si="291"/>
        <v>154.32749999999999</v>
      </c>
      <c r="AW225" s="26"/>
      <c r="AX225" s="10"/>
    </row>
    <row r="226" spans="1:50" ht="12.75" hidden="1" customHeight="1" outlineLevel="1">
      <c r="A226" s="296"/>
      <c r="B226" s="28"/>
      <c r="C226" s="23"/>
      <c r="D226" s="23"/>
      <c r="E226" s="219"/>
      <c r="F226" s="219"/>
      <c r="G226" s="219"/>
      <c r="H226" s="219"/>
      <c r="I226" s="219"/>
      <c r="J226" s="219"/>
      <c r="K226" s="219"/>
      <c r="L226" s="219"/>
      <c r="M226" s="219"/>
      <c r="N226" s="219"/>
      <c r="O226" s="219"/>
      <c r="P226" s="219"/>
      <c r="Q226" s="219"/>
      <c r="R226" s="219"/>
      <c r="S226" s="219"/>
      <c r="T226" s="219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26"/>
      <c r="AX226" s="10"/>
    </row>
    <row r="227" spans="1:50" ht="12.75" hidden="1" customHeight="1" outlineLevel="1">
      <c r="A227" s="296"/>
      <c r="B227" s="28" t="s">
        <v>282</v>
      </c>
      <c r="C227" s="23" t="s">
        <v>105</v>
      </c>
      <c r="D227" s="23"/>
      <c r="E227" s="24"/>
      <c r="F227" s="24"/>
      <c r="G227" s="24"/>
      <c r="H227" s="24"/>
      <c r="I227" s="24">
        <f>'Price Deck'!D5</f>
        <v>0</v>
      </c>
      <c r="J227" s="24">
        <f>'Price Deck'!E5</f>
        <v>0</v>
      </c>
      <c r="K227" s="24">
        <f>'Price Deck'!F5</f>
        <v>0</v>
      </c>
      <c r="L227" s="24">
        <f>'Price Deck'!G5</f>
        <v>0</v>
      </c>
      <c r="M227" s="24">
        <f>'Price Deck'!H4</f>
        <v>2200</v>
      </c>
      <c r="N227" s="24">
        <f>'Price Deck'!I4</f>
        <v>2200</v>
      </c>
      <c r="O227" s="24">
        <f>'Price Deck'!J4</f>
        <v>2200</v>
      </c>
      <c r="P227" s="24">
        <f>'Price Deck'!K4</f>
        <v>2200</v>
      </c>
      <c r="Q227" s="24">
        <f>'Price Deck'!L4</f>
        <v>2156</v>
      </c>
      <c r="R227" s="24">
        <f>'Price Deck'!M4</f>
        <v>2156</v>
      </c>
      <c r="S227" s="24">
        <f>'Price Deck'!N4</f>
        <v>2156</v>
      </c>
      <c r="T227" s="24">
        <f>'Price Deck'!O4</f>
        <v>2156</v>
      </c>
      <c r="U227" s="24">
        <f>'Price Deck'!P4</f>
        <v>2112.88</v>
      </c>
      <c r="V227" s="24">
        <f>'Price Deck'!Q4</f>
        <v>2112.88</v>
      </c>
      <c r="W227" s="24">
        <f>'Price Deck'!R4</f>
        <v>2112.88</v>
      </c>
      <c r="X227" s="24">
        <f>'Price Deck'!S4</f>
        <v>2112.88</v>
      </c>
      <c r="Y227" s="24">
        <f>X227</f>
        <v>2112.88</v>
      </c>
      <c r="Z227" s="24">
        <f t="shared" ref="Z227:AV227" si="292">Y227</f>
        <v>2112.88</v>
      </c>
      <c r="AA227" s="24">
        <f t="shared" si="292"/>
        <v>2112.88</v>
      </c>
      <c r="AB227" s="24">
        <f t="shared" si="292"/>
        <v>2112.88</v>
      </c>
      <c r="AC227" s="24">
        <f t="shared" si="292"/>
        <v>2112.88</v>
      </c>
      <c r="AD227" s="24">
        <f t="shared" si="292"/>
        <v>2112.88</v>
      </c>
      <c r="AE227" s="24">
        <f t="shared" si="292"/>
        <v>2112.88</v>
      </c>
      <c r="AF227" s="24">
        <f t="shared" si="292"/>
        <v>2112.88</v>
      </c>
      <c r="AG227" s="24">
        <f t="shared" si="292"/>
        <v>2112.88</v>
      </c>
      <c r="AH227" s="24">
        <f t="shared" si="292"/>
        <v>2112.88</v>
      </c>
      <c r="AI227" s="24">
        <f t="shared" si="292"/>
        <v>2112.88</v>
      </c>
      <c r="AJ227" s="24">
        <f t="shared" si="292"/>
        <v>2112.88</v>
      </c>
      <c r="AK227" s="24">
        <f t="shared" si="292"/>
        <v>2112.88</v>
      </c>
      <c r="AL227" s="24">
        <f t="shared" si="292"/>
        <v>2112.88</v>
      </c>
      <c r="AM227" s="24">
        <f t="shared" si="292"/>
        <v>2112.88</v>
      </c>
      <c r="AN227" s="24">
        <f t="shared" si="292"/>
        <v>2112.88</v>
      </c>
      <c r="AO227" s="24">
        <f t="shared" si="292"/>
        <v>2112.88</v>
      </c>
      <c r="AP227" s="24">
        <f t="shared" si="292"/>
        <v>2112.88</v>
      </c>
      <c r="AQ227" s="24">
        <f t="shared" si="292"/>
        <v>2112.88</v>
      </c>
      <c r="AR227" s="24">
        <f t="shared" si="292"/>
        <v>2112.88</v>
      </c>
      <c r="AS227" s="24">
        <f t="shared" si="292"/>
        <v>2112.88</v>
      </c>
      <c r="AT227" s="24">
        <f t="shared" si="292"/>
        <v>2112.88</v>
      </c>
      <c r="AU227" s="24">
        <f t="shared" si="292"/>
        <v>2112.88</v>
      </c>
      <c r="AV227" s="24">
        <f t="shared" si="292"/>
        <v>2112.88</v>
      </c>
      <c r="AW227" s="26"/>
      <c r="AX227" s="10"/>
    </row>
    <row r="228" spans="1:50" ht="12.75" hidden="1" customHeight="1" outlineLevel="1">
      <c r="A228" s="296"/>
      <c r="B228" s="28" t="s">
        <v>283</v>
      </c>
      <c r="C228" s="23" t="s">
        <v>105</v>
      </c>
      <c r="D228" s="23"/>
      <c r="E228" s="9"/>
      <c r="F228" s="9"/>
      <c r="G228" s="9"/>
      <c r="H228" s="9"/>
      <c r="I228" s="9">
        <f>'Price Deck'!D7</f>
        <v>0</v>
      </c>
      <c r="J228" s="9">
        <f>'Price Deck'!E7</f>
        <v>0</v>
      </c>
      <c r="K228" s="9">
        <f>'Price Deck'!F7</f>
        <v>0</v>
      </c>
      <c r="L228" s="9">
        <f>'Price Deck'!G7</f>
        <v>0</v>
      </c>
      <c r="M228" s="9">
        <f>'Price Deck'!H6</f>
        <v>171</v>
      </c>
      <c r="N228" s="9">
        <f>'Price Deck'!I6</f>
        <v>171</v>
      </c>
      <c r="O228" s="9">
        <f>'Price Deck'!J6</f>
        <v>171</v>
      </c>
      <c r="P228" s="9">
        <f>'Price Deck'!K6</f>
        <v>171</v>
      </c>
      <c r="Q228" s="9">
        <f>'Price Deck'!L6</f>
        <v>162.45000000000002</v>
      </c>
      <c r="R228" s="9">
        <f>'Price Deck'!M6</f>
        <v>162.45000000000002</v>
      </c>
      <c r="S228" s="9">
        <f>'Price Deck'!N6</f>
        <v>162.45000000000002</v>
      </c>
      <c r="T228" s="9">
        <f>'Price Deck'!O6</f>
        <v>162.45000000000002</v>
      </c>
      <c r="U228" s="9">
        <f>'Price Deck'!P6</f>
        <v>154.32749999999999</v>
      </c>
      <c r="V228" s="9">
        <f>'Price Deck'!Q6</f>
        <v>154.32749999999999</v>
      </c>
      <c r="W228" s="9">
        <f>'Price Deck'!R6</f>
        <v>154.32749999999999</v>
      </c>
      <c r="X228" s="9">
        <f>'Price Deck'!S6</f>
        <v>154.32749999999999</v>
      </c>
      <c r="Y228" s="24">
        <f>X228</f>
        <v>154.32749999999999</v>
      </c>
      <c r="Z228" s="24">
        <f t="shared" ref="Z228:AV228" si="293">Y228</f>
        <v>154.32749999999999</v>
      </c>
      <c r="AA228" s="24">
        <f t="shared" si="293"/>
        <v>154.32749999999999</v>
      </c>
      <c r="AB228" s="24">
        <f t="shared" si="293"/>
        <v>154.32749999999999</v>
      </c>
      <c r="AC228" s="24">
        <f t="shared" si="293"/>
        <v>154.32749999999999</v>
      </c>
      <c r="AD228" s="24">
        <f t="shared" si="293"/>
        <v>154.32749999999999</v>
      </c>
      <c r="AE228" s="24">
        <f t="shared" si="293"/>
        <v>154.32749999999999</v>
      </c>
      <c r="AF228" s="24">
        <f t="shared" si="293"/>
        <v>154.32749999999999</v>
      </c>
      <c r="AG228" s="24">
        <f t="shared" si="293"/>
        <v>154.32749999999999</v>
      </c>
      <c r="AH228" s="24">
        <f t="shared" si="293"/>
        <v>154.32749999999999</v>
      </c>
      <c r="AI228" s="24">
        <f t="shared" si="293"/>
        <v>154.32749999999999</v>
      </c>
      <c r="AJ228" s="24">
        <f t="shared" si="293"/>
        <v>154.32749999999999</v>
      </c>
      <c r="AK228" s="24">
        <f t="shared" si="293"/>
        <v>154.32749999999999</v>
      </c>
      <c r="AL228" s="24">
        <f t="shared" si="293"/>
        <v>154.32749999999999</v>
      </c>
      <c r="AM228" s="24">
        <f t="shared" si="293"/>
        <v>154.32749999999999</v>
      </c>
      <c r="AN228" s="24">
        <f t="shared" si="293"/>
        <v>154.32749999999999</v>
      </c>
      <c r="AO228" s="24">
        <f t="shared" si="293"/>
        <v>154.32749999999999</v>
      </c>
      <c r="AP228" s="24">
        <f t="shared" si="293"/>
        <v>154.32749999999999</v>
      </c>
      <c r="AQ228" s="24">
        <f t="shared" si="293"/>
        <v>154.32749999999999</v>
      </c>
      <c r="AR228" s="24">
        <f t="shared" si="293"/>
        <v>154.32749999999999</v>
      </c>
      <c r="AS228" s="24">
        <f t="shared" si="293"/>
        <v>154.32749999999999</v>
      </c>
      <c r="AT228" s="24">
        <f t="shared" si="293"/>
        <v>154.32749999999999</v>
      </c>
      <c r="AU228" s="24">
        <f t="shared" si="293"/>
        <v>154.32749999999999</v>
      </c>
      <c r="AV228" s="24">
        <f t="shared" si="293"/>
        <v>154.32749999999999</v>
      </c>
      <c r="AW228" s="26"/>
      <c r="AX228" s="10"/>
    </row>
    <row r="229" spans="1:50" ht="12.75" hidden="1" customHeight="1" outlineLevel="1">
      <c r="A229" s="296"/>
      <c r="B229" s="28"/>
      <c r="C229" s="23"/>
      <c r="D229" s="23"/>
      <c r="E229" s="219"/>
      <c r="F229" s="219"/>
      <c r="G229" s="219"/>
      <c r="H229" s="219"/>
      <c r="I229" s="219"/>
      <c r="J229" s="219"/>
      <c r="K229" s="219"/>
      <c r="L229" s="219"/>
      <c r="M229" s="219"/>
      <c r="N229" s="219"/>
      <c r="O229" s="219"/>
      <c r="P229" s="219"/>
      <c r="Q229" s="219"/>
      <c r="R229" s="219"/>
      <c r="S229" s="219"/>
      <c r="T229" s="219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26"/>
      <c r="AX229" s="10"/>
    </row>
    <row r="230" spans="1:50" ht="12.75" hidden="1" customHeight="1" outlineLevel="1">
      <c r="A230" s="296"/>
      <c r="B230" s="32"/>
      <c r="C230" s="23"/>
      <c r="D230" s="23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6"/>
      <c r="AX230" s="27"/>
    </row>
    <row r="231" spans="1:50" ht="12.75" hidden="1" customHeight="1" outlineLevel="1">
      <c r="A231" s="296"/>
      <c r="B231" s="13" t="s">
        <v>284</v>
      </c>
      <c r="C231" s="23"/>
      <c r="D231" s="23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6"/>
      <c r="AX231" s="27"/>
    </row>
    <row r="232" spans="1:50" ht="12.75" hidden="1" customHeight="1" outlineLevel="1">
      <c r="A232" s="296"/>
      <c r="B232" s="28" t="s">
        <v>285</v>
      </c>
      <c r="C232" s="23" t="s">
        <v>100</v>
      </c>
      <c r="D232" s="23"/>
      <c r="E232" s="24">
        <f t="shared" ref="E232:J232" si="294">E80</f>
        <v>0</v>
      </c>
      <c r="F232" s="24">
        <f t="shared" si="294"/>
        <v>0</v>
      </c>
      <c r="G232" s="24">
        <f t="shared" si="294"/>
        <v>0</v>
      </c>
      <c r="H232" s="24">
        <f t="shared" si="294"/>
        <v>0</v>
      </c>
      <c r="I232" s="24">
        <f t="shared" si="294"/>
        <v>0</v>
      </c>
      <c r="J232" s="24">
        <f t="shared" si="294"/>
        <v>0</v>
      </c>
      <c r="K232" s="24">
        <f t="shared" ref="K232:AV232" si="295">K67</f>
        <v>580.36621500000001</v>
      </c>
      <c r="L232" s="24">
        <f t="shared" si="295"/>
        <v>0</v>
      </c>
      <c r="M232" s="24">
        <f t="shared" si="295"/>
        <v>0</v>
      </c>
      <c r="N232" s="24">
        <f t="shared" si="295"/>
        <v>696.43945800000017</v>
      </c>
      <c r="O232" s="24">
        <f t="shared" si="295"/>
        <v>0</v>
      </c>
      <c r="P232" s="24">
        <f t="shared" si="295"/>
        <v>0</v>
      </c>
      <c r="Q232" s="24">
        <f t="shared" si="295"/>
        <v>696.43945800000017</v>
      </c>
      <c r="R232" s="24">
        <f t="shared" si="295"/>
        <v>0</v>
      </c>
      <c r="S232" s="24">
        <f t="shared" si="295"/>
        <v>0</v>
      </c>
      <c r="T232" s="24">
        <f t="shared" si="295"/>
        <v>696.43945800000017</v>
      </c>
      <c r="U232" s="24">
        <f t="shared" si="295"/>
        <v>0</v>
      </c>
      <c r="V232" s="24">
        <f t="shared" si="295"/>
        <v>0</v>
      </c>
      <c r="W232" s="24">
        <f t="shared" si="295"/>
        <v>696.43945800000017</v>
      </c>
      <c r="X232" s="24">
        <f t="shared" si="295"/>
        <v>0</v>
      </c>
      <c r="Y232" s="24">
        <f t="shared" si="295"/>
        <v>0</v>
      </c>
      <c r="Z232" s="24">
        <f t="shared" si="295"/>
        <v>696.43945800000017</v>
      </c>
      <c r="AA232" s="24">
        <f t="shared" si="295"/>
        <v>0</v>
      </c>
      <c r="AB232" s="24">
        <f t="shared" si="295"/>
        <v>0</v>
      </c>
      <c r="AC232" s="24">
        <f t="shared" si="295"/>
        <v>696.43945800000017</v>
      </c>
      <c r="AD232" s="24">
        <f t="shared" si="295"/>
        <v>0</v>
      </c>
      <c r="AE232" s="24">
        <f t="shared" si="295"/>
        <v>0</v>
      </c>
      <c r="AF232" s="24">
        <f t="shared" si="295"/>
        <v>696.43945800000017</v>
      </c>
      <c r="AG232" s="24">
        <f t="shared" si="295"/>
        <v>0</v>
      </c>
      <c r="AH232" s="24">
        <f t="shared" si="295"/>
        <v>0</v>
      </c>
      <c r="AI232" s="24">
        <f t="shared" si="295"/>
        <v>696.43945800000017</v>
      </c>
      <c r="AJ232" s="24">
        <f t="shared" si="295"/>
        <v>0</v>
      </c>
      <c r="AK232" s="24">
        <f t="shared" si="295"/>
        <v>0</v>
      </c>
      <c r="AL232" s="24">
        <f t="shared" si="295"/>
        <v>696.43945800000017</v>
      </c>
      <c r="AM232" s="24">
        <f t="shared" si="295"/>
        <v>0</v>
      </c>
      <c r="AN232" s="24">
        <f t="shared" si="295"/>
        <v>0</v>
      </c>
      <c r="AO232" s="24">
        <f t="shared" si="295"/>
        <v>696.43945800000017</v>
      </c>
      <c r="AP232" s="24">
        <f t="shared" si="295"/>
        <v>0</v>
      </c>
      <c r="AQ232" s="24">
        <f t="shared" si="295"/>
        <v>0</v>
      </c>
      <c r="AR232" s="24">
        <f t="shared" si="295"/>
        <v>696.43945800000017</v>
      </c>
      <c r="AS232" s="24">
        <f t="shared" si="295"/>
        <v>0</v>
      </c>
      <c r="AT232" s="24">
        <f t="shared" si="295"/>
        <v>0</v>
      </c>
      <c r="AU232" s="24">
        <f t="shared" si="295"/>
        <v>696.43945800000017</v>
      </c>
      <c r="AV232" s="24">
        <f t="shared" si="295"/>
        <v>0</v>
      </c>
      <c r="AW232" s="26"/>
      <c r="AX232" s="27"/>
    </row>
    <row r="233" spans="1:50" ht="12.75" hidden="1" customHeight="1" outlineLevel="1">
      <c r="A233" s="296"/>
      <c r="B233" s="28" t="s">
        <v>99</v>
      </c>
      <c r="C233" s="23" t="s">
        <v>100</v>
      </c>
      <c r="D233" s="23"/>
      <c r="E233" s="24"/>
      <c r="F233" s="24">
        <f t="shared" ref="F233:J233" si="296">F90</f>
        <v>0</v>
      </c>
      <c r="G233" s="24">
        <f t="shared" si="296"/>
        <v>0</v>
      </c>
      <c r="H233" s="24">
        <f t="shared" si="296"/>
        <v>0</v>
      </c>
      <c r="I233" s="24">
        <f t="shared" si="296"/>
        <v>0</v>
      </c>
      <c r="J233" s="24">
        <f t="shared" si="296"/>
        <v>0</v>
      </c>
      <c r="K233" s="24">
        <f t="shared" ref="K233:AV233" si="297">K67*K89</f>
        <v>116.07324300000001</v>
      </c>
      <c r="L233" s="24">
        <f t="shared" si="297"/>
        <v>0</v>
      </c>
      <c r="M233" s="24">
        <f t="shared" si="297"/>
        <v>0</v>
      </c>
      <c r="N233" s="24">
        <f t="shared" si="297"/>
        <v>139.28789160000005</v>
      </c>
      <c r="O233" s="24">
        <f t="shared" si="297"/>
        <v>0</v>
      </c>
      <c r="P233" s="24">
        <f t="shared" si="297"/>
        <v>0</v>
      </c>
      <c r="Q233" s="24">
        <f t="shared" si="297"/>
        <v>139.28789160000005</v>
      </c>
      <c r="R233" s="24">
        <f t="shared" si="297"/>
        <v>0</v>
      </c>
      <c r="S233" s="24">
        <f t="shared" si="297"/>
        <v>0</v>
      </c>
      <c r="T233" s="24">
        <f t="shared" si="297"/>
        <v>139.28789160000005</v>
      </c>
      <c r="U233" s="24">
        <f t="shared" si="297"/>
        <v>0</v>
      </c>
      <c r="V233" s="24">
        <f t="shared" si="297"/>
        <v>0</v>
      </c>
      <c r="W233" s="24">
        <f t="shared" si="297"/>
        <v>139.28789160000005</v>
      </c>
      <c r="X233" s="24">
        <f t="shared" si="297"/>
        <v>0</v>
      </c>
      <c r="Y233" s="24">
        <f t="shared" si="297"/>
        <v>0</v>
      </c>
      <c r="Z233" s="24">
        <f t="shared" si="297"/>
        <v>139.28789160000005</v>
      </c>
      <c r="AA233" s="24">
        <f t="shared" si="297"/>
        <v>0</v>
      </c>
      <c r="AB233" s="24">
        <f t="shared" si="297"/>
        <v>0</v>
      </c>
      <c r="AC233" s="24">
        <f t="shared" si="297"/>
        <v>139.28789160000005</v>
      </c>
      <c r="AD233" s="24">
        <f t="shared" si="297"/>
        <v>0</v>
      </c>
      <c r="AE233" s="24">
        <f t="shared" si="297"/>
        <v>0</v>
      </c>
      <c r="AF233" s="24">
        <f t="shared" si="297"/>
        <v>139.28789160000005</v>
      </c>
      <c r="AG233" s="24">
        <f t="shared" si="297"/>
        <v>0</v>
      </c>
      <c r="AH233" s="24">
        <f t="shared" si="297"/>
        <v>0</v>
      </c>
      <c r="AI233" s="24">
        <f t="shared" si="297"/>
        <v>139.28789160000005</v>
      </c>
      <c r="AJ233" s="24">
        <f t="shared" si="297"/>
        <v>0</v>
      </c>
      <c r="AK233" s="24">
        <f t="shared" si="297"/>
        <v>0</v>
      </c>
      <c r="AL233" s="24">
        <f t="shared" si="297"/>
        <v>139.28789160000005</v>
      </c>
      <c r="AM233" s="24">
        <f t="shared" si="297"/>
        <v>0</v>
      </c>
      <c r="AN233" s="24">
        <f t="shared" si="297"/>
        <v>0</v>
      </c>
      <c r="AO233" s="24">
        <f t="shared" si="297"/>
        <v>139.28789160000005</v>
      </c>
      <c r="AP233" s="24">
        <f t="shared" si="297"/>
        <v>0</v>
      </c>
      <c r="AQ233" s="24">
        <f t="shared" si="297"/>
        <v>0</v>
      </c>
      <c r="AR233" s="24">
        <f t="shared" si="297"/>
        <v>139.28789160000005</v>
      </c>
      <c r="AS233" s="24">
        <f t="shared" si="297"/>
        <v>0</v>
      </c>
      <c r="AT233" s="24">
        <f t="shared" si="297"/>
        <v>0</v>
      </c>
      <c r="AU233" s="24">
        <f t="shared" si="297"/>
        <v>139.28789160000005</v>
      </c>
      <c r="AV233" s="24">
        <f t="shared" si="297"/>
        <v>0</v>
      </c>
      <c r="AW233" s="26"/>
      <c r="AX233" s="27"/>
    </row>
    <row r="234" spans="1:50" ht="12.75" hidden="1" customHeight="1" outlineLevel="1">
      <c r="A234" s="296"/>
      <c r="B234" s="28"/>
      <c r="C234" s="23"/>
      <c r="D234" s="23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6"/>
      <c r="AX234" s="27"/>
    </row>
    <row r="235" spans="1:50" ht="12.75" hidden="1" customHeight="1" outlineLevel="1">
      <c r="A235" s="296"/>
      <c r="B235" s="28" t="s">
        <v>286</v>
      </c>
      <c r="C235" s="23" t="s">
        <v>100</v>
      </c>
      <c r="D235" s="23"/>
      <c r="E235" s="24" t="e">
        <f>#REF!</f>
        <v>#REF!</v>
      </c>
      <c r="F235" s="24" t="e">
        <f>#REF!</f>
        <v>#REF!</v>
      </c>
      <c r="G235" s="24" t="e">
        <f>#REF!</f>
        <v>#REF!</v>
      </c>
      <c r="H235" s="24" t="e">
        <f>#REF!</f>
        <v>#REF!</v>
      </c>
      <c r="I235" s="24" t="e">
        <f>#REF!</f>
        <v>#REF!</v>
      </c>
      <c r="J235" s="24" t="e">
        <f>#REF!</f>
        <v>#REF!</v>
      </c>
      <c r="K235" s="24">
        <f t="shared" ref="K235:AV235" si="298">K77</f>
        <v>0</v>
      </c>
      <c r="L235" s="24">
        <f t="shared" si="298"/>
        <v>117.62088624</v>
      </c>
      <c r="M235" s="24">
        <f t="shared" si="298"/>
        <v>117.62088624</v>
      </c>
      <c r="N235" s="24">
        <f t="shared" si="298"/>
        <v>128.89960135890411</v>
      </c>
      <c r="O235" s="24">
        <f t="shared" si="298"/>
        <v>128.89960135890411</v>
      </c>
      <c r="P235" s="24">
        <f t="shared" si="298"/>
        <v>128.89960135890411</v>
      </c>
      <c r="Q235" s="24">
        <f t="shared" si="298"/>
        <v>128.89960135890411</v>
      </c>
      <c r="R235" s="24">
        <f t="shared" si="298"/>
        <v>830.79821188356152</v>
      </c>
      <c r="S235" s="24">
        <f t="shared" si="298"/>
        <v>1661.596423767123</v>
      </c>
      <c r="T235" s="24">
        <f t="shared" si="298"/>
        <v>1661.596423767123</v>
      </c>
      <c r="U235" s="24">
        <f t="shared" si="298"/>
        <v>1661.596423767123</v>
      </c>
      <c r="V235" s="24">
        <f t="shared" si="298"/>
        <v>1661.596423767123</v>
      </c>
      <c r="W235" s="24">
        <f t="shared" si="298"/>
        <v>1661.596423767123</v>
      </c>
      <c r="X235" s="24">
        <f t="shared" si="298"/>
        <v>1661.596423767123</v>
      </c>
      <c r="Y235" s="24">
        <f t="shared" si="298"/>
        <v>1661.596423767123</v>
      </c>
      <c r="Z235" s="24">
        <f t="shared" si="298"/>
        <v>1661.596423767123</v>
      </c>
      <c r="AA235" s="24">
        <f t="shared" si="298"/>
        <v>1661.596423767123</v>
      </c>
      <c r="AB235" s="24">
        <f t="shared" si="298"/>
        <v>1661.596423767123</v>
      </c>
      <c r="AC235" s="24">
        <f t="shared" si="298"/>
        <v>1661.596423767123</v>
      </c>
      <c r="AD235" s="24">
        <f t="shared" si="298"/>
        <v>1661.596423767123</v>
      </c>
      <c r="AE235" s="24">
        <f t="shared" si="298"/>
        <v>1661.596423767123</v>
      </c>
      <c r="AF235" s="24">
        <f t="shared" si="298"/>
        <v>1661.596423767123</v>
      </c>
      <c r="AG235" s="24">
        <f t="shared" si="298"/>
        <v>1661.596423767123</v>
      </c>
      <c r="AH235" s="24">
        <f t="shared" si="298"/>
        <v>1661.596423767123</v>
      </c>
      <c r="AI235" s="24">
        <f t="shared" si="298"/>
        <v>1661.596423767123</v>
      </c>
      <c r="AJ235" s="24">
        <f t="shared" si="298"/>
        <v>1661.596423767123</v>
      </c>
      <c r="AK235" s="24">
        <f t="shared" si="298"/>
        <v>1661.596423767123</v>
      </c>
      <c r="AL235" s="24">
        <f t="shared" si="298"/>
        <v>1661.596423767123</v>
      </c>
      <c r="AM235" s="24">
        <f t="shared" si="298"/>
        <v>1661.596423767123</v>
      </c>
      <c r="AN235" s="24">
        <f t="shared" si="298"/>
        <v>1661.596423767123</v>
      </c>
      <c r="AO235" s="24">
        <f t="shared" si="298"/>
        <v>1661.596423767123</v>
      </c>
      <c r="AP235" s="24">
        <f t="shared" si="298"/>
        <v>1661.596423767123</v>
      </c>
      <c r="AQ235" s="24">
        <f t="shared" si="298"/>
        <v>1661.596423767123</v>
      </c>
      <c r="AR235" s="24">
        <f t="shared" si="298"/>
        <v>1661.596423767123</v>
      </c>
      <c r="AS235" s="24">
        <f t="shared" si="298"/>
        <v>1661.596423767123</v>
      </c>
      <c r="AT235" s="24">
        <f t="shared" si="298"/>
        <v>1661.596423767123</v>
      </c>
      <c r="AU235" s="24">
        <f t="shared" si="298"/>
        <v>1661.596423767123</v>
      </c>
      <c r="AV235" s="24">
        <f t="shared" si="298"/>
        <v>1661.596423767123</v>
      </c>
      <c r="AW235" s="26"/>
      <c r="AX235" s="27"/>
    </row>
    <row r="236" spans="1:50" ht="12.75" hidden="1" customHeight="1" outlineLevel="1">
      <c r="A236" s="296"/>
      <c r="B236" s="28" t="s">
        <v>99</v>
      </c>
      <c r="C236" s="23" t="s">
        <v>100</v>
      </c>
      <c r="D236" s="23"/>
      <c r="E236" s="24"/>
      <c r="F236" s="24">
        <f t="shared" ref="F236:J236" si="299">F93</f>
        <v>0</v>
      </c>
      <c r="G236" s="24">
        <f t="shared" si="299"/>
        <v>0</v>
      </c>
      <c r="H236" s="24">
        <f t="shared" si="299"/>
        <v>0</v>
      </c>
      <c r="I236" s="24">
        <f t="shared" si="299"/>
        <v>0</v>
      </c>
      <c r="J236" s="24">
        <f t="shared" si="299"/>
        <v>0</v>
      </c>
      <c r="K236" s="24">
        <f t="shared" ref="K236:AV236" si="300">K77*K89</f>
        <v>0</v>
      </c>
      <c r="L236" s="24">
        <f t="shared" si="300"/>
        <v>23.524177248000001</v>
      </c>
      <c r="M236" s="24">
        <f t="shared" si="300"/>
        <v>23.524177248000001</v>
      </c>
      <c r="N236" s="24">
        <f t="shared" si="300"/>
        <v>25.779920271780824</v>
      </c>
      <c r="O236" s="24">
        <f t="shared" si="300"/>
        <v>25.779920271780824</v>
      </c>
      <c r="P236" s="24">
        <f t="shared" si="300"/>
        <v>25.779920271780824</v>
      </c>
      <c r="Q236" s="24">
        <f t="shared" si="300"/>
        <v>25.779920271780824</v>
      </c>
      <c r="R236" s="24">
        <f t="shared" si="300"/>
        <v>166.15964237671233</v>
      </c>
      <c r="S236" s="24">
        <f t="shared" si="300"/>
        <v>332.31928475342465</v>
      </c>
      <c r="T236" s="24">
        <f t="shared" si="300"/>
        <v>332.31928475342465</v>
      </c>
      <c r="U236" s="24">
        <f t="shared" si="300"/>
        <v>332.31928475342465</v>
      </c>
      <c r="V236" s="24">
        <f t="shared" si="300"/>
        <v>332.31928475342465</v>
      </c>
      <c r="W236" s="24">
        <f t="shared" si="300"/>
        <v>332.31928475342465</v>
      </c>
      <c r="X236" s="24">
        <f t="shared" si="300"/>
        <v>332.31928475342465</v>
      </c>
      <c r="Y236" s="24">
        <f t="shared" si="300"/>
        <v>332.31928475342465</v>
      </c>
      <c r="Z236" s="24">
        <f t="shared" si="300"/>
        <v>332.31928475342465</v>
      </c>
      <c r="AA236" s="24">
        <f t="shared" si="300"/>
        <v>332.31928475342465</v>
      </c>
      <c r="AB236" s="24">
        <f t="shared" si="300"/>
        <v>332.31928475342465</v>
      </c>
      <c r="AC236" s="24">
        <f t="shared" si="300"/>
        <v>332.31928475342465</v>
      </c>
      <c r="AD236" s="24">
        <f t="shared" si="300"/>
        <v>332.31928475342465</v>
      </c>
      <c r="AE236" s="24">
        <f t="shared" si="300"/>
        <v>332.31928475342465</v>
      </c>
      <c r="AF236" s="24">
        <f t="shared" si="300"/>
        <v>332.31928475342465</v>
      </c>
      <c r="AG236" s="24">
        <f t="shared" si="300"/>
        <v>332.31928475342465</v>
      </c>
      <c r="AH236" s="24">
        <f t="shared" si="300"/>
        <v>332.31928475342465</v>
      </c>
      <c r="AI236" s="24">
        <f t="shared" si="300"/>
        <v>332.31928475342465</v>
      </c>
      <c r="AJ236" s="24">
        <f t="shared" si="300"/>
        <v>332.31928475342465</v>
      </c>
      <c r="AK236" s="24">
        <f t="shared" si="300"/>
        <v>332.31928475342465</v>
      </c>
      <c r="AL236" s="24">
        <f t="shared" si="300"/>
        <v>332.31928475342465</v>
      </c>
      <c r="AM236" s="24">
        <f t="shared" si="300"/>
        <v>332.31928475342465</v>
      </c>
      <c r="AN236" s="24">
        <f t="shared" si="300"/>
        <v>332.31928475342465</v>
      </c>
      <c r="AO236" s="24">
        <f t="shared" si="300"/>
        <v>332.31928475342465</v>
      </c>
      <c r="AP236" s="24">
        <f t="shared" si="300"/>
        <v>332.31928475342465</v>
      </c>
      <c r="AQ236" s="24">
        <f t="shared" si="300"/>
        <v>332.31928475342465</v>
      </c>
      <c r="AR236" s="24">
        <f t="shared" si="300"/>
        <v>332.31928475342465</v>
      </c>
      <c r="AS236" s="24">
        <f t="shared" si="300"/>
        <v>332.31928475342465</v>
      </c>
      <c r="AT236" s="24">
        <f t="shared" si="300"/>
        <v>332.31928475342465</v>
      </c>
      <c r="AU236" s="24">
        <f t="shared" si="300"/>
        <v>332.31928475342465</v>
      </c>
      <c r="AV236" s="24">
        <f t="shared" si="300"/>
        <v>332.31928475342465</v>
      </c>
      <c r="AW236" s="26"/>
      <c r="AX236" s="27"/>
    </row>
    <row r="237" spans="1:50" ht="12.75" hidden="1" customHeight="1" outlineLevel="1">
      <c r="A237" s="296"/>
      <c r="B237" s="28"/>
      <c r="C237" s="23"/>
      <c r="D237" s="23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6"/>
      <c r="AX237" s="27"/>
    </row>
    <row r="238" spans="1:50" ht="12.75" hidden="1" customHeight="1" outlineLevel="1">
      <c r="A238" s="296"/>
      <c r="B238" s="199" t="s">
        <v>287</v>
      </c>
      <c r="C238" s="23" t="s">
        <v>100</v>
      </c>
      <c r="D238" s="23"/>
      <c r="E238" s="24"/>
      <c r="F238" s="24">
        <f t="shared" ref="F238:J238" si="301">F86</f>
        <v>0</v>
      </c>
      <c r="G238" s="24">
        <f t="shared" si="301"/>
        <v>0</v>
      </c>
      <c r="H238" s="24">
        <f t="shared" si="301"/>
        <v>0</v>
      </c>
      <c r="I238" s="24">
        <f t="shared" si="301"/>
        <v>0</v>
      </c>
      <c r="J238" s="24">
        <f t="shared" si="301"/>
        <v>0</v>
      </c>
      <c r="K238" s="24">
        <f t="shared" ref="K238:M238" si="302">K83</f>
        <v>0</v>
      </c>
      <c r="L238" s="24">
        <f t="shared" si="302"/>
        <v>0</v>
      </c>
      <c r="M238" s="24">
        <f t="shared" si="302"/>
        <v>0</v>
      </c>
      <c r="N238" s="24">
        <f t="shared" ref="N238:AV238" si="303">N83</f>
        <v>0</v>
      </c>
      <c r="O238" s="24">
        <f t="shared" si="303"/>
        <v>696.43945800000017</v>
      </c>
      <c r="P238" s="24">
        <f t="shared" si="303"/>
        <v>0</v>
      </c>
      <c r="Q238" s="24">
        <f t="shared" si="303"/>
        <v>0</v>
      </c>
      <c r="R238" s="24">
        <f t="shared" si="303"/>
        <v>696.43945800000017</v>
      </c>
      <c r="S238" s="24">
        <f t="shared" si="303"/>
        <v>0</v>
      </c>
      <c r="T238" s="24">
        <f t="shared" si="303"/>
        <v>0</v>
      </c>
      <c r="U238" s="24">
        <f t="shared" si="303"/>
        <v>696.43945800000017</v>
      </c>
      <c r="V238" s="24">
        <f t="shared" si="303"/>
        <v>0</v>
      </c>
      <c r="W238" s="24">
        <f t="shared" si="303"/>
        <v>0</v>
      </c>
      <c r="X238" s="24">
        <f t="shared" si="303"/>
        <v>696.43945800000017</v>
      </c>
      <c r="Y238" s="24">
        <f t="shared" si="303"/>
        <v>0</v>
      </c>
      <c r="Z238" s="24">
        <f t="shared" si="303"/>
        <v>0</v>
      </c>
      <c r="AA238" s="24">
        <f t="shared" si="303"/>
        <v>696.43945800000017</v>
      </c>
      <c r="AB238" s="24">
        <f t="shared" si="303"/>
        <v>0</v>
      </c>
      <c r="AC238" s="24">
        <f t="shared" si="303"/>
        <v>0</v>
      </c>
      <c r="AD238" s="24">
        <f t="shared" si="303"/>
        <v>696.43945800000017</v>
      </c>
      <c r="AE238" s="24">
        <f t="shared" si="303"/>
        <v>0</v>
      </c>
      <c r="AF238" s="24">
        <f t="shared" si="303"/>
        <v>0</v>
      </c>
      <c r="AG238" s="24">
        <f t="shared" si="303"/>
        <v>696.43945800000017</v>
      </c>
      <c r="AH238" s="24">
        <f t="shared" si="303"/>
        <v>0</v>
      </c>
      <c r="AI238" s="24">
        <f t="shared" si="303"/>
        <v>0</v>
      </c>
      <c r="AJ238" s="24">
        <f t="shared" si="303"/>
        <v>696.43945800000017</v>
      </c>
      <c r="AK238" s="24">
        <f t="shared" si="303"/>
        <v>0</v>
      </c>
      <c r="AL238" s="24">
        <f t="shared" si="303"/>
        <v>0</v>
      </c>
      <c r="AM238" s="24">
        <f t="shared" si="303"/>
        <v>696.43945800000017</v>
      </c>
      <c r="AN238" s="24">
        <f t="shared" si="303"/>
        <v>0</v>
      </c>
      <c r="AO238" s="24">
        <f t="shared" si="303"/>
        <v>0</v>
      </c>
      <c r="AP238" s="24">
        <f t="shared" si="303"/>
        <v>696.43945800000017</v>
      </c>
      <c r="AQ238" s="24">
        <f t="shared" si="303"/>
        <v>0</v>
      </c>
      <c r="AR238" s="24">
        <f t="shared" si="303"/>
        <v>0</v>
      </c>
      <c r="AS238" s="24">
        <f t="shared" si="303"/>
        <v>696.43945800000017</v>
      </c>
      <c r="AT238" s="24">
        <f t="shared" si="303"/>
        <v>0</v>
      </c>
      <c r="AU238" s="24">
        <f t="shared" si="303"/>
        <v>0</v>
      </c>
      <c r="AV238" s="24">
        <f t="shared" si="303"/>
        <v>696.43945800000017</v>
      </c>
      <c r="AW238" s="26"/>
      <c r="AX238" s="27"/>
    </row>
    <row r="239" spans="1:50" ht="12.75" hidden="1" customHeight="1" outlineLevel="1">
      <c r="A239" s="296"/>
      <c r="B239" s="199" t="s">
        <v>288</v>
      </c>
      <c r="C239" s="23" t="s">
        <v>100</v>
      </c>
      <c r="D239" s="23"/>
      <c r="E239" s="24"/>
      <c r="F239" s="24"/>
      <c r="G239" s="24"/>
      <c r="H239" s="24"/>
      <c r="I239" s="24"/>
      <c r="J239" s="24"/>
      <c r="K239" s="24">
        <f t="shared" ref="K239:M239" si="304">K84</f>
        <v>0</v>
      </c>
      <c r="L239" s="24">
        <f t="shared" si="304"/>
        <v>0</v>
      </c>
      <c r="M239" s="24">
        <f t="shared" si="304"/>
        <v>117.62088624</v>
      </c>
      <c r="N239" s="24">
        <f t="shared" ref="N239:AV239" si="305">N84</f>
        <v>117.62088624</v>
      </c>
      <c r="O239" s="24">
        <f t="shared" si="305"/>
        <v>128.89960135890411</v>
      </c>
      <c r="P239" s="24">
        <f t="shared" si="305"/>
        <v>128.89960135890411</v>
      </c>
      <c r="Q239" s="24">
        <f t="shared" si="305"/>
        <v>128.89960135890411</v>
      </c>
      <c r="R239" s="24">
        <f t="shared" si="305"/>
        <v>128.89960135890411</v>
      </c>
      <c r="S239" s="24">
        <f t="shared" si="305"/>
        <v>830.79821188356152</v>
      </c>
      <c r="T239" s="24">
        <f t="shared" si="305"/>
        <v>1661.596423767123</v>
      </c>
      <c r="U239" s="24">
        <f t="shared" si="305"/>
        <v>1661.596423767123</v>
      </c>
      <c r="V239" s="24">
        <f t="shared" si="305"/>
        <v>1661.596423767123</v>
      </c>
      <c r="W239" s="24">
        <f t="shared" si="305"/>
        <v>1661.596423767123</v>
      </c>
      <c r="X239" s="24">
        <f t="shared" si="305"/>
        <v>1661.596423767123</v>
      </c>
      <c r="Y239" s="24">
        <f t="shared" si="305"/>
        <v>1661.596423767123</v>
      </c>
      <c r="Z239" s="24">
        <f t="shared" si="305"/>
        <v>1661.596423767123</v>
      </c>
      <c r="AA239" s="24">
        <f t="shared" si="305"/>
        <v>1661.596423767123</v>
      </c>
      <c r="AB239" s="24">
        <f t="shared" si="305"/>
        <v>1661.596423767123</v>
      </c>
      <c r="AC239" s="24">
        <f t="shared" si="305"/>
        <v>1661.596423767123</v>
      </c>
      <c r="AD239" s="24">
        <f t="shared" si="305"/>
        <v>1661.596423767123</v>
      </c>
      <c r="AE239" s="24">
        <f t="shared" si="305"/>
        <v>1661.596423767123</v>
      </c>
      <c r="AF239" s="24">
        <f t="shared" si="305"/>
        <v>1661.596423767123</v>
      </c>
      <c r="AG239" s="24">
        <f t="shared" si="305"/>
        <v>1661.596423767123</v>
      </c>
      <c r="AH239" s="24">
        <f t="shared" si="305"/>
        <v>1661.596423767123</v>
      </c>
      <c r="AI239" s="24">
        <f t="shared" si="305"/>
        <v>1661.596423767123</v>
      </c>
      <c r="AJ239" s="24">
        <f t="shared" si="305"/>
        <v>1661.596423767123</v>
      </c>
      <c r="AK239" s="24">
        <f t="shared" si="305"/>
        <v>1661.596423767123</v>
      </c>
      <c r="AL239" s="24">
        <f t="shared" si="305"/>
        <v>1661.596423767123</v>
      </c>
      <c r="AM239" s="24">
        <f t="shared" si="305"/>
        <v>1661.596423767123</v>
      </c>
      <c r="AN239" s="24">
        <f t="shared" si="305"/>
        <v>1661.596423767123</v>
      </c>
      <c r="AO239" s="24">
        <f t="shared" si="305"/>
        <v>1661.596423767123</v>
      </c>
      <c r="AP239" s="24">
        <f t="shared" si="305"/>
        <v>1661.596423767123</v>
      </c>
      <c r="AQ239" s="24">
        <f t="shared" si="305"/>
        <v>1661.596423767123</v>
      </c>
      <c r="AR239" s="24">
        <f t="shared" si="305"/>
        <v>1661.596423767123</v>
      </c>
      <c r="AS239" s="24">
        <f t="shared" si="305"/>
        <v>1661.596423767123</v>
      </c>
      <c r="AT239" s="24">
        <f t="shared" si="305"/>
        <v>1661.596423767123</v>
      </c>
      <c r="AU239" s="24">
        <f t="shared" si="305"/>
        <v>1661.596423767123</v>
      </c>
      <c r="AV239" s="24">
        <f t="shared" si="305"/>
        <v>1661.596423767123</v>
      </c>
      <c r="AW239" s="26"/>
      <c r="AX239" s="27"/>
    </row>
    <row r="240" spans="1:50" ht="12.75" hidden="1" customHeight="1" outlineLevel="1">
      <c r="A240" s="296"/>
      <c r="B240" s="199" t="s">
        <v>289</v>
      </c>
      <c r="C240" s="23" t="s">
        <v>100</v>
      </c>
      <c r="D240" s="23"/>
      <c r="E240" s="24"/>
      <c r="F240" s="24">
        <f t="shared" ref="F240:J240" si="306">F92</f>
        <v>0</v>
      </c>
      <c r="G240" s="24">
        <f t="shared" si="306"/>
        <v>0</v>
      </c>
      <c r="H240" s="24">
        <f t="shared" si="306"/>
        <v>0</v>
      </c>
      <c r="I240" s="24">
        <f t="shared" si="306"/>
        <v>0</v>
      </c>
      <c r="J240" s="24">
        <f t="shared" si="306"/>
        <v>0</v>
      </c>
      <c r="K240" s="24">
        <f t="shared" ref="K240:M240" si="307">K83*K89</f>
        <v>0</v>
      </c>
      <c r="L240" s="24">
        <f t="shared" si="307"/>
        <v>0</v>
      </c>
      <c r="M240" s="24">
        <f t="shared" si="307"/>
        <v>0</v>
      </c>
      <c r="N240" s="24">
        <f t="shared" ref="N240:AV240" si="308">N83*N89</f>
        <v>0</v>
      </c>
      <c r="O240" s="24">
        <f t="shared" si="308"/>
        <v>139.28789160000005</v>
      </c>
      <c r="P240" s="24">
        <f t="shared" si="308"/>
        <v>0</v>
      </c>
      <c r="Q240" s="24">
        <f t="shared" si="308"/>
        <v>0</v>
      </c>
      <c r="R240" s="24">
        <f t="shared" si="308"/>
        <v>139.28789160000005</v>
      </c>
      <c r="S240" s="24">
        <f t="shared" si="308"/>
        <v>0</v>
      </c>
      <c r="T240" s="24">
        <f t="shared" si="308"/>
        <v>0</v>
      </c>
      <c r="U240" s="24">
        <f t="shared" si="308"/>
        <v>139.28789160000005</v>
      </c>
      <c r="V240" s="24">
        <f t="shared" si="308"/>
        <v>0</v>
      </c>
      <c r="W240" s="24">
        <f t="shared" si="308"/>
        <v>0</v>
      </c>
      <c r="X240" s="24">
        <f t="shared" si="308"/>
        <v>139.28789160000005</v>
      </c>
      <c r="Y240" s="24">
        <f t="shared" si="308"/>
        <v>0</v>
      </c>
      <c r="Z240" s="24">
        <f t="shared" si="308"/>
        <v>0</v>
      </c>
      <c r="AA240" s="24">
        <f t="shared" si="308"/>
        <v>139.28789160000005</v>
      </c>
      <c r="AB240" s="24">
        <f t="shared" si="308"/>
        <v>0</v>
      </c>
      <c r="AC240" s="24">
        <f t="shared" si="308"/>
        <v>0</v>
      </c>
      <c r="AD240" s="24">
        <f t="shared" si="308"/>
        <v>139.28789160000005</v>
      </c>
      <c r="AE240" s="24">
        <f t="shared" si="308"/>
        <v>0</v>
      </c>
      <c r="AF240" s="24">
        <f t="shared" si="308"/>
        <v>0</v>
      </c>
      <c r="AG240" s="24">
        <f t="shared" si="308"/>
        <v>139.28789160000005</v>
      </c>
      <c r="AH240" s="24">
        <f t="shared" si="308"/>
        <v>0</v>
      </c>
      <c r="AI240" s="24">
        <f t="shared" si="308"/>
        <v>0</v>
      </c>
      <c r="AJ240" s="24">
        <f t="shared" si="308"/>
        <v>139.28789160000005</v>
      </c>
      <c r="AK240" s="24">
        <f t="shared" si="308"/>
        <v>0</v>
      </c>
      <c r="AL240" s="24">
        <f t="shared" si="308"/>
        <v>0</v>
      </c>
      <c r="AM240" s="24">
        <f t="shared" si="308"/>
        <v>139.28789160000005</v>
      </c>
      <c r="AN240" s="24">
        <f t="shared" si="308"/>
        <v>0</v>
      </c>
      <c r="AO240" s="24">
        <f t="shared" si="308"/>
        <v>0</v>
      </c>
      <c r="AP240" s="24">
        <f t="shared" si="308"/>
        <v>139.28789160000005</v>
      </c>
      <c r="AQ240" s="24">
        <f t="shared" si="308"/>
        <v>0</v>
      </c>
      <c r="AR240" s="24">
        <f t="shared" si="308"/>
        <v>0</v>
      </c>
      <c r="AS240" s="24">
        <f t="shared" si="308"/>
        <v>139.28789160000005</v>
      </c>
      <c r="AT240" s="24">
        <f t="shared" si="308"/>
        <v>0</v>
      </c>
      <c r="AU240" s="24">
        <f t="shared" si="308"/>
        <v>0</v>
      </c>
      <c r="AV240" s="24">
        <f t="shared" si="308"/>
        <v>139.28789160000005</v>
      </c>
      <c r="AW240" s="26"/>
      <c r="AX240" s="27"/>
    </row>
    <row r="241" spans="1:50" ht="12.75" hidden="1" customHeight="1" outlineLevel="1">
      <c r="A241" s="296"/>
      <c r="B241" s="199" t="s">
        <v>290</v>
      </c>
      <c r="C241" s="23" t="s">
        <v>100</v>
      </c>
      <c r="D241" s="23"/>
      <c r="E241" s="24"/>
      <c r="F241" s="24"/>
      <c r="G241" s="24"/>
      <c r="H241" s="24"/>
      <c r="I241" s="24"/>
      <c r="J241" s="24"/>
      <c r="K241" s="24">
        <f t="shared" ref="K241:M241" si="309">K84*K89</f>
        <v>0</v>
      </c>
      <c r="L241" s="24">
        <f t="shared" si="309"/>
        <v>0</v>
      </c>
      <c r="M241" s="24">
        <f t="shared" si="309"/>
        <v>23.524177248000001</v>
      </c>
      <c r="N241" s="24">
        <f t="shared" ref="N241:AV241" si="310">N84*N89</f>
        <v>23.524177248000001</v>
      </c>
      <c r="O241" s="24">
        <f t="shared" si="310"/>
        <v>25.779920271780824</v>
      </c>
      <c r="P241" s="24">
        <f t="shared" si="310"/>
        <v>25.779920271780824</v>
      </c>
      <c r="Q241" s="24">
        <f t="shared" si="310"/>
        <v>25.779920271780824</v>
      </c>
      <c r="R241" s="24">
        <f t="shared" si="310"/>
        <v>25.779920271780824</v>
      </c>
      <c r="S241" s="24">
        <f t="shared" si="310"/>
        <v>166.15964237671233</v>
      </c>
      <c r="T241" s="24">
        <f t="shared" si="310"/>
        <v>332.31928475342465</v>
      </c>
      <c r="U241" s="24">
        <f t="shared" si="310"/>
        <v>332.31928475342465</v>
      </c>
      <c r="V241" s="24">
        <f t="shared" si="310"/>
        <v>332.31928475342465</v>
      </c>
      <c r="W241" s="24">
        <f t="shared" si="310"/>
        <v>332.31928475342465</v>
      </c>
      <c r="X241" s="24">
        <f t="shared" si="310"/>
        <v>332.31928475342465</v>
      </c>
      <c r="Y241" s="24">
        <f t="shared" si="310"/>
        <v>332.31928475342465</v>
      </c>
      <c r="Z241" s="24">
        <f t="shared" si="310"/>
        <v>332.31928475342465</v>
      </c>
      <c r="AA241" s="24">
        <f t="shared" si="310"/>
        <v>332.31928475342465</v>
      </c>
      <c r="AB241" s="24">
        <f t="shared" si="310"/>
        <v>332.31928475342465</v>
      </c>
      <c r="AC241" s="24">
        <f t="shared" si="310"/>
        <v>332.31928475342465</v>
      </c>
      <c r="AD241" s="24">
        <f t="shared" si="310"/>
        <v>332.31928475342465</v>
      </c>
      <c r="AE241" s="24">
        <f t="shared" si="310"/>
        <v>332.31928475342465</v>
      </c>
      <c r="AF241" s="24">
        <f t="shared" si="310"/>
        <v>332.31928475342465</v>
      </c>
      <c r="AG241" s="24">
        <f t="shared" si="310"/>
        <v>332.31928475342465</v>
      </c>
      <c r="AH241" s="24">
        <f t="shared" si="310"/>
        <v>332.31928475342465</v>
      </c>
      <c r="AI241" s="24">
        <f t="shared" si="310"/>
        <v>332.31928475342465</v>
      </c>
      <c r="AJ241" s="24">
        <f t="shared" si="310"/>
        <v>332.31928475342465</v>
      </c>
      <c r="AK241" s="24">
        <f t="shared" si="310"/>
        <v>332.31928475342465</v>
      </c>
      <c r="AL241" s="24">
        <f t="shared" si="310"/>
        <v>332.31928475342465</v>
      </c>
      <c r="AM241" s="24">
        <f t="shared" si="310"/>
        <v>332.31928475342465</v>
      </c>
      <c r="AN241" s="24">
        <f t="shared" si="310"/>
        <v>332.31928475342465</v>
      </c>
      <c r="AO241" s="24">
        <f t="shared" si="310"/>
        <v>332.31928475342465</v>
      </c>
      <c r="AP241" s="24">
        <f t="shared" si="310"/>
        <v>332.31928475342465</v>
      </c>
      <c r="AQ241" s="24">
        <f t="shared" si="310"/>
        <v>332.31928475342465</v>
      </c>
      <c r="AR241" s="24">
        <f t="shared" si="310"/>
        <v>332.31928475342465</v>
      </c>
      <c r="AS241" s="24">
        <f t="shared" si="310"/>
        <v>332.31928475342465</v>
      </c>
      <c r="AT241" s="24">
        <f t="shared" si="310"/>
        <v>332.31928475342465</v>
      </c>
      <c r="AU241" s="24">
        <f t="shared" si="310"/>
        <v>332.31928475342465</v>
      </c>
      <c r="AV241" s="24">
        <f t="shared" si="310"/>
        <v>332.31928475342465</v>
      </c>
      <c r="AW241" s="26"/>
      <c r="AX241" s="27"/>
    </row>
    <row r="242" spans="1:50" ht="12.75" hidden="1" customHeight="1" outlineLevel="1">
      <c r="A242" s="296"/>
      <c r="B242" s="28"/>
      <c r="C242" s="23"/>
      <c r="D242" s="23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6"/>
      <c r="AX242" s="27"/>
    </row>
    <row r="243" spans="1:50" ht="12.75" hidden="1" customHeight="1" outlineLevel="1">
      <c r="A243" s="296"/>
      <c r="B243" s="13" t="s">
        <v>206</v>
      </c>
      <c r="C243" s="23"/>
      <c r="D243" s="23"/>
      <c r="E243" s="24"/>
      <c r="F243" s="139"/>
      <c r="G243" s="139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6"/>
      <c r="AX243" s="27"/>
    </row>
    <row r="244" spans="1:50" ht="12.75" hidden="1" customHeight="1" outlineLevel="1">
      <c r="A244" s="296"/>
      <c r="B244" s="28" t="s">
        <v>126</v>
      </c>
      <c r="C244" s="23" t="s">
        <v>100</v>
      </c>
      <c r="D244" s="23"/>
      <c r="E244" s="24"/>
      <c r="F244" s="157"/>
      <c r="G244" s="157"/>
      <c r="H244" s="157"/>
      <c r="I244" s="157"/>
      <c r="J244" s="157"/>
      <c r="K244" s="157"/>
      <c r="L244" s="157"/>
      <c r="M244" s="157"/>
      <c r="N244" s="157">
        <f>N426</f>
        <v>0</v>
      </c>
      <c r="O244" s="157">
        <f>O426</f>
        <v>0</v>
      </c>
      <c r="P244" s="157">
        <f t="shared" ref="P244:AV244" si="311">P426</f>
        <v>0</v>
      </c>
      <c r="Q244" s="157">
        <f t="shared" si="311"/>
        <v>281.08904999999999</v>
      </c>
      <c r="R244" s="157">
        <f t="shared" si="311"/>
        <v>463.79693250000003</v>
      </c>
      <c r="S244" s="157">
        <f t="shared" si="311"/>
        <v>579.746165625</v>
      </c>
      <c r="T244" s="157">
        <f t="shared" si="311"/>
        <v>666.70809046875002</v>
      </c>
      <c r="U244" s="157">
        <f t="shared" si="311"/>
        <v>766.71430403906254</v>
      </c>
      <c r="V244" s="157">
        <f t="shared" si="311"/>
        <v>843.3857344429689</v>
      </c>
      <c r="W244" s="157">
        <f t="shared" si="311"/>
        <v>885.5550211651173</v>
      </c>
      <c r="X244" s="157">
        <f t="shared" si="311"/>
        <v>929.83277222337324</v>
      </c>
      <c r="Y244" s="157">
        <f t="shared" si="311"/>
        <v>976.32441083454182</v>
      </c>
      <c r="Z244" s="157">
        <f t="shared" si="311"/>
        <v>995.85089905123277</v>
      </c>
      <c r="AA244" s="157">
        <f t="shared" si="311"/>
        <v>1015.7679170322574</v>
      </c>
      <c r="AB244" s="157">
        <f t="shared" si="311"/>
        <v>1036.0832753729026</v>
      </c>
      <c r="AC244" s="157">
        <f t="shared" si="311"/>
        <v>1056.8049408803606</v>
      </c>
      <c r="AD244" s="157">
        <f t="shared" si="311"/>
        <v>1077.9410396979679</v>
      </c>
      <c r="AE244" s="157">
        <f t="shared" si="311"/>
        <v>1099.4998604919272</v>
      </c>
      <c r="AF244" s="157">
        <f t="shared" si="311"/>
        <v>1121.4898577017659</v>
      </c>
      <c r="AG244" s="157">
        <f t="shared" si="311"/>
        <v>1143.9196548558011</v>
      </c>
      <c r="AH244" s="157">
        <f t="shared" si="311"/>
        <v>1166.7980479529172</v>
      </c>
      <c r="AI244" s="157">
        <f t="shared" si="311"/>
        <v>1190.1340089119758</v>
      </c>
      <c r="AJ244" s="157">
        <f t="shared" si="311"/>
        <v>1213.9366890902152</v>
      </c>
      <c r="AK244" s="157">
        <f t="shared" si="311"/>
        <v>1238.2154228720199</v>
      </c>
      <c r="AL244" s="157">
        <f t="shared" si="311"/>
        <v>1262.97973132946</v>
      </c>
      <c r="AM244" s="157">
        <f t="shared" si="311"/>
        <v>1288.2393259560492</v>
      </c>
      <c r="AN244" s="157">
        <f t="shared" si="311"/>
        <v>1314.0041124751706</v>
      </c>
      <c r="AO244" s="157">
        <f t="shared" si="311"/>
        <v>1340.2841947246739</v>
      </c>
      <c r="AP244" s="157">
        <f t="shared" si="311"/>
        <v>1367.0898786191674</v>
      </c>
      <c r="AQ244" s="157">
        <f t="shared" si="311"/>
        <v>1394.4316761915509</v>
      </c>
      <c r="AR244" s="157">
        <f t="shared" si="311"/>
        <v>1422.3203097153817</v>
      </c>
      <c r="AS244" s="157">
        <f t="shared" si="311"/>
        <v>1450.7667159096895</v>
      </c>
      <c r="AT244" s="157">
        <f t="shared" si="311"/>
        <v>1479.7820502278835</v>
      </c>
      <c r="AU244" s="157">
        <f t="shared" si="311"/>
        <v>1509.3776912324411</v>
      </c>
      <c r="AV244" s="157">
        <f t="shared" si="311"/>
        <v>1539.5652450570901</v>
      </c>
      <c r="AW244" s="26"/>
      <c r="AX244" s="27"/>
    </row>
    <row r="245" spans="1:50" ht="12.75" hidden="1" customHeight="1" outlineLevel="1">
      <c r="A245" s="296"/>
      <c r="B245" s="30" t="s">
        <v>129</v>
      </c>
      <c r="C245" s="23" t="s">
        <v>102</v>
      </c>
      <c r="D245" s="23"/>
      <c r="E245" s="24"/>
      <c r="F245" s="153"/>
      <c r="G245" s="153"/>
      <c r="H245" s="153"/>
      <c r="I245" s="153"/>
      <c r="J245" s="153"/>
      <c r="K245" s="139"/>
      <c r="L245" s="139"/>
      <c r="M245" s="139">
        <v>0</v>
      </c>
      <c r="N245" s="153">
        <f t="shared" ref="N245:AV245" si="312">IF(N233&gt;0,M245,0)</f>
        <v>0</v>
      </c>
      <c r="O245" s="153">
        <f t="shared" si="312"/>
        <v>0</v>
      </c>
      <c r="P245" s="153">
        <f t="shared" si="312"/>
        <v>0</v>
      </c>
      <c r="Q245" s="153">
        <f t="shared" si="312"/>
        <v>0</v>
      </c>
      <c r="R245" s="153">
        <f t="shared" si="312"/>
        <v>0</v>
      </c>
      <c r="S245" s="153">
        <f t="shared" si="312"/>
        <v>0</v>
      </c>
      <c r="T245" s="153">
        <f t="shared" si="312"/>
        <v>0</v>
      </c>
      <c r="U245" s="153">
        <f t="shared" si="312"/>
        <v>0</v>
      </c>
      <c r="V245" s="153">
        <f t="shared" si="312"/>
        <v>0</v>
      </c>
      <c r="W245" s="153">
        <f t="shared" si="312"/>
        <v>0</v>
      </c>
      <c r="X245" s="153">
        <f t="shared" si="312"/>
        <v>0</v>
      </c>
      <c r="Y245" s="153">
        <f t="shared" si="312"/>
        <v>0</v>
      </c>
      <c r="Z245" s="153">
        <f t="shared" si="312"/>
        <v>0</v>
      </c>
      <c r="AA245" s="153">
        <f t="shared" si="312"/>
        <v>0</v>
      </c>
      <c r="AB245" s="153">
        <f t="shared" si="312"/>
        <v>0</v>
      </c>
      <c r="AC245" s="153">
        <f t="shared" si="312"/>
        <v>0</v>
      </c>
      <c r="AD245" s="153">
        <f t="shared" si="312"/>
        <v>0</v>
      </c>
      <c r="AE245" s="153">
        <f t="shared" si="312"/>
        <v>0</v>
      </c>
      <c r="AF245" s="153">
        <f t="shared" si="312"/>
        <v>0</v>
      </c>
      <c r="AG245" s="153">
        <f t="shared" si="312"/>
        <v>0</v>
      </c>
      <c r="AH245" s="153">
        <f t="shared" si="312"/>
        <v>0</v>
      </c>
      <c r="AI245" s="153">
        <f t="shared" si="312"/>
        <v>0</v>
      </c>
      <c r="AJ245" s="153">
        <f t="shared" si="312"/>
        <v>0</v>
      </c>
      <c r="AK245" s="153">
        <f t="shared" si="312"/>
        <v>0</v>
      </c>
      <c r="AL245" s="153">
        <f t="shared" si="312"/>
        <v>0</v>
      </c>
      <c r="AM245" s="153">
        <f t="shared" si="312"/>
        <v>0</v>
      </c>
      <c r="AN245" s="153">
        <f t="shared" si="312"/>
        <v>0</v>
      </c>
      <c r="AO245" s="153">
        <f t="shared" si="312"/>
        <v>0</v>
      </c>
      <c r="AP245" s="153">
        <f t="shared" si="312"/>
        <v>0</v>
      </c>
      <c r="AQ245" s="153">
        <f t="shared" si="312"/>
        <v>0</v>
      </c>
      <c r="AR245" s="153">
        <f t="shared" si="312"/>
        <v>0</v>
      </c>
      <c r="AS245" s="153">
        <f t="shared" si="312"/>
        <v>0</v>
      </c>
      <c r="AT245" s="153">
        <f t="shared" si="312"/>
        <v>0</v>
      </c>
      <c r="AU245" s="153">
        <f t="shared" si="312"/>
        <v>0</v>
      </c>
      <c r="AV245" s="153">
        <f t="shared" si="312"/>
        <v>0</v>
      </c>
      <c r="AW245" s="26"/>
      <c r="AX245" s="27"/>
    </row>
    <row r="246" spans="1:50" ht="12.75" hidden="1" customHeight="1" outlineLevel="1">
      <c r="A246" s="296"/>
      <c r="B246" s="28" t="s">
        <v>204</v>
      </c>
      <c r="C246" s="23" t="s">
        <v>100</v>
      </c>
      <c r="D246" s="23"/>
      <c r="E246" s="24"/>
      <c r="F246" s="24"/>
      <c r="G246" s="24"/>
      <c r="H246" s="24"/>
      <c r="I246" s="24"/>
      <c r="J246" s="24"/>
      <c r="K246" s="24"/>
      <c r="L246" s="24"/>
      <c r="M246" s="24">
        <f>M244*(1+M245)</f>
        <v>0</v>
      </c>
      <c r="N246" s="24">
        <f>N244*(1+N245)</f>
        <v>0</v>
      </c>
      <c r="O246" s="24">
        <f>O244*(1+O245)</f>
        <v>0</v>
      </c>
      <c r="P246" s="24">
        <f>P244*(1+P245)</f>
        <v>0</v>
      </c>
      <c r="Q246" s="24">
        <f>Q244*(1+Q245)</f>
        <v>281.08904999999999</v>
      </c>
      <c r="R246" s="24">
        <f t="shared" ref="R246:AV246" si="313">R244*(1+R245)</f>
        <v>463.79693250000003</v>
      </c>
      <c r="S246" s="24">
        <f t="shared" si="313"/>
        <v>579.746165625</v>
      </c>
      <c r="T246" s="24">
        <f t="shared" si="313"/>
        <v>666.70809046875002</v>
      </c>
      <c r="U246" s="24">
        <f t="shared" si="313"/>
        <v>766.71430403906254</v>
      </c>
      <c r="V246" s="24">
        <f t="shared" si="313"/>
        <v>843.3857344429689</v>
      </c>
      <c r="W246" s="24">
        <f t="shared" si="313"/>
        <v>885.5550211651173</v>
      </c>
      <c r="X246" s="24">
        <f t="shared" si="313"/>
        <v>929.83277222337324</v>
      </c>
      <c r="Y246" s="24">
        <f t="shared" si="313"/>
        <v>976.32441083454182</v>
      </c>
      <c r="Z246" s="24">
        <f t="shared" si="313"/>
        <v>995.85089905123277</v>
      </c>
      <c r="AA246" s="24">
        <f t="shared" si="313"/>
        <v>1015.7679170322574</v>
      </c>
      <c r="AB246" s="24">
        <f t="shared" si="313"/>
        <v>1036.0832753729026</v>
      </c>
      <c r="AC246" s="24">
        <f t="shared" si="313"/>
        <v>1056.8049408803606</v>
      </c>
      <c r="AD246" s="24">
        <f t="shared" si="313"/>
        <v>1077.9410396979679</v>
      </c>
      <c r="AE246" s="24">
        <f t="shared" si="313"/>
        <v>1099.4998604919272</v>
      </c>
      <c r="AF246" s="24">
        <f t="shared" si="313"/>
        <v>1121.4898577017659</v>
      </c>
      <c r="AG246" s="24">
        <f t="shared" si="313"/>
        <v>1143.9196548558011</v>
      </c>
      <c r="AH246" s="24">
        <f t="shared" si="313"/>
        <v>1166.7980479529172</v>
      </c>
      <c r="AI246" s="24">
        <f t="shared" si="313"/>
        <v>1190.1340089119758</v>
      </c>
      <c r="AJ246" s="24">
        <f t="shared" si="313"/>
        <v>1213.9366890902152</v>
      </c>
      <c r="AK246" s="24">
        <f t="shared" si="313"/>
        <v>1238.2154228720199</v>
      </c>
      <c r="AL246" s="24">
        <f t="shared" si="313"/>
        <v>1262.97973132946</v>
      </c>
      <c r="AM246" s="24">
        <f t="shared" si="313"/>
        <v>1288.2393259560492</v>
      </c>
      <c r="AN246" s="24">
        <f t="shared" si="313"/>
        <v>1314.0041124751706</v>
      </c>
      <c r="AO246" s="24">
        <f t="shared" si="313"/>
        <v>1340.2841947246739</v>
      </c>
      <c r="AP246" s="24">
        <f t="shared" si="313"/>
        <v>1367.0898786191674</v>
      </c>
      <c r="AQ246" s="24">
        <f t="shared" si="313"/>
        <v>1394.4316761915509</v>
      </c>
      <c r="AR246" s="24">
        <f t="shared" si="313"/>
        <v>1422.3203097153817</v>
      </c>
      <c r="AS246" s="24">
        <f t="shared" si="313"/>
        <v>1450.7667159096895</v>
      </c>
      <c r="AT246" s="24">
        <f t="shared" si="313"/>
        <v>1479.7820502278835</v>
      </c>
      <c r="AU246" s="24">
        <f t="shared" si="313"/>
        <v>1509.3776912324411</v>
      </c>
      <c r="AV246" s="24">
        <f t="shared" si="313"/>
        <v>1539.5652450570901</v>
      </c>
      <c r="AW246" s="26"/>
      <c r="AX246" s="27"/>
    </row>
    <row r="247" spans="1:50" ht="12.75" hidden="1" customHeight="1" outlineLevel="1">
      <c r="A247" s="296"/>
      <c r="B247" s="28"/>
      <c r="C247" s="23"/>
      <c r="D247" s="23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6"/>
      <c r="AX247" s="27"/>
    </row>
    <row r="248" spans="1:50" ht="12.75" hidden="1" customHeight="1" outlineLevel="1">
      <c r="A248" s="296"/>
      <c r="B248" s="28" t="s">
        <v>127</v>
      </c>
      <c r="C248" s="23" t="s">
        <v>100</v>
      </c>
      <c r="D248" s="23"/>
      <c r="E248" s="157"/>
      <c r="F248" s="157"/>
      <c r="G248" s="157"/>
      <c r="H248" s="157"/>
      <c r="I248" s="157"/>
      <c r="J248" s="157"/>
      <c r="K248" s="157"/>
      <c r="L248" s="157"/>
      <c r="M248" s="157">
        <f t="shared" ref="M248" si="314">M427</f>
        <v>0</v>
      </c>
      <c r="N248" s="157">
        <f>N427</f>
        <v>0</v>
      </c>
      <c r="O248" s="157">
        <f>O427</f>
        <v>0</v>
      </c>
      <c r="P248" s="157">
        <f t="shared" ref="P248:AV248" si="315">P427</f>
        <v>0</v>
      </c>
      <c r="Q248" s="157">
        <f t="shared" si="315"/>
        <v>37.478540000000002</v>
      </c>
      <c r="R248" s="157">
        <f t="shared" si="315"/>
        <v>61.839590999999999</v>
      </c>
      <c r="S248" s="157">
        <f t="shared" si="315"/>
        <v>77.299488749999995</v>
      </c>
      <c r="T248" s="157">
        <f t="shared" si="315"/>
        <v>88.894412062499995</v>
      </c>
      <c r="U248" s="157">
        <f t="shared" si="315"/>
        <v>102.228573871875</v>
      </c>
      <c r="V248" s="157">
        <f t="shared" si="315"/>
        <v>112.45143125906252</v>
      </c>
      <c r="W248" s="157">
        <f t="shared" si="315"/>
        <v>118.07400282201564</v>
      </c>
      <c r="X248" s="157">
        <f t="shared" si="315"/>
        <v>123.97770296311643</v>
      </c>
      <c r="Y248" s="157">
        <f t="shared" si="315"/>
        <v>130.17658811127225</v>
      </c>
      <c r="Z248" s="157">
        <f t="shared" si="315"/>
        <v>132.78011987349771</v>
      </c>
      <c r="AA248" s="157">
        <f t="shared" si="315"/>
        <v>135.43572227096766</v>
      </c>
      <c r="AB248" s="157">
        <f t="shared" si="315"/>
        <v>138.14443671638702</v>
      </c>
      <c r="AC248" s="157">
        <f t="shared" si="315"/>
        <v>140.90732545071475</v>
      </c>
      <c r="AD248" s="157">
        <f t="shared" si="315"/>
        <v>143.72547195972905</v>
      </c>
      <c r="AE248" s="157">
        <f t="shared" si="315"/>
        <v>146.59998139892363</v>
      </c>
      <c r="AF248" s="157">
        <f t="shared" si="315"/>
        <v>149.53198102690212</v>
      </c>
      <c r="AG248" s="157">
        <f t="shared" si="315"/>
        <v>152.52262064744016</v>
      </c>
      <c r="AH248" s="157">
        <f t="shared" si="315"/>
        <v>155.57307306038896</v>
      </c>
      <c r="AI248" s="157">
        <f t="shared" si="315"/>
        <v>158.68453452159676</v>
      </c>
      <c r="AJ248" s="157">
        <f t="shared" si="315"/>
        <v>161.85822521202871</v>
      </c>
      <c r="AK248" s="157">
        <f t="shared" si="315"/>
        <v>165.0953897162693</v>
      </c>
      <c r="AL248" s="157">
        <f t="shared" si="315"/>
        <v>168.39729751059468</v>
      </c>
      <c r="AM248" s="157">
        <f t="shared" si="315"/>
        <v>171.7652434608066</v>
      </c>
      <c r="AN248" s="157">
        <f t="shared" si="315"/>
        <v>175.20054833002274</v>
      </c>
      <c r="AO248" s="157">
        <f t="shared" si="315"/>
        <v>178.70455929662319</v>
      </c>
      <c r="AP248" s="157">
        <f t="shared" si="315"/>
        <v>182.27865048255566</v>
      </c>
      <c r="AQ248" s="157">
        <f t="shared" si="315"/>
        <v>185.92422349220678</v>
      </c>
      <c r="AR248" s="157">
        <f t="shared" si="315"/>
        <v>189.64270796205091</v>
      </c>
      <c r="AS248" s="157">
        <f t="shared" si="315"/>
        <v>193.43556212129195</v>
      </c>
      <c r="AT248" s="157">
        <f t="shared" si="315"/>
        <v>197.30427336371778</v>
      </c>
      <c r="AU248" s="157">
        <f t="shared" si="315"/>
        <v>201.25035883099213</v>
      </c>
      <c r="AV248" s="157">
        <f t="shared" si="315"/>
        <v>205.27536600761201</v>
      </c>
      <c r="AW248" s="26"/>
      <c r="AX248" s="27"/>
    </row>
    <row r="249" spans="1:50" ht="12.75" hidden="1" customHeight="1" outlineLevel="1">
      <c r="A249" s="296"/>
      <c r="B249" s="30" t="s">
        <v>129</v>
      </c>
      <c r="C249" s="23" t="s">
        <v>102</v>
      </c>
      <c r="D249" s="23"/>
      <c r="E249" s="153"/>
      <c r="F249" s="153"/>
      <c r="G249" s="153"/>
      <c r="H249" s="153"/>
      <c r="I249" s="153"/>
      <c r="J249" s="153"/>
      <c r="K249" s="139"/>
      <c r="L249" s="153"/>
      <c r="M249" s="139">
        <v>0</v>
      </c>
      <c r="N249" s="153">
        <f t="shared" ref="N249:AV249" si="316">IF(N235&gt;0,M249,0)</f>
        <v>0</v>
      </c>
      <c r="O249" s="153">
        <f t="shared" si="316"/>
        <v>0</v>
      </c>
      <c r="P249" s="153">
        <f t="shared" si="316"/>
        <v>0</v>
      </c>
      <c r="Q249" s="153">
        <f t="shared" si="316"/>
        <v>0</v>
      </c>
      <c r="R249" s="153">
        <f t="shared" si="316"/>
        <v>0</v>
      </c>
      <c r="S249" s="153">
        <f t="shared" si="316"/>
        <v>0</v>
      </c>
      <c r="T249" s="153">
        <f t="shared" si="316"/>
        <v>0</v>
      </c>
      <c r="U249" s="153">
        <f t="shared" si="316"/>
        <v>0</v>
      </c>
      <c r="V249" s="153">
        <f t="shared" si="316"/>
        <v>0</v>
      </c>
      <c r="W249" s="153">
        <f t="shared" si="316"/>
        <v>0</v>
      </c>
      <c r="X249" s="153">
        <f t="shared" si="316"/>
        <v>0</v>
      </c>
      <c r="Y249" s="153">
        <f t="shared" si="316"/>
        <v>0</v>
      </c>
      <c r="Z249" s="153">
        <f t="shared" si="316"/>
        <v>0</v>
      </c>
      <c r="AA249" s="153">
        <f t="shared" si="316"/>
        <v>0</v>
      </c>
      <c r="AB249" s="153">
        <f t="shared" si="316"/>
        <v>0</v>
      </c>
      <c r="AC249" s="153">
        <f t="shared" si="316"/>
        <v>0</v>
      </c>
      <c r="AD249" s="153">
        <f t="shared" si="316"/>
        <v>0</v>
      </c>
      <c r="AE249" s="153">
        <f t="shared" si="316"/>
        <v>0</v>
      </c>
      <c r="AF249" s="153">
        <f t="shared" si="316"/>
        <v>0</v>
      </c>
      <c r="AG249" s="153">
        <f t="shared" si="316"/>
        <v>0</v>
      </c>
      <c r="AH249" s="153">
        <f t="shared" si="316"/>
        <v>0</v>
      </c>
      <c r="AI249" s="153">
        <f t="shared" si="316"/>
        <v>0</v>
      </c>
      <c r="AJ249" s="153">
        <f t="shared" si="316"/>
        <v>0</v>
      </c>
      <c r="AK249" s="153">
        <f t="shared" si="316"/>
        <v>0</v>
      </c>
      <c r="AL249" s="153">
        <f t="shared" si="316"/>
        <v>0</v>
      </c>
      <c r="AM249" s="153">
        <f t="shared" si="316"/>
        <v>0</v>
      </c>
      <c r="AN249" s="153">
        <f t="shared" si="316"/>
        <v>0</v>
      </c>
      <c r="AO249" s="153">
        <f t="shared" si="316"/>
        <v>0</v>
      </c>
      <c r="AP249" s="153">
        <f t="shared" si="316"/>
        <v>0</v>
      </c>
      <c r="AQ249" s="153">
        <f t="shared" si="316"/>
        <v>0</v>
      </c>
      <c r="AR249" s="153">
        <f t="shared" si="316"/>
        <v>0</v>
      </c>
      <c r="AS249" s="153">
        <f t="shared" si="316"/>
        <v>0</v>
      </c>
      <c r="AT249" s="153">
        <f t="shared" si="316"/>
        <v>0</v>
      </c>
      <c r="AU249" s="153">
        <f t="shared" si="316"/>
        <v>0</v>
      </c>
      <c r="AV249" s="153">
        <f t="shared" si="316"/>
        <v>0</v>
      </c>
      <c r="AW249" s="26"/>
      <c r="AX249" s="27"/>
    </row>
    <row r="250" spans="1:50" ht="12.75" hidden="1" customHeight="1" outlineLevel="1">
      <c r="A250" s="296"/>
      <c r="B250" s="28" t="s">
        <v>205</v>
      </c>
      <c r="C250" s="23" t="s">
        <v>100</v>
      </c>
      <c r="D250" s="23"/>
      <c r="E250" s="24"/>
      <c r="F250" s="24"/>
      <c r="G250" s="24"/>
      <c r="H250" s="24"/>
      <c r="I250" s="24"/>
      <c r="J250" s="24"/>
      <c r="K250" s="24"/>
      <c r="L250" s="24"/>
      <c r="M250" s="24">
        <f t="shared" ref="M250:AV250" si="317">M248*(1+M249)</f>
        <v>0</v>
      </c>
      <c r="N250" s="24">
        <f>N248*(1+N249)</f>
        <v>0</v>
      </c>
      <c r="O250" s="24">
        <f t="shared" si="317"/>
        <v>0</v>
      </c>
      <c r="P250" s="24">
        <f t="shared" si="317"/>
        <v>0</v>
      </c>
      <c r="Q250" s="24">
        <f>Q248*(1+Q249)</f>
        <v>37.478540000000002</v>
      </c>
      <c r="R250" s="24">
        <f t="shared" si="317"/>
        <v>61.839590999999999</v>
      </c>
      <c r="S250" s="24">
        <f t="shared" si="317"/>
        <v>77.299488749999995</v>
      </c>
      <c r="T250" s="24">
        <f t="shared" si="317"/>
        <v>88.894412062499995</v>
      </c>
      <c r="U250" s="24">
        <f t="shared" si="317"/>
        <v>102.228573871875</v>
      </c>
      <c r="V250" s="24">
        <f t="shared" si="317"/>
        <v>112.45143125906252</v>
      </c>
      <c r="W250" s="24">
        <f t="shared" si="317"/>
        <v>118.07400282201564</v>
      </c>
      <c r="X250" s="24">
        <f t="shared" si="317"/>
        <v>123.97770296311643</v>
      </c>
      <c r="Y250" s="24">
        <f t="shared" si="317"/>
        <v>130.17658811127225</v>
      </c>
      <c r="Z250" s="24">
        <f t="shared" si="317"/>
        <v>132.78011987349771</v>
      </c>
      <c r="AA250" s="24">
        <f t="shared" si="317"/>
        <v>135.43572227096766</v>
      </c>
      <c r="AB250" s="24">
        <f t="shared" si="317"/>
        <v>138.14443671638702</v>
      </c>
      <c r="AC250" s="24">
        <f t="shared" si="317"/>
        <v>140.90732545071475</v>
      </c>
      <c r="AD250" s="24">
        <f t="shared" si="317"/>
        <v>143.72547195972905</v>
      </c>
      <c r="AE250" s="24">
        <f t="shared" si="317"/>
        <v>146.59998139892363</v>
      </c>
      <c r="AF250" s="24">
        <f t="shared" si="317"/>
        <v>149.53198102690212</v>
      </c>
      <c r="AG250" s="24">
        <f t="shared" si="317"/>
        <v>152.52262064744016</v>
      </c>
      <c r="AH250" s="24">
        <f t="shared" si="317"/>
        <v>155.57307306038896</v>
      </c>
      <c r="AI250" s="24">
        <f t="shared" si="317"/>
        <v>158.68453452159676</v>
      </c>
      <c r="AJ250" s="24">
        <f t="shared" si="317"/>
        <v>161.85822521202871</v>
      </c>
      <c r="AK250" s="24">
        <f t="shared" si="317"/>
        <v>165.0953897162693</v>
      </c>
      <c r="AL250" s="24">
        <f t="shared" si="317"/>
        <v>168.39729751059468</v>
      </c>
      <c r="AM250" s="24">
        <f t="shared" si="317"/>
        <v>171.7652434608066</v>
      </c>
      <c r="AN250" s="24">
        <f t="shared" si="317"/>
        <v>175.20054833002274</v>
      </c>
      <c r="AO250" s="24">
        <f t="shared" si="317"/>
        <v>178.70455929662319</v>
      </c>
      <c r="AP250" s="24">
        <f t="shared" si="317"/>
        <v>182.27865048255566</v>
      </c>
      <c r="AQ250" s="24">
        <f t="shared" si="317"/>
        <v>185.92422349220678</v>
      </c>
      <c r="AR250" s="24">
        <f t="shared" si="317"/>
        <v>189.64270796205091</v>
      </c>
      <c r="AS250" s="24">
        <f t="shared" si="317"/>
        <v>193.43556212129195</v>
      </c>
      <c r="AT250" s="24">
        <f t="shared" si="317"/>
        <v>197.30427336371778</v>
      </c>
      <c r="AU250" s="24">
        <f t="shared" si="317"/>
        <v>201.25035883099213</v>
      </c>
      <c r="AV250" s="24">
        <f t="shared" si="317"/>
        <v>205.27536600761201</v>
      </c>
      <c r="AW250" s="26"/>
      <c r="AX250" s="27"/>
    </row>
    <row r="251" spans="1:50" s="4" customFormat="1" ht="12.75" hidden="1" customHeight="1" outlineLevel="1">
      <c r="A251" s="297"/>
      <c r="B251" s="13" t="s">
        <v>47</v>
      </c>
      <c r="C251" s="348" t="s">
        <v>100</v>
      </c>
      <c r="D251" s="348"/>
      <c r="E251" s="40"/>
      <c r="F251" s="40"/>
      <c r="G251" s="40"/>
      <c r="H251" s="40"/>
      <c r="I251" s="40"/>
      <c r="J251" s="40"/>
      <c r="K251" s="40"/>
      <c r="L251" s="40"/>
      <c r="M251" s="40">
        <f>M246+M250</f>
        <v>0</v>
      </c>
      <c r="N251" s="40">
        <f>N246+N250</f>
        <v>0</v>
      </c>
      <c r="O251" s="40">
        <f t="shared" ref="O251:AV251" si="318">O246+O250</f>
        <v>0</v>
      </c>
      <c r="P251" s="40">
        <f t="shared" si="318"/>
        <v>0</v>
      </c>
      <c r="Q251" s="40">
        <f>Q246+Q250</f>
        <v>318.56759</v>
      </c>
      <c r="R251" s="40">
        <f t="shared" si="318"/>
        <v>525.63652350000007</v>
      </c>
      <c r="S251" s="40">
        <f t="shared" si="318"/>
        <v>657.04565437500003</v>
      </c>
      <c r="T251" s="40">
        <f t="shared" si="318"/>
        <v>755.60250253125002</v>
      </c>
      <c r="U251" s="40">
        <f t="shared" si="318"/>
        <v>868.94287791093757</v>
      </c>
      <c r="V251" s="40">
        <f t="shared" si="318"/>
        <v>955.83716570203137</v>
      </c>
      <c r="W251" s="40">
        <f t="shared" si="318"/>
        <v>1003.629023987133</v>
      </c>
      <c r="X251" s="40">
        <f t="shared" si="318"/>
        <v>1053.8104751864896</v>
      </c>
      <c r="Y251" s="40">
        <f t="shared" si="318"/>
        <v>1106.500998945814</v>
      </c>
      <c r="Z251" s="40">
        <f t="shared" si="318"/>
        <v>1128.6310189247306</v>
      </c>
      <c r="AA251" s="40">
        <f t="shared" si="318"/>
        <v>1151.2036393032251</v>
      </c>
      <c r="AB251" s="40">
        <f t="shared" si="318"/>
        <v>1174.2277120892895</v>
      </c>
      <c r="AC251" s="40">
        <f t="shared" si="318"/>
        <v>1197.7122663310754</v>
      </c>
      <c r="AD251" s="40">
        <f t="shared" si="318"/>
        <v>1221.6665116576969</v>
      </c>
      <c r="AE251" s="40">
        <f t="shared" si="318"/>
        <v>1246.0998418908507</v>
      </c>
      <c r="AF251" s="40">
        <f t="shared" si="318"/>
        <v>1271.0218387286679</v>
      </c>
      <c r="AG251" s="40">
        <f t="shared" si="318"/>
        <v>1296.4422755032413</v>
      </c>
      <c r="AH251" s="40">
        <f t="shared" si="318"/>
        <v>1322.371121013306</v>
      </c>
      <c r="AI251" s="40">
        <f t="shared" si="318"/>
        <v>1348.8185434335726</v>
      </c>
      <c r="AJ251" s="40">
        <f t="shared" si="318"/>
        <v>1375.7949143022438</v>
      </c>
      <c r="AK251" s="40">
        <f t="shared" si="318"/>
        <v>1403.3108125882891</v>
      </c>
      <c r="AL251" s="40">
        <f t="shared" si="318"/>
        <v>1431.3770288400547</v>
      </c>
      <c r="AM251" s="40">
        <f t="shared" si="318"/>
        <v>1460.0045694168559</v>
      </c>
      <c r="AN251" s="40">
        <f t="shared" si="318"/>
        <v>1489.2046608051933</v>
      </c>
      <c r="AO251" s="40">
        <f t="shared" si="318"/>
        <v>1518.9887540212972</v>
      </c>
      <c r="AP251" s="40">
        <f t="shared" si="318"/>
        <v>1549.368529101723</v>
      </c>
      <c r="AQ251" s="40">
        <f t="shared" si="318"/>
        <v>1580.3558996837576</v>
      </c>
      <c r="AR251" s="40">
        <f t="shared" si="318"/>
        <v>1611.9630176774326</v>
      </c>
      <c r="AS251" s="40">
        <f t="shared" si="318"/>
        <v>1644.2022780309815</v>
      </c>
      <c r="AT251" s="40">
        <f t="shared" si="318"/>
        <v>1677.0863235916013</v>
      </c>
      <c r="AU251" s="40">
        <f t="shared" si="318"/>
        <v>1710.6280500634332</v>
      </c>
      <c r="AV251" s="40">
        <f t="shared" si="318"/>
        <v>1744.8406110647022</v>
      </c>
      <c r="AW251" s="26"/>
      <c r="AX251" s="38"/>
    </row>
    <row r="252" spans="1:50" ht="12.75" hidden="1" customHeight="1" outlineLevel="1">
      <c r="A252" s="296"/>
      <c r="B252" s="32"/>
      <c r="C252" s="23"/>
      <c r="D252" s="23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6"/>
      <c r="AX252" s="27"/>
    </row>
    <row r="253" spans="1:50" ht="12.75" hidden="1" customHeight="1" outlineLevel="1">
      <c r="A253" s="296"/>
      <c r="B253" s="32" t="s">
        <v>390</v>
      </c>
      <c r="C253" s="23"/>
      <c r="D253" s="23"/>
      <c r="E253" s="24"/>
      <c r="F253" s="24"/>
      <c r="G253" s="24"/>
      <c r="H253" s="24"/>
      <c r="I253" s="24"/>
      <c r="J253" s="24"/>
      <c r="K253" s="24"/>
      <c r="L253" s="168"/>
      <c r="M253" s="168"/>
      <c r="N253" s="25"/>
      <c r="O253" s="25"/>
      <c r="P253" s="168">
        <v>0.8</v>
      </c>
      <c r="Q253" s="25">
        <f>P253</f>
        <v>0.8</v>
      </c>
      <c r="R253" s="25">
        <f>Q253</f>
        <v>0.8</v>
      </c>
      <c r="S253" s="25">
        <f>R253</f>
        <v>0.8</v>
      </c>
      <c r="T253" s="25">
        <f>S253</f>
        <v>0.8</v>
      </c>
      <c r="U253" s="168">
        <v>0.9</v>
      </c>
      <c r="V253" s="25">
        <f>U253</f>
        <v>0.9</v>
      </c>
      <c r="W253" s="25">
        <f>V253</f>
        <v>0.9</v>
      </c>
      <c r="X253" s="25">
        <f>W253</f>
        <v>0.9</v>
      </c>
      <c r="Y253" s="168">
        <v>1</v>
      </c>
      <c r="Z253" s="25">
        <f t="shared" ref="Z253:AV253" si="319">Y253</f>
        <v>1</v>
      </c>
      <c r="AA253" s="25">
        <f t="shared" si="319"/>
        <v>1</v>
      </c>
      <c r="AB253" s="25">
        <f t="shared" si="319"/>
        <v>1</v>
      </c>
      <c r="AC253" s="25">
        <f t="shared" si="319"/>
        <v>1</v>
      </c>
      <c r="AD253" s="25">
        <f t="shared" si="319"/>
        <v>1</v>
      </c>
      <c r="AE253" s="25">
        <f t="shared" si="319"/>
        <v>1</v>
      </c>
      <c r="AF253" s="25">
        <f t="shared" si="319"/>
        <v>1</v>
      </c>
      <c r="AG253" s="25">
        <f t="shared" si="319"/>
        <v>1</v>
      </c>
      <c r="AH253" s="25">
        <f t="shared" si="319"/>
        <v>1</v>
      </c>
      <c r="AI253" s="25">
        <f t="shared" si="319"/>
        <v>1</v>
      </c>
      <c r="AJ253" s="25">
        <f t="shared" si="319"/>
        <v>1</v>
      </c>
      <c r="AK253" s="25">
        <f t="shared" si="319"/>
        <v>1</v>
      </c>
      <c r="AL253" s="25">
        <f t="shared" si="319"/>
        <v>1</v>
      </c>
      <c r="AM253" s="25">
        <f t="shared" si="319"/>
        <v>1</v>
      </c>
      <c r="AN253" s="25">
        <f t="shared" si="319"/>
        <v>1</v>
      </c>
      <c r="AO253" s="25">
        <f t="shared" si="319"/>
        <v>1</v>
      </c>
      <c r="AP253" s="25">
        <f t="shared" si="319"/>
        <v>1</v>
      </c>
      <c r="AQ253" s="25">
        <f t="shared" si="319"/>
        <v>1</v>
      </c>
      <c r="AR253" s="25">
        <f t="shared" si="319"/>
        <v>1</v>
      </c>
      <c r="AS253" s="25">
        <f t="shared" si="319"/>
        <v>1</v>
      </c>
      <c r="AT253" s="25">
        <f t="shared" si="319"/>
        <v>1</v>
      </c>
      <c r="AU253" s="25">
        <f t="shared" si="319"/>
        <v>1</v>
      </c>
      <c r="AV253" s="25">
        <f t="shared" si="319"/>
        <v>1</v>
      </c>
      <c r="AW253" s="26"/>
      <c r="AX253" s="27"/>
    </row>
    <row r="254" spans="1:50" ht="12.75" hidden="1" customHeight="1" outlineLevel="1">
      <c r="A254" s="296"/>
      <c r="B254" s="32" t="s">
        <v>391</v>
      </c>
      <c r="C254" s="23" t="s">
        <v>100</v>
      </c>
      <c r="D254" s="23"/>
      <c r="E254" s="417"/>
      <c r="F254" s="417"/>
      <c r="G254" s="417"/>
      <c r="H254" s="417"/>
      <c r="I254" s="417"/>
      <c r="J254" s="417"/>
      <c r="K254" s="417"/>
      <c r="L254" s="417"/>
      <c r="M254" s="417"/>
      <c r="N254" s="417"/>
      <c r="O254" s="417"/>
      <c r="P254" s="417">
        <f>IF(((P241+P240)-P250)&lt;0,0,((P241+P240)-P250)*P253)</f>
        <v>20.62393621742466</v>
      </c>
      <c r="Q254" s="417">
        <f>IF(((Q241+Q240)-Q250)&lt;0,0,((Q241+Q240)-Q250)*Q253)</f>
        <v>0</v>
      </c>
      <c r="R254" s="417">
        <f t="shared" ref="R254:S254" si="320">IF(((R241+R240)-R250)&lt;0,0,((R241+R240)-R250)*R253)</f>
        <v>82.582576697424699</v>
      </c>
      <c r="S254" s="417">
        <f t="shared" si="320"/>
        <v>71.088122901369871</v>
      </c>
      <c r="T254" s="417">
        <f t="shared" ref="T254" si="321">IF(((T241+T240)-T250)&lt;0,0,((T241+T240)-T250)*T253)</f>
        <v>194.73989815273973</v>
      </c>
      <c r="U254" s="417">
        <f t="shared" ref="U254:V254" si="322">IF(((U241+U240)-U250)&lt;0,0,((U241+U240)-U250)*U253)</f>
        <v>332.44074223339476</v>
      </c>
      <c r="V254" s="417">
        <f t="shared" si="322"/>
        <v>197.88106814492591</v>
      </c>
      <c r="W254" s="417">
        <f t="shared" ref="W254" si="323">IF(((W241+W240)-W250)&lt;0,0,((W241+W240)-W250)*W253)</f>
        <v>192.82075373826811</v>
      </c>
      <c r="X254" s="417">
        <f t="shared" ref="X254:Y254" si="324">IF(((X241+X240)-X250)&lt;0,0,((X241+X240)-X250)*X253)</f>
        <v>312.8665260512775</v>
      </c>
      <c r="Y254" s="417">
        <f t="shared" si="324"/>
        <v>202.1426966421524</v>
      </c>
      <c r="Z254" s="417">
        <f t="shared" ref="Z254" si="325">IF(((Z241+Z240)-Z250)&lt;0,0,((Z241+Z240)-Z250)*Z253)</f>
        <v>199.53916487992694</v>
      </c>
      <c r="AA254" s="417">
        <f t="shared" ref="AA254:AB254" si="326">IF(((AA241+AA240)-AA250)&lt;0,0,((AA241+AA240)-AA250)*AA253)</f>
        <v>336.1714540824571</v>
      </c>
      <c r="AB254" s="417">
        <f t="shared" si="326"/>
        <v>194.17484803703763</v>
      </c>
      <c r="AC254" s="417">
        <f t="shared" ref="AC254" si="327">IF(((AC241+AC240)-AC250)&lt;0,0,((AC241+AC240)-AC250)*AC253)</f>
        <v>191.4119593027099</v>
      </c>
      <c r="AD254" s="417">
        <f t="shared" ref="AD254:AE254" si="328">IF(((AD241+AD240)-AD250)&lt;0,0,((AD241+AD240)-AD250)*AD253)</f>
        <v>327.88170439369571</v>
      </c>
      <c r="AE254" s="417">
        <f t="shared" si="328"/>
        <v>185.71930335450102</v>
      </c>
      <c r="AF254" s="417">
        <f t="shared" ref="AF254" si="329">IF(((AF241+AF240)-AF250)&lt;0,0,((AF241+AF240)-AF250)*AF253)</f>
        <v>182.78730372652254</v>
      </c>
      <c r="AG254" s="417">
        <f t="shared" ref="AG254:AH254" si="330">IF(((AG241+AG240)-AG250)&lt;0,0,((AG241+AG240)-AG250)*AG253)</f>
        <v>319.0845557059846</v>
      </c>
      <c r="AH254" s="417">
        <f t="shared" si="330"/>
        <v>176.74621169303569</v>
      </c>
      <c r="AI254" s="417">
        <f t="shared" ref="AI254" si="331">IF(((AI241+AI240)-AI250)&lt;0,0,((AI241+AI240)-AI250)*AI253)</f>
        <v>173.63475023182789</v>
      </c>
      <c r="AJ254" s="417">
        <f t="shared" ref="AJ254:AK254" si="332">IF(((AJ241+AJ240)-AJ250)&lt;0,0,((AJ241+AJ240)-AJ250)*AJ253)</f>
        <v>309.74895114139599</v>
      </c>
      <c r="AK254" s="417">
        <f t="shared" si="332"/>
        <v>167.22389503715536</v>
      </c>
      <c r="AL254" s="417">
        <f t="shared" ref="AL254" si="333">IF(((AL241+AL240)-AL250)&lt;0,0,((AL241+AL240)-AL250)*AL253)</f>
        <v>163.92198724282997</v>
      </c>
      <c r="AM254" s="417">
        <f t="shared" ref="AM254:AN254" si="334">IF(((AM241+AM240)-AM250)&lt;0,0,((AM241+AM240)-AM250)*AM253)</f>
        <v>299.84193289261816</v>
      </c>
      <c r="AN254" s="417">
        <f t="shared" si="334"/>
        <v>157.11873642340191</v>
      </c>
      <c r="AO254" s="417">
        <f t="shared" ref="AO254" si="335">IF(((AO241+AO240)-AO250)&lt;0,0,((AO241+AO240)-AO250)*AO253)</f>
        <v>153.61472545680147</v>
      </c>
      <c r="AP254" s="417">
        <f t="shared" ref="AP254:AQ254" si="336">IF(((AP241+AP240)-AP250)&lt;0,0,((AP241+AP240)-AP250)*AP253)</f>
        <v>289.32852587086904</v>
      </c>
      <c r="AQ254" s="417">
        <f t="shared" si="336"/>
        <v>146.39506126121788</v>
      </c>
      <c r="AR254" s="417">
        <f t="shared" ref="AR254" si="337">IF(((AR241+AR240)-AR250)&lt;0,0,((AR241+AR240)-AR250)*AR253)</f>
        <v>142.67657679137375</v>
      </c>
      <c r="AS254" s="417">
        <f t="shared" ref="AS254:AT254" si="338">IF(((AS241+AS240)-AS250)&lt;0,0,((AS241+AS240)-AS250)*AS253)</f>
        <v>278.17161423213281</v>
      </c>
      <c r="AT254" s="417">
        <f t="shared" si="338"/>
        <v>135.01501138970687</v>
      </c>
      <c r="AU254" s="417">
        <f t="shared" ref="AU254" si="339">IF(((AU241+AU240)-AU250)&lt;0,0,((AU241+AU240)-AU250)*AU253)</f>
        <v>131.06892592243253</v>
      </c>
      <c r="AV254" s="417">
        <f t="shared" ref="AV254" si="340">IF(((AV241+AV240)-AV250)&lt;0,0,((AV241+AV240)-AV250)*AV253)</f>
        <v>266.33181034581276</v>
      </c>
      <c r="AW254" s="26"/>
      <c r="AX254" s="27"/>
    </row>
    <row r="255" spans="1:50" ht="12.75" hidden="1" customHeight="1" outlineLevel="1">
      <c r="A255" s="296"/>
      <c r="B255" s="32" t="s">
        <v>391</v>
      </c>
      <c r="C255" s="23" t="s">
        <v>115</v>
      </c>
      <c r="D255" s="23"/>
      <c r="E255" s="418"/>
      <c r="F255" s="418"/>
      <c r="G255" s="418"/>
      <c r="H255" s="418"/>
      <c r="I255" s="418"/>
      <c r="J255" s="418"/>
      <c r="K255" s="418"/>
      <c r="L255" s="418"/>
      <c r="M255" s="418"/>
      <c r="N255" s="418"/>
      <c r="O255" s="418"/>
      <c r="P255" s="418">
        <f>P254*lbs_grams</f>
        <v>9354.8524767340859</v>
      </c>
      <c r="Q255" s="418">
        <f>Q254*lbs_grams</f>
        <v>0</v>
      </c>
      <c r="R255" s="418">
        <f t="shared" ref="R255:V255" si="341">R254*lbs_grams</f>
        <v>37458.796129338261</v>
      </c>
      <c r="S255" s="418">
        <f t="shared" si="341"/>
        <v>32245.003843078161</v>
      </c>
      <c r="T255" s="418">
        <f t="shared" si="341"/>
        <v>88332.459882897514</v>
      </c>
      <c r="U255" s="418">
        <f t="shared" si="341"/>
        <v>150792.46115113</v>
      </c>
      <c r="V255" s="418">
        <f t="shared" si="341"/>
        <v>89757.26946199323</v>
      </c>
      <c r="W255" s="418">
        <f t="shared" ref="W255:AV255" si="342">W254*lbs_grams</f>
        <v>87461.951329648509</v>
      </c>
      <c r="X255" s="418">
        <f t="shared" si="342"/>
        <v>141913.75328465106</v>
      </c>
      <c r="Y255" s="418">
        <f>Y254*lbs_grams</f>
        <v>91690.310055307185</v>
      </c>
      <c r="Z255" s="418">
        <f>Z254*lbs_grams</f>
        <v>90509.368876215813</v>
      </c>
      <c r="AA255" s="418">
        <f t="shared" si="342"/>
        <v>152484.68220016989</v>
      </c>
      <c r="AB255" s="418">
        <f t="shared" si="342"/>
        <v>88076.15767081597</v>
      </c>
      <c r="AC255" s="418">
        <f t="shared" si="342"/>
        <v>86822.933444034788</v>
      </c>
      <c r="AD255" s="418">
        <f t="shared" si="342"/>
        <v>148724.51805934522</v>
      </c>
      <c r="AE255" s="418">
        <f t="shared" si="342"/>
        <v>84240.790247174824</v>
      </c>
      <c r="AF255" s="418">
        <f t="shared" si="342"/>
        <v>82910.858671920811</v>
      </c>
      <c r="AG255" s="418">
        <f t="shared" si="342"/>
        <v>144734.20179178898</v>
      </c>
      <c r="AH255" s="418">
        <f t="shared" si="342"/>
        <v>80170.66765426744</v>
      </c>
      <c r="AI255" s="418">
        <f t="shared" si="342"/>
        <v>78759.333627155269</v>
      </c>
      <c r="AJ255" s="418">
        <f t="shared" si="342"/>
        <v>140499.64624612808</v>
      </c>
      <c r="AK255" s="418">
        <f t="shared" si="342"/>
        <v>75851.420997693378</v>
      </c>
      <c r="AL255" s="418">
        <f t="shared" si="342"/>
        <v>74353.702037449722</v>
      </c>
      <c r="AM255" s="418">
        <f t="shared" si="342"/>
        <v>136005.90202462845</v>
      </c>
      <c r="AN255" s="418">
        <f t="shared" si="342"/>
        <v>71267.801891763724</v>
      </c>
      <c r="AO255" s="418">
        <f t="shared" si="342"/>
        <v>69678.410549401495</v>
      </c>
      <c r="AP255" s="418">
        <f t="shared" si="342"/>
        <v>131237.10470681923</v>
      </c>
      <c r="AQ255" s="418">
        <f t="shared" si="342"/>
        <v>66403.628627598329</v>
      </c>
      <c r="AR255" s="418">
        <f t="shared" si="342"/>
        <v>64716.953819952796</v>
      </c>
      <c r="AS255" s="418">
        <f t="shared" si="342"/>
        <v>126176.41884278158</v>
      </c>
      <c r="AT255" s="418">
        <f t="shared" si="342"/>
        <v>61241.729046279914</v>
      </c>
      <c r="AU255" s="418">
        <f t="shared" si="342"/>
        <v>59451.816247008013</v>
      </c>
      <c r="AV255" s="418">
        <f t="shared" si="342"/>
        <v>120805.9785183779</v>
      </c>
      <c r="AW255" s="26"/>
      <c r="AX255" s="27"/>
    </row>
    <row r="256" spans="1:50" ht="12.75" hidden="1" customHeight="1" outlineLevel="1">
      <c r="A256" s="296"/>
      <c r="B256" s="32"/>
      <c r="C256" s="23"/>
      <c r="D256" s="23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6"/>
      <c r="AX256" s="27"/>
    </row>
    <row r="257" spans="1:50" ht="12.75" hidden="1" customHeight="1" outlineLevel="1">
      <c r="A257" s="296"/>
      <c r="B257" s="13" t="s">
        <v>124</v>
      </c>
      <c r="C257" s="23"/>
      <c r="D257" s="23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6"/>
      <c r="AX257" s="27"/>
    </row>
    <row r="258" spans="1:50" ht="12.75" hidden="1" customHeight="1" outlineLevel="1">
      <c r="A258" s="296"/>
      <c r="B258" s="28" t="s">
        <v>285</v>
      </c>
      <c r="C258" s="23" t="s">
        <v>100</v>
      </c>
      <c r="D258" s="23"/>
      <c r="E258" s="24">
        <f t="shared" ref="E258:N258" si="343">IF(E239&gt;0,E238,E238-E246)</f>
        <v>0</v>
      </c>
      <c r="F258" s="24">
        <f t="shared" si="343"/>
        <v>0</v>
      </c>
      <c r="G258" s="24">
        <f t="shared" si="343"/>
        <v>0</v>
      </c>
      <c r="H258" s="24">
        <f t="shared" si="343"/>
        <v>0</v>
      </c>
      <c r="I258" s="24">
        <f t="shared" si="343"/>
        <v>0</v>
      </c>
      <c r="J258" s="24">
        <f t="shared" si="343"/>
        <v>0</v>
      </c>
      <c r="K258" s="24">
        <f t="shared" si="343"/>
        <v>0</v>
      </c>
      <c r="L258" s="24">
        <f t="shared" si="343"/>
        <v>0</v>
      </c>
      <c r="M258" s="24">
        <f t="shared" si="343"/>
        <v>0</v>
      </c>
      <c r="N258" s="24">
        <f t="shared" si="343"/>
        <v>0</v>
      </c>
      <c r="O258" s="24">
        <f>IF(O239&gt;0,O238,O238-O246)</f>
        <v>696.43945800000017</v>
      </c>
      <c r="P258" s="24">
        <f t="shared" ref="P258:AV258" si="344">P238</f>
        <v>0</v>
      </c>
      <c r="Q258" s="24">
        <f t="shared" si="344"/>
        <v>0</v>
      </c>
      <c r="R258" s="24">
        <f t="shared" si="344"/>
        <v>696.43945800000017</v>
      </c>
      <c r="S258" s="24">
        <f t="shared" si="344"/>
        <v>0</v>
      </c>
      <c r="T258" s="24">
        <f t="shared" si="344"/>
        <v>0</v>
      </c>
      <c r="U258" s="24">
        <f t="shared" si="344"/>
        <v>696.43945800000017</v>
      </c>
      <c r="V258" s="24">
        <f t="shared" si="344"/>
        <v>0</v>
      </c>
      <c r="W258" s="24">
        <f t="shared" si="344"/>
        <v>0</v>
      </c>
      <c r="X258" s="24">
        <f t="shared" si="344"/>
        <v>696.43945800000017</v>
      </c>
      <c r="Y258" s="24">
        <f t="shared" si="344"/>
        <v>0</v>
      </c>
      <c r="Z258" s="24">
        <f t="shared" si="344"/>
        <v>0</v>
      </c>
      <c r="AA258" s="24">
        <f t="shared" si="344"/>
        <v>696.43945800000017</v>
      </c>
      <c r="AB258" s="24">
        <f t="shared" si="344"/>
        <v>0</v>
      </c>
      <c r="AC258" s="24">
        <f t="shared" si="344"/>
        <v>0</v>
      </c>
      <c r="AD258" s="24">
        <f t="shared" si="344"/>
        <v>696.43945800000017</v>
      </c>
      <c r="AE258" s="24">
        <f t="shared" si="344"/>
        <v>0</v>
      </c>
      <c r="AF258" s="24">
        <f t="shared" si="344"/>
        <v>0</v>
      </c>
      <c r="AG258" s="24">
        <f t="shared" si="344"/>
        <v>696.43945800000017</v>
      </c>
      <c r="AH258" s="24">
        <f t="shared" si="344"/>
        <v>0</v>
      </c>
      <c r="AI258" s="24">
        <f t="shared" si="344"/>
        <v>0</v>
      </c>
      <c r="AJ258" s="24">
        <f t="shared" si="344"/>
        <v>696.43945800000017</v>
      </c>
      <c r="AK258" s="24">
        <f t="shared" si="344"/>
        <v>0</v>
      </c>
      <c r="AL258" s="24">
        <f t="shared" si="344"/>
        <v>0</v>
      </c>
      <c r="AM258" s="24">
        <f t="shared" si="344"/>
        <v>696.43945800000017</v>
      </c>
      <c r="AN258" s="24">
        <f t="shared" si="344"/>
        <v>0</v>
      </c>
      <c r="AO258" s="24">
        <f t="shared" si="344"/>
        <v>0</v>
      </c>
      <c r="AP258" s="24">
        <f t="shared" si="344"/>
        <v>696.43945800000017</v>
      </c>
      <c r="AQ258" s="24">
        <f t="shared" si="344"/>
        <v>0</v>
      </c>
      <c r="AR258" s="24">
        <f t="shared" si="344"/>
        <v>0</v>
      </c>
      <c r="AS258" s="24">
        <f t="shared" si="344"/>
        <v>696.43945800000017</v>
      </c>
      <c r="AT258" s="24">
        <f t="shared" si="344"/>
        <v>0</v>
      </c>
      <c r="AU258" s="24">
        <f t="shared" si="344"/>
        <v>0</v>
      </c>
      <c r="AV258" s="24">
        <f t="shared" si="344"/>
        <v>696.43945800000017</v>
      </c>
      <c r="AW258" s="26"/>
      <c r="AX258" s="27"/>
    </row>
    <row r="259" spans="1:50" ht="12.75" hidden="1" customHeight="1" outlineLevel="1">
      <c r="A259" s="296"/>
      <c r="B259" s="28" t="s">
        <v>286</v>
      </c>
      <c r="C259" s="23" t="s">
        <v>100</v>
      </c>
      <c r="D259" s="23"/>
      <c r="E259" s="24">
        <f t="shared" ref="E259:J259" si="345">IF(E239&gt;0,E246-E239,0)</f>
        <v>0</v>
      </c>
      <c r="F259" s="24">
        <f t="shared" si="345"/>
        <v>0</v>
      </c>
      <c r="G259" s="24">
        <f t="shared" si="345"/>
        <v>0</v>
      </c>
      <c r="H259" s="24">
        <f t="shared" si="345"/>
        <v>0</v>
      </c>
      <c r="I259" s="24">
        <f t="shared" si="345"/>
        <v>0</v>
      </c>
      <c r="J259" s="24">
        <f t="shared" si="345"/>
        <v>0</v>
      </c>
      <c r="K259" s="24">
        <f t="shared" ref="K259:N259" si="346">K239</f>
        <v>0</v>
      </c>
      <c r="L259" s="24">
        <f t="shared" si="346"/>
        <v>0</v>
      </c>
      <c r="M259" s="24">
        <f t="shared" si="346"/>
        <v>117.62088624</v>
      </c>
      <c r="N259" s="24">
        <f t="shared" si="346"/>
        <v>117.62088624</v>
      </c>
      <c r="O259" s="24">
        <f t="shared" ref="O259" si="347">O239</f>
        <v>128.89960135890411</v>
      </c>
      <c r="P259" s="24">
        <f>P239</f>
        <v>128.89960135890411</v>
      </c>
      <c r="Q259" s="24">
        <f t="shared" ref="Q259:AV259" si="348">Q239</f>
        <v>128.89960135890411</v>
      </c>
      <c r="R259" s="24">
        <f t="shared" si="348"/>
        <v>128.89960135890411</v>
      </c>
      <c r="S259" s="24">
        <f t="shared" si="348"/>
        <v>830.79821188356152</v>
      </c>
      <c r="T259" s="24">
        <f t="shared" si="348"/>
        <v>1661.596423767123</v>
      </c>
      <c r="U259" s="24">
        <f t="shared" si="348"/>
        <v>1661.596423767123</v>
      </c>
      <c r="V259" s="24">
        <f t="shared" si="348"/>
        <v>1661.596423767123</v>
      </c>
      <c r="W259" s="24">
        <f t="shared" si="348"/>
        <v>1661.596423767123</v>
      </c>
      <c r="X259" s="24">
        <f t="shared" si="348"/>
        <v>1661.596423767123</v>
      </c>
      <c r="Y259" s="24">
        <f t="shared" si="348"/>
        <v>1661.596423767123</v>
      </c>
      <c r="Z259" s="24">
        <f t="shared" si="348"/>
        <v>1661.596423767123</v>
      </c>
      <c r="AA259" s="24">
        <f t="shared" si="348"/>
        <v>1661.596423767123</v>
      </c>
      <c r="AB259" s="24">
        <f t="shared" si="348"/>
        <v>1661.596423767123</v>
      </c>
      <c r="AC259" s="24">
        <f t="shared" si="348"/>
        <v>1661.596423767123</v>
      </c>
      <c r="AD259" s="24">
        <f t="shared" si="348"/>
        <v>1661.596423767123</v>
      </c>
      <c r="AE259" s="24">
        <f t="shared" si="348"/>
        <v>1661.596423767123</v>
      </c>
      <c r="AF259" s="24">
        <f t="shared" si="348"/>
        <v>1661.596423767123</v>
      </c>
      <c r="AG259" s="24">
        <f t="shared" si="348"/>
        <v>1661.596423767123</v>
      </c>
      <c r="AH259" s="24">
        <f t="shared" si="348"/>
        <v>1661.596423767123</v>
      </c>
      <c r="AI259" s="24">
        <f t="shared" si="348"/>
        <v>1661.596423767123</v>
      </c>
      <c r="AJ259" s="24">
        <f t="shared" si="348"/>
        <v>1661.596423767123</v>
      </c>
      <c r="AK259" s="24">
        <f t="shared" si="348"/>
        <v>1661.596423767123</v>
      </c>
      <c r="AL259" s="24">
        <f t="shared" si="348"/>
        <v>1661.596423767123</v>
      </c>
      <c r="AM259" s="24">
        <f t="shared" si="348"/>
        <v>1661.596423767123</v>
      </c>
      <c r="AN259" s="24">
        <f t="shared" si="348"/>
        <v>1661.596423767123</v>
      </c>
      <c r="AO259" s="24">
        <f t="shared" si="348"/>
        <v>1661.596423767123</v>
      </c>
      <c r="AP259" s="24">
        <f t="shared" si="348"/>
        <v>1661.596423767123</v>
      </c>
      <c r="AQ259" s="24">
        <f t="shared" si="348"/>
        <v>1661.596423767123</v>
      </c>
      <c r="AR259" s="24">
        <f t="shared" si="348"/>
        <v>1661.596423767123</v>
      </c>
      <c r="AS259" s="24">
        <f t="shared" si="348"/>
        <v>1661.596423767123</v>
      </c>
      <c r="AT259" s="24">
        <f t="shared" si="348"/>
        <v>1661.596423767123</v>
      </c>
      <c r="AU259" s="24">
        <f t="shared" si="348"/>
        <v>1661.596423767123</v>
      </c>
      <c r="AV259" s="24">
        <f t="shared" si="348"/>
        <v>1661.596423767123</v>
      </c>
      <c r="AW259" s="26"/>
      <c r="AX259" s="27"/>
    </row>
    <row r="260" spans="1:50" ht="12.75" hidden="1" customHeight="1" outlineLevel="1">
      <c r="A260" s="296"/>
      <c r="B260" s="28" t="s">
        <v>271</v>
      </c>
      <c r="C260" s="23" t="s">
        <v>100</v>
      </c>
      <c r="D260" s="23"/>
      <c r="E260" s="290">
        <f t="shared" ref="E260:N260" si="349">IF(E241&lt;0,0,E240-E250)</f>
        <v>0</v>
      </c>
      <c r="F260" s="290">
        <f t="shared" si="349"/>
        <v>0</v>
      </c>
      <c r="G260" s="290">
        <f t="shared" si="349"/>
        <v>0</v>
      </c>
      <c r="H260" s="290">
        <f t="shared" si="349"/>
        <v>0</v>
      </c>
      <c r="I260" s="290">
        <f t="shared" si="349"/>
        <v>0</v>
      </c>
      <c r="J260" s="290">
        <f t="shared" si="349"/>
        <v>0</v>
      </c>
      <c r="K260" s="290">
        <f t="shared" si="349"/>
        <v>0</v>
      </c>
      <c r="L260" s="290">
        <f t="shared" si="349"/>
        <v>0</v>
      </c>
      <c r="M260" s="290">
        <f t="shared" si="349"/>
        <v>0</v>
      </c>
      <c r="N260" s="290">
        <f t="shared" si="349"/>
        <v>0</v>
      </c>
      <c r="O260" s="290">
        <f>IF(O241&lt;0,0,O240-O250)</f>
        <v>139.28789160000005</v>
      </c>
      <c r="P260" s="290">
        <f t="shared" ref="P260:AV260" si="350">IF(P241&lt;0,0,P240-P250)</f>
        <v>0</v>
      </c>
      <c r="Q260" s="290">
        <f t="shared" si="350"/>
        <v>-37.478540000000002</v>
      </c>
      <c r="R260" s="290">
        <f t="shared" si="350"/>
        <v>77.448300600000053</v>
      </c>
      <c r="S260" s="290">
        <f t="shared" si="350"/>
        <v>-77.299488749999995</v>
      </c>
      <c r="T260" s="290">
        <f t="shared" si="350"/>
        <v>-88.894412062499995</v>
      </c>
      <c r="U260" s="290">
        <f t="shared" si="350"/>
        <v>37.059317728125052</v>
      </c>
      <c r="V260" s="290">
        <f t="shared" si="350"/>
        <v>-112.45143125906252</v>
      </c>
      <c r="W260" s="290">
        <f t="shared" si="350"/>
        <v>-118.07400282201564</v>
      </c>
      <c r="X260" s="290">
        <f t="shared" si="350"/>
        <v>15.310188636883623</v>
      </c>
      <c r="Y260" s="290">
        <f t="shared" si="350"/>
        <v>-130.17658811127225</v>
      </c>
      <c r="Z260" s="290">
        <f t="shared" si="350"/>
        <v>-132.78011987349771</v>
      </c>
      <c r="AA260" s="290">
        <f t="shared" si="350"/>
        <v>3.8521693290323924</v>
      </c>
      <c r="AB260" s="290">
        <f t="shared" si="350"/>
        <v>-138.14443671638702</v>
      </c>
      <c r="AC260" s="290">
        <f t="shared" si="350"/>
        <v>-140.90732545071475</v>
      </c>
      <c r="AD260" s="290">
        <f t="shared" si="350"/>
        <v>-4.4375803597289973</v>
      </c>
      <c r="AE260" s="290">
        <f t="shared" si="350"/>
        <v>-146.59998139892363</v>
      </c>
      <c r="AF260" s="290">
        <f t="shared" si="350"/>
        <v>-149.53198102690212</v>
      </c>
      <c r="AG260" s="290">
        <f t="shared" si="350"/>
        <v>-13.234729047440112</v>
      </c>
      <c r="AH260" s="290">
        <f t="shared" si="350"/>
        <v>-155.57307306038896</v>
      </c>
      <c r="AI260" s="290">
        <f t="shared" si="350"/>
        <v>-158.68453452159676</v>
      </c>
      <c r="AJ260" s="290">
        <f t="shared" si="350"/>
        <v>-22.570333612028662</v>
      </c>
      <c r="AK260" s="290">
        <f t="shared" si="350"/>
        <v>-165.0953897162693</v>
      </c>
      <c r="AL260" s="290">
        <f t="shared" si="350"/>
        <v>-168.39729751059468</v>
      </c>
      <c r="AM260" s="290">
        <f t="shared" si="350"/>
        <v>-32.47735186080655</v>
      </c>
      <c r="AN260" s="290">
        <f t="shared" si="350"/>
        <v>-175.20054833002274</v>
      </c>
      <c r="AO260" s="290">
        <f t="shared" si="350"/>
        <v>-178.70455929662319</v>
      </c>
      <c r="AP260" s="290">
        <f t="shared" si="350"/>
        <v>-42.99075888255561</v>
      </c>
      <c r="AQ260" s="290">
        <f t="shared" si="350"/>
        <v>-185.92422349220678</v>
      </c>
      <c r="AR260" s="290">
        <f t="shared" si="350"/>
        <v>-189.64270796205091</v>
      </c>
      <c r="AS260" s="290">
        <f t="shared" si="350"/>
        <v>-54.1476705212919</v>
      </c>
      <c r="AT260" s="290">
        <f t="shared" si="350"/>
        <v>-197.30427336371778</v>
      </c>
      <c r="AU260" s="290">
        <f t="shared" si="350"/>
        <v>-201.25035883099213</v>
      </c>
      <c r="AV260" s="290">
        <f t="shared" si="350"/>
        <v>-65.987474407611955</v>
      </c>
      <c r="AW260" s="26"/>
      <c r="AX260" s="27"/>
    </row>
    <row r="261" spans="1:50" ht="12.75" hidden="1" customHeight="1" outlineLevel="1">
      <c r="A261" s="296"/>
      <c r="B261" s="28" t="s">
        <v>291</v>
      </c>
      <c r="C261" s="23" t="s">
        <v>100</v>
      </c>
      <c r="D261" s="23"/>
      <c r="E261" s="290">
        <f t="shared" ref="E261:N261" si="351">IF(E241&lt;0,0,E241-E250)</f>
        <v>0</v>
      </c>
      <c r="F261" s="290">
        <f t="shared" si="351"/>
        <v>0</v>
      </c>
      <c r="G261" s="290">
        <f t="shared" si="351"/>
        <v>0</v>
      </c>
      <c r="H261" s="290">
        <f t="shared" si="351"/>
        <v>0</v>
      </c>
      <c r="I261" s="290">
        <f t="shared" si="351"/>
        <v>0</v>
      </c>
      <c r="J261" s="290">
        <f t="shared" si="351"/>
        <v>0</v>
      </c>
      <c r="K261" s="290">
        <f t="shared" si="351"/>
        <v>0</v>
      </c>
      <c r="L261" s="290">
        <f t="shared" si="351"/>
        <v>0</v>
      </c>
      <c r="M261" s="290">
        <f t="shared" si="351"/>
        <v>23.524177248000001</v>
      </c>
      <c r="N261" s="290">
        <f t="shared" si="351"/>
        <v>23.524177248000001</v>
      </c>
      <c r="O261" s="290">
        <f>IF(O241&lt;0,0,O241-O250)</f>
        <v>25.779920271780824</v>
      </c>
      <c r="P261" s="290">
        <f t="shared" ref="P261:AV261" si="352">P241-P250</f>
        <v>25.779920271780824</v>
      </c>
      <c r="Q261" s="290">
        <f t="shared" si="352"/>
        <v>-11.698619728219178</v>
      </c>
      <c r="R261" s="290">
        <f t="shared" si="352"/>
        <v>-36.059670728219174</v>
      </c>
      <c r="S261" s="290">
        <f t="shared" si="352"/>
        <v>88.860153626712332</v>
      </c>
      <c r="T261" s="290">
        <f t="shared" si="352"/>
        <v>243.42487269092464</v>
      </c>
      <c r="U261" s="290">
        <f t="shared" si="352"/>
        <v>230.09071088154965</v>
      </c>
      <c r="V261" s="290">
        <f t="shared" si="352"/>
        <v>219.86785349436212</v>
      </c>
      <c r="W261" s="290">
        <f t="shared" si="352"/>
        <v>214.24528193140901</v>
      </c>
      <c r="X261" s="290">
        <f t="shared" si="352"/>
        <v>208.34158179030823</v>
      </c>
      <c r="Y261" s="290">
        <f t="shared" si="352"/>
        <v>202.1426966421524</v>
      </c>
      <c r="Z261" s="290">
        <f t="shared" si="352"/>
        <v>199.53916487992694</v>
      </c>
      <c r="AA261" s="290">
        <f t="shared" si="352"/>
        <v>196.88356248245699</v>
      </c>
      <c r="AB261" s="290">
        <f t="shared" si="352"/>
        <v>194.17484803703763</v>
      </c>
      <c r="AC261" s="290">
        <f t="shared" si="352"/>
        <v>191.4119593027099</v>
      </c>
      <c r="AD261" s="290">
        <f t="shared" si="352"/>
        <v>188.59381279369561</v>
      </c>
      <c r="AE261" s="290">
        <f t="shared" si="352"/>
        <v>185.71930335450102</v>
      </c>
      <c r="AF261" s="290">
        <f t="shared" si="352"/>
        <v>182.78730372652254</v>
      </c>
      <c r="AG261" s="290">
        <f t="shared" si="352"/>
        <v>179.79666410598449</v>
      </c>
      <c r="AH261" s="290">
        <f t="shared" si="352"/>
        <v>176.74621169303569</v>
      </c>
      <c r="AI261" s="290">
        <f t="shared" si="352"/>
        <v>173.63475023182789</v>
      </c>
      <c r="AJ261" s="290">
        <f t="shared" si="352"/>
        <v>170.46105954139594</v>
      </c>
      <c r="AK261" s="290">
        <f t="shared" si="352"/>
        <v>167.22389503715536</v>
      </c>
      <c r="AL261" s="290">
        <f t="shared" si="352"/>
        <v>163.92198724282997</v>
      </c>
      <c r="AM261" s="290">
        <f t="shared" si="352"/>
        <v>160.55404129261805</v>
      </c>
      <c r="AN261" s="290">
        <f t="shared" si="352"/>
        <v>157.11873642340191</v>
      </c>
      <c r="AO261" s="290">
        <f t="shared" si="352"/>
        <v>153.61472545680147</v>
      </c>
      <c r="AP261" s="290">
        <f t="shared" si="352"/>
        <v>150.04063427086899</v>
      </c>
      <c r="AQ261" s="290">
        <f t="shared" si="352"/>
        <v>146.39506126121788</v>
      </c>
      <c r="AR261" s="290">
        <f t="shared" si="352"/>
        <v>142.67657679137375</v>
      </c>
      <c r="AS261" s="290">
        <f t="shared" si="352"/>
        <v>138.8837226321327</v>
      </c>
      <c r="AT261" s="290">
        <f t="shared" si="352"/>
        <v>135.01501138970687</v>
      </c>
      <c r="AU261" s="290">
        <f t="shared" si="352"/>
        <v>131.06892592243253</v>
      </c>
      <c r="AV261" s="290">
        <f t="shared" si="352"/>
        <v>127.04391874581265</v>
      </c>
      <c r="AW261" s="26"/>
      <c r="AX261" s="27"/>
    </row>
    <row r="262" spans="1:50" s="4" customFormat="1" ht="12.75" hidden="1" customHeight="1" outlineLevel="1">
      <c r="A262" s="297"/>
      <c r="B262" s="13" t="s">
        <v>47</v>
      </c>
      <c r="C262" s="315" t="s">
        <v>100</v>
      </c>
      <c r="D262" s="315"/>
      <c r="E262" s="40">
        <f t="shared" ref="E262:N262" si="353">E258+E259+E260+E261</f>
        <v>0</v>
      </c>
      <c r="F262" s="40">
        <f t="shared" si="353"/>
        <v>0</v>
      </c>
      <c r="G262" s="40">
        <f t="shared" si="353"/>
        <v>0</v>
      </c>
      <c r="H262" s="40">
        <f t="shared" si="353"/>
        <v>0</v>
      </c>
      <c r="I262" s="40">
        <f t="shared" si="353"/>
        <v>0</v>
      </c>
      <c r="J262" s="40">
        <f t="shared" si="353"/>
        <v>0</v>
      </c>
      <c r="K262" s="40">
        <f t="shared" si="353"/>
        <v>0</v>
      </c>
      <c r="L262" s="40">
        <f t="shared" si="353"/>
        <v>0</v>
      </c>
      <c r="M262" s="40">
        <f t="shared" si="353"/>
        <v>141.14506348800001</v>
      </c>
      <c r="N262" s="40">
        <f t="shared" si="353"/>
        <v>141.14506348800001</v>
      </c>
      <c r="O262" s="40">
        <f>O258+O259+O260+O261</f>
        <v>990.40687123068517</v>
      </c>
      <c r="P262" s="40">
        <f>P258+P259+P260+P261</f>
        <v>154.67952163068492</v>
      </c>
      <c r="Q262" s="40">
        <f>Q258+Q259+Q260+Q261</f>
        <v>79.722441630684926</v>
      </c>
      <c r="R262" s="40">
        <f>R258+R259+R260+R261</f>
        <v>866.72768923068509</v>
      </c>
      <c r="S262" s="40">
        <f t="shared" ref="S262:AV262" si="354">S258+S259+S260+S261</f>
        <v>842.3588767602738</v>
      </c>
      <c r="T262" s="40">
        <f t="shared" si="354"/>
        <v>1816.1268843955477</v>
      </c>
      <c r="U262" s="40">
        <f t="shared" si="354"/>
        <v>2625.1859103767979</v>
      </c>
      <c r="V262" s="40">
        <f t="shared" si="354"/>
        <v>1769.0128460024227</v>
      </c>
      <c r="W262" s="40">
        <f t="shared" si="354"/>
        <v>1757.7677028765163</v>
      </c>
      <c r="X262" s="40">
        <f t="shared" si="354"/>
        <v>2581.687652194315</v>
      </c>
      <c r="Y262" s="40">
        <f t="shared" si="354"/>
        <v>1733.5625322980034</v>
      </c>
      <c r="Z262" s="40">
        <f t="shared" si="354"/>
        <v>1728.3554687735523</v>
      </c>
      <c r="AA262" s="40">
        <f t="shared" si="354"/>
        <v>2558.7716135786122</v>
      </c>
      <c r="AB262" s="40">
        <f t="shared" si="354"/>
        <v>1717.6268350877738</v>
      </c>
      <c r="AC262" s="40">
        <f t="shared" si="354"/>
        <v>1712.1010576191181</v>
      </c>
      <c r="AD262" s="40">
        <f t="shared" si="354"/>
        <v>2542.1921142010897</v>
      </c>
      <c r="AE262" s="40">
        <f t="shared" si="354"/>
        <v>1700.7157457227006</v>
      </c>
      <c r="AF262" s="40">
        <f t="shared" si="354"/>
        <v>1694.8517464667436</v>
      </c>
      <c r="AG262" s="40">
        <f t="shared" si="354"/>
        <v>2524.5978168256675</v>
      </c>
      <c r="AH262" s="40">
        <f t="shared" si="354"/>
        <v>1682.7695623997699</v>
      </c>
      <c r="AI262" s="40">
        <f t="shared" si="354"/>
        <v>1676.5466394773541</v>
      </c>
      <c r="AJ262" s="40">
        <f t="shared" si="354"/>
        <v>2505.9266076964905</v>
      </c>
      <c r="AK262" s="40">
        <f t="shared" si="354"/>
        <v>1663.7249290880093</v>
      </c>
      <c r="AL262" s="40">
        <f t="shared" si="354"/>
        <v>1657.1211134993584</v>
      </c>
      <c r="AM262" s="40">
        <f t="shared" si="354"/>
        <v>2486.1125711989343</v>
      </c>
      <c r="AN262" s="40">
        <f t="shared" si="354"/>
        <v>1643.5146118605023</v>
      </c>
      <c r="AO262" s="40">
        <f t="shared" si="354"/>
        <v>1636.5065899273013</v>
      </c>
      <c r="AP262" s="40">
        <f t="shared" si="354"/>
        <v>2465.0857571554366</v>
      </c>
      <c r="AQ262" s="40">
        <f t="shared" si="354"/>
        <v>1622.0672615361343</v>
      </c>
      <c r="AR262" s="40">
        <f t="shared" si="354"/>
        <v>1614.6302925964458</v>
      </c>
      <c r="AS262" s="40">
        <f t="shared" si="354"/>
        <v>2442.7719338779639</v>
      </c>
      <c r="AT262" s="40">
        <f t="shared" si="354"/>
        <v>1599.3071617931121</v>
      </c>
      <c r="AU262" s="40">
        <f t="shared" si="354"/>
        <v>1591.4149908585634</v>
      </c>
      <c r="AV262" s="40">
        <f t="shared" si="354"/>
        <v>2419.092326105324</v>
      </c>
      <c r="AW262" s="26"/>
      <c r="AX262" s="38"/>
    </row>
    <row r="263" spans="1:50" ht="12.75" hidden="1" customHeight="1" outlineLevel="1">
      <c r="A263" s="296"/>
      <c r="B263" s="32"/>
      <c r="C263" s="23"/>
      <c r="D263" s="23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6"/>
      <c r="AX263" s="27"/>
    </row>
    <row r="264" spans="1:50" ht="12.75" hidden="1" customHeight="1" outlineLevel="1">
      <c r="A264" s="296"/>
      <c r="B264" s="13" t="s">
        <v>46</v>
      </c>
      <c r="C264" s="23"/>
      <c r="D264" s="23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6"/>
      <c r="AX264" s="27"/>
    </row>
    <row r="265" spans="1:50" ht="12.75" hidden="1" customHeight="1" outlineLevel="1">
      <c r="A265" s="296"/>
      <c r="B265" s="28" t="s">
        <v>285</v>
      </c>
      <c r="C265" s="23" t="s">
        <v>42</v>
      </c>
      <c r="D265" s="23"/>
      <c r="E265" s="24">
        <f t="shared" ref="E265:AV265" si="355">ROUND(E224*E258/10^3,0)</f>
        <v>0</v>
      </c>
      <c r="F265" s="24">
        <f t="shared" si="355"/>
        <v>0</v>
      </c>
      <c r="G265" s="24">
        <f t="shared" si="355"/>
        <v>0</v>
      </c>
      <c r="H265" s="24">
        <f t="shared" si="355"/>
        <v>0</v>
      </c>
      <c r="I265" s="24">
        <f t="shared" si="355"/>
        <v>0</v>
      </c>
      <c r="J265" s="24">
        <f t="shared" si="355"/>
        <v>0</v>
      </c>
      <c r="K265" s="24">
        <f t="shared" ref="K265:N265" si="356">ROUND(K224*K258/10^3,0)</f>
        <v>0</v>
      </c>
      <c r="L265" s="24">
        <f t="shared" si="356"/>
        <v>0</v>
      </c>
      <c r="M265" s="24">
        <f t="shared" si="356"/>
        <v>0</v>
      </c>
      <c r="N265" s="24">
        <f t="shared" si="356"/>
        <v>0</v>
      </c>
      <c r="O265" s="24">
        <f t="shared" si="355"/>
        <v>599</v>
      </c>
      <c r="P265" s="24">
        <f t="shared" si="355"/>
        <v>0</v>
      </c>
      <c r="Q265" s="24">
        <f t="shared" si="355"/>
        <v>0</v>
      </c>
      <c r="R265" s="24">
        <f t="shared" si="355"/>
        <v>564</v>
      </c>
      <c r="S265" s="24">
        <f t="shared" si="355"/>
        <v>0</v>
      </c>
      <c r="T265" s="24">
        <f t="shared" si="355"/>
        <v>0</v>
      </c>
      <c r="U265" s="24">
        <f t="shared" si="355"/>
        <v>536</v>
      </c>
      <c r="V265" s="24">
        <f t="shared" si="355"/>
        <v>0</v>
      </c>
      <c r="W265" s="24">
        <f t="shared" si="355"/>
        <v>0</v>
      </c>
      <c r="X265" s="24">
        <f t="shared" si="355"/>
        <v>536</v>
      </c>
      <c r="Y265" s="24">
        <f t="shared" si="355"/>
        <v>0</v>
      </c>
      <c r="Z265" s="24">
        <f t="shared" si="355"/>
        <v>0</v>
      </c>
      <c r="AA265" s="24">
        <f t="shared" si="355"/>
        <v>536</v>
      </c>
      <c r="AB265" s="24">
        <f t="shared" si="355"/>
        <v>0</v>
      </c>
      <c r="AC265" s="24">
        <f t="shared" si="355"/>
        <v>0</v>
      </c>
      <c r="AD265" s="24">
        <f t="shared" si="355"/>
        <v>536</v>
      </c>
      <c r="AE265" s="24">
        <f t="shared" si="355"/>
        <v>0</v>
      </c>
      <c r="AF265" s="24">
        <f t="shared" si="355"/>
        <v>0</v>
      </c>
      <c r="AG265" s="24">
        <f t="shared" si="355"/>
        <v>536</v>
      </c>
      <c r="AH265" s="24">
        <f t="shared" si="355"/>
        <v>0</v>
      </c>
      <c r="AI265" s="24">
        <f t="shared" si="355"/>
        <v>0</v>
      </c>
      <c r="AJ265" s="24">
        <f t="shared" si="355"/>
        <v>536</v>
      </c>
      <c r="AK265" s="24">
        <f t="shared" si="355"/>
        <v>0</v>
      </c>
      <c r="AL265" s="24">
        <f t="shared" si="355"/>
        <v>0</v>
      </c>
      <c r="AM265" s="24">
        <f t="shared" si="355"/>
        <v>536</v>
      </c>
      <c r="AN265" s="24">
        <f t="shared" si="355"/>
        <v>0</v>
      </c>
      <c r="AO265" s="24">
        <f t="shared" si="355"/>
        <v>0</v>
      </c>
      <c r="AP265" s="24">
        <f t="shared" si="355"/>
        <v>536</v>
      </c>
      <c r="AQ265" s="24">
        <f t="shared" si="355"/>
        <v>0</v>
      </c>
      <c r="AR265" s="24">
        <f t="shared" si="355"/>
        <v>0</v>
      </c>
      <c r="AS265" s="24">
        <f t="shared" si="355"/>
        <v>536</v>
      </c>
      <c r="AT265" s="24">
        <f t="shared" si="355"/>
        <v>0</v>
      </c>
      <c r="AU265" s="24">
        <f t="shared" si="355"/>
        <v>0</v>
      </c>
      <c r="AV265" s="24">
        <f t="shared" si="355"/>
        <v>536</v>
      </c>
      <c r="AW265" s="26"/>
      <c r="AX265" s="27"/>
    </row>
    <row r="266" spans="1:50" ht="12.75" hidden="1" customHeight="1" outlineLevel="1">
      <c r="A266" s="296"/>
      <c r="B266" s="28" t="s">
        <v>286</v>
      </c>
      <c r="C266" s="23" t="s">
        <v>42</v>
      </c>
      <c r="D266" s="23"/>
      <c r="E266" s="24">
        <f t="shared" ref="E266:AV266" si="357">ROUND(E227*E259/10^3,0)</f>
        <v>0</v>
      </c>
      <c r="F266" s="24">
        <f t="shared" si="357"/>
        <v>0</v>
      </c>
      <c r="G266" s="24">
        <f t="shared" si="357"/>
        <v>0</v>
      </c>
      <c r="H266" s="24">
        <f t="shared" si="357"/>
        <v>0</v>
      </c>
      <c r="I266" s="24">
        <f t="shared" si="357"/>
        <v>0</v>
      </c>
      <c r="J266" s="24">
        <f t="shared" si="357"/>
        <v>0</v>
      </c>
      <c r="K266" s="24">
        <f t="shared" ref="K266:N266" si="358">ROUND(K227*K259/10^3,0)</f>
        <v>0</v>
      </c>
      <c r="L266" s="24">
        <f t="shared" si="358"/>
        <v>0</v>
      </c>
      <c r="M266" s="24">
        <f t="shared" si="358"/>
        <v>259</v>
      </c>
      <c r="N266" s="24">
        <f t="shared" si="358"/>
        <v>259</v>
      </c>
      <c r="O266" s="24">
        <f t="shared" si="357"/>
        <v>284</v>
      </c>
      <c r="P266" s="24">
        <f t="shared" si="357"/>
        <v>284</v>
      </c>
      <c r="Q266" s="24">
        <f t="shared" si="357"/>
        <v>278</v>
      </c>
      <c r="R266" s="24">
        <f t="shared" si="357"/>
        <v>278</v>
      </c>
      <c r="S266" s="24">
        <f t="shared" si="357"/>
        <v>1791</v>
      </c>
      <c r="T266" s="24">
        <f t="shared" si="357"/>
        <v>3582</v>
      </c>
      <c r="U266" s="24">
        <f t="shared" si="357"/>
        <v>3511</v>
      </c>
      <c r="V266" s="24">
        <f t="shared" si="357"/>
        <v>3511</v>
      </c>
      <c r="W266" s="24">
        <f t="shared" si="357"/>
        <v>3511</v>
      </c>
      <c r="X266" s="24">
        <f t="shared" si="357"/>
        <v>3511</v>
      </c>
      <c r="Y266" s="24">
        <f t="shared" si="357"/>
        <v>3511</v>
      </c>
      <c r="Z266" s="24">
        <f t="shared" si="357"/>
        <v>3511</v>
      </c>
      <c r="AA266" s="24">
        <f t="shared" si="357"/>
        <v>3511</v>
      </c>
      <c r="AB266" s="24">
        <f t="shared" si="357"/>
        <v>3511</v>
      </c>
      <c r="AC266" s="24">
        <f t="shared" si="357"/>
        <v>3511</v>
      </c>
      <c r="AD266" s="24">
        <f t="shared" si="357"/>
        <v>3511</v>
      </c>
      <c r="AE266" s="24">
        <f t="shared" si="357"/>
        <v>3511</v>
      </c>
      <c r="AF266" s="24">
        <f t="shared" si="357"/>
        <v>3511</v>
      </c>
      <c r="AG266" s="24">
        <f t="shared" si="357"/>
        <v>3511</v>
      </c>
      <c r="AH266" s="24">
        <f t="shared" si="357"/>
        <v>3511</v>
      </c>
      <c r="AI266" s="24">
        <f t="shared" si="357"/>
        <v>3511</v>
      </c>
      <c r="AJ266" s="24">
        <f t="shared" si="357"/>
        <v>3511</v>
      </c>
      <c r="AK266" s="24">
        <f t="shared" si="357"/>
        <v>3511</v>
      </c>
      <c r="AL266" s="24">
        <f t="shared" si="357"/>
        <v>3511</v>
      </c>
      <c r="AM266" s="24">
        <f t="shared" si="357"/>
        <v>3511</v>
      </c>
      <c r="AN266" s="24">
        <f t="shared" si="357"/>
        <v>3511</v>
      </c>
      <c r="AO266" s="24">
        <f t="shared" si="357"/>
        <v>3511</v>
      </c>
      <c r="AP266" s="24">
        <f t="shared" si="357"/>
        <v>3511</v>
      </c>
      <c r="AQ266" s="24">
        <f t="shared" si="357"/>
        <v>3511</v>
      </c>
      <c r="AR266" s="24">
        <f t="shared" si="357"/>
        <v>3511</v>
      </c>
      <c r="AS266" s="24">
        <f t="shared" si="357"/>
        <v>3511</v>
      </c>
      <c r="AT266" s="24">
        <f t="shared" si="357"/>
        <v>3511</v>
      </c>
      <c r="AU266" s="24">
        <f t="shared" si="357"/>
        <v>3511</v>
      </c>
      <c r="AV266" s="24">
        <f t="shared" si="357"/>
        <v>3511</v>
      </c>
      <c r="AW266" s="26"/>
      <c r="AX266" s="27"/>
    </row>
    <row r="267" spans="1:50" ht="12.75" hidden="1" customHeight="1" outlineLevel="1">
      <c r="A267" s="296"/>
      <c r="B267" s="28" t="s">
        <v>271</v>
      </c>
      <c r="C267" s="23" t="s">
        <v>42</v>
      </c>
      <c r="D267" s="23"/>
      <c r="E267" s="24">
        <f t="shared" ref="E267:AV267" si="359">(E260*E225)/10^3</f>
        <v>0</v>
      </c>
      <c r="F267" s="24">
        <f t="shared" si="359"/>
        <v>0</v>
      </c>
      <c r="G267" s="24">
        <f t="shared" si="359"/>
        <v>0</v>
      </c>
      <c r="H267" s="24">
        <f t="shared" si="359"/>
        <v>0</v>
      </c>
      <c r="I267" s="24">
        <f t="shared" si="359"/>
        <v>0</v>
      </c>
      <c r="J267" s="24">
        <f t="shared" si="359"/>
        <v>0</v>
      </c>
      <c r="K267" s="24">
        <f t="shared" ref="K267:N267" si="360">(K260*K225)/10^3</f>
        <v>0</v>
      </c>
      <c r="L267" s="24">
        <f t="shared" si="360"/>
        <v>0</v>
      </c>
      <c r="M267" s="24">
        <f t="shared" si="360"/>
        <v>0</v>
      </c>
      <c r="N267" s="24">
        <f t="shared" si="360"/>
        <v>0</v>
      </c>
      <c r="O267" s="24">
        <f t="shared" si="359"/>
        <v>23.818229463600009</v>
      </c>
      <c r="P267" s="24">
        <f t="shared" si="359"/>
        <v>0</v>
      </c>
      <c r="Q267" s="24">
        <f t="shared" si="359"/>
        <v>-6.0883888230000007</v>
      </c>
      <c r="R267" s="24">
        <f t="shared" si="359"/>
        <v>12.58147643247001</v>
      </c>
      <c r="S267" s="24">
        <f t="shared" si="359"/>
        <v>-12.5573019474375</v>
      </c>
      <c r="T267" s="24">
        <f t="shared" si="359"/>
        <v>-14.440897239553125</v>
      </c>
      <c r="U267" s="24">
        <f t="shared" si="359"/>
        <v>5.719271856687218</v>
      </c>
      <c r="V267" s="24">
        <f t="shared" si="359"/>
        <v>-17.354348257632971</v>
      </c>
      <c r="W267" s="24">
        <f t="shared" si="359"/>
        <v>-18.222065670514617</v>
      </c>
      <c r="X267" s="24">
        <f t="shared" si="359"/>
        <v>2.3627831368586572</v>
      </c>
      <c r="Y267" s="24">
        <f t="shared" si="359"/>
        <v>-20.089827401742369</v>
      </c>
      <c r="Z267" s="24">
        <f t="shared" si="359"/>
        <v>-20.491623949777214</v>
      </c>
      <c r="AA267" s="24">
        <f t="shared" si="359"/>
        <v>0.59449566212624638</v>
      </c>
      <c r="AB267" s="24">
        <f t="shared" si="359"/>
        <v>-21.319485557348216</v>
      </c>
      <c r="AC267" s="24">
        <f t="shared" si="359"/>
        <v>-21.74587526849518</v>
      </c>
      <c r="AD267" s="24">
        <f t="shared" si="359"/>
        <v>-0.68484068296607681</v>
      </c>
      <c r="AE267" s="24">
        <f t="shared" si="359"/>
        <v>-22.624408629342387</v>
      </c>
      <c r="AF267" s="24">
        <f t="shared" si="359"/>
        <v>-23.076896801929234</v>
      </c>
      <c r="AG267" s="24">
        <f t="shared" si="359"/>
        <v>-2.0424826470688138</v>
      </c>
      <c r="AH267" s="24">
        <f t="shared" si="359"/>
        <v>-24.009203432727176</v>
      </c>
      <c r="AI267" s="24">
        <f t="shared" si="359"/>
        <v>-24.489387501381724</v>
      </c>
      <c r="AJ267" s="24">
        <f t="shared" si="359"/>
        <v>-3.4832231605103527</v>
      </c>
      <c r="AK267" s="24">
        <f t="shared" si="359"/>
        <v>-25.478758756437546</v>
      </c>
      <c r="AL267" s="24">
        <f t="shared" si="359"/>
        <v>-25.988333931566299</v>
      </c>
      <c r="AM267" s="24">
        <f t="shared" si="359"/>
        <v>-5.0121485192986217</v>
      </c>
      <c r="AN267" s="24">
        <f t="shared" si="359"/>
        <v>-27.038262622401582</v>
      </c>
      <c r="AO267" s="24">
        <f t="shared" si="359"/>
        <v>-27.579027874849611</v>
      </c>
      <c r="AP267" s="24">
        <f t="shared" si="359"/>
        <v>-6.6346563414476005</v>
      </c>
      <c r="AQ267" s="24">
        <f t="shared" si="359"/>
        <v>-28.693220600993541</v>
      </c>
      <c r="AR267" s="24">
        <f t="shared" si="359"/>
        <v>-29.267085013013411</v>
      </c>
      <c r="AS267" s="24">
        <f t="shared" si="359"/>
        <v>-8.3564746223746749</v>
      </c>
      <c r="AT267" s="24">
        <f t="shared" si="359"/>
        <v>-30.449475247539155</v>
      </c>
      <c r="AU267" s="24">
        <f t="shared" si="359"/>
        <v>-31.058464752489932</v>
      </c>
      <c r="AV267" s="24">
        <f t="shared" si="359"/>
        <v>-10.183681956640735</v>
      </c>
      <c r="AW267" s="26"/>
      <c r="AX267" s="27"/>
    </row>
    <row r="268" spans="1:50" ht="12.75" hidden="1" customHeight="1" outlineLevel="1">
      <c r="A268" s="296"/>
      <c r="B268" s="28" t="s">
        <v>291</v>
      </c>
      <c r="C268" s="23" t="s">
        <v>42</v>
      </c>
      <c r="D268" s="23"/>
      <c r="E268" s="24">
        <f t="shared" ref="E268:AV268" si="361">(E261*E228)/10^3</f>
        <v>0</v>
      </c>
      <c r="F268" s="24">
        <f t="shared" si="361"/>
        <v>0</v>
      </c>
      <c r="G268" s="24">
        <f t="shared" si="361"/>
        <v>0</v>
      </c>
      <c r="H268" s="24">
        <f t="shared" si="361"/>
        <v>0</v>
      </c>
      <c r="I268" s="24">
        <f t="shared" si="361"/>
        <v>0</v>
      </c>
      <c r="J268" s="24">
        <f t="shared" si="361"/>
        <v>0</v>
      </c>
      <c r="K268" s="24">
        <f t="shared" ref="K268:N268" si="362">(K261*K228)/10^3</f>
        <v>0</v>
      </c>
      <c r="L268" s="24">
        <f t="shared" si="362"/>
        <v>0</v>
      </c>
      <c r="M268" s="24">
        <f t="shared" si="362"/>
        <v>4.0226343094080006</v>
      </c>
      <c r="N268" s="24">
        <f t="shared" si="362"/>
        <v>4.0226343094080006</v>
      </c>
      <c r="O268" s="24">
        <f t="shared" si="361"/>
        <v>4.408366366474521</v>
      </c>
      <c r="P268" s="24">
        <f t="shared" si="361"/>
        <v>4.408366366474521</v>
      </c>
      <c r="Q268" s="24">
        <f t="shared" si="361"/>
        <v>-1.9004407748492056</v>
      </c>
      <c r="R268" s="24">
        <f t="shared" si="361"/>
        <v>-5.8578935097992053</v>
      </c>
      <c r="S268" s="24">
        <f t="shared" si="361"/>
        <v>14.43533195665942</v>
      </c>
      <c r="T268" s="24">
        <f t="shared" si="361"/>
        <v>39.544370568640709</v>
      </c>
      <c r="U268" s="24">
        <f t="shared" si="361"/>
        <v>35.509324183572353</v>
      </c>
      <c r="V268" s="24">
        <f t="shared" si="361"/>
        <v>33.931656160151164</v>
      </c>
      <c r="W268" s="24">
        <f t="shared" si="361"/>
        <v>33.063938747269525</v>
      </c>
      <c r="X268" s="24">
        <f t="shared" si="361"/>
        <v>32.152835463743791</v>
      </c>
      <c r="Y268" s="24">
        <f t="shared" si="361"/>
        <v>31.196177016041773</v>
      </c>
      <c r="Z268" s="24">
        <f t="shared" si="361"/>
        <v>30.794380468006924</v>
      </c>
      <c r="AA268" s="24">
        <f t="shared" si="361"/>
        <v>30.384547989011377</v>
      </c>
      <c r="AB268" s="24">
        <f t="shared" si="361"/>
        <v>29.966518860435926</v>
      </c>
      <c r="AC268" s="24">
        <f t="shared" si="361"/>
        <v>29.540129149288962</v>
      </c>
      <c r="AD268" s="24">
        <f t="shared" si="361"/>
        <v>29.105211643919059</v>
      </c>
      <c r="AE268" s="24">
        <f t="shared" si="361"/>
        <v>28.661595788441755</v>
      </c>
      <c r="AF268" s="24">
        <f t="shared" si="361"/>
        <v>28.209107615854904</v>
      </c>
      <c r="AG268" s="24">
        <f t="shared" si="361"/>
        <v>27.747569679816319</v>
      </c>
      <c r="AH268" s="24">
        <f t="shared" si="361"/>
        <v>27.276800985056962</v>
      </c>
      <c r="AI268" s="24">
        <f t="shared" si="361"/>
        <v>26.796616916402417</v>
      </c>
      <c r="AJ268" s="24">
        <f t="shared" si="361"/>
        <v>26.306829166374779</v>
      </c>
      <c r="AK268" s="24">
        <f t="shared" si="361"/>
        <v>25.807245661346592</v>
      </c>
      <c r="AL268" s="24">
        <f t="shared" si="361"/>
        <v>25.297670486217843</v>
      </c>
      <c r="AM268" s="24">
        <f t="shared" si="361"/>
        <v>24.777903807586512</v>
      </c>
      <c r="AN268" s="24">
        <f t="shared" si="361"/>
        <v>24.247741795382556</v>
      </c>
      <c r="AO268" s="24">
        <f t="shared" si="361"/>
        <v>23.706976542934523</v>
      </c>
      <c r="AP268" s="24">
        <f t="shared" si="361"/>
        <v>23.155395985437533</v>
      </c>
      <c r="AQ268" s="24">
        <f t="shared" si="361"/>
        <v>22.5927838167906</v>
      </c>
      <c r="AR268" s="24">
        <f t="shared" si="361"/>
        <v>22.018919404770731</v>
      </c>
      <c r="AS268" s="24">
        <f t="shared" si="361"/>
        <v>21.433577704510459</v>
      </c>
      <c r="AT268" s="24">
        <f t="shared" si="361"/>
        <v>20.836529170244987</v>
      </c>
      <c r="AU268" s="24">
        <f t="shared" si="361"/>
        <v>20.227539665294202</v>
      </c>
      <c r="AV268" s="24">
        <f t="shared" si="361"/>
        <v>19.606370370244399</v>
      </c>
      <c r="AW268" s="26"/>
      <c r="AX268" s="27"/>
    </row>
    <row r="269" spans="1:50" ht="12.75" hidden="1" customHeight="1" outlineLevel="1">
      <c r="A269" s="296"/>
      <c r="B269" s="33" t="s">
        <v>110</v>
      </c>
      <c r="C269" s="20" t="s">
        <v>42</v>
      </c>
      <c r="D269" s="20"/>
      <c r="E269" s="39">
        <f t="shared" ref="E269" si="363">SUM(E265:E268)</f>
        <v>0</v>
      </c>
      <c r="F269" s="39">
        <f t="shared" ref="F269" si="364">SUM(F265:F268)</f>
        <v>0</v>
      </c>
      <c r="G269" s="39">
        <f t="shared" ref="G269" si="365">SUM(G265:G268)</f>
        <v>0</v>
      </c>
      <c r="H269" s="39">
        <f t="shared" ref="H269" si="366">SUM(H265:H268)</f>
        <v>0</v>
      </c>
      <c r="I269" s="39">
        <f t="shared" ref="I269" si="367">SUM(I265:I268)</f>
        <v>0</v>
      </c>
      <c r="J269" s="39">
        <f t="shared" ref="J269:N269" si="368">SUM(J265:J268)</f>
        <v>0</v>
      </c>
      <c r="K269" s="39">
        <f t="shared" si="368"/>
        <v>0</v>
      </c>
      <c r="L269" s="39">
        <f t="shared" si="368"/>
        <v>0</v>
      </c>
      <c r="M269" s="39">
        <f t="shared" si="368"/>
        <v>263.02263430940798</v>
      </c>
      <c r="N269" s="39">
        <f t="shared" si="368"/>
        <v>263.02263430940798</v>
      </c>
      <c r="O269" s="39">
        <f>SUM(O265:O268)</f>
        <v>911.22659583007453</v>
      </c>
      <c r="P269" s="39">
        <f>SUM(P265:P268)</f>
        <v>288.40836636647452</v>
      </c>
      <c r="Q269" s="39">
        <f>SUM(Q265:Q268)</f>
        <v>270.01117040215081</v>
      </c>
      <c r="R269" s="39">
        <f>SUM(R265:R268)</f>
        <v>848.72358292267086</v>
      </c>
      <c r="S269" s="39">
        <f t="shared" ref="S269:AV269" si="369">SUM(S265:S268)</f>
        <v>1792.8780300092219</v>
      </c>
      <c r="T269" s="39">
        <f t="shared" si="369"/>
        <v>3607.1034733290876</v>
      </c>
      <c r="U269" s="39">
        <f t="shared" si="369"/>
        <v>4088.2285960402596</v>
      </c>
      <c r="V269" s="39">
        <f t="shared" si="369"/>
        <v>3527.5773079025184</v>
      </c>
      <c r="W269" s="39">
        <f t="shared" si="369"/>
        <v>3525.8418730767553</v>
      </c>
      <c r="X269" s="39">
        <f t="shared" si="369"/>
        <v>4081.5156186006025</v>
      </c>
      <c r="Y269" s="39">
        <f t="shared" si="369"/>
        <v>3522.1063496142997</v>
      </c>
      <c r="Z269" s="39">
        <f t="shared" si="369"/>
        <v>3521.3027565182301</v>
      </c>
      <c r="AA269" s="39">
        <f t="shared" si="369"/>
        <v>4077.9790436511375</v>
      </c>
      <c r="AB269" s="39">
        <f t="shared" si="369"/>
        <v>3519.6470333030875</v>
      </c>
      <c r="AC269" s="39">
        <f t="shared" si="369"/>
        <v>3518.7942538807938</v>
      </c>
      <c r="AD269" s="39">
        <f t="shared" si="369"/>
        <v>4075.4203709609528</v>
      </c>
      <c r="AE269" s="39">
        <f t="shared" si="369"/>
        <v>3517.0371871590996</v>
      </c>
      <c r="AF269" s="39">
        <f t="shared" si="369"/>
        <v>3516.1322108139257</v>
      </c>
      <c r="AG269" s="39">
        <f t="shared" si="369"/>
        <v>4072.7050870327475</v>
      </c>
      <c r="AH269" s="39">
        <f t="shared" si="369"/>
        <v>3514.2675975523298</v>
      </c>
      <c r="AI269" s="39">
        <f t="shared" si="369"/>
        <v>3513.3072294150206</v>
      </c>
      <c r="AJ269" s="39">
        <f t="shared" si="369"/>
        <v>4069.8236060058643</v>
      </c>
      <c r="AK269" s="39">
        <f t="shared" si="369"/>
        <v>3511.3284869049094</v>
      </c>
      <c r="AL269" s="39">
        <f t="shared" si="369"/>
        <v>3510.309336554652</v>
      </c>
      <c r="AM269" s="39">
        <f t="shared" si="369"/>
        <v>4066.7657552882879</v>
      </c>
      <c r="AN269" s="39">
        <f t="shared" si="369"/>
        <v>3508.209479172981</v>
      </c>
      <c r="AO269" s="39">
        <f t="shared" si="369"/>
        <v>3507.1279486680851</v>
      </c>
      <c r="AP269" s="39">
        <f t="shared" si="369"/>
        <v>4063.5207396439901</v>
      </c>
      <c r="AQ269" s="39">
        <f t="shared" si="369"/>
        <v>3504.8995632157967</v>
      </c>
      <c r="AR269" s="39">
        <f t="shared" si="369"/>
        <v>3503.7518343917573</v>
      </c>
      <c r="AS269" s="39">
        <f t="shared" si="369"/>
        <v>4060.0771030821356</v>
      </c>
      <c r="AT269" s="39">
        <f t="shared" si="369"/>
        <v>3501.3870539227055</v>
      </c>
      <c r="AU269" s="39">
        <f t="shared" si="369"/>
        <v>3500.1690749128043</v>
      </c>
      <c r="AV269" s="39">
        <f t="shared" si="369"/>
        <v>4056.4226884136037</v>
      </c>
      <c r="AW269" s="26"/>
      <c r="AX269" s="27"/>
    </row>
    <row r="270" spans="1:50" ht="12.75" hidden="1" customHeight="1" outlineLevel="1">
      <c r="A270" s="296"/>
      <c r="B270" s="33"/>
      <c r="C270" s="20"/>
      <c r="D270" s="20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7"/>
    </row>
    <row r="271" spans="1:50" ht="12.75" hidden="1" customHeight="1" outlineLevel="1">
      <c r="A271" s="296"/>
      <c r="B271" s="33" t="s">
        <v>194</v>
      </c>
      <c r="C271" s="20"/>
      <c r="D271" s="20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7"/>
    </row>
    <row r="272" spans="1:50" ht="12.75" hidden="1" customHeight="1" outlineLevel="1">
      <c r="A272" s="296"/>
      <c r="B272" s="28" t="s">
        <v>109</v>
      </c>
      <c r="C272" s="20" t="s">
        <v>102</v>
      </c>
      <c r="D272" s="20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>
        <f>O246/(O238+O239)</f>
        <v>0</v>
      </c>
      <c r="P272" s="25">
        <f t="shared" ref="P272:AV272" si="370">P246/(P238+P239)</f>
        <v>0</v>
      </c>
      <c r="Q272" s="25">
        <f t="shared" si="370"/>
        <v>2.1806820737741788</v>
      </c>
      <c r="R272" s="25">
        <f t="shared" si="370"/>
        <v>0.5619471503750979</v>
      </c>
      <c r="S272" s="25">
        <f t="shared" si="370"/>
        <v>0.69781826360773735</v>
      </c>
      <c r="T272" s="25">
        <f t="shared" si="370"/>
        <v>0.40124550157444899</v>
      </c>
      <c r="U272" s="25">
        <f t="shared" si="370"/>
        <v>0.32514954923607153</v>
      </c>
      <c r="V272" s="25">
        <f t="shared" si="370"/>
        <v>0.5075755594916781</v>
      </c>
      <c r="W272" s="25">
        <f t="shared" si="370"/>
        <v>0.53295433746626197</v>
      </c>
      <c r="X272" s="25">
        <f t="shared" si="370"/>
        <v>0.39432511583604579</v>
      </c>
      <c r="Y272" s="25">
        <f t="shared" si="370"/>
        <v>0.58758215705655381</v>
      </c>
      <c r="Z272" s="25">
        <f t="shared" si="370"/>
        <v>0.5993338001976849</v>
      </c>
      <c r="AA272" s="25">
        <f t="shared" si="370"/>
        <v>0.43076864304161316</v>
      </c>
      <c r="AB272" s="25">
        <f t="shared" si="370"/>
        <v>0.62354688572567141</v>
      </c>
      <c r="AC272" s="25">
        <f t="shared" si="370"/>
        <v>0.63601782344018487</v>
      </c>
      <c r="AD272" s="25">
        <f t="shared" si="370"/>
        <v>0.45713513014490426</v>
      </c>
      <c r="AE272" s="25">
        <f t="shared" si="370"/>
        <v>0.66171294350716825</v>
      </c>
      <c r="AF272" s="25">
        <f t="shared" si="370"/>
        <v>0.67494720237731176</v>
      </c>
      <c r="AG272" s="25">
        <f t="shared" si="370"/>
        <v>0.48511545719081356</v>
      </c>
      <c r="AH272" s="25">
        <f t="shared" si="370"/>
        <v>0.70221506935335509</v>
      </c>
      <c r="AI272" s="25">
        <f t="shared" si="370"/>
        <v>0.71625937074042245</v>
      </c>
      <c r="AJ272" s="25">
        <f t="shared" si="370"/>
        <v>0.51480840409454898</v>
      </c>
      <c r="AK272" s="25">
        <f t="shared" si="370"/>
        <v>0.74519624931833561</v>
      </c>
      <c r="AL272" s="25">
        <f t="shared" si="370"/>
        <v>0.76010017430470223</v>
      </c>
      <c r="AM272" s="25">
        <f t="shared" si="370"/>
        <v>0.54631879689236817</v>
      </c>
      <c r="AN272" s="25">
        <f t="shared" si="370"/>
        <v>0.79080822134661233</v>
      </c>
      <c r="AO272" s="25">
        <f t="shared" si="370"/>
        <v>0.80662438577354456</v>
      </c>
      <c r="AP272" s="25">
        <f t="shared" si="370"/>
        <v>0.57975787781255639</v>
      </c>
      <c r="AQ272" s="25">
        <f t="shared" si="370"/>
        <v>0.83921201095879583</v>
      </c>
      <c r="AR272" s="25">
        <f t="shared" si="370"/>
        <v>0.85599625117797162</v>
      </c>
      <c r="AS272" s="25">
        <f t="shared" si="370"/>
        <v>0.61524369799770739</v>
      </c>
      <c r="AT272" s="25">
        <f t="shared" si="370"/>
        <v>0.89057849972556191</v>
      </c>
      <c r="AU272" s="25">
        <f t="shared" si="370"/>
        <v>0.90839006972007308</v>
      </c>
      <c r="AV272" s="25">
        <f t="shared" si="370"/>
        <v>0.65290153426475117</v>
      </c>
      <c r="AW272" s="26"/>
      <c r="AX272" s="27"/>
    </row>
    <row r="273" spans="1:50" ht="12.75" hidden="1" customHeight="1" outlineLevel="1">
      <c r="A273" s="296"/>
      <c r="B273" s="28" t="s">
        <v>99</v>
      </c>
      <c r="C273" s="20" t="s">
        <v>102</v>
      </c>
      <c r="D273" s="20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>
        <f>O250/(O240+O241)</f>
        <v>0</v>
      </c>
      <c r="P273" s="25">
        <f t="shared" ref="P273:AV273" si="371">P250/(P240+P241)</f>
        <v>0</v>
      </c>
      <c r="Q273" s="25">
        <f t="shared" si="371"/>
        <v>1.4537880491827859</v>
      </c>
      <c r="R273" s="25">
        <f t="shared" si="371"/>
        <v>0.37463143358339857</v>
      </c>
      <c r="S273" s="25">
        <f t="shared" si="371"/>
        <v>0.4652121757384915</v>
      </c>
      <c r="T273" s="25">
        <f t="shared" si="371"/>
        <v>0.26749700104963264</v>
      </c>
      <c r="U273" s="25">
        <f t="shared" si="371"/>
        <v>0.21676636615738096</v>
      </c>
      <c r="V273" s="25">
        <f t="shared" si="371"/>
        <v>0.33838370632778531</v>
      </c>
      <c r="W273" s="25">
        <f t="shared" si="371"/>
        <v>0.35530289164417461</v>
      </c>
      <c r="X273" s="25">
        <f t="shared" si="371"/>
        <v>0.26288341055736381</v>
      </c>
      <c r="Y273" s="25">
        <f t="shared" si="371"/>
        <v>0.39172143803770249</v>
      </c>
      <c r="Z273" s="25">
        <f t="shared" si="371"/>
        <v>0.39955586679845662</v>
      </c>
      <c r="AA273" s="25">
        <f t="shared" si="371"/>
        <v>0.28717909536107539</v>
      </c>
      <c r="AB273" s="25">
        <f t="shared" si="371"/>
        <v>0.41569792381711423</v>
      </c>
      <c r="AC273" s="25">
        <f t="shared" si="371"/>
        <v>0.42401188229345649</v>
      </c>
      <c r="AD273" s="25">
        <f t="shared" si="371"/>
        <v>0.30475675342993608</v>
      </c>
      <c r="AE273" s="25">
        <f t="shared" si="371"/>
        <v>0.44114196233811215</v>
      </c>
      <c r="AF273" s="25">
        <f t="shared" si="371"/>
        <v>0.44996480158487445</v>
      </c>
      <c r="AG273" s="25">
        <f t="shared" si="371"/>
        <v>0.32341030479387567</v>
      </c>
      <c r="AH273" s="25">
        <f t="shared" si="371"/>
        <v>0.46814337956890339</v>
      </c>
      <c r="AI273" s="25">
        <f t="shared" si="371"/>
        <v>0.47750624716028151</v>
      </c>
      <c r="AJ273" s="25">
        <f t="shared" si="371"/>
        <v>0.3432056027296993</v>
      </c>
      <c r="AK273" s="25">
        <f t="shared" si="371"/>
        <v>0.49679749954555696</v>
      </c>
      <c r="AL273" s="25">
        <f t="shared" si="371"/>
        <v>0.50673344953646815</v>
      </c>
      <c r="AM273" s="25">
        <f t="shared" si="371"/>
        <v>0.36421253126157876</v>
      </c>
      <c r="AN273" s="25">
        <f t="shared" si="371"/>
        <v>0.52720548089774155</v>
      </c>
      <c r="AO273" s="25">
        <f t="shared" si="371"/>
        <v>0.53774959051569626</v>
      </c>
      <c r="AP273" s="25">
        <f t="shared" si="371"/>
        <v>0.38650525187503754</v>
      </c>
      <c r="AQ273" s="25">
        <f t="shared" si="371"/>
        <v>0.55947467397253048</v>
      </c>
      <c r="AR273" s="25">
        <f t="shared" si="371"/>
        <v>0.57066416745198112</v>
      </c>
      <c r="AS273" s="25">
        <f t="shared" si="371"/>
        <v>0.41016246533180484</v>
      </c>
      <c r="AT273" s="25">
        <f t="shared" si="371"/>
        <v>0.59371899981704113</v>
      </c>
      <c r="AU273" s="25">
        <f t="shared" si="371"/>
        <v>0.6055933798133819</v>
      </c>
      <c r="AV273" s="25">
        <f t="shared" si="371"/>
        <v>0.43526768950983402</v>
      </c>
      <c r="AW273" s="26"/>
      <c r="AX273" s="27"/>
    </row>
    <row r="274" spans="1:50" ht="12.75" hidden="1" customHeight="1" outlineLevel="1">
      <c r="A274" s="296"/>
      <c r="B274" s="33" t="s">
        <v>47</v>
      </c>
      <c r="C274" s="20" t="s">
        <v>102</v>
      </c>
      <c r="D274" s="20"/>
      <c r="E274" s="234"/>
      <c r="F274" s="234"/>
      <c r="G274" s="234"/>
      <c r="H274" s="234"/>
      <c r="I274" s="234"/>
      <c r="J274" s="234"/>
      <c r="K274" s="234"/>
      <c r="L274" s="234"/>
      <c r="M274" s="234"/>
      <c r="N274" s="234"/>
      <c r="O274" s="234"/>
      <c r="P274" s="234"/>
      <c r="Q274" s="234"/>
      <c r="R274" s="234"/>
      <c r="S274" s="234"/>
      <c r="T274" s="234"/>
      <c r="U274" s="234"/>
      <c r="V274" s="234"/>
      <c r="W274" s="234"/>
      <c r="X274" s="234"/>
      <c r="Y274" s="234"/>
      <c r="Z274" s="234"/>
      <c r="AA274" s="234"/>
      <c r="AB274" s="234"/>
      <c r="AC274" s="234"/>
      <c r="AD274" s="234"/>
      <c r="AE274" s="234"/>
      <c r="AF274" s="234"/>
      <c r="AG274" s="234"/>
      <c r="AH274" s="234"/>
      <c r="AI274" s="234"/>
      <c r="AJ274" s="234"/>
      <c r="AK274" s="234"/>
      <c r="AL274" s="234"/>
      <c r="AM274" s="234"/>
      <c r="AN274" s="234"/>
      <c r="AO274" s="234"/>
      <c r="AP274" s="234"/>
      <c r="AQ274" s="234"/>
      <c r="AR274" s="234"/>
      <c r="AS274" s="234"/>
      <c r="AT274" s="234"/>
      <c r="AU274" s="234"/>
      <c r="AV274" s="234"/>
      <c r="AW274" s="26"/>
      <c r="AX274" s="27"/>
    </row>
    <row r="275" spans="1:50" ht="12.75" hidden="1" customHeight="1" outlineLevel="1">
      <c r="A275" s="296"/>
      <c r="B275" s="33"/>
      <c r="C275" s="310"/>
      <c r="D275" s="310"/>
      <c r="E275" s="312"/>
      <c r="F275" s="312"/>
      <c r="G275" s="312"/>
      <c r="H275" s="312"/>
      <c r="I275" s="312"/>
      <c r="J275" s="312"/>
      <c r="K275" s="312"/>
      <c r="L275" s="312"/>
      <c r="M275" s="312"/>
      <c r="N275" s="312"/>
      <c r="O275" s="312"/>
      <c r="P275" s="312"/>
      <c r="Q275" s="312"/>
      <c r="R275" s="312"/>
      <c r="S275" s="312"/>
      <c r="T275" s="312"/>
      <c r="U275" s="312"/>
      <c r="V275" s="312"/>
      <c r="W275" s="312"/>
      <c r="X275" s="312"/>
      <c r="Y275" s="312"/>
      <c r="Z275" s="312"/>
      <c r="AA275" s="312"/>
      <c r="AB275" s="312"/>
      <c r="AC275" s="312"/>
      <c r="AD275" s="312"/>
      <c r="AE275" s="312"/>
      <c r="AF275" s="312"/>
      <c r="AG275" s="312"/>
      <c r="AH275" s="312"/>
      <c r="AI275" s="312"/>
      <c r="AJ275" s="312"/>
      <c r="AK275" s="312"/>
      <c r="AL275" s="312"/>
      <c r="AM275" s="312"/>
      <c r="AN275" s="312"/>
      <c r="AO275" s="312"/>
      <c r="AP275" s="312"/>
      <c r="AQ275" s="312"/>
      <c r="AR275" s="312"/>
      <c r="AS275" s="312"/>
      <c r="AT275" s="312"/>
      <c r="AU275" s="312"/>
      <c r="AV275" s="312"/>
      <c r="AW275" s="26"/>
      <c r="AX275" s="27"/>
    </row>
    <row r="276" spans="1:50" customFormat="1" collapsed="1">
      <c r="A276" s="382" t="s">
        <v>138</v>
      </c>
      <c r="B276" s="383" t="s">
        <v>389</v>
      </c>
      <c r="C276" s="146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  <c r="AA276" s="146"/>
      <c r="AB276" s="146"/>
      <c r="AC276" s="146"/>
      <c r="AD276" s="146"/>
      <c r="AE276" s="146"/>
      <c r="AF276" s="146"/>
      <c r="AG276" s="146"/>
      <c r="AH276" s="146"/>
      <c r="AI276" s="146"/>
      <c r="AJ276" s="146"/>
      <c r="AK276" s="146"/>
      <c r="AL276" s="146"/>
      <c r="AM276" s="146"/>
      <c r="AN276" s="146"/>
      <c r="AO276" s="146"/>
      <c r="AP276" s="146"/>
      <c r="AQ276" s="146"/>
      <c r="AR276" s="146"/>
      <c r="AS276" s="146"/>
      <c r="AT276" s="146"/>
      <c r="AU276" s="146"/>
      <c r="AV276" s="146"/>
      <c r="AW276" s="380"/>
      <c r="AX276" s="14"/>
    </row>
    <row r="277" spans="1:50" ht="12.75" hidden="1" customHeight="1" outlineLevel="1">
      <c r="A277" s="296"/>
      <c r="B277" s="13"/>
      <c r="C277" s="23"/>
      <c r="D277" s="38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6"/>
      <c r="AX277" s="27"/>
    </row>
    <row r="278" spans="1:50" ht="12.75" hidden="1" customHeight="1" outlineLevel="1">
      <c r="A278" s="296"/>
      <c r="B278" s="13" t="s">
        <v>156</v>
      </c>
      <c r="C278" s="23"/>
      <c r="D278" s="38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6"/>
      <c r="AX278" s="27"/>
    </row>
    <row r="279" spans="1:50" ht="12.75" hidden="1" customHeight="1" outlineLevel="1">
      <c r="A279" s="296"/>
      <c r="B279" s="28" t="s">
        <v>328</v>
      </c>
      <c r="C279" s="23" t="s">
        <v>100</v>
      </c>
      <c r="D279" s="384"/>
      <c r="E279" s="24" t="e">
        <f t="shared" ref="E279" si="372">#REF!</f>
        <v>#REF!</v>
      </c>
      <c r="F279" s="24" t="e">
        <f t="shared" ref="F279" si="373">#REF!</f>
        <v>#REF!</v>
      </c>
      <c r="G279" s="24" t="e">
        <f t="shared" ref="G279" si="374">#REF!</f>
        <v>#REF!</v>
      </c>
      <c r="H279" s="24" t="e">
        <f t="shared" ref="H279" si="375">#REF!</f>
        <v>#REF!</v>
      </c>
      <c r="I279" s="24" t="e">
        <f t="shared" ref="I279" si="376">#REF!</f>
        <v>#REF!</v>
      </c>
      <c r="J279" s="24" t="e">
        <f t="shared" ref="J279" si="377">#REF!</f>
        <v>#REF!</v>
      </c>
      <c r="K279" s="24">
        <f t="shared" ref="K279:M279" si="378">K80</f>
        <v>580.36621500000001</v>
      </c>
      <c r="L279" s="24">
        <f t="shared" si="378"/>
        <v>117.62088624</v>
      </c>
      <c r="M279" s="24">
        <f t="shared" si="378"/>
        <v>117.62088624</v>
      </c>
      <c r="N279" s="24">
        <f>N80</f>
        <v>825.33905935890425</v>
      </c>
      <c r="O279" s="24">
        <f t="shared" ref="O279:AV279" si="379">O80</f>
        <v>128.89960135890411</v>
      </c>
      <c r="P279" s="24">
        <f t="shared" si="379"/>
        <v>128.89960135890411</v>
      </c>
      <c r="Q279" s="24">
        <f t="shared" si="379"/>
        <v>825.33905935890425</v>
      </c>
      <c r="R279" s="24">
        <f t="shared" si="379"/>
        <v>830.79821188356152</v>
      </c>
      <c r="S279" s="24">
        <f t="shared" si="379"/>
        <v>1661.596423767123</v>
      </c>
      <c r="T279" s="24">
        <f t="shared" si="379"/>
        <v>2358.0358817671231</v>
      </c>
      <c r="U279" s="24">
        <f t="shared" si="379"/>
        <v>1661.596423767123</v>
      </c>
      <c r="V279" s="24">
        <f t="shared" si="379"/>
        <v>1661.596423767123</v>
      </c>
      <c r="W279" s="24">
        <f t="shared" si="379"/>
        <v>2358.0358817671231</v>
      </c>
      <c r="X279" s="24">
        <f t="shared" si="379"/>
        <v>1661.596423767123</v>
      </c>
      <c r="Y279" s="24">
        <f t="shared" si="379"/>
        <v>1661.596423767123</v>
      </c>
      <c r="Z279" s="24">
        <f t="shared" si="379"/>
        <v>2358.0358817671231</v>
      </c>
      <c r="AA279" s="24">
        <f t="shared" si="379"/>
        <v>1661.596423767123</v>
      </c>
      <c r="AB279" s="24">
        <f t="shared" si="379"/>
        <v>1661.596423767123</v>
      </c>
      <c r="AC279" s="24">
        <f t="shared" si="379"/>
        <v>2358.0358817671231</v>
      </c>
      <c r="AD279" s="24">
        <f t="shared" si="379"/>
        <v>1661.596423767123</v>
      </c>
      <c r="AE279" s="24">
        <f t="shared" si="379"/>
        <v>1661.596423767123</v>
      </c>
      <c r="AF279" s="24">
        <f t="shared" si="379"/>
        <v>2358.0358817671231</v>
      </c>
      <c r="AG279" s="24">
        <f t="shared" si="379"/>
        <v>1661.596423767123</v>
      </c>
      <c r="AH279" s="24">
        <f t="shared" si="379"/>
        <v>1661.596423767123</v>
      </c>
      <c r="AI279" s="24">
        <f t="shared" si="379"/>
        <v>2358.0358817671231</v>
      </c>
      <c r="AJ279" s="24">
        <f t="shared" si="379"/>
        <v>1661.596423767123</v>
      </c>
      <c r="AK279" s="24">
        <f t="shared" si="379"/>
        <v>1661.596423767123</v>
      </c>
      <c r="AL279" s="24">
        <f t="shared" si="379"/>
        <v>2358.0358817671231</v>
      </c>
      <c r="AM279" s="24">
        <f t="shared" si="379"/>
        <v>1661.596423767123</v>
      </c>
      <c r="AN279" s="24">
        <f t="shared" si="379"/>
        <v>1661.596423767123</v>
      </c>
      <c r="AO279" s="24">
        <f t="shared" si="379"/>
        <v>2358.0358817671231</v>
      </c>
      <c r="AP279" s="24">
        <f t="shared" si="379"/>
        <v>1661.596423767123</v>
      </c>
      <c r="AQ279" s="24">
        <f t="shared" si="379"/>
        <v>1661.596423767123</v>
      </c>
      <c r="AR279" s="24">
        <f t="shared" si="379"/>
        <v>2358.0358817671231</v>
      </c>
      <c r="AS279" s="24">
        <f t="shared" si="379"/>
        <v>1661.596423767123</v>
      </c>
      <c r="AT279" s="24">
        <f t="shared" si="379"/>
        <v>1661.596423767123</v>
      </c>
      <c r="AU279" s="24">
        <f t="shared" si="379"/>
        <v>2358.0358817671231</v>
      </c>
      <c r="AV279" s="24">
        <f t="shared" si="379"/>
        <v>1661.596423767123</v>
      </c>
      <c r="AW279" s="26"/>
      <c r="AX279" s="27"/>
    </row>
    <row r="280" spans="1:50" ht="12.75" hidden="1" customHeight="1" outlineLevel="1">
      <c r="A280" s="296"/>
      <c r="B280" s="28" t="s">
        <v>329</v>
      </c>
      <c r="C280" s="23" t="s">
        <v>100</v>
      </c>
      <c r="D280" s="384"/>
      <c r="E280" s="24" t="e">
        <f t="shared" ref="E280" si="380">#REF!</f>
        <v>#REF!</v>
      </c>
      <c r="F280" s="24" t="e">
        <f t="shared" ref="F280" si="381">#REF!</f>
        <v>#REF!</v>
      </c>
      <c r="G280" s="24" t="e">
        <f t="shared" ref="G280" si="382">#REF!</f>
        <v>#REF!</v>
      </c>
      <c r="H280" s="24" t="e">
        <f t="shared" ref="H280" si="383">#REF!</f>
        <v>#REF!</v>
      </c>
      <c r="I280" s="24" t="e">
        <f t="shared" ref="I280" si="384">#REF!</f>
        <v>#REF!</v>
      </c>
      <c r="J280" s="24" t="e">
        <f t="shared" ref="J280" si="385">#REF!</f>
        <v>#REF!</v>
      </c>
      <c r="K280" s="24">
        <f t="shared" ref="K280:M280" si="386">K90</f>
        <v>116.07324300000001</v>
      </c>
      <c r="L280" s="24">
        <f t="shared" si="386"/>
        <v>23.524177248000001</v>
      </c>
      <c r="M280" s="24">
        <f t="shared" si="386"/>
        <v>23.524177248000001</v>
      </c>
      <c r="N280" s="24">
        <f>N90</f>
        <v>165.06781187178086</v>
      </c>
      <c r="O280" s="24">
        <f t="shared" ref="O280:AV280" si="387">O90</f>
        <v>25.779920271780824</v>
      </c>
      <c r="P280" s="24">
        <f t="shared" si="387"/>
        <v>25.779920271780824</v>
      </c>
      <c r="Q280" s="24">
        <f t="shared" si="387"/>
        <v>165.06781187178086</v>
      </c>
      <c r="R280" s="24">
        <f t="shared" si="387"/>
        <v>166.15964237671233</v>
      </c>
      <c r="S280" s="24">
        <f t="shared" si="387"/>
        <v>332.31928475342465</v>
      </c>
      <c r="T280" s="24">
        <f t="shared" si="387"/>
        <v>471.60717635342462</v>
      </c>
      <c r="U280" s="24">
        <f t="shared" si="387"/>
        <v>332.31928475342465</v>
      </c>
      <c r="V280" s="24">
        <f t="shared" si="387"/>
        <v>332.31928475342465</v>
      </c>
      <c r="W280" s="24">
        <f t="shared" si="387"/>
        <v>471.60717635342462</v>
      </c>
      <c r="X280" s="24">
        <f t="shared" si="387"/>
        <v>332.31928475342465</v>
      </c>
      <c r="Y280" s="24">
        <f t="shared" si="387"/>
        <v>332.31928475342465</v>
      </c>
      <c r="Z280" s="24">
        <f t="shared" si="387"/>
        <v>471.60717635342462</v>
      </c>
      <c r="AA280" s="24">
        <f t="shared" si="387"/>
        <v>332.31928475342465</v>
      </c>
      <c r="AB280" s="24">
        <f t="shared" si="387"/>
        <v>332.31928475342465</v>
      </c>
      <c r="AC280" s="24">
        <f t="shared" si="387"/>
        <v>471.60717635342462</v>
      </c>
      <c r="AD280" s="24">
        <f t="shared" si="387"/>
        <v>332.31928475342465</v>
      </c>
      <c r="AE280" s="24">
        <f t="shared" si="387"/>
        <v>332.31928475342465</v>
      </c>
      <c r="AF280" s="24">
        <f t="shared" si="387"/>
        <v>471.60717635342462</v>
      </c>
      <c r="AG280" s="24">
        <f t="shared" si="387"/>
        <v>332.31928475342465</v>
      </c>
      <c r="AH280" s="24">
        <f t="shared" si="387"/>
        <v>332.31928475342465</v>
      </c>
      <c r="AI280" s="24">
        <f t="shared" si="387"/>
        <v>471.60717635342462</v>
      </c>
      <c r="AJ280" s="24">
        <f t="shared" si="387"/>
        <v>332.31928475342465</v>
      </c>
      <c r="AK280" s="24">
        <f t="shared" si="387"/>
        <v>332.31928475342465</v>
      </c>
      <c r="AL280" s="24">
        <f t="shared" si="387"/>
        <v>471.60717635342462</v>
      </c>
      <c r="AM280" s="24">
        <f t="shared" si="387"/>
        <v>332.31928475342465</v>
      </c>
      <c r="AN280" s="24">
        <f t="shared" si="387"/>
        <v>332.31928475342465</v>
      </c>
      <c r="AO280" s="24">
        <f t="shared" si="387"/>
        <v>471.60717635342462</v>
      </c>
      <c r="AP280" s="24">
        <f t="shared" si="387"/>
        <v>332.31928475342465</v>
      </c>
      <c r="AQ280" s="24">
        <f t="shared" si="387"/>
        <v>332.31928475342465</v>
      </c>
      <c r="AR280" s="24">
        <f t="shared" si="387"/>
        <v>471.60717635342462</v>
      </c>
      <c r="AS280" s="24">
        <f t="shared" si="387"/>
        <v>332.31928475342465</v>
      </c>
      <c r="AT280" s="24">
        <f t="shared" si="387"/>
        <v>332.31928475342465</v>
      </c>
      <c r="AU280" s="24">
        <f t="shared" si="387"/>
        <v>471.60717635342462</v>
      </c>
      <c r="AV280" s="24">
        <f t="shared" si="387"/>
        <v>332.31928475342465</v>
      </c>
      <c r="AW280" s="26"/>
      <c r="AX280" s="27"/>
    </row>
    <row r="281" spans="1:50" ht="12.75" hidden="1" customHeight="1" outlineLevel="1">
      <c r="A281" s="296"/>
      <c r="B281" s="28" t="s">
        <v>330</v>
      </c>
      <c r="C281" s="23" t="s">
        <v>100</v>
      </c>
      <c r="D281" s="384"/>
      <c r="E281" s="24"/>
      <c r="F281" s="24" t="e">
        <f t="shared" ref="F281:AV281" si="388">SUM(F279)-F284</f>
        <v>#REF!</v>
      </c>
      <c r="G281" s="24" t="e">
        <f t="shared" si="388"/>
        <v>#REF!</v>
      </c>
      <c r="H281" s="24" t="e">
        <f t="shared" si="388"/>
        <v>#REF!</v>
      </c>
      <c r="I281" s="24" t="e">
        <f t="shared" si="388"/>
        <v>#REF!</v>
      </c>
      <c r="J281" s="24" t="e">
        <f t="shared" si="388"/>
        <v>#REF!</v>
      </c>
      <c r="K281" s="24">
        <f t="shared" si="388"/>
        <v>580.36621500000001</v>
      </c>
      <c r="L281" s="24">
        <f t="shared" si="388"/>
        <v>117.62088624</v>
      </c>
      <c r="M281" s="24">
        <f t="shared" si="388"/>
        <v>117.62088624</v>
      </c>
      <c r="N281" s="24">
        <f t="shared" si="388"/>
        <v>825.33905935890425</v>
      </c>
      <c r="O281" s="24">
        <f t="shared" si="388"/>
        <v>128.89960135890411</v>
      </c>
      <c r="P281" s="24">
        <f t="shared" si="388"/>
        <v>128.89960135890411</v>
      </c>
      <c r="Q281" s="24">
        <f>SUM(Q279)-Q284</f>
        <v>544.25000935890421</v>
      </c>
      <c r="R281" s="24">
        <f t="shared" si="388"/>
        <v>367.0012793835615</v>
      </c>
      <c r="S281" s="24">
        <f t="shared" si="388"/>
        <v>1081.850258142123</v>
      </c>
      <c r="T281" s="24">
        <f t="shared" si="388"/>
        <v>1691.3277912983731</v>
      </c>
      <c r="U281" s="24">
        <f t="shared" si="388"/>
        <v>894.8821197280605</v>
      </c>
      <c r="V281" s="24">
        <f t="shared" si="388"/>
        <v>818.21068932415415</v>
      </c>
      <c r="W281" s="24">
        <f t="shared" si="388"/>
        <v>1472.4808606020058</v>
      </c>
      <c r="X281" s="24">
        <f t="shared" si="388"/>
        <v>731.7636515437498</v>
      </c>
      <c r="Y281" s="24">
        <f t="shared" si="388"/>
        <v>685.27201293258122</v>
      </c>
      <c r="Z281" s="24">
        <f t="shared" si="388"/>
        <v>1362.1849827158903</v>
      </c>
      <c r="AA281" s="24">
        <f t="shared" si="388"/>
        <v>645.82850673486564</v>
      </c>
      <c r="AB281" s="24">
        <f t="shared" si="388"/>
        <v>625.51314839422048</v>
      </c>
      <c r="AC281" s="24">
        <f t="shared" si="388"/>
        <v>1301.2309408867625</v>
      </c>
      <c r="AD281" s="24">
        <f t="shared" si="388"/>
        <v>583.65538406915516</v>
      </c>
      <c r="AE281" s="24">
        <f t="shared" si="388"/>
        <v>562.09656327519588</v>
      </c>
      <c r="AF281" s="24">
        <f t="shared" si="388"/>
        <v>1236.5460240653572</v>
      </c>
      <c r="AG281" s="24">
        <f t="shared" si="388"/>
        <v>517.67676891132191</v>
      </c>
      <c r="AH281" s="24">
        <f t="shared" si="388"/>
        <v>494.79837581420588</v>
      </c>
      <c r="AI281" s="24">
        <f t="shared" si="388"/>
        <v>1167.9018728551473</v>
      </c>
      <c r="AJ281" s="24">
        <f t="shared" si="388"/>
        <v>447.65973467690787</v>
      </c>
      <c r="AK281" s="24">
        <f t="shared" si="388"/>
        <v>423.38100089510317</v>
      </c>
      <c r="AL281" s="24">
        <f t="shared" si="388"/>
        <v>1095.0561504376631</v>
      </c>
      <c r="AM281" s="24">
        <f t="shared" si="388"/>
        <v>373.3570978110738</v>
      </c>
      <c r="AN281" s="24">
        <f t="shared" si="388"/>
        <v>347.59231129195246</v>
      </c>
      <c r="AO281" s="24">
        <f t="shared" si="388"/>
        <v>1017.7516870424492</v>
      </c>
      <c r="AP281" s="24">
        <f t="shared" si="388"/>
        <v>294.50654514795565</v>
      </c>
      <c r="AQ281" s="24">
        <f t="shared" si="388"/>
        <v>267.16474757557216</v>
      </c>
      <c r="AR281" s="24">
        <f t="shared" si="388"/>
        <v>935.71557205174145</v>
      </c>
      <c r="AS281" s="24">
        <f t="shared" si="388"/>
        <v>210.8297078574335</v>
      </c>
      <c r="AT281" s="24">
        <f t="shared" si="388"/>
        <v>181.81437353923957</v>
      </c>
      <c r="AU281" s="24">
        <f t="shared" si="388"/>
        <v>848.65819053468203</v>
      </c>
      <c r="AV281" s="24">
        <f t="shared" si="388"/>
        <v>122.03117871003292</v>
      </c>
      <c r="AW281" s="26"/>
      <c r="AX281" s="27"/>
    </row>
    <row r="282" spans="1:50" ht="12.75" hidden="1" customHeight="1" outlineLevel="1">
      <c r="A282" s="296"/>
      <c r="B282" s="28" t="s">
        <v>331</v>
      </c>
      <c r="C282" s="23" t="s">
        <v>100</v>
      </c>
      <c r="D282" s="384"/>
      <c r="E282" s="24"/>
      <c r="F282" s="24" t="e">
        <f t="shared" ref="F282:AV282" si="389">SUM(F280)-F287</f>
        <v>#REF!</v>
      </c>
      <c r="G282" s="24" t="e">
        <f t="shared" si="389"/>
        <v>#REF!</v>
      </c>
      <c r="H282" s="24" t="e">
        <f t="shared" si="389"/>
        <v>#REF!</v>
      </c>
      <c r="I282" s="24" t="e">
        <f t="shared" si="389"/>
        <v>#REF!</v>
      </c>
      <c r="J282" s="24" t="e">
        <f t="shared" si="389"/>
        <v>#REF!</v>
      </c>
      <c r="K282" s="24">
        <f t="shared" si="389"/>
        <v>116.07324300000001</v>
      </c>
      <c r="L282" s="24">
        <f t="shared" si="389"/>
        <v>23.524177248000001</v>
      </c>
      <c r="M282" s="24">
        <f t="shared" si="389"/>
        <v>23.524177248000001</v>
      </c>
      <c r="N282" s="24">
        <f t="shared" si="389"/>
        <v>165.06781187178086</v>
      </c>
      <c r="O282" s="24">
        <f t="shared" si="389"/>
        <v>25.779920271780824</v>
      </c>
      <c r="P282" s="24">
        <f t="shared" si="389"/>
        <v>25.779920271780824</v>
      </c>
      <c r="Q282" s="24">
        <f t="shared" si="389"/>
        <v>127.58927187178085</v>
      </c>
      <c r="R282" s="24">
        <f t="shared" si="389"/>
        <v>104.32005137671233</v>
      </c>
      <c r="S282" s="24">
        <f t="shared" si="389"/>
        <v>255.01979600342466</v>
      </c>
      <c r="T282" s="24">
        <f t="shared" si="389"/>
        <v>382.71276429092461</v>
      </c>
      <c r="U282" s="24">
        <f t="shared" si="389"/>
        <v>230.09071088154965</v>
      </c>
      <c r="V282" s="24">
        <f t="shared" si="389"/>
        <v>219.86785349436212</v>
      </c>
      <c r="W282" s="24">
        <f t="shared" si="389"/>
        <v>353.53317353140898</v>
      </c>
      <c r="X282" s="24">
        <f t="shared" si="389"/>
        <v>208.34158179030823</v>
      </c>
      <c r="Y282" s="24">
        <f t="shared" si="389"/>
        <v>202.1426966421524</v>
      </c>
      <c r="Z282" s="24">
        <f t="shared" si="389"/>
        <v>338.82705647992691</v>
      </c>
      <c r="AA282" s="24">
        <f t="shared" si="389"/>
        <v>196.88356248245699</v>
      </c>
      <c r="AB282" s="24">
        <f t="shared" si="389"/>
        <v>194.17484803703763</v>
      </c>
      <c r="AC282" s="24">
        <f t="shared" si="389"/>
        <v>330.69985090270984</v>
      </c>
      <c r="AD282" s="24">
        <f t="shared" si="389"/>
        <v>188.59381279369561</v>
      </c>
      <c r="AE282" s="24">
        <f t="shared" si="389"/>
        <v>185.71930335450102</v>
      </c>
      <c r="AF282" s="24">
        <f t="shared" si="389"/>
        <v>322.07519532652248</v>
      </c>
      <c r="AG282" s="24">
        <f t="shared" si="389"/>
        <v>179.79666410598449</v>
      </c>
      <c r="AH282" s="24">
        <f t="shared" si="389"/>
        <v>176.74621169303569</v>
      </c>
      <c r="AI282" s="24">
        <f t="shared" si="389"/>
        <v>312.92264183182783</v>
      </c>
      <c r="AJ282" s="24">
        <f t="shared" si="389"/>
        <v>170.46105954139594</v>
      </c>
      <c r="AK282" s="24">
        <f t="shared" si="389"/>
        <v>167.22389503715536</v>
      </c>
      <c r="AL282" s="24">
        <f t="shared" si="389"/>
        <v>303.20987884282994</v>
      </c>
      <c r="AM282" s="24">
        <f t="shared" si="389"/>
        <v>160.55404129261805</v>
      </c>
      <c r="AN282" s="24">
        <f t="shared" si="389"/>
        <v>157.11873642340191</v>
      </c>
      <c r="AO282" s="24">
        <f t="shared" si="389"/>
        <v>292.90261705680143</v>
      </c>
      <c r="AP282" s="24">
        <f t="shared" si="389"/>
        <v>150.04063427086899</v>
      </c>
      <c r="AQ282" s="24">
        <f t="shared" si="389"/>
        <v>146.39506126121788</v>
      </c>
      <c r="AR282" s="24">
        <f t="shared" si="389"/>
        <v>281.96446839137371</v>
      </c>
      <c r="AS282" s="24">
        <f t="shared" si="389"/>
        <v>138.8837226321327</v>
      </c>
      <c r="AT282" s="24">
        <f t="shared" si="389"/>
        <v>135.01501138970687</v>
      </c>
      <c r="AU282" s="24">
        <f t="shared" si="389"/>
        <v>270.35681752243249</v>
      </c>
      <c r="AV282" s="24">
        <f t="shared" si="389"/>
        <v>127.04391874581265</v>
      </c>
      <c r="AW282" s="26"/>
      <c r="AX282" s="27"/>
    </row>
    <row r="283" spans="1:50" ht="12.75" hidden="1" customHeight="1" outlineLevel="1">
      <c r="A283" s="296"/>
      <c r="B283" s="32"/>
      <c r="C283" s="23"/>
      <c r="D283" s="38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6"/>
      <c r="AX283" s="27"/>
    </row>
    <row r="284" spans="1:50" ht="12.75" hidden="1" customHeight="1" outlineLevel="1">
      <c r="A284" s="296"/>
      <c r="B284" s="32" t="s">
        <v>387</v>
      </c>
      <c r="C284" s="23" t="s">
        <v>100</v>
      </c>
      <c r="D284" s="384"/>
      <c r="E284" s="24"/>
      <c r="F284" s="24" t="e">
        <f t="shared" ref="F284" si="390">#REF!</f>
        <v>#REF!</v>
      </c>
      <c r="G284" s="24" t="e">
        <f t="shared" ref="G284" si="391">#REF!</f>
        <v>#REF!</v>
      </c>
      <c r="H284" s="24" t="e">
        <f t="shared" ref="H284" si="392">#REF!</f>
        <v>#REF!</v>
      </c>
      <c r="I284" s="24" t="e">
        <f t="shared" ref="I284" si="393">#REF!</f>
        <v>#REF!</v>
      </c>
      <c r="J284" s="24" t="e">
        <f t="shared" ref="J284" si="394">#REF!</f>
        <v>#REF!</v>
      </c>
      <c r="K284" s="24"/>
      <c r="L284" s="24">
        <f t="shared" ref="L284:P284" si="395">L246</f>
        <v>0</v>
      </c>
      <c r="M284" s="24">
        <f t="shared" si="395"/>
        <v>0</v>
      </c>
      <c r="N284" s="24">
        <f t="shared" si="395"/>
        <v>0</v>
      </c>
      <c r="O284" s="24">
        <f t="shared" si="395"/>
        <v>0</v>
      </c>
      <c r="P284" s="24">
        <f t="shared" si="395"/>
        <v>0</v>
      </c>
      <c r="Q284" s="24">
        <f>Q246</f>
        <v>281.08904999999999</v>
      </c>
      <c r="R284" s="24">
        <f t="shared" ref="R284:AV284" si="396">R246</f>
        <v>463.79693250000003</v>
      </c>
      <c r="S284" s="24">
        <f t="shared" si="396"/>
        <v>579.746165625</v>
      </c>
      <c r="T284" s="24">
        <f t="shared" si="396"/>
        <v>666.70809046875002</v>
      </c>
      <c r="U284" s="24">
        <f t="shared" si="396"/>
        <v>766.71430403906254</v>
      </c>
      <c r="V284" s="24">
        <f t="shared" si="396"/>
        <v>843.3857344429689</v>
      </c>
      <c r="W284" s="24">
        <f t="shared" si="396"/>
        <v>885.5550211651173</v>
      </c>
      <c r="X284" s="24">
        <f t="shared" si="396"/>
        <v>929.83277222337324</v>
      </c>
      <c r="Y284" s="24">
        <f t="shared" si="396"/>
        <v>976.32441083454182</v>
      </c>
      <c r="Z284" s="24">
        <f t="shared" si="396"/>
        <v>995.85089905123277</v>
      </c>
      <c r="AA284" s="24">
        <f t="shared" si="396"/>
        <v>1015.7679170322574</v>
      </c>
      <c r="AB284" s="24">
        <f t="shared" si="396"/>
        <v>1036.0832753729026</v>
      </c>
      <c r="AC284" s="24">
        <f t="shared" si="396"/>
        <v>1056.8049408803606</v>
      </c>
      <c r="AD284" s="24">
        <f t="shared" si="396"/>
        <v>1077.9410396979679</v>
      </c>
      <c r="AE284" s="24">
        <f t="shared" si="396"/>
        <v>1099.4998604919272</v>
      </c>
      <c r="AF284" s="24">
        <f t="shared" si="396"/>
        <v>1121.4898577017659</v>
      </c>
      <c r="AG284" s="24">
        <f t="shared" si="396"/>
        <v>1143.9196548558011</v>
      </c>
      <c r="AH284" s="24">
        <f t="shared" si="396"/>
        <v>1166.7980479529172</v>
      </c>
      <c r="AI284" s="24">
        <f t="shared" si="396"/>
        <v>1190.1340089119758</v>
      </c>
      <c r="AJ284" s="24">
        <f t="shared" si="396"/>
        <v>1213.9366890902152</v>
      </c>
      <c r="AK284" s="24">
        <f t="shared" si="396"/>
        <v>1238.2154228720199</v>
      </c>
      <c r="AL284" s="24">
        <f t="shared" si="396"/>
        <v>1262.97973132946</v>
      </c>
      <c r="AM284" s="24">
        <f t="shared" si="396"/>
        <v>1288.2393259560492</v>
      </c>
      <c r="AN284" s="24">
        <f t="shared" si="396"/>
        <v>1314.0041124751706</v>
      </c>
      <c r="AO284" s="24">
        <f t="shared" si="396"/>
        <v>1340.2841947246739</v>
      </c>
      <c r="AP284" s="24">
        <f t="shared" si="396"/>
        <v>1367.0898786191674</v>
      </c>
      <c r="AQ284" s="24">
        <f t="shared" si="396"/>
        <v>1394.4316761915509</v>
      </c>
      <c r="AR284" s="24">
        <f t="shared" si="396"/>
        <v>1422.3203097153817</v>
      </c>
      <c r="AS284" s="24">
        <f t="shared" si="396"/>
        <v>1450.7667159096895</v>
      </c>
      <c r="AT284" s="24">
        <f t="shared" si="396"/>
        <v>1479.7820502278835</v>
      </c>
      <c r="AU284" s="24">
        <f t="shared" si="396"/>
        <v>1509.3776912324411</v>
      </c>
      <c r="AV284" s="24">
        <f t="shared" si="396"/>
        <v>1539.5652450570901</v>
      </c>
      <c r="AW284" s="26"/>
      <c r="AX284" s="27"/>
    </row>
    <row r="285" spans="1:50" ht="12.75" hidden="1" customHeight="1" outlineLevel="1">
      <c r="A285" s="296"/>
      <c r="B285" s="32" t="s">
        <v>387</v>
      </c>
      <c r="C285" s="23" t="s">
        <v>115</v>
      </c>
      <c r="D285" s="384"/>
      <c r="E285" s="24"/>
      <c r="F285" s="188" t="e">
        <f t="shared" ref="F285:Q285" si="397">F284*lbs_grams</f>
        <v>#REF!</v>
      </c>
      <c r="G285" s="188" t="e">
        <f t="shared" si="397"/>
        <v>#REF!</v>
      </c>
      <c r="H285" s="188" t="e">
        <f t="shared" si="397"/>
        <v>#REF!</v>
      </c>
      <c r="I285" s="188" t="e">
        <f t="shared" si="397"/>
        <v>#REF!</v>
      </c>
      <c r="J285" s="188" t="e">
        <f t="shared" si="397"/>
        <v>#REF!</v>
      </c>
      <c r="K285" s="188">
        <f t="shared" si="397"/>
        <v>0</v>
      </c>
      <c r="L285" s="188">
        <f t="shared" ref="L285:P285" si="398">L284*lbs_grams</f>
        <v>0</v>
      </c>
      <c r="M285" s="188">
        <f t="shared" si="398"/>
        <v>0</v>
      </c>
      <c r="N285" s="188">
        <f t="shared" si="398"/>
        <v>0</v>
      </c>
      <c r="O285" s="188">
        <f t="shared" si="398"/>
        <v>0</v>
      </c>
      <c r="P285" s="188">
        <f t="shared" si="398"/>
        <v>0</v>
      </c>
      <c r="Q285" s="188">
        <f t="shared" si="397"/>
        <v>127499.74436759998</v>
      </c>
      <c r="R285" s="188">
        <f t="shared" ref="R285:AV285" si="399">R284*lbs_grams</f>
        <v>210374.57820654</v>
      </c>
      <c r="S285" s="188">
        <f t="shared" si="399"/>
        <v>262968.22275817499</v>
      </c>
      <c r="T285" s="188">
        <f t="shared" si="399"/>
        <v>302413.45617190126</v>
      </c>
      <c r="U285" s="188">
        <f t="shared" si="399"/>
        <v>347775.47459768644</v>
      </c>
      <c r="V285" s="188">
        <f t="shared" si="399"/>
        <v>382553.02205745515</v>
      </c>
      <c r="W285" s="188">
        <f t="shared" si="399"/>
        <v>401680.67316032789</v>
      </c>
      <c r="X285" s="188">
        <f t="shared" si="399"/>
        <v>421764.7068183443</v>
      </c>
      <c r="Y285" s="188">
        <f t="shared" si="399"/>
        <v>442852.9421592615</v>
      </c>
      <c r="Z285" s="188">
        <f t="shared" si="399"/>
        <v>451710.00100244675</v>
      </c>
      <c r="AA285" s="188">
        <f t="shared" si="399"/>
        <v>460744.20102249569</v>
      </c>
      <c r="AB285" s="188">
        <f t="shared" si="399"/>
        <v>469959.08504294557</v>
      </c>
      <c r="AC285" s="188">
        <f t="shared" si="399"/>
        <v>479358.2667438045</v>
      </c>
      <c r="AD285" s="188">
        <f t="shared" si="399"/>
        <v>488945.43207868061</v>
      </c>
      <c r="AE285" s="188">
        <f t="shared" si="399"/>
        <v>498724.34072025423</v>
      </c>
      <c r="AF285" s="188">
        <f t="shared" si="399"/>
        <v>508698.82753465936</v>
      </c>
      <c r="AG285" s="188">
        <f t="shared" si="399"/>
        <v>518872.80408535252</v>
      </c>
      <c r="AH285" s="188">
        <f t="shared" si="399"/>
        <v>529250.26016705961</v>
      </c>
      <c r="AI285" s="188">
        <f t="shared" si="399"/>
        <v>539835.26537040086</v>
      </c>
      <c r="AJ285" s="188">
        <f t="shared" si="399"/>
        <v>550631.97067780886</v>
      </c>
      <c r="AK285" s="188">
        <f t="shared" si="399"/>
        <v>561644.61009136518</v>
      </c>
      <c r="AL285" s="188">
        <f t="shared" si="399"/>
        <v>572877.50229319243</v>
      </c>
      <c r="AM285" s="188">
        <f t="shared" si="399"/>
        <v>584335.05233905627</v>
      </c>
      <c r="AN285" s="188">
        <f t="shared" si="399"/>
        <v>596021.75338583754</v>
      </c>
      <c r="AO285" s="188">
        <f t="shared" si="399"/>
        <v>607942.18845355429</v>
      </c>
      <c r="AP285" s="188">
        <f t="shared" si="399"/>
        <v>620101.03222262533</v>
      </c>
      <c r="AQ285" s="188">
        <f t="shared" si="399"/>
        <v>632503.05286707787</v>
      </c>
      <c r="AR285" s="188">
        <f t="shared" si="399"/>
        <v>645153.11392441939</v>
      </c>
      <c r="AS285" s="188">
        <f t="shared" si="399"/>
        <v>658056.17620290793</v>
      </c>
      <c r="AT285" s="188">
        <f t="shared" si="399"/>
        <v>671217.29972696607</v>
      </c>
      <c r="AU285" s="188">
        <f t="shared" si="399"/>
        <v>684641.6457215054</v>
      </c>
      <c r="AV285" s="188">
        <f t="shared" si="399"/>
        <v>698334.47863593558</v>
      </c>
      <c r="AW285" s="26"/>
      <c r="AX285" s="27"/>
    </row>
    <row r="286" spans="1:50" ht="12.75" hidden="1" customHeight="1" outlineLevel="1">
      <c r="A286" s="296"/>
      <c r="B286" s="32"/>
      <c r="C286" s="23"/>
      <c r="D286" s="38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6"/>
      <c r="AX286" s="27"/>
    </row>
    <row r="287" spans="1:50" ht="12.75" hidden="1" customHeight="1" outlineLevel="1">
      <c r="A287" s="296"/>
      <c r="B287" s="32" t="s">
        <v>388</v>
      </c>
      <c r="C287" s="23" t="s">
        <v>100</v>
      </c>
      <c r="D287" s="384"/>
      <c r="E287" s="24"/>
      <c r="F287" s="24" t="e">
        <f t="shared" ref="F287" si="400">#REF!</f>
        <v>#REF!</v>
      </c>
      <c r="G287" s="24" t="e">
        <f t="shared" ref="G287" si="401">#REF!</f>
        <v>#REF!</v>
      </c>
      <c r="H287" s="24" t="e">
        <f t="shared" ref="H287" si="402">#REF!</f>
        <v>#REF!</v>
      </c>
      <c r="I287" s="24" t="e">
        <f t="shared" ref="I287" si="403">#REF!</f>
        <v>#REF!</v>
      </c>
      <c r="J287" s="24" t="e">
        <f t="shared" ref="J287" si="404">#REF!</f>
        <v>#REF!</v>
      </c>
      <c r="K287" s="24"/>
      <c r="L287" s="24">
        <f t="shared" ref="L287:P287" si="405">L250</f>
        <v>0</v>
      </c>
      <c r="M287" s="24">
        <f t="shared" si="405"/>
        <v>0</v>
      </c>
      <c r="N287" s="24">
        <f t="shared" si="405"/>
        <v>0</v>
      </c>
      <c r="O287" s="24">
        <f t="shared" si="405"/>
        <v>0</v>
      </c>
      <c r="P287" s="24">
        <f t="shared" si="405"/>
        <v>0</v>
      </c>
      <c r="Q287" s="24">
        <f>Q250</f>
        <v>37.478540000000002</v>
      </c>
      <c r="R287" s="24">
        <f t="shared" ref="R287:AV287" si="406">R250</f>
        <v>61.839590999999999</v>
      </c>
      <c r="S287" s="24">
        <f t="shared" si="406"/>
        <v>77.299488749999995</v>
      </c>
      <c r="T287" s="24">
        <f t="shared" si="406"/>
        <v>88.894412062499995</v>
      </c>
      <c r="U287" s="24">
        <f t="shared" si="406"/>
        <v>102.228573871875</v>
      </c>
      <c r="V287" s="24">
        <f t="shared" si="406"/>
        <v>112.45143125906252</v>
      </c>
      <c r="W287" s="24">
        <f t="shared" si="406"/>
        <v>118.07400282201564</v>
      </c>
      <c r="X287" s="24">
        <f t="shared" si="406"/>
        <v>123.97770296311643</v>
      </c>
      <c r="Y287" s="24">
        <f t="shared" si="406"/>
        <v>130.17658811127225</v>
      </c>
      <c r="Z287" s="24">
        <f t="shared" si="406"/>
        <v>132.78011987349771</v>
      </c>
      <c r="AA287" s="24">
        <f t="shared" si="406"/>
        <v>135.43572227096766</v>
      </c>
      <c r="AB287" s="24">
        <f t="shared" si="406"/>
        <v>138.14443671638702</v>
      </c>
      <c r="AC287" s="24">
        <f t="shared" si="406"/>
        <v>140.90732545071475</v>
      </c>
      <c r="AD287" s="24">
        <f t="shared" si="406"/>
        <v>143.72547195972905</v>
      </c>
      <c r="AE287" s="24">
        <f t="shared" si="406"/>
        <v>146.59998139892363</v>
      </c>
      <c r="AF287" s="24">
        <f t="shared" si="406"/>
        <v>149.53198102690212</v>
      </c>
      <c r="AG287" s="24">
        <f t="shared" si="406"/>
        <v>152.52262064744016</v>
      </c>
      <c r="AH287" s="24">
        <f t="shared" si="406"/>
        <v>155.57307306038896</v>
      </c>
      <c r="AI287" s="24">
        <f t="shared" si="406"/>
        <v>158.68453452159676</v>
      </c>
      <c r="AJ287" s="24">
        <f t="shared" si="406"/>
        <v>161.85822521202871</v>
      </c>
      <c r="AK287" s="24">
        <f t="shared" si="406"/>
        <v>165.0953897162693</v>
      </c>
      <c r="AL287" s="24">
        <f t="shared" si="406"/>
        <v>168.39729751059468</v>
      </c>
      <c r="AM287" s="24">
        <f t="shared" si="406"/>
        <v>171.7652434608066</v>
      </c>
      <c r="AN287" s="24">
        <f t="shared" si="406"/>
        <v>175.20054833002274</v>
      </c>
      <c r="AO287" s="24">
        <f t="shared" si="406"/>
        <v>178.70455929662319</v>
      </c>
      <c r="AP287" s="24">
        <f t="shared" si="406"/>
        <v>182.27865048255566</v>
      </c>
      <c r="AQ287" s="24">
        <f t="shared" si="406"/>
        <v>185.92422349220678</v>
      </c>
      <c r="AR287" s="24">
        <f t="shared" si="406"/>
        <v>189.64270796205091</v>
      </c>
      <c r="AS287" s="24">
        <f t="shared" si="406"/>
        <v>193.43556212129195</v>
      </c>
      <c r="AT287" s="24">
        <f t="shared" si="406"/>
        <v>197.30427336371778</v>
      </c>
      <c r="AU287" s="24">
        <f t="shared" si="406"/>
        <v>201.25035883099213</v>
      </c>
      <c r="AV287" s="24">
        <f t="shared" si="406"/>
        <v>205.27536600761201</v>
      </c>
      <c r="AW287" s="26"/>
      <c r="AX287" s="27"/>
    </row>
    <row r="288" spans="1:50" ht="12.75" hidden="1" customHeight="1" outlineLevel="1">
      <c r="A288" s="296"/>
      <c r="B288" s="32" t="s">
        <v>388</v>
      </c>
      <c r="C288" s="23" t="s">
        <v>115</v>
      </c>
      <c r="D288" s="384"/>
      <c r="E288" s="24"/>
      <c r="F288" s="188" t="e">
        <f t="shared" ref="F288:AV288" si="407">F287*lbs_grams</f>
        <v>#REF!</v>
      </c>
      <c r="G288" s="188" t="e">
        <f t="shared" si="407"/>
        <v>#REF!</v>
      </c>
      <c r="H288" s="188" t="e">
        <f t="shared" si="407"/>
        <v>#REF!</v>
      </c>
      <c r="I288" s="188" t="e">
        <f t="shared" si="407"/>
        <v>#REF!</v>
      </c>
      <c r="J288" s="188" t="e">
        <f t="shared" si="407"/>
        <v>#REF!</v>
      </c>
      <c r="K288" s="188">
        <f t="shared" si="407"/>
        <v>0</v>
      </c>
      <c r="L288" s="188">
        <f t="shared" si="407"/>
        <v>0</v>
      </c>
      <c r="M288" s="188">
        <f t="shared" si="407"/>
        <v>0</v>
      </c>
      <c r="N288" s="188">
        <f t="shared" si="407"/>
        <v>0</v>
      </c>
      <c r="O288" s="188">
        <f t="shared" si="407"/>
        <v>0</v>
      </c>
      <c r="P288" s="188">
        <f t="shared" si="407"/>
        <v>0</v>
      </c>
      <c r="Q288" s="188">
        <f t="shared" si="407"/>
        <v>16999.965915680001</v>
      </c>
      <c r="R288" s="188">
        <f t="shared" si="407"/>
        <v>28049.943760872</v>
      </c>
      <c r="S288" s="188">
        <f t="shared" si="407"/>
        <v>35062.429701089997</v>
      </c>
      <c r="T288" s="188">
        <f t="shared" si="407"/>
        <v>40321.794156253498</v>
      </c>
      <c r="U288" s="188">
        <f t="shared" si="407"/>
        <v>46370.063279691523</v>
      </c>
      <c r="V288" s="188">
        <f t="shared" si="407"/>
        <v>51007.069607660684</v>
      </c>
      <c r="W288" s="188">
        <f t="shared" si="407"/>
        <v>53557.423088043717</v>
      </c>
      <c r="X288" s="188">
        <f t="shared" si="407"/>
        <v>56235.294242445903</v>
      </c>
      <c r="Y288" s="188">
        <f t="shared" si="407"/>
        <v>59047.058954568201</v>
      </c>
      <c r="Z288" s="188">
        <f t="shared" si="407"/>
        <v>60228.000133659574</v>
      </c>
      <c r="AA288" s="188">
        <f t="shared" si="407"/>
        <v>61432.560136332759</v>
      </c>
      <c r="AB288" s="188">
        <f t="shared" si="407"/>
        <v>62661.211339059417</v>
      </c>
      <c r="AC288" s="188">
        <f t="shared" si="407"/>
        <v>63914.435565840606</v>
      </c>
      <c r="AD288" s="188">
        <f t="shared" si="407"/>
        <v>65192.724277157417</v>
      </c>
      <c r="AE288" s="188">
        <f t="shared" si="407"/>
        <v>66496.578762700563</v>
      </c>
      <c r="AF288" s="188">
        <f t="shared" si="407"/>
        <v>67826.510337954576</v>
      </c>
      <c r="AG288" s="188">
        <f t="shared" si="407"/>
        <v>69183.040544713673</v>
      </c>
      <c r="AH288" s="188">
        <f t="shared" si="407"/>
        <v>70566.701355607947</v>
      </c>
      <c r="AI288" s="188">
        <f t="shared" si="407"/>
        <v>71978.035382720118</v>
      </c>
      <c r="AJ288" s="188">
        <f t="shared" si="407"/>
        <v>73417.596090374529</v>
      </c>
      <c r="AK288" s="188">
        <f t="shared" si="407"/>
        <v>74885.948012182023</v>
      </c>
      <c r="AL288" s="188">
        <f t="shared" si="407"/>
        <v>76383.666972425664</v>
      </c>
      <c r="AM288" s="188">
        <f t="shared" si="407"/>
        <v>77911.340311874184</v>
      </c>
      <c r="AN288" s="188">
        <f t="shared" si="407"/>
        <v>79469.567118111678</v>
      </c>
      <c r="AO288" s="188">
        <f t="shared" si="407"/>
        <v>81058.958460473907</v>
      </c>
      <c r="AP288" s="188">
        <f t="shared" si="407"/>
        <v>82680.137629683391</v>
      </c>
      <c r="AQ288" s="188">
        <f t="shared" si="407"/>
        <v>84333.740382277058</v>
      </c>
      <c r="AR288" s="188">
        <f t="shared" si="407"/>
        <v>86020.415189922598</v>
      </c>
      <c r="AS288" s="188">
        <f t="shared" si="407"/>
        <v>87740.823493721051</v>
      </c>
      <c r="AT288" s="188">
        <f t="shared" si="407"/>
        <v>89495.639963595473</v>
      </c>
      <c r="AU288" s="188">
        <f t="shared" si="407"/>
        <v>91285.552762867374</v>
      </c>
      <c r="AV288" s="188">
        <f t="shared" si="407"/>
        <v>93111.263818124746</v>
      </c>
      <c r="AW288" s="26"/>
      <c r="AX288" s="27"/>
    </row>
    <row r="289" spans="1:50" ht="12.75" hidden="1" customHeight="1" outlineLevel="1">
      <c r="A289" s="296"/>
      <c r="B289" s="32"/>
      <c r="C289" s="23"/>
      <c r="D289" s="38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6"/>
      <c r="AX289" s="27"/>
    </row>
    <row r="290" spans="1:50" s="387" customFormat="1" ht="12.6" hidden="1" customHeight="1" outlineLevel="1">
      <c r="A290" s="297"/>
      <c r="B290" s="13" t="s">
        <v>332</v>
      </c>
      <c r="C290" s="380" t="s">
        <v>130</v>
      </c>
      <c r="D290" s="385"/>
      <c r="E290" s="256"/>
      <c r="F290" s="256"/>
      <c r="G290" s="256"/>
      <c r="H290" s="256"/>
      <c r="I290" s="256"/>
      <c r="J290" s="256"/>
      <c r="K290" s="256"/>
      <c r="L290" s="256"/>
      <c r="M290" s="256"/>
      <c r="N290" s="256">
        <f t="shared" ref="N290:P290" si="408">N291*N228</f>
        <v>0</v>
      </c>
      <c r="O290" s="256">
        <f t="shared" si="408"/>
        <v>0</v>
      </c>
      <c r="P290" s="256">
        <f t="shared" si="408"/>
        <v>0</v>
      </c>
      <c r="Q290" s="256">
        <f>Q291*Q228</f>
        <v>0</v>
      </c>
      <c r="R290" s="256">
        <f t="shared" ref="R290:V290" si="409">R291*R228</f>
        <v>0</v>
      </c>
      <c r="S290" s="256">
        <f t="shared" si="409"/>
        <v>24105.544358954507</v>
      </c>
      <c r="T290" s="256">
        <f t="shared" si="409"/>
        <v>46076.330266560726</v>
      </c>
      <c r="U290" s="256">
        <f t="shared" si="409"/>
        <v>67081.326017267173</v>
      </c>
      <c r="V290" s="256">
        <f t="shared" si="409"/>
        <v>47892.77757331702</v>
      </c>
      <c r="W290" s="256">
        <f t="shared" ref="W290" si="410">W291*W228</f>
        <v>47979.550880370014</v>
      </c>
      <c r="X290" s="256">
        <f t="shared" ref="X290" si="411">X291*X228</f>
        <v>67416.980945913092</v>
      </c>
      <c r="Y290" s="256">
        <f t="shared" ref="Y290" si="412">Y291*Y228</f>
        <v>51285.941870697061</v>
      </c>
      <c r="Z290" s="256">
        <f t="shared" ref="Z290:AA290" si="413">Z291*Z228</f>
        <v>51285.942676283077</v>
      </c>
      <c r="AA290" s="256">
        <f t="shared" si="413"/>
        <v>72781.852490355726</v>
      </c>
      <c r="AB290" s="256">
        <f t="shared" ref="AB290" si="414">AB291*AB228</f>
        <v>51285.94433611248</v>
      </c>
      <c r="AC290" s="256">
        <f t="shared" ref="AC290" si="415">AC291*AC228</f>
        <v>51285.945191006802</v>
      </c>
      <c r="AD290" s="256">
        <f t="shared" ref="AD290" si="416">AD291*AD228</f>
        <v>72781.855055373904</v>
      </c>
      <c r="AE290" s="256">
        <f t="shared" ref="AE290:AF290" si="417">AE291*AE228</f>
        <v>51285.946952431041</v>
      </c>
      <c r="AF290" s="256">
        <f t="shared" si="417"/>
        <v>51285.947859651729</v>
      </c>
      <c r="AG290" s="256">
        <f t="shared" ref="AG290" si="418">AG291*AG228</f>
        <v>72781.85777739175</v>
      </c>
      <c r="AH290" s="256">
        <f t="shared" ref="AH290" si="419">AH291*AH228</f>
        <v>51285.949728889238</v>
      </c>
      <c r="AI290" s="256">
        <f t="shared" ref="AI290" si="420">AI291*AI228</f>
        <v>51285.950691639089</v>
      </c>
      <c r="AJ290" s="256">
        <f t="shared" ref="AJ290:AK290" si="421">AJ291*AJ228</f>
        <v>72781.860666018823</v>
      </c>
      <c r="AK290" s="256">
        <f t="shared" si="421"/>
        <v>51285.952675288878</v>
      </c>
      <c r="AL290" s="256">
        <f t="shared" ref="AL290" si="422">AL291*AL228</f>
        <v>51285.953696966717</v>
      </c>
      <c r="AM290" s="256">
        <f t="shared" ref="AM290" si="423">AM291*AM228</f>
        <v>72781.863731453021</v>
      </c>
      <c r="AN290" s="256">
        <f t="shared" ref="AN290" si="424">AN291*AN228</f>
        <v>51285.955802031742</v>
      </c>
      <c r="AO290" s="256">
        <f t="shared" ref="AO290:AP290" si="425">AO291*AO228</f>
        <v>51285.956886244443</v>
      </c>
      <c r="AP290" s="256">
        <f t="shared" si="425"/>
        <v>72781.866984516309</v>
      </c>
      <c r="AQ290" s="256">
        <f t="shared" ref="AQ290" si="426">AQ291*AQ228</f>
        <v>51285.959120156302</v>
      </c>
      <c r="AR290" s="256">
        <f t="shared" ref="AR290" si="427">AR291*AR228</f>
        <v>51285.960270731484</v>
      </c>
      <c r="AS290" s="256">
        <f t="shared" ref="AS290" si="428">AS291*AS228</f>
        <v>72781.870436693091</v>
      </c>
      <c r="AT290" s="256">
        <f t="shared" ref="AT290:AU290" si="429">AT291*AT228</f>
        <v>51285.962641376624</v>
      </c>
      <c r="AU290" s="256">
        <f t="shared" si="429"/>
        <v>51285.963862376215</v>
      </c>
      <c r="AV290" s="256">
        <f t="shared" ref="AV290" si="430">AV291*AV228</f>
        <v>72781.874100170709</v>
      </c>
      <c r="AW290" s="256"/>
      <c r="AX290" s="386"/>
    </row>
    <row r="291" spans="1:50" s="389" customFormat="1" ht="12.6" hidden="1" customHeight="1" outlineLevel="1">
      <c r="A291" s="296"/>
      <c r="B291" s="32" t="s">
        <v>333</v>
      </c>
      <c r="C291" s="23" t="s">
        <v>100</v>
      </c>
      <c r="D291" s="384"/>
      <c r="E291" s="255"/>
      <c r="F291" s="255"/>
      <c r="G291" s="255"/>
      <c r="H291" s="255"/>
      <c r="I291" s="255"/>
      <c r="J291" s="255"/>
      <c r="K291" s="255"/>
      <c r="L291" s="255"/>
      <c r="M291" s="255"/>
      <c r="N291" s="255"/>
      <c r="O291" s="255">
        <f t="shared" ref="O291:T291" si="431">O299*grams_lbs</f>
        <v>0</v>
      </c>
      <c r="P291" s="255">
        <f t="shared" si="431"/>
        <v>0</v>
      </c>
      <c r="Q291" s="255">
        <f>Q299*grams_lbs</f>
        <v>0</v>
      </c>
      <c r="R291" s="255">
        <f t="shared" si="431"/>
        <v>0</v>
      </c>
      <c r="S291" s="255">
        <f t="shared" si="431"/>
        <v>148.38746912252697</v>
      </c>
      <c r="T291" s="255">
        <f t="shared" si="431"/>
        <v>283.63391976953352</v>
      </c>
      <c r="U291" s="255">
        <f t="shared" ref="U291:AV291" si="432">U299*grams_lbs</f>
        <v>434.66864957487923</v>
      </c>
      <c r="V291" s="255">
        <f t="shared" si="432"/>
        <v>310.33210266036207</v>
      </c>
      <c r="W291" s="255">
        <f t="shared" si="432"/>
        <v>310.89436996238533</v>
      </c>
      <c r="X291" s="255">
        <f t="shared" si="432"/>
        <v>436.84360172952387</v>
      </c>
      <c r="Y291" s="255">
        <f t="shared" si="432"/>
        <v>332.31887946540354</v>
      </c>
      <c r="Z291" s="255">
        <f t="shared" si="432"/>
        <v>332.31888468538062</v>
      </c>
      <c r="AA291" s="255">
        <f t="shared" si="432"/>
        <v>471.60650234310623</v>
      </c>
      <c r="AB291" s="255">
        <f t="shared" si="432"/>
        <v>332.3188954406213</v>
      </c>
      <c r="AC291" s="255">
        <f t="shared" si="432"/>
        <v>332.31890098010274</v>
      </c>
      <c r="AD291" s="255">
        <f t="shared" si="432"/>
        <v>471.60651896372269</v>
      </c>
      <c r="AE291" s="255">
        <f t="shared" si="432"/>
        <v>332.31891239365018</v>
      </c>
      <c r="AF291" s="255">
        <f t="shared" si="432"/>
        <v>332.31891827219215</v>
      </c>
      <c r="AG291" s="255">
        <f t="shared" si="432"/>
        <v>471.60653660165394</v>
      </c>
      <c r="AH291" s="255">
        <f t="shared" si="432"/>
        <v>332.31893038434009</v>
      </c>
      <c r="AI291" s="255">
        <f t="shared" si="432"/>
        <v>332.31893662269584</v>
      </c>
      <c r="AJ291" s="255">
        <f t="shared" si="432"/>
        <v>471.60655531916757</v>
      </c>
      <c r="AK291" s="255">
        <f t="shared" si="432"/>
        <v>332.31894947620407</v>
      </c>
      <c r="AL291" s="255">
        <f t="shared" si="432"/>
        <v>332.31895609639707</v>
      </c>
      <c r="AM291" s="255">
        <f t="shared" si="432"/>
        <v>471.60657518234291</v>
      </c>
      <c r="AN291" s="255">
        <f t="shared" si="432"/>
        <v>332.31896973664283</v>
      </c>
      <c r="AO291" s="255">
        <f t="shared" si="432"/>
        <v>332.31897676204466</v>
      </c>
      <c r="AP291" s="255">
        <f t="shared" si="432"/>
        <v>471.60659626130348</v>
      </c>
      <c r="AQ291" s="255">
        <f t="shared" si="432"/>
        <v>332.31899123718267</v>
      </c>
      <c r="AR291" s="255">
        <f t="shared" si="432"/>
        <v>332.31899869259524</v>
      </c>
      <c r="AS291" s="255">
        <f t="shared" si="432"/>
        <v>471.60661863046505</v>
      </c>
      <c r="AT291" s="255">
        <f t="shared" si="432"/>
        <v>332.31901405372747</v>
      </c>
      <c r="AU291" s="255">
        <f t="shared" si="432"/>
        <v>332.31902196547094</v>
      </c>
      <c r="AV291" s="255">
        <f t="shared" si="432"/>
        <v>471.60664236879825</v>
      </c>
      <c r="AW291" s="255"/>
      <c r="AX291" s="388"/>
    </row>
    <row r="292" spans="1:50" s="164" customFormat="1" ht="12.6" hidden="1" customHeight="1" outlineLevel="1">
      <c r="A292" s="296"/>
      <c r="B292" s="13"/>
      <c r="C292" s="23"/>
      <c r="D292" s="384"/>
      <c r="E292" s="255"/>
      <c r="F292" s="255"/>
      <c r="G292" s="255"/>
      <c r="H292" s="255"/>
      <c r="I292" s="255"/>
      <c r="J292" s="255"/>
      <c r="K292" s="255"/>
      <c r="L292" s="255"/>
      <c r="M292" s="255"/>
      <c r="N292" s="255"/>
      <c r="O292" s="255"/>
      <c r="P292" s="255"/>
      <c r="Q292" s="255"/>
      <c r="R292" s="255"/>
      <c r="S292" s="255"/>
      <c r="T292" s="255"/>
      <c r="U292" s="255"/>
      <c r="V292" s="255"/>
      <c r="W292" s="255"/>
      <c r="X292" s="255"/>
      <c r="Y292" s="255"/>
      <c r="Z292" s="255"/>
      <c r="AA292" s="255"/>
      <c r="AB292" s="255"/>
      <c r="AC292" s="255"/>
      <c r="AD292" s="255"/>
      <c r="AE292" s="255"/>
      <c r="AF292" s="255"/>
      <c r="AG292" s="255"/>
      <c r="AH292" s="255"/>
      <c r="AI292" s="255"/>
      <c r="AJ292" s="255"/>
      <c r="AK292" s="255"/>
      <c r="AL292" s="255"/>
      <c r="AM292" s="255"/>
      <c r="AN292" s="255"/>
      <c r="AO292" s="255"/>
      <c r="AP292" s="255"/>
      <c r="AQ292" s="255"/>
      <c r="AR292" s="255"/>
      <c r="AS292" s="255"/>
      <c r="AT292" s="255"/>
      <c r="AU292" s="255"/>
      <c r="AV292" s="255"/>
      <c r="AW292" s="256"/>
      <c r="AX292" s="388"/>
    </row>
    <row r="293" spans="1:50" ht="12.6" hidden="1" customHeight="1" outlineLevel="1">
      <c r="A293" s="296"/>
      <c r="B293" s="390" t="s">
        <v>334</v>
      </c>
      <c r="C293" s="391" t="s">
        <v>335</v>
      </c>
      <c r="D293" s="384"/>
      <c r="E293" s="24"/>
      <c r="F293" s="392"/>
      <c r="G293" s="392"/>
      <c r="H293" s="392"/>
      <c r="I293" s="25"/>
      <c r="J293" s="25"/>
      <c r="K293" s="24"/>
      <c r="L293" s="24"/>
      <c r="M293" s="24"/>
      <c r="N293" s="24"/>
      <c r="O293" s="24"/>
      <c r="P293" s="25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6"/>
      <c r="AX293" s="27"/>
    </row>
    <row r="294" spans="1:50" ht="12.6" hidden="1" customHeight="1" outlineLevel="1">
      <c r="A294" s="296"/>
      <c r="B294" s="28" t="s">
        <v>336</v>
      </c>
      <c r="C294" s="380"/>
      <c r="D294" s="384"/>
      <c r="E294" s="24"/>
      <c r="F294" s="139"/>
      <c r="G294" s="25"/>
      <c r="H294" s="25"/>
      <c r="I294" s="168"/>
      <c r="J294" s="25"/>
      <c r="K294" s="25"/>
      <c r="L294" s="25"/>
      <c r="M294" s="25"/>
      <c r="N294" s="25"/>
      <c r="O294" s="168"/>
      <c r="P294" s="25"/>
      <c r="Q294" s="168">
        <v>1</v>
      </c>
      <c r="R294" s="25">
        <f t="shared" ref="R294:AV294" si="433">Q294</f>
        <v>1</v>
      </c>
      <c r="S294" s="25">
        <f t="shared" si="433"/>
        <v>1</v>
      </c>
      <c r="T294" s="25">
        <f t="shared" si="433"/>
        <v>1</v>
      </c>
      <c r="U294" s="25">
        <f t="shared" si="433"/>
        <v>1</v>
      </c>
      <c r="V294" s="25">
        <f t="shared" si="433"/>
        <v>1</v>
      </c>
      <c r="W294" s="25">
        <f t="shared" si="433"/>
        <v>1</v>
      </c>
      <c r="X294" s="25">
        <f t="shared" si="433"/>
        <v>1</v>
      </c>
      <c r="Y294" s="25">
        <f t="shared" si="433"/>
        <v>1</v>
      </c>
      <c r="Z294" s="25">
        <f t="shared" si="433"/>
        <v>1</v>
      </c>
      <c r="AA294" s="25">
        <f t="shared" si="433"/>
        <v>1</v>
      </c>
      <c r="AB294" s="25">
        <f t="shared" si="433"/>
        <v>1</v>
      </c>
      <c r="AC294" s="25">
        <f t="shared" si="433"/>
        <v>1</v>
      </c>
      <c r="AD294" s="25">
        <f t="shared" si="433"/>
        <v>1</v>
      </c>
      <c r="AE294" s="25">
        <f t="shared" si="433"/>
        <v>1</v>
      </c>
      <c r="AF294" s="25">
        <f t="shared" si="433"/>
        <v>1</v>
      </c>
      <c r="AG294" s="25">
        <f t="shared" si="433"/>
        <v>1</v>
      </c>
      <c r="AH294" s="25">
        <f t="shared" si="433"/>
        <v>1</v>
      </c>
      <c r="AI294" s="25">
        <f t="shared" si="433"/>
        <v>1</v>
      </c>
      <c r="AJ294" s="25">
        <f t="shared" si="433"/>
        <v>1</v>
      </c>
      <c r="AK294" s="25">
        <f t="shared" si="433"/>
        <v>1</v>
      </c>
      <c r="AL294" s="25">
        <f t="shared" si="433"/>
        <v>1</v>
      </c>
      <c r="AM294" s="25">
        <f t="shared" si="433"/>
        <v>1</v>
      </c>
      <c r="AN294" s="25">
        <f t="shared" si="433"/>
        <v>1</v>
      </c>
      <c r="AO294" s="25">
        <f t="shared" si="433"/>
        <v>1</v>
      </c>
      <c r="AP294" s="25">
        <f t="shared" si="433"/>
        <v>1</v>
      </c>
      <c r="AQ294" s="25">
        <f t="shared" si="433"/>
        <v>1</v>
      </c>
      <c r="AR294" s="25">
        <f t="shared" si="433"/>
        <v>1</v>
      </c>
      <c r="AS294" s="25">
        <f t="shared" si="433"/>
        <v>1</v>
      </c>
      <c r="AT294" s="25">
        <f t="shared" si="433"/>
        <v>1</v>
      </c>
      <c r="AU294" s="25">
        <f t="shared" si="433"/>
        <v>1</v>
      </c>
      <c r="AV294" s="25">
        <f t="shared" si="433"/>
        <v>1</v>
      </c>
      <c r="AW294" s="26"/>
      <c r="AX294" s="27"/>
    </row>
    <row r="295" spans="1:50" ht="12.6" hidden="1" customHeight="1" outlineLevel="1">
      <c r="A295" s="296"/>
      <c r="B295" s="28" t="s">
        <v>337</v>
      </c>
      <c r="C295" s="23" t="s">
        <v>115</v>
      </c>
      <c r="D295" s="384"/>
      <c r="E295" s="24"/>
      <c r="F295" s="52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>
        <f t="shared" ref="Q295:AV295" si="434">IF($C$991="ON",P295,0)</f>
        <v>0</v>
      </c>
      <c r="R295" s="24">
        <f t="shared" si="434"/>
        <v>0</v>
      </c>
      <c r="S295" s="24">
        <f t="shared" si="434"/>
        <v>0</v>
      </c>
      <c r="T295" s="24">
        <f t="shared" si="434"/>
        <v>0</v>
      </c>
      <c r="U295" s="24">
        <f t="shared" si="434"/>
        <v>0</v>
      </c>
      <c r="V295" s="24">
        <f t="shared" si="434"/>
        <v>0</v>
      </c>
      <c r="W295" s="24">
        <f t="shared" si="434"/>
        <v>0</v>
      </c>
      <c r="X295" s="24">
        <f t="shared" si="434"/>
        <v>0</v>
      </c>
      <c r="Y295" s="24">
        <f t="shared" si="434"/>
        <v>0</v>
      </c>
      <c r="Z295" s="24">
        <f t="shared" si="434"/>
        <v>0</v>
      </c>
      <c r="AA295" s="24">
        <f t="shared" si="434"/>
        <v>0</v>
      </c>
      <c r="AB295" s="24">
        <f t="shared" si="434"/>
        <v>0</v>
      </c>
      <c r="AC295" s="24">
        <f t="shared" si="434"/>
        <v>0</v>
      </c>
      <c r="AD295" s="24">
        <f t="shared" si="434"/>
        <v>0</v>
      </c>
      <c r="AE295" s="24">
        <f t="shared" si="434"/>
        <v>0</v>
      </c>
      <c r="AF295" s="24">
        <f t="shared" si="434"/>
        <v>0</v>
      </c>
      <c r="AG295" s="24">
        <f t="shared" si="434"/>
        <v>0</v>
      </c>
      <c r="AH295" s="24">
        <f t="shared" si="434"/>
        <v>0</v>
      </c>
      <c r="AI295" s="24">
        <f t="shared" si="434"/>
        <v>0</v>
      </c>
      <c r="AJ295" s="24">
        <f t="shared" si="434"/>
        <v>0</v>
      </c>
      <c r="AK295" s="24">
        <f t="shared" si="434"/>
        <v>0</v>
      </c>
      <c r="AL295" s="24">
        <f t="shared" si="434"/>
        <v>0</v>
      </c>
      <c r="AM295" s="24">
        <f t="shared" si="434"/>
        <v>0</v>
      </c>
      <c r="AN295" s="24">
        <f t="shared" si="434"/>
        <v>0</v>
      </c>
      <c r="AO295" s="24">
        <f t="shared" si="434"/>
        <v>0</v>
      </c>
      <c r="AP295" s="24">
        <f t="shared" si="434"/>
        <v>0</v>
      </c>
      <c r="AQ295" s="24">
        <f t="shared" si="434"/>
        <v>0</v>
      </c>
      <c r="AR295" s="24">
        <f t="shared" si="434"/>
        <v>0</v>
      </c>
      <c r="AS295" s="24">
        <f t="shared" si="434"/>
        <v>0</v>
      </c>
      <c r="AT295" s="24">
        <f t="shared" si="434"/>
        <v>0</v>
      </c>
      <c r="AU295" s="24">
        <f t="shared" si="434"/>
        <v>0</v>
      </c>
      <c r="AV295" s="24">
        <f t="shared" si="434"/>
        <v>0</v>
      </c>
      <c r="AW295" s="26"/>
      <c r="AX295" s="27"/>
    </row>
    <row r="296" spans="1:50" ht="12.6" hidden="1" customHeight="1" outlineLevel="1">
      <c r="A296" s="296"/>
      <c r="B296" s="28" t="s">
        <v>338</v>
      </c>
      <c r="C296" s="23" t="s">
        <v>115</v>
      </c>
      <c r="D296" s="393"/>
      <c r="E296" s="9"/>
      <c r="F296" s="394"/>
      <c r="G296" s="149"/>
      <c r="H296" s="149"/>
      <c r="I296" s="186"/>
      <c r="J296" s="149"/>
      <c r="K296" s="149"/>
      <c r="L296" s="149"/>
      <c r="M296" s="149"/>
      <c r="N296" s="149"/>
      <c r="O296" s="186"/>
      <c r="P296" s="149"/>
      <c r="Q296" s="186"/>
      <c r="R296" s="149"/>
      <c r="S296" s="186">
        <v>10</v>
      </c>
      <c r="T296" s="149">
        <f t="shared" ref="T296:AV296" si="435">S296</f>
        <v>10</v>
      </c>
      <c r="U296" s="149">
        <f t="shared" si="435"/>
        <v>10</v>
      </c>
      <c r="V296" s="149">
        <f t="shared" si="435"/>
        <v>10</v>
      </c>
      <c r="W296" s="149">
        <f t="shared" si="435"/>
        <v>10</v>
      </c>
      <c r="X296" s="149">
        <f t="shared" si="435"/>
        <v>10</v>
      </c>
      <c r="Y296" s="149">
        <f t="shared" si="435"/>
        <v>10</v>
      </c>
      <c r="Z296" s="149">
        <f t="shared" si="435"/>
        <v>10</v>
      </c>
      <c r="AA296" s="149">
        <f t="shared" si="435"/>
        <v>10</v>
      </c>
      <c r="AB296" s="149">
        <f t="shared" si="435"/>
        <v>10</v>
      </c>
      <c r="AC296" s="149">
        <f t="shared" si="435"/>
        <v>10</v>
      </c>
      <c r="AD296" s="149">
        <f t="shared" si="435"/>
        <v>10</v>
      </c>
      <c r="AE296" s="149">
        <f t="shared" si="435"/>
        <v>10</v>
      </c>
      <c r="AF296" s="149">
        <f t="shared" si="435"/>
        <v>10</v>
      </c>
      <c r="AG296" s="149">
        <f t="shared" si="435"/>
        <v>10</v>
      </c>
      <c r="AH296" s="149">
        <f t="shared" si="435"/>
        <v>10</v>
      </c>
      <c r="AI296" s="149">
        <f t="shared" si="435"/>
        <v>10</v>
      </c>
      <c r="AJ296" s="149">
        <f t="shared" si="435"/>
        <v>10</v>
      </c>
      <c r="AK296" s="149">
        <f t="shared" si="435"/>
        <v>10</v>
      </c>
      <c r="AL296" s="149">
        <f t="shared" si="435"/>
        <v>10</v>
      </c>
      <c r="AM296" s="149">
        <f t="shared" si="435"/>
        <v>10</v>
      </c>
      <c r="AN296" s="149">
        <f t="shared" si="435"/>
        <v>10</v>
      </c>
      <c r="AO296" s="149">
        <f t="shared" si="435"/>
        <v>10</v>
      </c>
      <c r="AP296" s="149">
        <f t="shared" si="435"/>
        <v>10</v>
      </c>
      <c r="AQ296" s="149">
        <f t="shared" si="435"/>
        <v>10</v>
      </c>
      <c r="AR296" s="149">
        <f t="shared" si="435"/>
        <v>10</v>
      </c>
      <c r="AS296" s="149">
        <f t="shared" si="435"/>
        <v>10</v>
      </c>
      <c r="AT296" s="149">
        <f t="shared" si="435"/>
        <v>10</v>
      </c>
      <c r="AU296" s="149">
        <f t="shared" si="435"/>
        <v>10</v>
      </c>
      <c r="AV296" s="149">
        <f t="shared" si="435"/>
        <v>10</v>
      </c>
      <c r="AW296" s="26"/>
      <c r="AX296" s="27"/>
    </row>
    <row r="297" spans="1:50" ht="12.6" hidden="1" customHeight="1" outlineLevel="1">
      <c r="A297" s="296"/>
      <c r="B297" s="28" t="s">
        <v>339</v>
      </c>
      <c r="C297" s="23" t="s">
        <v>128</v>
      </c>
      <c r="D297" s="384"/>
      <c r="E297" s="24"/>
      <c r="F297" s="224"/>
      <c r="G297" s="224"/>
      <c r="H297" s="224"/>
      <c r="I297" s="224"/>
      <c r="J297" s="224"/>
      <c r="K297" s="224"/>
      <c r="L297" s="224"/>
      <c r="M297" s="224"/>
      <c r="N297" s="224"/>
      <c r="O297" s="224"/>
      <c r="P297" s="224"/>
      <c r="Q297" s="224"/>
      <c r="R297" s="224"/>
      <c r="S297" s="224">
        <f t="shared" ref="S297:AV297" si="436">(S422*S294)/S296</f>
        <v>3506.25</v>
      </c>
      <c r="T297" s="224">
        <f t="shared" si="436"/>
        <v>4032.1875</v>
      </c>
      <c r="U297" s="224">
        <f t="shared" si="436"/>
        <v>4637.015625</v>
      </c>
      <c r="V297" s="224">
        <f t="shared" si="436"/>
        <v>5100.7171875000004</v>
      </c>
      <c r="W297" s="224">
        <f t="shared" si="436"/>
        <v>5355.753046875001</v>
      </c>
      <c r="X297" s="224">
        <f t="shared" si="436"/>
        <v>5623.5406992187509</v>
      </c>
      <c r="Y297" s="224">
        <f t="shared" si="436"/>
        <v>5904.7177341796887</v>
      </c>
      <c r="Z297" s="224">
        <f t="shared" si="436"/>
        <v>6022.812088863282</v>
      </c>
      <c r="AA297" s="224">
        <f t="shared" si="436"/>
        <v>6143.2683306405479</v>
      </c>
      <c r="AB297" s="224">
        <f t="shared" si="436"/>
        <v>6266.1336972533591</v>
      </c>
      <c r="AC297" s="224">
        <f t="shared" si="436"/>
        <v>6391.4563711984265</v>
      </c>
      <c r="AD297" s="224">
        <f t="shared" si="436"/>
        <v>6519.2854986223956</v>
      </c>
      <c r="AE297" s="224">
        <f t="shared" si="436"/>
        <v>6649.6712085948429</v>
      </c>
      <c r="AF297" s="224">
        <f t="shared" si="436"/>
        <v>6782.6646327667404</v>
      </c>
      <c r="AG297" s="224">
        <f t="shared" si="436"/>
        <v>6918.3179254220759</v>
      </c>
      <c r="AH297" s="224">
        <f t="shared" si="436"/>
        <v>7056.6842839305173</v>
      </c>
      <c r="AI297" s="224">
        <f t="shared" si="436"/>
        <v>7197.8179696091274</v>
      </c>
      <c r="AJ297" s="224">
        <f t="shared" si="436"/>
        <v>7341.7743290013113</v>
      </c>
      <c r="AK297" s="224">
        <f t="shared" si="436"/>
        <v>7488.6098155813379</v>
      </c>
      <c r="AL297" s="224">
        <f t="shared" si="436"/>
        <v>7638.3820118929652</v>
      </c>
      <c r="AM297" s="224">
        <f t="shared" si="436"/>
        <v>7791.1496521308245</v>
      </c>
      <c r="AN297" s="224">
        <f t="shared" si="436"/>
        <v>7946.9726451734414</v>
      </c>
      <c r="AO297" s="224">
        <f t="shared" si="436"/>
        <v>8105.9120980769103</v>
      </c>
      <c r="AP297" s="224">
        <f t="shared" si="436"/>
        <v>8268.0303400384491</v>
      </c>
      <c r="AQ297" s="224">
        <f t="shared" si="436"/>
        <v>8433.3909468392194</v>
      </c>
      <c r="AR297" s="224">
        <f t="shared" si="436"/>
        <v>8602.0587657760025</v>
      </c>
      <c r="AS297" s="224">
        <f t="shared" si="436"/>
        <v>8774.0999410915229</v>
      </c>
      <c r="AT297" s="224">
        <f t="shared" si="436"/>
        <v>8949.5819399133543</v>
      </c>
      <c r="AU297" s="224">
        <f t="shared" si="436"/>
        <v>9128.5735787116209</v>
      </c>
      <c r="AV297" s="224">
        <f t="shared" si="436"/>
        <v>9311.1450502858534</v>
      </c>
      <c r="AW297" s="26"/>
      <c r="AX297" s="27"/>
    </row>
    <row r="298" spans="1:50" ht="12.6" hidden="1" customHeight="1" outlineLevel="1">
      <c r="A298" s="296"/>
      <c r="B298" s="28" t="s">
        <v>340</v>
      </c>
      <c r="C298" s="23" t="s">
        <v>128</v>
      </c>
      <c r="D298" s="384"/>
      <c r="E298" s="24"/>
      <c r="F298" s="224"/>
      <c r="G298" s="224"/>
      <c r="H298" s="224"/>
      <c r="I298" s="224"/>
      <c r="J298" s="224"/>
      <c r="K298" s="224"/>
      <c r="L298" s="224"/>
      <c r="M298" s="224"/>
      <c r="N298" s="224"/>
      <c r="O298" s="224"/>
      <c r="P298" s="224"/>
      <c r="Q298" s="224"/>
      <c r="R298" s="224"/>
      <c r="S298" s="224">
        <f>(S255*S294)/S296</f>
        <v>3224.5003843078161</v>
      </c>
      <c r="T298" s="224">
        <f t="shared" ref="T298:AV298" si="437">(T255*T294)/T296</f>
        <v>8833.245988289751</v>
      </c>
      <c r="U298" s="224">
        <f t="shared" si="437"/>
        <v>15079.246115113001</v>
      </c>
      <c r="V298" s="224">
        <f t="shared" si="437"/>
        <v>8975.7269461993237</v>
      </c>
      <c r="W298" s="224">
        <f t="shared" si="437"/>
        <v>8746.1951329648509</v>
      </c>
      <c r="X298" s="224">
        <f t="shared" si="437"/>
        <v>14191.375328465107</v>
      </c>
      <c r="Y298" s="224">
        <f t="shared" si="437"/>
        <v>9169.0310055307182</v>
      </c>
      <c r="Z298" s="224">
        <f t="shared" si="437"/>
        <v>9050.9368876215813</v>
      </c>
      <c r="AA298" s="224">
        <f t="shared" si="437"/>
        <v>15248.468220016988</v>
      </c>
      <c r="AB298" s="224">
        <f t="shared" si="437"/>
        <v>8807.6157670815974</v>
      </c>
      <c r="AC298" s="224">
        <f t="shared" si="437"/>
        <v>8682.2933444034788</v>
      </c>
      <c r="AD298" s="224">
        <f t="shared" si="437"/>
        <v>14872.451805934523</v>
      </c>
      <c r="AE298" s="224">
        <f t="shared" si="437"/>
        <v>8424.0790247174828</v>
      </c>
      <c r="AF298" s="224">
        <f t="shared" si="437"/>
        <v>8291.0858671920814</v>
      </c>
      <c r="AG298" s="224">
        <f t="shared" si="437"/>
        <v>14473.420179178898</v>
      </c>
      <c r="AH298" s="224">
        <f t="shared" si="437"/>
        <v>8017.0667654267436</v>
      </c>
      <c r="AI298" s="224">
        <f t="shared" si="437"/>
        <v>7875.9333627155265</v>
      </c>
      <c r="AJ298" s="224">
        <f t="shared" si="437"/>
        <v>14049.964624612807</v>
      </c>
      <c r="AK298" s="224">
        <f t="shared" si="437"/>
        <v>7585.1420997693376</v>
      </c>
      <c r="AL298" s="224">
        <f t="shared" si="437"/>
        <v>7435.3702037449721</v>
      </c>
      <c r="AM298" s="224">
        <f t="shared" si="437"/>
        <v>13600.590202462845</v>
      </c>
      <c r="AN298" s="224">
        <f t="shared" si="437"/>
        <v>7126.780189176372</v>
      </c>
      <c r="AO298" s="224">
        <f t="shared" si="437"/>
        <v>6967.8410549401497</v>
      </c>
      <c r="AP298" s="224">
        <f t="shared" si="437"/>
        <v>13123.710470681923</v>
      </c>
      <c r="AQ298" s="224">
        <f t="shared" si="437"/>
        <v>6640.3628627598328</v>
      </c>
      <c r="AR298" s="224">
        <f t="shared" si="437"/>
        <v>6471.6953819952796</v>
      </c>
      <c r="AS298" s="224">
        <f t="shared" si="437"/>
        <v>12617.641884278159</v>
      </c>
      <c r="AT298" s="224">
        <f t="shared" si="437"/>
        <v>6124.1729046279916</v>
      </c>
      <c r="AU298" s="224">
        <f t="shared" si="437"/>
        <v>5945.181624700801</v>
      </c>
      <c r="AV298" s="224">
        <f t="shared" si="437"/>
        <v>12080.597851837791</v>
      </c>
      <c r="AW298" s="26"/>
      <c r="AX298" s="27"/>
    </row>
    <row r="299" spans="1:50" s="4" customFormat="1" ht="12.6" hidden="1" customHeight="1" outlineLevel="1">
      <c r="A299" s="297"/>
      <c r="B299" s="33" t="s">
        <v>341</v>
      </c>
      <c r="C299" s="380" t="s">
        <v>115</v>
      </c>
      <c r="D299" s="385"/>
      <c r="E299" s="26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>
        <f>Q295*Q297+Q296*Q297+Q298*Q296</f>
        <v>0</v>
      </c>
      <c r="R299" s="395">
        <f>R295*R297+R296*R297+R298*R296</f>
        <v>0</v>
      </c>
      <c r="S299" s="395">
        <f>S295*S297+S296*S297+S298*S296</f>
        <v>67307.503843078157</v>
      </c>
      <c r="T299" s="395">
        <f t="shared" ref="T299:AV299" si="438">T295*T297+T296*T297+T298*T296</f>
        <v>128654.33488289751</v>
      </c>
      <c r="U299" s="395">
        <f t="shared" si="438"/>
        <v>197162.61740113</v>
      </c>
      <c r="V299" s="395">
        <f t="shared" si="438"/>
        <v>140764.44133699324</v>
      </c>
      <c r="W299" s="395">
        <f t="shared" si="438"/>
        <v>141019.48179839851</v>
      </c>
      <c r="X299" s="395">
        <f t="shared" si="438"/>
        <v>198149.16027683858</v>
      </c>
      <c r="Y299" s="395">
        <f t="shared" si="438"/>
        <v>150737.48739710407</v>
      </c>
      <c r="Z299" s="395">
        <f t="shared" si="438"/>
        <v>150737.48976484864</v>
      </c>
      <c r="AA299" s="395">
        <f t="shared" si="438"/>
        <v>213917.36550657538</v>
      </c>
      <c r="AB299" s="395">
        <f t="shared" si="438"/>
        <v>150737.49464334955</v>
      </c>
      <c r="AC299" s="395">
        <f t="shared" si="438"/>
        <v>150737.49715601906</v>
      </c>
      <c r="AD299" s="395">
        <f t="shared" si="438"/>
        <v>213917.37304556917</v>
      </c>
      <c r="AE299" s="395">
        <f t="shared" si="438"/>
        <v>150737.50233312324</v>
      </c>
      <c r="AF299" s="395">
        <f t="shared" si="438"/>
        <v>150737.50499958821</v>
      </c>
      <c r="AG299" s="395">
        <f t="shared" si="438"/>
        <v>213917.38104600972</v>
      </c>
      <c r="AH299" s="395">
        <f t="shared" si="438"/>
        <v>150737.51049357263</v>
      </c>
      <c r="AI299" s="395">
        <f t="shared" si="438"/>
        <v>150737.51332324656</v>
      </c>
      <c r="AJ299" s="395">
        <f t="shared" si="438"/>
        <v>213917.38953614119</v>
      </c>
      <c r="AK299" s="395">
        <f t="shared" si="438"/>
        <v>150737.51915350676</v>
      </c>
      <c r="AL299" s="395">
        <f t="shared" si="438"/>
        <v>150737.52215637936</v>
      </c>
      <c r="AM299" s="395">
        <f t="shared" si="438"/>
        <v>213917.39854593668</v>
      </c>
      <c r="AN299" s="395">
        <f t="shared" si="438"/>
        <v>150737.52834349812</v>
      </c>
      <c r="AO299" s="395">
        <f t="shared" si="438"/>
        <v>150737.53153017059</v>
      </c>
      <c r="AP299" s="395">
        <f t="shared" si="438"/>
        <v>213917.40810720372</v>
      </c>
      <c r="AQ299" s="395">
        <f t="shared" si="438"/>
        <v>150737.53809599055</v>
      </c>
      <c r="AR299" s="395">
        <f t="shared" si="438"/>
        <v>150737.54147771283</v>
      </c>
      <c r="AS299" s="395">
        <f t="shared" si="438"/>
        <v>213917.41825369681</v>
      </c>
      <c r="AT299" s="395">
        <f t="shared" si="438"/>
        <v>150737.54844541347</v>
      </c>
      <c r="AU299" s="395">
        <f t="shared" si="438"/>
        <v>150737.55203412421</v>
      </c>
      <c r="AV299" s="395">
        <f t="shared" si="438"/>
        <v>213917.42902123643</v>
      </c>
      <c r="AW299" s="26"/>
      <c r="AX299" s="38"/>
    </row>
    <row r="300" spans="1:50" ht="12.6" hidden="1" customHeight="1" outlineLevel="1">
      <c r="A300" s="296"/>
      <c r="B300" s="33"/>
      <c r="C300" s="23"/>
      <c r="D300" s="384"/>
      <c r="E300" s="24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26"/>
      <c r="AX300" s="27"/>
    </row>
    <row r="301" spans="1:50" ht="12.6" hidden="1" customHeight="1" outlineLevel="1">
      <c r="A301" s="296"/>
      <c r="B301" s="13" t="s">
        <v>342</v>
      </c>
      <c r="C301" s="380"/>
      <c r="D301" s="384"/>
      <c r="E301" s="24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26"/>
      <c r="AX301" s="27"/>
    </row>
    <row r="302" spans="1:50" ht="12.75" hidden="1" customHeight="1" outlineLevel="1">
      <c r="A302" s="296"/>
      <c r="B302" s="396" t="s">
        <v>343</v>
      </c>
      <c r="C302" s="23" t="s">
        <v>130</v>
      </c>
      <c r="D302" s="384"/>
      <c r="E302" s="24"/>
      <c r="F302" s="225"/>
      <c r="G302" s="12"/>
      <c r="H302" s="12"/>
      <c r="I302" s="225"/>
      <c r="J302" s="12"/>
      <c r="K302" s="12"/>
      <c r="L302" s="12"/>
      <c r="M302" s="12"/>
      <c r="N302" s="12"/>
      <c r="O302" s="24"/>
      <c r="P302" s="24"/>
      <c r="Q302" s="24"/>
      <c r="R302" s="24"/>
      <c r="S302" s="24">
        <f t="shared" ref="S302:AV302" si="439">IF((S260+S261)&lt;0,(-S267-S268)*S294*10^3,0)</f>
        <v>0</v>
      </c>
      <c r="T302" s="24">
        <f t="shared" si="439"/>
        <v>0</v>
      </c>
      <c r="U302" s="24">
        <f t="shared" si="439"/>
        <v>0</v>
      </c>
      <c r="V302" s="24">
        <f t="shared" si="439"/>
        <v>0</v>
      </c>
      <c r="W302" s="24">
        <f t="shared" si="439"/>
        <v>0</v>
      </c>
      <c r="X302" s="24">
        <f t="shared" si="439"/>
        <v>0</v>
      </c>
      <c r="Y302" s="24">
        <f t="shared" si="439"/>
        <v>0</v>
      </c>
      <c r="Z302" s="24">
        <f t="shared" si="439"/>
        <v>0</v>
      </c>
      <c r="AA302" s="24">
        <f t="shared" si="439"/>
        <v>0</v>
      </c>
      <c r="AB302" s="24">
        <f t="shared" si="439"/>
        <v>0</v>
      </c>
      <c r="AC302" s="24">
        <f t="shared" si="439"/>
        <v>0</v>
      </c>
      <c r="AD302" s="24">
        <f t="shared" si="439"/>
        <v>0</v>
      </c>
      <c r="AE302" s="24">
        <f t="shared" si="439"/>
        <v>0</v>
      </c>
      <c r="AF302" s="24">
        <f t="shared" si="439"/>
        <v>0</v>
      </c>
      <c r="AG302" s="24">
        <f t="shared" si="439"/>
        <v>0</v>
      </c>
      <c r="AH302" s="24">
        <f t="shared" si="439"/>
        <v>0</v>
      </c>
      <c r="AI302" s="24">
        <f t="shared" si="439"/>
        <v>0</v>
      </c>
      <c r="AJ302" s="24">
        <f t="shared" si="439"/>
        <v>0</v>
      </c>
      <c r="AK302" s="24">
        <f t="shared" si="439"/>
        <v>0</v>
      </c>
      <c r="AL302" s="24">
        <f t="shared" si="439"/>
        <v>690.66344534845575</v>
      </c>
      <c r="AM302" s="24">
        <f t="shared" si="439"/>
        <v>0</v>
      </c>
      <c r="AN302" s="24">
        <f t="shared" si="439"/>
        <v>2790.5208270190265</v>
      </c>
      <c r="AO302" s="24">
        <f t="shared" si="439"/>
        <v>3872.0513319150882</v>
      </c>
      <c r="AP302" s="24">
        <f t="shared" si="439"/>
        <v>0</v>
      </c>
      <c r="AQ302" s="24">
        <f t="shared" si="439"/>
        <v>6100.4367842029405</v>
      </c>
      <c r="AR302" s="24">
        <f t="shared" si="439"/>
        <v>7248.1656082426798</v>
      </c>
      <c r="AS302" s="24">
        <f t="shared" si="439"/>
        <v>0</v>
      </c>
      <c r="AT302" s="24">
        <f t="shared" si="439"/>
        <v>9612.9460772941675</v>
      </c>
      <c r="AU302" s="24">
        <f t="shared" si="439"/>
        <v>10830.92508719573</v>
      </c>
      <c r="AV302" s="24">
        <f t="shared" si="439"/>
        <v>0</v>
      </c>
      <c r="AW302" s="26"/>
      <c r="AX302" s="27"/>
    </row>
    <row r="303" spans="1:50" ht="12.75" hidden="1" customHeight="1" outlineLevel="1">
      <c r="A303" s="296"/>
      <c r="B303" s="396" t="s">
        <v>395</v>
      </c>
      <c r="C303" s="23"/>
      <c r="D303" s="384"/>
      <c r="E303" s="24"/>
      <c r="F303" s="225"/>
      <c r="G303" s="12"/>
      <c r="H303" s="12"/>
      <c r="I303" s="225"/>
      <c r="J303" s="12"/>
      <c r="K303" s="12"/>
      <c r="L303" s="12"/>
      <c r="M303" s="12"/>
      <c r="N303" s="12"/>
      <c r="O303" s="24"/>
      <c r="P303" s="24"/>
      <c r="Q303" s="24"/>
      <c r="R303" s="24"/>
      <c r="S303" s="24">
        <f t="shared" ref="S303:AV303" si="440">(-S188-S189)*S294*10^3</f>
        <v>15013.811556769317</v>
      </c>
      <c r="T303" s="24">
        <f t="shared" si="440"/>
        <v>41129.066489858626</v>
      </c>
      <c r="U303" s="24">
        <f t="shared" si="440"/>
        <v>63163.741024345007</v>
      </c>
      <c r="V303" s="24">
        <f t="shared" si="440"/>
        <v>37597.40294753592</v>
      </c>
      <c r="W303" s="24">
        <f t="shared" si="440"/>
        <v>36635.94321027094</v>
      </c>
      <c r="X303" s="24">
        <f t="shared" si="440"/>
        <v>59444.639949742726</v>
      </c>
      <c r="Y303" s="24">
        <f t="shared" si="440"/>
        <v>38407.112362008957</v>
      </c>
      <c r="Z303" s="24">
        <f t="shared" si="440"/>
        <v>37912.441327186119</v>
      </c>
      <c r="AA303" s="24">
        <f t="shared" si="440"/>
        <v>63872.576275666848</v>
      </c>
      <c r="AB303" s="24">
        <f t="shared" si="440"/>
        <v>36893.221127037148</v>
      </c>
      <c r="AC303" s="24">
        <f t="shared" si="440"/>
        <v>36368.272267514883</v>
      </c>
      <c r="AD303" s="24">
        <f t="shared" si="440"/>
        <v>62297.523834802189</v>
      </c>
      <c r="AE303" s="24">
        <f t="shared" si="440"/>
        <v>35286.667637355196</v>
      </c>
      <c r="AF303" s="24">
        <f t="shared" si="440"/>
        <v>34729.587708039282</v>
      </c>
      <c r="AG303" s="24">
        <f t="shared" si="440"/>
        <v>60626.065584137075</v>
      </c>
      <c r="AH303" s="24">
        <f t="shared" si="440"/>
        <v>33581.780221676781</v>
      </c>
      <c r="AI303" s="24">
        <f t="shared" si="440"/>
        <v>32990.602544047302</v>
      </c>
      <c r="AJ303" s="24">
        <f t="shared" si="440"/>
        <v>58852.30071686524</v>
      </c>
      <c r="AK303" s="24">
        <f t="shared" si="440"/>
        <v>31772.540057059519</v>
      </c>
      <c r="AL303" s="24">
        <f t="shared" si="440"/>
        <v>31145.177576137696</v>
      </c>
      <c r="AM303" s="24">
        <f t="shared" si="440"/>
        <v>56969.967249597452</v>
      </c>
      <c r="AN303" s="24">
        <f t="shared" si="440"/>
        <v>29852.559920446365</v>
      </c>
      <c r="AO303" s="24">
        <f t="shared" si="440"/>
        <v>29186.797836792277</v>
      </c>
      <c r="AP303" s="24">
        <f t="shared" si="440"/>
        <v>54972.419915465121</v>
      </c>
      <c r="AQ303" s="24">
        <f t="shared" si="440"/>
        <v>27815.061639631396</v>
      </c>
      <c r="AR303" s="24">
        <f t="shared" si="440"/>
        <v>27108.549590361014</v>
      </c>
      <c r="AS303" s="24">
        <f t="shared" si="440"/>
        <v>52852.606704105237</v>
      </c>
      <c r="AT303" s="24">
        <f t="shared" si="440"/>
        <v>25652.852164044307</v>
      </c>
      <c r="AU303" s="24">
        <f t="shared" si="440"/>
        <v>24903.09592526218</v>
      </c>
      <c r="AV303" s="24">
        <f t="shared" si="440"/>
        <v>50603.043965704426</v>
      </c>
      <c r="AW303" s="26"/>
      <c r="AX303" s="27"/>
    </row>
    <row r="304" spans="1:50" ht="12.75" hidden="1" customHeight="1" outlineLevel="1">
      <c r="A304" s="296"/>
      <c r="B304" s="396" t="s">
        <v>344</v>
      </c>
      <c r="C304" s="23" t="s">
        <v>130</v>
      </c>
      <c r="D304" s="384"/>
      <c r="E304" s="24"/>
      <c r="F304" s="225"/>
      <c r="G304" s="12"/>
      <c r="H304" s="12"/>
      <c r="I304" s="225"/>
      <c r="J304" s="12"/>
      <c r="K304" s="12"/>
      <c r="L304" s="12"/>
      <c r="M304" s="12"/>
      <c r="N304" s="12"/>
      <c r="O304" s="260"/>
      <c r="P304" s="260"/>
      <c r="Q304" s="260"/>
      <c r="R304" s="260"/>
      <c r="S304" s="260">
        <f t="shared" ref="S304:AV304" si="441">((S$290/60%))*35%</f>
        <v>14061.567542723462</v>
      </c>
      <c r="T304" s="260">
        <f t="shared" si="441"/>
        <v>26877.859322160421</v>
      </c>
      <c r="U304" s="260">
        <f t="shared" si="441"/>
        <v>39130.773510072519</v>
      </c>
      <c r="V304" s="260">
        <f t="shared" si="441"/>
        <v>27937.45358443493</v>
      </c>
      <c r="W304" s="260">
        <f t="shared" si="441"/>
        <v>27988.071346882505</v>
      </c>
      <c r="X304" s="260">
        <f t="shared" si="441"/>
        <v>39326.572218449306</v>
      </c>
      <c r="Y304" s="260">
        <f t="shared" si="441"/>
        <v>29916.799424573284</v>
      </c>
      <c r="Z304" s="260">
        <f t="shared" si="441"/>
        <v>29916.799894498461</v>
      </c>
      <c r="AA304" s="260">
        <f t="shared" si="441"/>
        <v>42456.080619374174</v>
      </c>
      <c r="AB304" s="260">
        <f t="shared" si="441"/>
        <v>29916.800862732282</v>
      </c>
      <c r="AC304" s="260">
        <f t="shared" si="441"/>
        <v>29916.801361420636</v>
      </c>
      <c r="AD304" s="260">
        <f t="shared" si="441"/>
        <v>42456.082115634774</v>
      </c>
      <c r="AE304" s="260">
        <f t="shared" si="441"/>
        <v>29916.802388918106</v>
      </c>
      <c r="AF304" s="260">
        <f t="shared" si="441"/>
        <v>29916.802918130172</v>
      </c>
      <c r="AG304" s="260">
        <f t="shared" si="441"/>
        <v>42456.083703478522</v>
      </c>
      <c r="AH304" s="260">
        <f t="shared" si="441"/>
        <v>29916.804008518724</v>
      </c>
      <c r="AI304" s="260">
        <f t="shared" si="441"/>
        <v>29916.804570122804</v>
      </c>
      <c r="AJ304" s="260">
        <f t="shared" si="441"/>
        <v>42456.085388510983</v>
      </c>
      <c r="AK304" s="260">
        <f t="shared" si="441"/>
        <v>29916.805727251842</v>
      </c>
      <c r="AL304" s="260">
        <f t="shared" si="441"/>
        <v>29916.806323230587</v>
      </c>
      <c r="AM304" s="260">
        <f t="shared" si="441"/>
        <v>42456.087176680929</v>
      </c>
      <c r="AN304" s="260">
        <f t="shared" si="441"/>
        <v>29916.807551185182</v>
      </c>
      <c r="AO304" s="260">
        <f t="shared" si="441"/>
        <v>29916.808183642588</v>
      </c>
      <c r="AP304" s="260">
        <f t="shared" si="441"/>
        <v>42456.089074301177</v>
      </c>
      <c r="AQ304" s="260">
        <f t="shared" si="441"/>
        <v>29916.809486757844</v>
      </c>
      <c r="AR304" s="260">
        <f t="shared" si="441"/>
        <v>29916.810157926699</v>
      </c>
      <c r="AS304" s="260">
        <f t="shared" si="441"/>
        <v>42456.091088070971</v>
      </c>
      <c r="AT304" s="260">
        <f t="shared" si="441"/>
        <v>29916.811540803032</v>
      </c>
      <c r="AU304" s="260">
        <f t="shared" si="441"/>
        <v>29916.812253052791</v>
      </c>
      <c r="AV304" s="260">
        <f t="shared" si="441"/>
        <v>42456.093225099583</v>
      </c>
      <c r="AW304" s="26"/>
      <c r="AX304" s="27"/>
    </row>
    <row r="305" spans="1:50" ht="12.75" hidden="1" customHeight="1" outlineLevel="1">
      <c r="A305" s="296"/>
      <c r="B305" s="396" t="s">
        <v>345</v>
      </c>
      <c r="C305" s="23" t="s">
        <v>130</v>
      </c>
      <c r="D305" s="384"/>
      <c r="E305" s="24"/>
      <c r="F305" s="225"/>
      <c r="G305" s="12"/>
      <c r="H305" s="12"/>
      <c r="I305" s="225"/>
      <c r="J305" s="12"/>
      <c r="K305" s="12"/>
      <c r="L305" s="12"/>
      <c r="M305" s="12"/>
      <c r="N305" s="12"/>
      <c r="O305" s="260"/>
      <c r="P305" s="260"/>
      <c r="Q305" s="260"/>
      <c r="R305" s="260"/>
      <c r="S305" s="260">
        <f t="shared" ref="S305:AV305" si="442">((S$290/60%))*15%</f>
        <v>6026.3860897386267</v>
      </c>
      <c r="T305" s="260">
        <f t="shared" si="442"/>
        <v>11519.082566640182</v>
      </c>
      <c r="U305" s="260">
        <f t="shared" si="442"/>
        <v>16770.331504316793</v>
      </c>
      <c r="V305" s="260">
        <f t="shared" si="442"/>
        <v>11973.194393329255</v>
      </c>
      <c r="W305" s="260">
        <f t="shared" si="442"/>
        <v>11994.887720092504</v>
      </c>
      <c r="X305" s="260">
        <f t="shared" si="442"/>
        <v>16854.245236478273</v>
      </c>
      <c r="Y305" s="260">
        <f t="shared" si="442"/>
        <v>12821.485467674265</v>
      </c>
      <c r="Z305" s="260">
        <f t="shared" si="442"/>
        <v>12821.485669070769</v>
      </c>
      <c r="AA305" s="260">
        <f t="shared" si="442"/>
        <v>18195.463122588932</v>
      </c>
      <c r="AB305" s="260">
        <f t="shared" si="442"/>
        <v>12821.48608402812</v>
      </c>
      <c r="AC305" s="260">
        <f t="shared" si="442"/>
        <v>12821.486297751702</v>
      </c>
      <c r="AD305" s="260">
        <f t="shared" si="442"/>
        <v>18195.463763843476</v>
      </c>
      <c r="AE305" s="260">
        <f t="shared" si="442"/>
        <v>12821.48673810776</v>
      </c>
      <c r="AF305" s="260">
        <f t="shared" si="442"/>
        <v>12821.486964912932</v>
      </c>
      <c r="AG305" s="260">
        <f t="shared" si="442"/>
        <v>18195.464444347937</v>
      </c>
      <c r="AH305" s="260">
        <f t="shared" si="442"/>
        <v>12821.48743222231</v>
      </c>
      <c r="AI305" s="260">
        <f t="shared" si="442"/>
        <v>12821.487672909772</v>
      </c>
      <c r="AJ305" s="260">
        <f t="shared" si="442"/>
        <v>18195.465166504706</v>
      </c>
      <c r="AK305" s="260">
        <f t="shared" si="442"/>
        <v>12821.488168822219</v>
      </c>
      <c r="AL305" s="260">
        <f t="shared" si="442"/>
        <v>12821.488424241679</v>
      </c>
      <c r="AM305" s="260">
        <f t="shared" si="442"/>
        <v>18195.465932863255</v>
      </c>
      <c r="AN305" s="260">
        <f t="shared" si="442"/>
        <v>12821.488950507935</v>
      </c>
      <c r="AO305" s="260">
        <f t="shared" si="442"/>
        <v>12821.489221561111</v>
      </c>
      <c r="AP305" s="260">
        <f t="shared" si="442"/>
        <v>18195.466746129077</v>
      </c>
      <c r="AQ305" s="260">
        <f t="shared" si="442"/>
        <v>12821.489780039077</v>
      </c>
      <c r="AR305" s="260">
        <f t="shared" si="442"/>
        <v>12821.490067682871</v>
      </c>
      <c r="AS305" s="260">
        <f t="shared" si="442"/>
        <v>18195.467609173273</v>
      </c>
      <c r="AT305" s="260">
        <f t="shared" si="442"/>
        <v>12821.490660344158</v>
      </c>
      <c r="AU305" s="260">
        <f t="shared" si="442"/>
        <v>12821.490965594054</v>
      </c>
      <c r="AV305" s="260">
        <f t="shared" si="442"/>
        <v>18195.468525042677</v>
      </c>
      <c r="AW305" s="26"/>
      <c r="AX305" s="27"/>
    </row>
    <row r="306" spans="1:50" ht="12.75" hidden="1" customHeight="1" outlineLevel="1">
      <c r="A306" s="296"/>
      <c r="B306" s="396" t="s">
        <v>346</v>
      </c>
      <c r="C306" s="23" t="s">
        <v>130</v>
      </c>
      <c r="D306" s="384"/>
      <c r="E306" s="24"/>
      <c r="F306" s="225"/>
      <c r="G306" s="12"/>
      <c r="H306" s="12"/>
      <c r="I306" s="225"/>
      <c r="J306" s="12"/>
      <c r="K306" s="12"/>
      <c r="L306" s="12"/>
      <c r="M306" s="12"/>
      <c r="N306" s="12"/>
      <c r="O306" s="260"/>
      <c r="P306" s="260"/>
      <c r="Q306" s="260"/>
      <c r="R306" s="260"/>
      <c r="S306" s="260">
        <f t="shared" ref="S306:AV306" si="443">((S$290/60%))*7%</f>
        <v>2812.3135085446929</v>
      </c>
      <c r="T306" s="260">
        <f t="shared" si="443"/>
        <v>5375.571864432085</v>
      </c>
      <c r="U306" s="260">
        <f t="shared" si="443"/>
        <v>7826.1547020145044</v>
      </c>
      <c r="V306" s="260">
        <f t="shared" si="443"/>
        <v>5587.4907168869868</v>
      </c>
      <c r="W306" s="260">
        <f t="shared" si="443"/>
        <v>5597.6142693765023</v>
      </c>
      <c r="X306" s="260">
        <f t="shared" si="443"/>
        <v>7865.3144436898619</v>
      </c>
      <c r="Y306" s="260">
        <f t="shared" si="443"/>
        <v>5983.3598849146583</v>
      </c>
      <c r="Z306" s="260">
        <f t="shared" si="443"/>
        <v>5983.3599788996935</v>
      </c>
      <c r="AA306" s="260">
        <f t="shared" si="443"/>
        <v>8491.2161238748358</v>
      </c>
      <c r="AB306" s="260">
        <f t="shared" si="443"/>
        <v>5983.3601725464569</v>
      </c>
      <c r="AC306" s="260">
        <f t="shared" si="443"/>
        <v>5983.3602722841279</v>
      </c>
      <c r="AD306" s="260">
        <f t="shared" si="443"/>
        <v>8491.2164231269562</v>
      </c>
      <c r="AE306" s="260">
        <f t="shared" si="443"/>
        <v>5983.3604777836226</v>
      </c>
      <c r="AF306" s="260">
        <f t="shared" si="443"/>
        <v>5983.3605836260358</v>
      </c>
      <c r="AG306" s="260">
        <f t="shared" si="443"/>
        <v>8491.2167406957051</v>
      </c>
      <c r="AH306" s="260">
        <f t="shared" si="443"/>
        <v>5983.3608017037459</v>
      </c>
      <c r="AI306" s="260">
        <f t="shared" si="443"/>
        <v>5983.3609140245617</v>
      </c>
      <c r="AJ306" s="260">
        <f t="shared" si="443"/>
        <v>8491.2170777021965</v>
      </c>
      <c r="AK306" s="260">
        <f t="shared" si="443"/>
        <v>5983.3611454503698</v>
      </c>
      <c r="AL306" s="260">
        <f t="shared" si="443"/>
        <v>5983.3612646461179</v>
      </c>
      <c r="AM306" s="260">
        <f t="shared" si="443"/>
        <v>8491.2174353361861</v>
      </c>
      <c r="AN306" s="260">
        <f t="shared" si="443"/>
        <v>5983.3615102370377</v>
      </c>
      <c r="AO306" s="260">
        <f t="shared" si="443"/>
        <v>5983.3616367285185</v>
      </c>
      <c r="AP306" s="260">
        <f t="shared" si="443"/>
        <v>8491.2178148602361</v>
      </c>
      <c r="AQ306" s="260">
        <f t="shared" si="443"/>
        <v>5983.3618973515695</v>
      </c>
      <c r="AR306" s="260">
        <f t="shared" si="443"/>
        <v>5983.3620315853404</v>
      </c>
      <c r="AS306" s="260">
        <f t="shared" si="443"/>
        <v>8491.218217614196</v>
      </c>
      <c r="AT306" s="260">
        <f t="shared" si="443"/>
        <v>5983.3623081606074</v>
      </c>
      <c r="AU306" s="260">
        <f t="shared" si="443"/>
        <v>5983.3624506105589</v>
      </c>
      <c r="AV306" s="260">
        <f t="shared" si="443"/>
        <v>8491.2186450199169</v>
      </c>
      <c r="AW306" s="26"/>
      <c r="AX306" s="27"/>
    </row>
    <row r="307" spans="1:50" ht="12.75" hidden="1" customHeight="1" outlineLevel="1">
      <c r="A307" s="296"/>
      <c r="B307" s="396" t="s">
        <v>347</v>
      </c>
      <c r="C307" s="23" t="s">
        <v>130</v>
      </c>
      <c r="D307" s="384"/>
      <c r="E307" s="24"/>
      <c r="F307" s="225"/>
      <c r="G307" s="12"/>
      <c r="H307" s="12"/>
      <c r="I307" s="225"/>
      <c r="J307" s="12"/>
      <c r="K307" s="12"/>
      <c r="L307" s="12"/>
      <c r="M307" s="12"/>
      <c r="N307" s="12"/>
      <c r="O307" s="260"/>
      <c r="P307" s="260"/>
      <c r="Q307" s="260"/>
      <c r="R307" s="260"/>
      <c r="S307" s="260">
        <f t="shared" ref="S307:AV307" si="444">((S$290/60%))*5%</f>
        <v>2008.795363246209</v>
      </c>
      <c r="T307" s="260">
        <f t="shared" si="444"/>
        <v>3839.6941888800607</v>
      </c>
      <c r="U307" s="260">
        <f t="shared" si="444"/>
        <v>5590.1105014389323</v>
      </c>
      <c r="V307" s="260">
        <f t="shared" si="444"/>
        <v>3991.0647977764188</v>
      </c>
      <c r="W307" s="260">
        <f t="shared" si="444"/>
        <v>3998.2959066975013</v>
      </c>
      <c r="X307" s="260">
        <f t="shared" si="444"/>
        <v>5618.0817454927583</v>
      </c>
      <c r="Y307" s="260">
        <f t="shared" si="444"/>
        <v>4273.8284892247557</v>
      </c>
      <c r="Z307" s="260">
        <f t="shared" si="444"/>
        <v>4273.8285563569234</v>
      </c>
      <c r="AA307" s="260">
        <f t="shared" si="444"/>
        <v>6065.1543741963105</v>
      </c>
      <c r="AB307" s="260">
        <f t="shared" si="444"/>
        <v>4273.8286946760409</v>
      </c>
      <c r="AC307" s="260">
        <f t="shared" si="444"/>
        <v>4273.8287659172338</v>
      </c>
      <c r="AD307" s="260">
        <f t="shared" si="444"/>
        <v>6065.1545879478253</v>
      </c>
      <c r="AE307" s="260">
        <f t="shared" si="444"/>
        <v>4273.8289127025873</v>
      </c>
      <c r="AF307" s="260">
        <f t="shared" si="444"/>
        <v>4273.8289883043108</v>
      </c>
      <c r="AG307" s="260">
        <f t="shared" si="444"/>
        <v>6065.154814782647</v>
      </c>
      <c r="AH307" s="260">
        <f t="shared" si="444"/>
        <v>4273.8291440741041</v>
      </c>
      <c r="AI307" s="260">
        <f t="shared" si="444"/>
        <v>4273.8292243032583</v>
      </c>
      <c r="AJ307" s="260">
        <f t="shared" si="444"/>
        <v>6065.1550555015692</v>
      </c>
      <c r="AK307" s="260">
        <f t="shared" si="444"/>
        <v>4273.8293896074065</v>
      </c>
      <c r="AL307" s="260">
        <f t="shared" si="444"/>
        <v>4273.8294747472273</v>
      </c>
      <c r="AM307" s="260">
        <f t="shared" si="444"/>
        <v>6065.1553109544184</v>
      </c>
      <c r="AN307" s="260">
        <f t="shared" si="444"/>
        <v>4273.8296501693121</v>
      </c>
      <c r="AO307" s="260">
        <f t="shared" si="444"/>
        <v>4273.8297405203703</v>
      </c>
      <c r="AP307" s="260">
        <f t="shared" si="444"/>
        <v>6065.1555820430258</v>
      </c>
      <c r="AQ307" s="260">
        <f t="shared" si="444"/>
        <v>4273.8299266796921</v>
      </c>
      <c r="AR307" s="260">
        <f t="shared" si="444"/>
        <v>4273.8300225609573</v>
      </c>
      <c r="AS307" s="260">
        <f t="shared" si="444"/>
        <v>6065.1558697244254</v>
      </c>
      <c r="AT307" s="260">
        <f t="shared" si="444"/>
        <v>4273.8302201147189</v>
      </c>
      <c r="AU307" s="260">
        <f t="shared" si="444"/>
        <v>4273.8303218646852</v>
      </c>
      <c r="AV307" s="260">
        <f t="shared" si="444"/>
        <v>6065.1561750142264</v>
      </c>
      <c r="AW307" s="26"/>
      <c r="AX307" s="27"/>
    </row>
    <row r="308" spans="1:50" ht="12.75" hidden="1" customHeight="1" outlineLevel="1">
      <c r="A308" s="296"/>
      <c r="B308" s="397" t="s">
        <v>47</v>
      </c>
      <c r="C308" s="380" t="s">
        <v>130</v>
      </c>
      <c r="D308" s="384"/>
      <c r="E308" s="24"/>
      <c r="F308" s="225"/>
      <c r="G308" s="12"/>
      <c r="H308" s="12"/>
      <c r="I308" s="225"/>
      <c r="J308" s="12"/>
      <c r="K308" s="12"/>
      <c r="L308" s="12"/>
      <c r="M308" s="398"/>
      <c r="N308" s="398"/>
      <c r="O308" s="43"/>
      <c r="P308" s="43"/>
      <c r="Q308" s="43">
        <f t="shared" ref="Q308" si="445">SUM(Q302:Q307)</f>
        <v>0</v>
      </c>
      <c r="R308" s="43">
        <f t="shared" ref="R308" si="446">SUM(R302:R307)</f>
        <v>0</v>
      </c>
      <c r="S308" s="43">
        <f t="shared" ref="S308:V308" si="447">SUM(S302:S307)</f>
        <v>39922.874061022303</v>
      </c>
      <c r="T308" s="43">
        <f t="shared" si="447"/>
        <v>88741.274431971382</v>
      </c>
      <c r="U308" s="43">
        <f t="shared" si="447"/>
        <v>132481.11124218776</v>
      </c>
      <c r="V308" s="43">
        <f t="shared" si="447"/>
        <v>87086.606439963507</v>
      </c>
      <c r="W308" s="43">
        <f t="shared" ref="W308:AV308" si="448">SUM(W302:W307)</f>
        <v>86214.812453319944</v>
      </c>
      <c r="X308" s="43">
        <f t="shared" si="448"/>
        <v>129108.85359385292</v>
      </c>
      <c r="Y308" s="43">
        <f t="shared" si="448"/>
        <v>91402.585628395915</v>
      </c>
      <c r="Z308" s="43">
        <f t="shared" si="448"/>
        <v>90907.915426011969</v>
      </c>
      <c r="AA308" s="43">
        <f t="shared" si="448"/>
        <v>139080.49051570109</v>
      </c>
      <c r="AB308" s="43">
        <f t="shared" si="448"/>
        <v>89888.69694102004</v>
      </c>
      <c r="AC308" s="43">
        <f t="shared" si="448"/>
        <v>89363.748964888597</v>
      </c>
      <c r="AD308" s="43">
        <f t="shared" si="448"/>
        <v>137505.44072535523</v>
      </c>
      <c r="AE308" s="43">
        <f t="shared" si="448"/>
        <v>88282.146154867281</v>
      </c>
      <c r="AF308" s="43">
        <f t="shared" si="448"/>
        <v>87725.067163012747</v>
      </c>
      <c r="AG308" s="43">
        <f t="shared" si="448"/>
        <v>135833.98528744187</v>
      </c>
      <c r="AH308" s="43">
        <f t="shared" si="448"/>
        <v>86577.261608195666</v>
      </c>
      <c r="AI308" s="43">
        <f t="shared" si="448"/>
        <v>85986.084925407704</v>
      </c>
      <c r="AJ308" s="43">
        <f t="shared" si="448"/>
        <v>134060.22340508469</v>
      </c>
      <c r="AK308" s="43">
        <f t="shared" si="448"/>
        <v>84768.024488191353</v>
      </c>
      <c r="AL308" s="43">
        <f t="shared" si="448"/>
        <v>84831.326508351747</v>
      </c>
      <c r="AM308" s="43">
        <f t="shared" si="448"/>
        <v>132177.89310543225</v>
      </c>
      <c r="AN308" s="43">
        <f t="shared" si="448"/>
        <v>85638.568409564861</v>
      </c>
      <c r="AO308" s="43">
        <f t="shared" si="448"/>
        <v>86054.337951159949</v>
      </c>
      <c r="AP308" s="43">
        <f t="shared" si="448"/>
        <v>130180.34913279864</v>
      </c>
      <c r="AQ308" s="43">
        <f t="shared" si="448"/>
        <v>86910.98951466252</v>
      </c>
      <c r="AR308" s="43">
        <f t="shared" si="448"/>
        <v>87352.207478359545</v>
      </c>
      <c r="AS308" s="43">
        <f t="shared" si="448"/>
        <v>128060.53948868811</v>
      </c>
      <c r="AT308" s="43">
        <f t="shared" si="448"/>
        <v>88261.292970760987</v>
      </c>
      <c r="AU308" s="43">
        <f t="shared" si="448"/>
        <v>88729.517003580011</v>
      </c>
      <c r="AV308" s="43">
        <f t="shared" si="448"/>
        <v>125810.98053588082</v>
      </c>
      <c r="AW308" s="26"/>
      <c r="AX308" s="27"/>
    </row>
    <row r="309" spans="1:50" ht="12.75" hidden="1" customHeight="1" outlineLevel="1">
      <c r="A309" s="296"/>
      <c r="B309" s="396"/>
      <c r="C309" s="23"/>
      <c r="D309" s="384"/>
      <c r="E309" s="24"/>
      <c r="F309" s="225"/>
      <c r="G309" s="12"/>
      <c r="H309" s="12"/>
      <c r="I309" s="225"/>
      <c r="J309" s="12"/>
      <c r="K309" s="12"/>
      <c r="L309" s="12"/>
      <c r="M309" s="12"/>
      <c r="N309" s="12"/>
      <c r="O309" s="225"/>
      <c r="P309" s="12"/>
      <c r="Q309" s="225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26"/>
      <c r="AX309" s="27"/>
    </row>
    <row r="310" spans="1:50" ht="12.6" hidden="1" customHeight="1" outlineLevel="1">
      <c r="A310" s="296"/>
      <c r="B310" s="13" t="s">
        <v>348</v>
      </c>
      <c r="C310" s="380"/>
      <c r="D310" s="384"/>
      <c r="E310" s="24"/>
      <c r="F310" s="280"/>
      <c r="G310" s="24"/>
      <c r="H310" s="24"/>
      <c r="I310" s="24"/>
      <c r="J310" s="24"/>
      <c r="K310" s="24"/>
      <c r="L310" s="24"/>
      <c r="M310" s="24"/>
      <c r="N310" s="9"/>
      <c r="O310" s="9"/>
      <c r="P310" s="9"/>
      <c r="Q310" s="9"/>
      <c r="R310" s="153"/>
      <c r="S310" s="153"/>
      <c r="T310" s="153"/>
      <c r="U310" s="153"/>
      <c r="V310" s="153"/>
      <c r="W310" s="153"/>
      <c r="X310" s="153"/>
      <c r="Y310" s="153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26"/>
      <c r="AX310" s="27"/>
    </row>
    <row r="311" spans="1:50" ht="12.6" hidden="1" customHeight="1" outlineLevel="1">
      <c r="A311" s="296"/>
      <c r="B311" s="396" t="s">
        <v>343</v>
      </c>
      <c r="C311" s="23" t="s">
        <v>130</v>
      </c>
      <c r="D311" s="384"/>
      <c r="E311" s="24"/>
      <c r="F311" s="280"/>
      <c r="G311" s="24"/>
      <c r="H311" s="24"/>
      <c r="I311" s="24"/>
      <c r="J311" s="24"/>
      <c r="K311" s="24"/>
      <c r="L311" s="24"/>
      <c r="M311" s="24"/>
      <c r="N311" s="219">
        <f>IF(N302&gt;0,N302/N$997,0)</f>
        <v>0</v>
      </c>
      <c r="O311" s="219"/>
      <c r="P311" s="219"/>
      <c r="Q311" s="219">
        <f>IF(Q299&gt;0,Q302/Q$299,0)</f>
        <v>0</v>
      </c>
      <c r="R311" s="219">
        <f>IF(R299&gt;0,R302/R$299,0)</f>
        <v>0</v>
      </c>
      <c r="S311" s="219">
        <f t="shared" ref="S311:AV311" si="449">IF(S299&gt;0,S302/S$299,0)</f>
        <v>0</v>
      </c>
      <c r="T311" s="219">
        <f>IF(T299&gt;0,T302/T$299,0)</f>
        <v>0</v>
      </c>
      <c r="U311" s="219">
        <f t="shared" si="449"/>
        <v>0</v>
      </c>
      <c r="V311" s="219">
        <f t="shared" si="449"/>
        <v>0</v>
      </c>
      <c r="W311" s="219">
        <f t="shared" si="449"/>
        <v>0</v>
      </c>
      <c r="X311" s="219">
        <f t="shared" si="449"/>
        <v>0</v>
      </c>
      <c r="Y311" s="219">
        <f t="shared" si="449"/>
        <v>0</v>
      </c>
      <c r="Z311" s="219">
        <f t="shared" si="449"/>
        <v>0</v>
      </c>
      <c r="AA311" s="219">
        <f t="shared" si="449"/>
        <v>0</v>
      </c>
      <c r="AB311" s="219">
        <f t="shared" si="449"/>
        <v>0</v>
      </c>
      <c r="AC311" s="219">
        <f t="shared" si="449"/>
        <v>0</v>
      </c>
      <c r="AD311" s="219">
        <f t="shared" si="449"/>
        <v>0</v>
      </c>
      <c r="AE311" s="219">
        <f t="shared" si="449"/>
        <v>0</v>
      </c>
      <c r="AF311" s="219">
        <f t="shared" si="449"/>
        <v>0</v>
      </c>
      <c r="AG311" s="219">
        <f t="shared" si="449"/>
        <v>0</v>
      </c>
      <c r="AH311" s="219">
        <f t="shared" si="449"/>
        <v>0</v>
      </c>
      <c r="AI311" s="219">
        <f t="shared" si="449"/>
        <v>0</v>
      </c>
      <c r="AJ311" s="219">
        <f t="shared" si="449"/>
        <v>0</v>
      </c>
      <c r="AK311" s="219">
        <f t="shared" si="449"/>
        <v>0</v>
      </c>
      <c r="AL311" s="219">
        <f t="shared" si="449"/>
        <v>4.5818946435376724E-3</v>
      </c>
      <c r="AM311" s="219">
        <f t="shared" si="449"/>
        <v>0</v>
      </c>
      <c r="AN311" s="219">
        <f t="shared" si="449"/>
        <v>1.8512449140469088E-2</v>
      </c>
      <c r="AO311" s="219">
        <f t="shared" si="449"/>
        <v>2.5687373891618261E-2</v>
      </c>
      <c r="AP311" s="219">
        <f t="shared" si="449"/>
        <v>0</v>
      </c>
      <c r="AQ311" s="219">
        <f t="shared" si="449"/>
        <v>4.0470587892434247E-2</v>
      </c>
      <c r="AR311" s="219">
        <f t="shared" si="449"/>
        <v>4.8084674442659334E-2</v>
      </c>
      <c r="AS311" s="219">
        <f t="shared" si="449"/>
        <v>0</v>
      </c>
      <c r="AT311" s="219">
        <f t="shared" si="449"/>
        <v>6.3772737293623288E-2</v>
      </c>
      <c r="AU311" s="219">
        <f t="shared" si="449"/>
        <v>7.1852865732779103E-2</v>
      </c>
      <c r="AV311" s="219">
        <f t="shared" si="449"/>
        <v>0</v>
      </c>
      <c r="AW311" s="26"/>
      <c r="AX311" s="27"/>
    </row>
    <row r="312" spans="1:50" ht="12.6" hidden="1" customHeight="1" outlineLevel="1">
      <c r="A312" s="296"/>
      <c r="B312" s="396" t="s">
        <v>395</v>
      </c>
      <c r="C312" s="23"/>
      <c r="D312" s="384"/>
      <c r="E312" s="24"/>
      <c r="F312" s="280"/>
      <c r="G312" s="24"/>
      <c r="H312" s="24"/>
      <c r="I312" s="24"/>
      <c r="J312" s="24"/>
      <c r="K312" s="24"/>
      <c r="L312" s="24"/>
      <c r="M312" s="24"/>
      <c r="N312" s="219"/>
      <c r="O312" s="219"/>
      <c r="P312" s="219"/>
      <c r="Q312" s="219">
        <f t="shared" ref="Q312:S312" si="450">IF(Q299&gt;0,Q303/Q$299,0)</f>
        <v>0</v>
      </c>
      <c r="R312" s="219">
        <f t="shared" si="450"/>
        <v>0</v>
      </c>
      <c r="S312" s="219">
        <f t="shared" si="450"/>
        <v>0.22306296771564682</v>
      </c>
      <c r="T312" s="219">
        <f>IF(T299&gt;0,T303/T$299,0)</f>
        <v>0.31968659685889883</v>
      </c>
      <c r="U312" s="219">
        <f t="shared" ref="U312:AV312" si="451">IF(U299&gt;0,U303/U$299,0)</f>
        <v>0.32036367673004423</v>
      </c>
      <c r="V312" s="219">
        <f t="shared" si="451"/>
        <v>0.26709446356219246</v>
      </c>
      <c r="W312" s="219">
        <f t="shared" si="451"/>
        <v>0.25979348911979194</v>
      </c>
      <c r="X312" s="219">
        <f t="shared" si="451"/>
        <v>0.29999945428328489</v>
      </c>
      <c r="Y312" s="219">
        <f t="shared" si="451"/>
        <v>0.25479469656296544</v>
      </c>
      <c r="Z312" s="219">
        <f t="shared" si="451"/>
        <v>0.25151302032646122</v>
      </c>
      <c r="AA312" s="219">
        <f t="shared" si="451"/>
        <v>0.29858527906049559</v>
      </c>
      <c r="AB312" s="219">
        <f t="shared" si="451"/>
        <v>0.2447514549338097</v>
      </c>
      <c r="AC312" s="219">
        <f t="shared" si="451"/>
        <v>0.2412689141963949</v>
      </c>
      <c r="AD312" s="219">
        <f t="shared" si="451"/>
        <v>0.29122236753314762</v>
      </c>
      <c r="AE312" s="219">
        <f t="shared" si="451"/>
        <v>0.23409348762707516</v>
      </c>
      <c r="AF312" s="219">
        <f t="shared" si="451"/>
        <v>0.23039778791704266</v>
      </c>
      <c r="AG312" s="219">
        <f t="shared" si="451"/>
        <v>0.2834087874846295</v>
      </c>
      <c r="AH312" s="219">
        <f t="shared" si="451"/>
        <v>0.2227831686467231</v>
      </c>
      <c r="AI312" s="219">
        <f t="shared" si="451"/>
        <v>0.2188612629777244</v>
      </c>
      <c r="AJ312" s="219">
        <f t="shared" si="451"/>
        <v>0.27511695446770673</v>
      </c>
      <c r="AK312" s="219">
        <f t="shared" si="451"/>
        <v>0.21078056900155878</v>
      </c>
      <c r="AL312" s="219">
        <f t="shared" si="451"/>
        <v>0.2066186118133666</v>
      </c>
      <c r="AM312" s="219">
        <f t="shared" si="451"/>
        <v>0.26631759565533286</v>
      </c>
      <c r="AN312" s="219">
        <f t="shared" si="451"/>
        <v>0.19804331574562412</v>
      </c>
      <c r="AO312" s="219">
        <f t="shared" si="451"/>
        <v>0.19362661402578726</v>
      </c>
      <c r="AP312" s="219">
        <f t="shared" si="451"/>
        <v>0.2569796464994375</v>
      </c>
      <c r="AQ312" s="219">
        <f t="shared" si="451"/>
        <v>0.18452644239100285</v>
      </c>
      <c r="AR312" s="219">
        <f t="shared" si="451"/>
        <v>0.17983940380485192</v>
      </c>
      <c r="AS312" s="219">
        <f t="shared" si="451"/>
        <v>0.24707014106455011</v>
      </c>
      <c r="AT312" s="219">
        <f t="shared" si="451"/>
        <v>0.17018223016499412</v>
      </c>
      <c r="AU312" s="219">
        <f t="shared" si="451"/>
        <v>0.16520830801089684</v>
      </c>
      <c r="AV312" s="219">
        <f t="shared" si="451"/>
        <v>0.2365540956491248</v>
      </c>
      <c r="AW312" s="26"/>
      <c r="AX312" s="27"/>
    </row>
    <row r="313" spans="1:50" ht="12.6" hidden="1" customHeight="1" outlineLevel="1">
      <c r="A313" s="296"/>
      <c r="B313" s="396" t="s">
        <v>344</v>
      </c>
      <c r="C313" s="23" t="s">
        <v>130</v>
      </c>
      <c r="D313" s="384"/>
      <c r="E313" s="24"/>
      <c r="F313" s="280"/>
      <c r="G313" s="24"/>
      <c r="H313" s="24"/>
      <c r="I313" s="24"/>
      <c r="J313" s="24"/>
      <c r="K313" s="24"/>
      <c r="L313" s="24"/>
      <c r="M313" s="24"/>
      <c r="N313" s="219">
        <f>IF(N304&gt;0,N304/N$997,0)</f>
        <v>0</v>
      </c>
      <c r="O313" s="219"/>
      <c r="P313" s="219"/>
      <c r="Q313" s="219">
        <f>IF(Q299&gt;0,Q304/Q$299,0)</f>
        <v>0</v>
      </c>
      <c r="R313" s="219">
        <f>IF(R299&gt;0,R304/R$299,0)</f>
        <v>0</v>
      </c>
      <c r="S313" s="219">
        <f t="shared" ref="S313:AV313" si="452">IF(S299&gt;0,S304/S$299,0)</f>
        <v>0.20891530275</v>
      </c>
      <c r="T313" s="219">
        <f t="shared" si="452"/>
        <v>0.20891530275</v>
      </c>
      <c r="U313" s="219">
        <f t="shared" si="452"/>
        <v>0.1984695376125</v>
      </c>
      <c r="V313" s="219">
        <f t="shared" si="452"/>
        <v>0.1984695376125</v>
      </c>
      <c r="W313" s="219">
        <f t="shared" si="452"/>
        <v>0.19846953761249994</v>
      </c>
      <c r="X313" s="219">
        <f t="shared" si="452"/>
        <v>0.1984695376125</v>
      </c>
      <c r="Y313" s="219">
        <f t="shared" si="452"/>
        <v>0.19846953761249997</v>
      </c>
      <c r="Z313" s="219">
        <f t="shared" si="452"/>
        <v>0.1984695376125</v>
      </c>
      <c r="AA313" s="219">
        <f t="shared" si="452"/>
        <v>0.1984695376125</v>
      </c>
      <c r="AB313" s="219">
        <f t="shared" si="452"/>
        <v>0.1984695376125</v>
      </c>
      <c r="AC313" s="219">
        <f t="shared" si="452"/>
        <v>0.1984695376125</v>
      </c>
      <c r="AD313" s="219">
        <f t="shared" si="452"/>
        <v>0.19846953761249994</v>
      </c>
      <c r="AE313" s="219">
        <f t="shared" si="452"/>
        <v>0.19846953761249997</v>
      </c>
      <c r="AF313" s="219">
        <f t="shared" si="452"/>
        <v>0.19846953761249994</v>
      </c>
      <c r="AG313" s="219">
        <f t="shared" si="452"/>
        <v>0.1984695376125</v>
      </c>
      <c r="AH313" s="219">
        <f t="shared" si="452"/>
        <v>0.1984695376125</v>
      </c>
      <c r="AI313" s="219">
        <f t="shared" si="452"/>
        <v>0.1984695376125</v>
      </c>
      <c r="AJ313" s="219">
        <f t="shared" si="452"/>
        <v>0.19846953761249997</v>
      </c>
      <c r="AK313" s="219">
        <f t="shared" si="452"/>
        <v>0.19846953761249997</v>
      </c>
      <c r="AL313" s="219">
        <f t="shared" si="452"/>
        <v>0.1984695376125</v>
      </c>
      <c r="AM313" s="219">
        <f t="shared" si="452"/>
        <v>0.19846953761249997</v>
      </c>
      <c r="AN313" s="219">
        <f t="shared" si="452"/>
        <v>0.19846953761249997</v>
      </c>
      <c r="AO313" s="219">
        <f t="shared" si="452"/>
        <v>0.19846953761249994</v>
      </c>
      <c r="AP313" s="219">
        <f t="shared" si="452"/>
        <v>0.19846953761249997</v>
      </c>
      <c r="AQ313" s="219">
        <f t="shared" si="452"/>
        <v>0.19846953761249997</v>
      </c>
      <c r="AR313" s="219">
        <f t="shared" si="452"/>
        <v>0.19846953761249994</v>
      </c>
      <c r="AS313" s="219">
        <f t="shared" si="452"/>
        <v>0.1984695376125</v>
      </c>
      <c r="AT313" s="219">
        <f t="shared" si="452"/>
        <v>0.19846953761250002</v>
      </c>
      <c r="AU313" s="219">
        <f t="shared" si="452"/>
        <v>0.1984695376125</v>
      </c>
      <c r="AV313" s="219">
        <f t="shared" si="452"/>
        <v>0.1984695376125</v>
      </c>
      <c r="AW313" s="26"/>
      <c r="AX313" s="27"/>
    </row>
    <row r="314" spans="1:50" ht="12.6" hidden="1" customHeight="1" outlineLevel="1">
      <c r="A314" s="296"/>
      <c r="B314" s="396" t="s">
        <v>345</v>
      </c>
      <c r="C314" s="23" t="s">
        <v>130</v>
      </c>
      <c r="D314" s="384"/>
      <c r="E314" s="24"/>
      <c r="F314" s="280"/>
      <c r="G314" s="24"/>
      <c r="H314" s="24"/>
      <c r="I314" s="24"/>
      <c r="J314" s="24"/>
      <c r="K314" s="24"/>
      <c r="L314" s="24"/>
      <c r="M314" s="24"/>
      <c r="N314" s="219">
        <f>IF(N305&gt;0,N305/N$997,0)</f>
        <v>0</v>
      </c>
      <c r="O314" s="219"/>
      <c r="P314" s="219"/>
      <c r="Q314" s="219">
        <f>IF(Q299&gt;0,Q305/Q$299,0)</f>
        <v>0</v>
      </c>
      <c r="R314" s="219">
        <f>IF(R299&gt;0,R305/R$299,0)</f>
        <v>0</v>
      </c>
      <c r="S314" s="219">
        <f t="shared" ref="S314:AV314" si="453">IF(S299&gt;0,S305/S$299,0)</f>
        <v>8.9535129749999998E-2</v>
      </c>
      <c r="T314" s="219">
        <f t="shared" si="453"/>
        <v>8.9535129750000012E-2</v>
      </c>
      <c r="U314" s="219">
        <f t="shared" si="453"/>
        <v>8.5058373262500001E-2</v>
      </c>
      <c r="V314" s="219">
        <f t="shared" si="453"/>
        <v>8.5058373262500001E-2</v>
      </c>
      <c r="W314" s="219">
        <f t="shared" si="453"/>
        <v>8.5058373262499987E-2</v>
      </c>
      <c r="X314" s="219">
        <f t="shared" si="453"/>
        <v>8.5058373262500001E-2</v>
      </c>
      <c r="Y314" s="219">
        <f t="shared" si="453"/>
        <v>8.5058373262499987E-2</v>
      </c>
      <c r="Z314" s="219">
        <f t="shared" si="453"/>
        <v>8.5058373262500001E-2</v>
      </c>
      <c r="AA314" s="219">
        <f t="shared" si="453"/>
        <v>8.5058373262500001E-2</v>
      </c>
      <c r="AB314" s="219">
        <f t="shared" si="453"/>
        <v>8.5058373262500001E-2</v>
      </c>
      <c r="AC314" s="219">
        <f t="shared" si="453"/>
        <v>8.5058373262500001E-2</v>
      </c>
      <c r="AD314" s="219">
        <f t="shared" si="453"/>
        <v>8.5058373262499987E-2</v>
      </c>
      <c r="AE314" s="219">
        <f t="shared" si="453"/>
        <v>8.5058373262500001E-2</v>
      </c>
      <c r="AF314" s="219">
        <f t="shared" si="453"/>
        <v>8.5058373262499987E-2</v>
      </c>
      <c r="AG314" s="219">
        <f t="shared" si="453"/>
        <v>8.5058373262500001E-2</v>
      </c>
      <c r="AH314" s="219">
        <f t="shared" si="453"/>
        <v>8.5058373262499987E-2</v>
      </c>
      <c r="AI314" s="219">
        <f t="shared" si="453"/>
        <v>8.5058373262500001E-2</v>
      </c>
      <c r="AJ314" s="219">
        <f t="shared" si="453"/>
        <v>8.5058373262499987E-2</v>
      </c>
      <c r="AK314" s="219">
        <f t="shared" si="453"/>
        <v>8.5058373262499987E-2</v>
      </c>
      <c r="AL314" s="219">
        <f t="shared" si="453"/>
        <v>8.5058373262500001E-2</v>
      </c>
      <c r="AM314" s="219">
        <f t="shared" si="453"/>
        <v>8.5058373262499987E-2</v>
      </c>
      <c r="AN314" s="219">
        <f t="shared" si="453"/>
        <v>8.5058373262499987E-2</v>
      </c>
      <c r="AO314" s="219">
        <f t="shared" si="453"/>
        <v>8.5058373262499987E-2</v>
      </c>
      <c r="AP314" s="219">
        <f t="shared" si="453"/>
        <v>8.5058373262500001E-2</v>
      </c>
      <c r="AQ314" s="219">
        <f t="shared" si="453"/>
        <v>8.5058373262500001E-2</v>
      </c>
      <c r="AR314" s="219">
        <f t="shared" si="453"/>
        <v>8.5058373262499987E-2</v>
      </c>
      <c r="AS314" s="219">
        <f t="shared" si="453"/>
        <v>8.5058373262499987E-2</v>
      </c>
      <c r="AT314" s="219">
        <f t="shared" si="453"/>
        <v>8.5058373262500014E-2</v>
      </c>
      <c r="AU314" s="219">
        <f t="shared" si="453"/>
        <v>8.5058373262500001E-2</v>
      </c>
      <c r="AV314" s="219">
        <f t="shared" si="453"/>
        <v>8.5058373262500001E-2</v>
      </c>
      <c r="AW314" s="26"/>
      <c r="AX314" s="27"/>
    </row>
    <row r="315" spans="1:50" ht="12.75" hidden="1" customHeight="1" outlineLevel="1">
      <c r="A315" s="296"/>
      <c r="B315" s="396" t="s">
        <v>346</v>
      </c>
      <c r="C315" s="23" t="s">
        <v>130</v>
      </c>
      <c r="D315" s="384"/>
      <c r="E315" s="24"/>
      <c r="F315" s="280"/>
      <c r="G315" s="24"/>
      <c r="H315" s="24"/>
      <c r="I315" s="24"/>
      <c r="J315" s="24"/>
      <c r="K315" s="24"/>
      <c r="L315" s="24"/>
      <c r="M315" s="24"/>
      <c r="N315" s="219">
        <f>IF(N306&gt;0,N306/N$997,0)</f>
        <v>0</v>
      </c>
      <c r="O315" s="219"/>
      <c r="P315" s="219"/>
      <c r="Q315" s="219">
        <f>IF(Q299&gt;0,Q306/Q$299,0)</f>
        <v>0</v>
      </c>
      <c r="R315" s="219">
        <f>IF(R299&gt;0,R306/R$299,0)</f>
        <v>0</v>
      </c>
      <c r="S315" s="219">
        <f t="shared" ref="S315:AV315" si="454">IF(S299&gt;0,S306/S$299,0)</f>
        <v>4.1783060550000008E-2</v>
      </c>
      <c r="T315" s="219">
        <f t="shared" si="454"/>
        <v>4.1783060550000008E-2</v>
      </c>
      <c r="U315" s="219">
        <f t="shared" si="454"/>
        <v>3.9693907522500002E-2</v>
      </c>
      <c r="V315" s="219">
        <f t="shared" si="454"/>
        <v>3.9693907522500002E-2</v>
      </c>
      <c r="W315" s="219">
        <f t="shared" si="454"/>
        <v>3.9693907522499995E-2</v>
      </c>
      <c r="X315" s="219">
        <f t="shared" si="454"/>
        <v>3.9693907522500002E-2</v>
      </c>
      <c r="Y315" s="219">
        <f t="shared" si="454"/>
        <v>3.9693907522500002E-2</v>
      </c>
      <c r="Z315" s="219">
        <f t="shared" si="454"/>
        <v>3.9693907522500009E-2</v>
      </c>
      <c r="AA315" s="219">
        <f t="shared" si="454"/>
        <v>3.9693907522500002E-2</v>
      </c>
      <c r="AB315" s="219">
        <f t="shared" si="454"/>
        <v>3.9693907522500002E-2</v>
      </c>
      <c r="AC315" s="219">
        <f t="shared" si="454"/>
        <v>3.9693907522500002E-2</v>
      </c>
      <c r="AD315" s="219">
        <f t="shared" si="454"/>
        <v>3.9693907522499995E-2</v>
      </c>
      <c r="AE315" s="219">
        <f t="shared" si="454"/>
        <v>3.9693907522500009E-2</v>
      </c>
      <c r="AF315" s="219">
        <f t="shared" si="454"/>
        <v>3.9693907522500002E-2</v>
      </c>
      <c r="AG315" s="219">
        <f t="shared" si="454"/>
        <v>3.9693907522500002E-2</v>
      </c>
      <c r="AH315" s="219">
        <f t="shared" si="454"/>
        <v>3.9693907522500002E-2</v>
      </c>
      <c r="AI315" s="219">
        <f t="shared" si="454"/>
        <v>3.9693907522500009E-2</v>
      </c>
      <c r="AJ315" s="219">
        <f t="shared" si="454"/>
        <v>3.9693907522499995E-2</v>
      </c>
      <c r="AK315" s="219">
        <f t="shared" si="454"/>
        <v>3.9693907522500002E-2</v>
      </c>
      <c r="AL315" s="219">
        <f t="shared" si="454"/>
        <v>3.9693907522500002E-2</v>
      </c>
      <c r="AM315" s="219">
        <f t="shared" si="454"/>
        <v>3.9693907522499995E-2</v>
      </c>
      <c r="AN315" s="219">
        <f t="shared" si="454"/>
        <v>3.9693907522500002E-2</v>
      </c>
      <c r="AO315" s="219">
        <f t="shared" si="454"/>
        <v>3.9693907522499995E-2</v>
      </c>
      <c r="AP315" s="219">
        <f t="shared" si="454"/>
        <v>3.9693907522500002E-2</v>
      </c>
      <c r="AQ315" s="219">
        <f t="shared" si="454"/>
        <v>3.9693907522500002E-2</v>
      </c>
      <c r="AR315" s="219">
        <f t="shared" si="454"/>
        <v>3.9693907522499995E-2</v>
      </c>
      <c r="AS315" s="219">
        <f t="shared" si="454"/>
        <v>3.9693907522500002E-2</v>
      </c>
      <c r="AT315" s="219">
        <f t="shared" si="454"/>
        <v>3.9693907522500009E-2</v>
      </c>
      <c r="AU315" s="219">
        <f t="shared" si="454"/>
        <v>3.9693907522500002E-2</v>
      </c>
      <c r="AV315" s="219">
        <f t="shared" si="454"/>
        <v>3.9693907522500002E-2</v>
      </c>
      <c r="AW315" s="26"/>
      <c r="AX315" s="27"/>
    </row>
    <row r="316" spans="1:50" ht="12.75" hidden="1" customHeight="1" outlineLevel="1">
      <c r="A316" s="296"/>
      <c r="B316" s="396" t="s">
        <v>347</v>
      </c>
      <c r="C316" s="23" t="s">
        <v>130</v>
      </c>
      <c r="D316" s="384"/>
      <c r="E316" s="24"/>
      <c r="F316" s="280"/>
      <c r="G316" s="24"/>
      <c r="H316" s="24"/>
      <c r="I316" s="24"/>
      <c r="J316" s="24"/>
      <c r="K316" s="24"/>
      <c r="L316" s="24"/>
      <c r="M316" s="24"/>
      <c r="N316" s="219">
        <f>IF(N307&gt;0,N307/N$997,0)</f>
        <v>0</v>
      </c>
      <c r="O316" s="219"/>
      <c r="P316" s="219"/>
      <c r="Q316" s="219">
        <f>IF(Q299&gt;0,Q307/Q$299,0)</f>
        <v>0</v>
      </c>
      <c r="R316" s="219">
        <f>IF(R299&gt;0,R307/R$299,0)</f>
        <v>0</v>
      </c>
      <c r="S316" s="219">
        <f t="shared" ref="S316:AV316" si="455">IF(S299&gt;0,S307/S$299,0)</f>
        <v>2.9845043250000005E-2</v>
      </c>
      <c r="T316" s="219">
        <f t="shared" si="455"/>
        <v>2.9845043250000005E-2</v>
      </c>
      <c r="U316" s="219">
        <f t="shared" si="455"/>
        <v>2.8352791087500006E-2</v>
      </c>
      <c r="V316" s="219">
        <f t="shared" si="455"/>
        <v>2.8352791087500002E-2</v>
      </c>
      <c r="W316" s="219">
        <f t="shared" si="455"/>
        <v>2.8352791087499996E-2</v>
      </c>
      <c r="X316" s="219">
        <f t="shared" si="455"/>
        <v>2.8352791087500002E-2</v>
      </c>
      <c r="Y316" s="219">
        <f t="shared" si="455"/>
        <v>2.8352791087499999E-2</v>
      </c>
      <c r="Z316" s="219">
        <f t="shared" si="455"/>
        <v>2.8352791087500002E-2</v>
      </c>
      <c r="AA316" s="219">
        <f t="shared" si="455"/>
        <v>2.8352791087499999E-2</v>
      </c>
      <c r="AB316" s="219">
        <f t="shared" si="455"/>
        <v>2.8352791087500006E-2</v>
      </c>
      <c r="AC316" s="219">
        <f t="shared" si="455"/>
        <v>2.8352791087499999E-2</v>
      </c>
      <c r="AD316" s="219">
        <f t="shared" si="455"/>
        <v>2.8352791087499996E-2</v>
      </c>
      <c r="AE316" s="219">
        <f t="shared" si="455"/>
        <v>2.8352791087500002E-2</v>
      </c>
      <c r="AF316" s="219">
        <f t="shared" si="455"/>
        <v>2.8352791087499996E-2</v>
      </c>
      <c r="AG316" s="219">
        <f t="shared" si="455"/>
        <v>2.8352791087500006E-2</v>
      </c>
      <c r="AH316" s="219">
        <f t="shared" si="455"/>
        <v>2.8352791087500002E-2</v>
      </c>
      <c r="AI316" s="219">
        <f t="shared" si="455"/>
        <v>2.8352791087500006E-2</v>
      </c>
      <c r="AJ316" s="219">
        <f t="shared" si="455"/>
        <v>2.8352791087499999E-2</v>
      </c>
      <c r="AK316" s="219">
        <f t="shared" si="455"/>
        <v>2.8352791087499996E-2</v>
      </c>
      <c r="AL316" s="219">
        <f t="shared" si="455"/>
        <v>2.8352791087500006E-2</v>
      </c>
      <c r="AM316" s="219">
        <f t="shared" si="455"/>
        <v>2.8352791087499996E-2</v>
      </c>
      <c r="AN316" s="219">
        <f t="shared" si="455"/>
        <v>2.8352791087499999E-2</v>
      </c>
      <c r="AO316" s="219">
        <f t="shared" si="455"/>
        <v>2.8352791087499996E-2</v>
      </c>
      <c r="AP316" s="219">
        <f t="shared" si="455"/>
        <v>2.8352791087499999E-2</v>
      </c>
      <c r="AQ316" s="219">
        <f t="shared" si="455"/>
        <v>2.8352791087499999E-2</v>
      </c>
      <c r="AR316" s="219">
        <f t="shared" si="455"/>
        <v>2.8352791087499996E-2</v>
      </c>
      <c r="AS316" s="219">
        <f t="shared" si="455"/>
        <v>2.8352791087500002E-2</v>
      </c>
      <c r="AT316" s="219">
        <f t="shared" si="455"/>
        <v>2.8352791087500002E-2</v>
      </c>
      <c r="AU316" s="219">
        <f t="shared" si="455"/>
        <v>2.8352791087500006E-2</v>
      </c>
      <c r="AV316" s="219">
        <f t="shared" si="455"/>
        <v>2.8352791087500002E-2</v>
      </c>
      <c r="AW316" s="26"/>
      <c r="AX316" s="27"/>
    </row>
    <row r="317" spans="1:50" ht="12.6" hidden="1" customHeight="1" outlineLevel="1">
      <c r="A317" s="296"/>
      <c r="B317" s="33" t="s">
        <v>349</v>
      </c>
      <c r="C317" s="23" t="s">
        <v>130</v>
      </c>
      <c r="D317" s="384"/>
      <c r="E317" s="24"/>
      <c r="F317" s="280"/>
      <c r="G317" s="24"/>
      <c r="H317" s="24"/>
      <c r="I317" s="24"/>
      <c r="J317" s="24"/>
      <c r="K317" s="24"/>
      <c r="L317" s="24"/>
      <c r="M317" s="24"/>
      <c r="N317" s="399">
        <f>SUM(N315:N316)</f>
        <v>0</v>
      </c>
      <c r="O317" s="399"/>
      <c r="P317" s="399"/>
      <c r="Q317" s="399">
        <f>SUM(Q311:Q316)</f>
        <v>0</v>
      </c>
      <c r="R317" s="399">
        <f>SUM(R311:R316)</f>
        <v>0</v>
      </c>
      <c r="S317" s="399">
        <f t="shared" ref="S317:AV317" si="456">SUM(S311:S316)</f>
        <v>0.59314150401564691</v>
      </c>
      <c r="T317" s="399">
        <f t="shared" si="456"/>
        <v>0.68976513315889887</v>
      </c>
      <c r="U317" s="399">
        <f t="shared" si="456"/>
        <v>0.67193828621504426</v>
      </c>
      <c r="V317" s="399">
        <f t="shared" si="456"/>
        <v>0.61866907304719243</v>
      </c>
      <c r="W317" s="399">
        <f t="shared" si="456"/>
        <v>0.61136809860479191</v>
      </c>
      <c r="X317" s="399">
        <f t="shared" si="456"/>
        <v>0.65157406376828486</v>
      </c>
      <c r="Y317" s="399">
        <f t="shared" si="456"/>
        <v>0.60636930604796546</v>
      </c>
      <c r="Z317" s="399">
        <f t="shared" si="456"/>
        <v>0.60308762981146125</v>
      </c>
      <c r="AA317" s="399">
        <f t="shared" si="456"/>
        <v>0.65015988854549556</v>
      </c>
      <c r="AB317" s="399">
        <f t="shared" si="456"/>
        <v>0.59632606441880975</v>
      </c>
      <c r="AC317" s="399">
        <f t="shared" si="456"/>
        <v>0.59284352368139492</v>
      </c>
      <c r="AD317" s="399">
        <f t="shared" si="456"/>
        <v>0.64279697701814753</v>
      </c>
      <c r="AE317" s="399">
        <f t="shared" si="456"/>
        <v>0.58566809711207513</v>
      </c>
      <c r="AF317" s="399">
        <f t="shared" si="456"/>
        <v>0.58197239740204265</v>
      </c>
      <c r="AG317" s="399">
        <f t="shared" si="456"/>
        <v>0.63498339696962947</v>
      </c>
      <c r="AH317" s="399">
        <f t="shared" si="456"/>
        <v>0.57435777813172306</v>
      </c>
      <c r="AI317" s="399">
        <f t="shared" si="456"/>
        <v>0.57043587246272442</v>
      </c>
      <c r="AJ317" s="399">
        <f t="shared" si="456"/>
        <v>0.62669156395270675</v>
      </c>
      <c r="AK317" s="399">
        <f t="shared" si="456"/>
        <v>0.56235517848655869</v>
      </c>
      <c r="AL317" s="399">
        <f t="shared" si="456"/>
        <v>0.56277511594190421</v>
      </c>
      <c r="AM317" s="399">
        <f t="shared" si="456"/>
        <v>0.61789220514033283</v>
      </c>
      <c r="AN317" s="399">
        <f t="shared" si="456"/>
        <v>0.56813037437109315</v>
      </c>
      <c r="AO317" s="399">
        <f t="shared" si="456"/>
        <v>0.5708885974024055</v>
      </c>
      <c r="AP317" s="399">
        <f t="shared" si="456"/>
        <v>0.60855425598443746</v>
      </c>
      <c r="AQ317" s="399">
        <f t="shared" si="456"/>
        <v>0.57657163976843706</v>
      </c>
      <c r="AR317" s="399">
        <f t="shared" si="456"/>
        <v>0.57949868773251123</v>
      </c>
      <c r="AS317" s="399">
        <f t="shared" si="456"/>
        <v>0.59864475054955013</v>
      </c>
      <c r="AT317" s="399">
        <f t="shared" si="456"/>
        <v>0.5855295769436174</v>
      </c>
      <c r="AU317" s="399">
        <f t="shared" si="456"/>
        <v>0.58863578322867594</v>
      </c>
      <c r="AV317" s="399">
        <f t="shared" si="456"/>
        <v>0.58812870513412485</v>
      </c>
      <c r="AW317" s="26"/>
      <c r="AX317" s="27"/>
    </row>
    <row r="318" spans="1:50" ht="12.75" hidden="1" customHeight="1" outlineLevel="1">
      <c r="A318" s="296"/>
      <c r="B318" s="28" t="s">
        <v>350</v>
      </c>
      <c r="C318" s="23" t="s">
        <v>351</v>
      </c>
      <c r="D318" s="384"/>
      <c r="E318" s="24"/>
      <c r="F318" s="280"/>
      <c r="G318" s="24"/>
      <c r="H318" s="24"/>
      <c r="I318" s="24"/>
      <c r="J318" s="24"/>
      <c r="K318" s="24"/>
      <c r="L318" s="24"/>
      <c r="M318" s="24"/>
      <c r="N318" s="24">
        <f>N299</f>
        <v>0</v>
      </c>
      <c r="O318" s="24"/>
      <c r="P318" s="24"/>
      <c r="Q318" s="24">
        <f t="shared" ref="Q318:AV318" si="457">Q299</f>
        <v>0</v>
      </c>
      <c r="R318" s="24">
        <f t="shared" si="457"/>
        <v>0</v>
      </c>
      <c r="S318" s="24">
        <f t="shared" si="457"/>
        <v>67307.503843078157</v>
      </c>
      <c r="T318" s="24">
        <f t="shared" si="457"/>
        <v>128654.33488289751</v>
      </c>
      <c r="U318" s="24">
        <f t="shared" si="457"/>
        <v>197162.61740113</v>
      </c>
      <c r="V318" s="24">
        <f t="shared" si="457"/>
        <v>140764.44133699324</v>
      </c>
      <c r="W318" s="24">
        <f t="shared" si="457"/>
        <v>141019.48179839851</v>
      </c>
      <c r="X318" s="24">
        <f t="shared" si="457"/>
        <v>198149.16027683858</v>
      </c>
      <c r="Y318" s="24">
        <f t="shared" si="457"/>
        <v>150737.48739710407</v>
      </c>
      <c r="Z318" s="24">
        <f t="shared" si="457"/>
        <v>150737.48976484864</v>
      </c>
      <c r="AA318" s="24">
        <f t="shared" si="457"/>
        <v>213917.36550657538</v>
      </c>
      <c r="AB318" s="24">
        <f t="shared" si="457"/>
        <v>150737.49464334955</v>
      </c>
      <c r="AC318" s="24">
        <f t="shared" si="457"/>
        <v>150737.49715601906</v>
      </c>
      <c r="AD318" s="24">
        <f t="shared" si="457"/>
        <v>213917.37304556917</v>
      </c>
      <c r="AE318" s="24">
        <f t="shared" si="457"/>
        <v>150737.50233312324</v>
      </c>
      <c r="AF318" s="24">
        <f t="shared" si="457"/>
        <v>150737.50499958821</v>
      </c>
      <c r="AG318" s="24">
        <f t="shared" si="457"/>
        <v>213917.38104600972</v>
      </c>
      <c r="AH318" s="24">
        <f t="shared" si="457"/>
        <v>150737.51049357263</v>
      </c>
      <c r="AI318" s="24">
        <f t="shared" si="457"/>
        <v>150737.51332324656</v>
      </c>
      <c r="AJ318" s="24">
        <f t="shared" si="457"/>
        <v>213917.38953614119</v>
      </c>
      <c r="AK318" s="24">
        <f t="shared" si="457"/>
        <v>150737.51915350676</v>
      </c>
      <c r="AL318" s="24">
        <f t="shared" si="457"/>
        <v>150737.52215637936</v>
      </c>
      <c r="AM318" s="24">
        <f t="shared" si="457"/>
        <v>213917.39854593668</v>
      </c>
      <c r="AN318" s="24">
        <f t="shared" si="457"/>
        <v>150737.52834349812</v>
      </c>
      <c r="AO318" s="24">
        <f t="shared" si="457"/>
        <v>150737.53153017059</v>
      </c>
      <c r="AP318" s="24">
        <f t="shared" si="457"/>
        <v>213917.40810720372</v>
      </c>
      <c r="AQ318" s="24">
        <f t="shared" si="457"/>
        <v>150737.53809599055</v>
      </c>
      <c r="AR318" s="24">
        <f t="shared" si="457"/>
        <v>150737.54147771283</v>
      </c>
      <c r="AS318" s="24">
        <f t="shared" si="457"/>
        <v>213917.41825369681</v>
      </c>
      <c r="AT318" s="24">
        <f t="shared" si="457"/>
        <v>150737.54844541347</v>
      </c>
      <c r="AU318" s="24">
        <f t="shared" si="457"/>
        <v>150737.55203412421</v>
      </c>
      <c r="AV318" s="24">
        <f t="shared" si="457"/>
        <v>213917.42902123643</v>
      </c>
      <c r="AW318" s="26"/>
      <c r="AX318" s="27"/>
    </row>
    <row r="319" spans="1:50" ht="12.75" hidden="1" customHeight="1" outlineLevel="1">
      <c r="A319" s="296"/>
      <c r="B319" s="28" t="s">
        <v>352</v>
      </c>
      <c r="C319" s="400" t="s">
        <v>102</v>
      </c>
      <c r="D319" s="384"/>
      <c r="E319" s="24"/>
      <c r="F319" s="168"/>
      <c r="G319" s="25"/>
      <c r="H319" s="25"/>
      <c r="I319" s="168"/>
      <c r="J319" s="25"/>
      <c r="K319" s="25"/>
      <c r="L319" s="25"/>
      <c r="M319" s="25"/>
      <c r="N319" s="25"/>
      <c r="O319" s="168"/>
      <c r="P319" s="25"/>
      <c r="Q319" s="168">
        <v>0</v>
      </c>
      <c r="R319" s="25">
        <f t="shared" ref="R319:AV319" si="458">Q319</f>
        <v>0</v>
      </c>
      <c r="S319" s="25">
        <f t="shared" si="458"/>
        <v>0</v>
      </c>
      <c r="T319" s="25">
        <f t="shared" si="458"/>
        <v>0</v>
      </c>
      <c r="U319" s="25">
        <f t="shared" si="458"/>
        <v>0</v>
      </c>
      <c r="V319" s="25">
        <f t="shared" si="458"/>
        <v>0</v>
      </c>
      <c r="W319" s="25">
        <f t="shared" si="458"/>
        <v>0</v>
      </c>
      <c r="X319" s="25">
        <f t="shared" si="458"/>
        <v>0</v>
      </c>
      <c r="Y319" s="25">
        <f t="shared" si="458"/>
        <v>0</v>
      </c>
      <c r="Z319" s="25">
        <f t="shared" si="458"/>
        <v>0</v>
      </c>
      <c r="AA319" s="25">
        <f t="shared" si="458"/>
        <v>0</v>
      </c>
      <c r="AB319" s="25">
        <f t="shared" si="458"/>
        <v>0</v>
      </c>
      <c r="AC319" s="25">
        <f t="shared" si="458"/>
        <v>0</v>
      </c>
      <c r="AD319" s="25">
        <f t="shared" si="458"/>
        <v>0</v>
      </c>
      <c r="AE319" s="25">
        <f t="shared" si="458"/>
        <v>0</v>
      </c>
      <c r="AF319" s="25">
        <f t="shared" si="458"/>
        <v>0</v>
      </c>
      <c r="AG319" s="25">
        <f t="shared" si="458"/>
        <v>0</v>
      </c>
      <c r="AH319" s="25">
        <f t="shared" si="458"/>
        <v>0</v>
      </c>
      <c r="AI319" s="25">
        <f t="shared" si="458"/>
        <v>0</v>
      </c>
      <c r="AJ319" s="25">
        <f t="shared" si="458"/>
        <v>0</v>
      </c>
      <c r="AK319" s="25">
        <f t="shared" si="458"/>
        <v>0</v>
      </c>
      <c r="AL319" s="25">
        <f t="shared" si="458"/>
        <v>0</v>
      </c>
      <c r="AM319" s="25">
        <f t="shared" si="458"/>
        <v>0</v>
      </c>
      <c r="AN319" s="25">
        <f t="shared" si="458"/>
        <v>0</v>
      </c>
      <c r="AO319" s="25">
        <f t="shared" si="458"/>
        <v>0</v>
      </c>
      <c r="AP319" s="25">
        <f t="shared" si="458"/>
        <v>0</v>
      </c>
      <c r="AQ319" s="25">
        <f t="shared" si="458"/>
        <v>0</v>
      </c>
      <c r="AR319" s="25">
        <f t="shared" si="458"/>
        <v>0</v>
      </c>
      <c r="AS319" s="25">
        <f t="shared" si="458"/>
        <v>0</v>
      </c>
      <c r="AT319" s="25">
        <f t="shared" si="458"/>
        <v>0</v>
      </c>
      <c r="AU319" s="25">
        <f t="shared" si="458"/>
        <v>0</v>
      </c>
      <c r="AV319" s="25">
        <f t="shared" si="458"/>
        <v>0</v>
      </c>
      <c r="AW319" s="26"/>
      <c r="AX319" s="27"/>
    </row>
    <row r="320" spans="1:50" ht="12.6" hidden="1" customHeight="1" outlineLevel="1">
      <c r="A320" s="296"/>
      <c r="B320" s="33" t="s">
        <v>353</v>
      </c>
      <c r="C320" s="23" t="s">
        <v>130</v>
      </c>
      <c r="D320" s="384"/>
      <c r="E320" s="401">
        <f>$F$1018</f>
        <v>0</v>
      </c>
      <c r="F320" s="402"/>
      <c r="G320" s="402"/>
      <c r="H320" s="402"/>
      <c r="I320" s="402"/>
      <c r="J320" s="402"/>
      <c r="K320" s="402"/>
      <c r="L320" s="402"/>
      <c r="M320" s="402"/>
      <c r="N320" s="402"/>
      <c r="O320" s="40"/>
      <c r="P320" s="40"/>
      <c r="Q320" s="40">
        <f>((Q317*Q318))*(1+Q319)</f>
        <v>0</v>
      </c>
      <c r="R320" s="40">
        <f>((R317*R318))*(1+R319)</f>
        <v>0</v>
      </c>
      <c r="S320" s="40">
        <f t="shared" ref="S320:AV320" si="459">((S317*S318))*(1+S319)</f>
        <v>39922.87406102231</v>
      </c>
      <c r="T320" s="40">
        <f t="shared" si="459"/>
        <v>88741.274431971367</v>
      </c>
      <c r="U320" s="40">
        <f t="shared" si="459"/>
        <v>132481.11124218776</v>
      </c>
      <c r="V320" s="40">
        <f t="shared" si="459"/>
        <v>87086.606439963507</v>
      </c>
      <c r="W320" s="40">
        <f t="shared" si="459"/>
        <v>86214.812453319959</v>
      </c>
      <c r="X320" s="40">
        <f t="shared" si="459"/>
        <v>129108.85359385292</v>
      </c>
      <c r="Y320" s="40">
        <f t="shared" si="459"/>
        <v>91402.585628395929</v>
      </c>
      <c r="Z320" s="40">
        <f t="shared" si="459"/>
        <v>90907.915426011969</v>
      </c>
      <c r="AA320" s="40">
        <f t="shared" si="459"/>
        <v>139080.49051570109</v>
      </c>
      <c r="AB320" s="40">
        <f t="shared" si="459"/>
        <v>89888.696941020055</v>
      </c>
      <c r="AC320" s="40">
        <f t="shared" si="459"/>
        <v>89363.748964888582</v>
      </c>
      <c r="AD320" s="40">
        <f t="shared" si="459"/>
        <v>137505.44072535521</v>
      </c>
      <c r="AE320" s="40">
        <f t="shared" si="459"/>
        <v>88282.146154867267</v>
      </c>
      <c r="AF320" s="40">
        <f t="shared" si="459"/>
        <v>87725.067163012747</v>
      </c>
      <c r="AG320" s="40">
        <f t="shared" si="459"/>
        <v>135833.98528744187</v>
      </c>
      <c r="AH320" s="40">
        <f t="shared" si="459"/>
        <v>86577.261608195666</v>
      </c>
      <c r="AI320" s="40">
        <f t="shared" si="459"/>
        <v>85986.084925407704</v>
      </c>
      <c r="AJ320" s="40">
        <f t="shared" si="459"/>
        <v>134060.22340508472</v>
      </c>
      <c r="AK320" s="40">
        <f t="shared" si="459"/>
        <v>84768.024488191353</v>
      </c>
      <c r="AL320" s="40">
        <f t="shared" si="459"/>
        <v>84831.326508351747</v>
      </c>
      <c r="AM320" s="40">
        <f t="shared" si="459"/>
        <v>132177.89310543225</v>
      </c>
      <c r="AN320" s="40">
        <f t="shared" si="459"/>
        <v>85638.568409564861</v>
      </c>
      <c r="AO320" s="40">
        <f t="shared" si="459"/>
        <v>86054.337951159963</v>
      </c>
      <c r="AP320" s="40">
        <f t="shared" si="459"/>
        <v>130180.34913279863</v>
      </c>
      <c r="AQ320" s="40">
        <f t="shared" si="459"/>
        <v>86910.98951466252</v>
      </c>
      <c r="AR320" s="40">
        <f t="shared" si="459"/>
        <v>87352.207478359574</v>
      </c>
      <c r="AS320" s="40">
        <f t="shared" si="459"/>
        <v>128060.53948868811</v>
      </c>
      <c r="AT320" s="40">
        <f t="shared" si="459"/>
        <v>88261.292970760987</v>
      </c>
      <c r="AU320" s="40">
        <f t="shared" si="459"/>
        <v>88729.517003579997</v>
      </c>
      <c r="AV320" s="40">
        <f t="shared" si="459"/>
        <v>125810.98053588084</v>
      </c>
      <c r="AW320" s="26"/>
      <c r="AX320" s="27"/>
    </row>
    <row r="321" spans="1:50" ht="12.75" hidden="1" customHeight="1" outlineLevel="1">
      <c r="A321" s="296"/>
      <c r="B321" s="33" t="s">
        <v>353</v>
      </c>
      <c r="C321" s="23" t="s">
        <v>354</v>
      </c>
      <c r="D321" s="384"/>
      <c r="E321" s="403"/>
      <c r="F321" s="404"/>
      <c r="G321" s="404"/>
      <c r="H321" s="404"/>
      <c r="I321" s="404"/>
      <c r="J321" s="404"/>
      <c r="K321" s="404"/>
      <c r="L321" s="404"/>
      <c r="M321" s="404"/>
      <c r="N321" s="404"/>
      <c r="O321" s="405"/>
      <c r="P321" s="405"/>
      <c r="Q321" s="405">
        <f>Q320/10^6</f>
        <v>0</v>
      </c>
      <c r="R321" s="405">
        <f t="shared" ref="R321:AV321" si="460">R320/10^6</f>
        <v>0</v>
      </c>
      <c r="S321" s="405">
        <f t="shared" si="460"/>
        <v>3.9922874061022309E-2</v>
      </c>
      <c r="T321" s="405">
        <f t="shared" si="460"/>
        <v>8.874127443197137E-2</v>
      </c>
      <c r="U321" s="405">
        <f t="shared" si="460"/>
        <v>0.13248111124218775</v>
      </c>
      <c r="V321" s="405">
        <f t="shared" si="460"/>
        <v>8.7086606439963507E-2</v>
      </c>
      <c r="W321" s="405">
        <f t="shared" si="460"/>
        <v>8.6214812453319953E-2</v>
      </c>
      <c r="X321" s="405">
        <f t="shared" si="460"/>
        <v>0.12910885359385293</v>
      </c>
      <c r="Y321" s="405">
        <f t="shared" si="460"/>
        <v>9.1402585628395927E-2</v>
      </c>
      <c r="Z321" s="405">
        <f t="shared" si="460"/>
        <v>9.0907915426011968E-2</v>
      </c>
      <c r="AA321" s="405">
        <f t="shared" si="460"/>
        <v>0.13908049051570109</v>
      </c>
      <c r="AB321" s="405">
        <f t="shared" si="460"/>
        <v>8.9888696941020058E-2</v>
      </c>
      <c r="AC321" s="405">
        <f t="shared" si="460"/>
        <v>8.9363748964888579E-2</v>
      </c>
      <c r="AD321" s="405">
        <f t="shared" si="460"/>
        <v>0.1375054407253552</v>
      </c>
      <c r="AE321" s="405">
        <f t="shared" si="460"/>
        <v>8.8282146154867264E-2</v>
      </c>
      <c r="AF321" s="405">
        <f t="shared" si="460"/>
        <v>8.7725067163012746E-2</v>
      </c>
      <c r="AG321" s="405">
        <f t="shared" si="460"/>
        <v>0.13583398528744187</v>
      </c>
      <c r="AH321" s="405">
        <f t="shared" si="460"/>
        <v>8.6577261608195663E-2</v>
      </c>
      <c r="AI321" s="405">
        <f t="shared" si="460"/>
        <v>8.5986084925407699E-2</v>
      </c>
      <c r="AJ321" s="405">
        <f t="shared" si="460"/>
        <v>0.13406022340508472</v>
      </c>
      <c r="AK321" s="405">
        <f t="shared" si="460"/>
        <v>8.476802448819136E-2</v>
      </c>
      <c r="AL321" s="405">
        <f t="shared" si="460"/>
        <v>8.4831326508351748E-2</v>
      </c>
      <c r="AM321" s="405">
        <f t="shared" si="460"/>
        <v>0.13217789310543224</v>
      </c>
      <c r="AN321" s="405">
        <f t="shared" si="460"/>
        <v>8.5638568409564866E-2</v>
      </c>
      <c r="AO321" s="405">
        <f t="shared" si="460"/>
        <v>8.6054337951159965E-2</v>
      </c>
      <c r="AP321" s="405">
        <f t="shared" si="460"/>
        <v>0.13018034913279863</v>
      </c>
      <c r="AQ321" s="405">
        <f t="shared" si="460"/>
        <v>8.6910989514662515E-2</v>
      </c>
      <c r="AR321" s="405">
        <f t="shared" si="460"/>
        <v>8.7352207478359575E-2</v>
      </c>
      <c r="AS321" s="405">
        <f t="shared" si="460"/>
        <v>0.12806053948868812</v>
      </c>
      <c r="AT321" s="405">
        <f t="shared" si="460"/>
        <v>8.8261292970760991E-2</v>
      </c>
      <c r="AU321" s="405">
        <f t="shared" si="460"/>
        <v>8.8729517003579991E-2</v>
      </c>
      <c r="AV321" s="405">
        <f t="shared" si="460"/>
        <v>0.12581098053588083</v>
      </c>
      <c r="AW321" s="26"/>
      <c r="AX321" s="27"/>
    </row>
    <row r="322" spans="1:50" ht="12.6" hidden="1" customHeight="1" outlineLevel="1">
      <c r="A322" s="296"/>
      <c r="B322" s="161" t="s">
        <v>355</v>
      </c>
      <c r="C322" s="23" t="s">
        <v>102</v>
      </c>
      <c r="D322" s="384"/>
      <c r="E322" s="24"/>
      <c r="F322" s="406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>
        <f t="shared" ref="T322:AV322" si="461">(T331-T320)/T331</f>
        <v>0.88963757869457616</v>
      </c>
      <c r="U322" s="25">
        <f t="shared" si="461"/>
        <v>0.892489874205593</v>
      </c>
      <c r="V322" s="25">
        <f>(V331-V320)/V331</f>
        <v>0.90101294831244927</v>
      </c>
      <c r="W322" s="25">
        <f t="shared" si="461"/>
        <v>0.90218110422323339</v>
      </c>
      <c r="X322" s="25">
        <f t="shared" si="461"/>
        <v>0.89574814979707451</v>
      </c>
      <c r="Y322" s="25">
        <f t="shared" si="461"/>
        <v>0.90298091103232558</v>
      </c>
      <c r="Z322" s="25">
        <f t="shared" si="461"/>
        <v>0.90350597923016618</v>
      </c>
      <c r="AA322" s="25">
        <f t="shared" si="461"/>
        <v>0.89597441783272069</v>
      </c>
      <c r="AB322" s="25">
        <f t="shared" si="461"/>
        <v>0.90458782969299045</v>
      </c>
      <c r="AC322" s="25">
        <f t="shared" si="461"/>
        <v>0.90514503621097675</v>
      </c>
      <c r="AD322" s="25">
        <f t="shared" si="461"/>
        <v>0.89715248367709644</v>
      </c>
      <c r="AE322" s="25">
        <f t="shared" si="461"/>
        <v>0.90629310446206801</v>
      </c>
      <c r="AF322" s="25">
        <f t="shared" si="461"/>
        <v>0.90688441641567319</v>
      </c>
      <c r="AG322" s="25">
        <f t="shared" si="461"/>
        <v>0.89840265648485929</v>
      </c>
      <c r="AH322" s="25">
        <f t="shared" si="461"/>
        <v>0.90810275549892439</v>
      </c>
      <c r="AI322" s="25">
        <f t="shared" si="461"/>
        <v>0.90873026040596416</v>
      </c>
      <c r="AJ322" s="25">
        <f t="shared" si="461"/>
        <v>0.8997293497675668</v>
      </c>
      <c r="AK322" s="25">
        <f t="shared" si="461"/>
        <v>0.91002317144215061</v>
      </c>
      <c r="AL322" s="25">
        <f t="shared" si="461"/>
        <v>0.90995598144929535</v>
      </c>
      <c r="AM322" s="25">
        <f t="shared" si="461"/>
        <v>0.90113724717754684</v>
      </c>
      <c r="AN322" s="25">
        <f t="shared" si="461"/>
        <v>0.90909914010062509</v>
      </c>
      <c r="AO322" s="25">
        <f t="shared" si="461"/>
        <v>0.90865782441561516</v>
      </c>
      <c r="AP322" s="25">
        <f t="shared" si="461"/>
        <v>0.90263131904249005</v>
      </c>
      <c r="AQ322" s="25">
        <f t="shared" si="461"/>
        <v>0.90774853763704999</v>
      </c>
      <c r="AR322" s="25">
        <f t="shared" si="461"/>
        <v>0.90728020996279812</v>
      </c>
      <c r="AS322" s="25">
        <f t="shared" si="461"/>
        <v>0.90421683991207202</v>
      </c>
      <c r="AT322" s="25">
        <f t="shared" si="461"/>
        <v>0.90631526768902126</v>
      </c>
      <c r="AU322" s="25">
        <f t="shared" si="461"/>
        <v>0.90581827468341181</v>
      </c>
      <c r="AV322" s="25">
        <f t="shared" si="461"/>
        <v>0.90589940717854001</v>
      </c>
      <c r="AW322" s="26"/>
      <c r="AX322" s="27"/>
    </row>
    <row r="323" spans="1:50" ht="12.75" hidden="1" customHeight="1" outlineLevel="1">
      <c r="A323" s="296"/>
      <c r="B323" s="33"/>
      <c r="C323" s="380"/>
      <c r="D323" s="384"/>
      <c r="E323" s="24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7"/>
    </row>
    <row r="324" spans="1:50" ht="12.6" hidden="1" customHeight="1" outlineLevel="1">
      <c r="A324" s="296"/>
      <c r="B324" s="13" t="s">
        <v>356</v>
      </c>
      <c r="C324" s="380" t="s">
        <v>112</v>
      </c>
      <c r="D324" s="384"/>
      <c r="E324" s="24"/>
      <c r="F324" s="160"/>
      <c r="G324" s="160"/>
      <c r="H324" s="160"/>
      <c r="I324" s="160"/>
      <c r="J324" s="160"/>
      <c r="K324" s="160"/>
      <c r="L324" s="160"/>
      <c r="M324" s="160"/>
      <c r="N324" s="160"/>
      <c r="O324" s="160"/>
      <c r="P324" s="160"/>
      <c r="Q324" s="160"/>
      <c r="R324" s="160"/>
      <c r="S324" s="160"/>
      <c r="T324" s="160">
        <f t="shared" ref="T324:AV324" si="462">(T320*10^3)/(T299)</f>
        <v>689.76513315889883</v>
      </c>
      <c r="U324" s="160">
        <f t="shared" si="462"/>
        <v>671.93828621504429</v>
      </c>
      <c r="V324" s="160">
        <f t="shared" si="462"/>
        <v>618.66907304719246</v>
      </c>
      <c r="W324" s="160">
        <f t="shared" si="462"/>
        <v>611.36809860479184</v>
      </c>
      <c r="X324" s="160">
        <f t="shared" si="462"/>
        <v>651.57406376828487</v>
      </c>
      <c r="Y324" s="160">
        <f t="shared" si="462"/>
        <v>606.36930604796544</v>
      </c>
      <c r="Z324" s="160">
        <f t="shared" si="462"/>
        <v>603.08762981146128</v>
      </c>
      <c r="AA324" s="160">
        <f t="shared" si="462"/>
        <v>650.15988854549551</v>
      </c>
      <c r="AB324" s="160">
        <f t="shared" si="462"/>
        <v>596.32606441880978</v>
      </c>
      <c r="AC324" s="160">
        <f t="shared" si="462"/>
        <v>592.84352368139491</v>
      </c>
      <c r="AD324" s="160">
        <f t="shared" si="462"/>
        <v>642.79697701814746</v>
      </c>
      <c r="AE324" s="160">
        <f t="shared" si="462"/>
        <v>585.66809711207509</v>
      </c>
      <c r="AF324" s="160">
        <f t="shared" si="462"/>
        <v>581.9723974020427</v>
      </c>
      <c r="AG324" s="160">
        <f t="shared" si="462"/>
        <v>634.98339696962944</v>
      </c>
      <c r="AH324" s="160">
        <f t="shared" si="462"/>
        <v>574.35777813172308</v>
      </c>
      <c r="AI324" s="160">
        <f t="shared" si="462"/>
        <v>570.43587246272443</v>
      </c>
      <c r="AJ324" s="160">
        <f t="shared" si="462"/>
        <v>626.69156395270682</v>
      </c>
      <c r="AK324" s="160">
        <f t="shared" si="462"/>
        <v>562.35517848655866</v>
      </c>
      <c r="AL324" s="160">
        <f t="shared" si="462"/>
        <v>562.77511594190412</v>
      </c>
      <c r="AM324" s="160">
        <f t="shared" si="462"/>
        <v>617.89220514033286</v>
      </c>
      <c r="AN324" s="160">
        <f t="shared" si="462"/>
        <v>568.13037437109324</v>
      </c>
      <c r="AO324" s="160">
        <f t="shared" si="462"/>
        <v>570.88859740240559</v>
      </c>
      <c r="AP324" s="160">
        <f t="shared" si="462"/>
        <v>608.55425598443742</v>
      </c>
      <c r="AQ324" s="160">
        <f t="shared" si="462"/>
        <v>576.57163976843708</v>
      </c>
      <c r="AR324" s="160">
        <f t="shared" si="462"/>
        <v>579.49868773251126</v>
      </c>
      <c r="AS324" s="160">
        <f t="shared" si="462"/>
        <v>598.64475054955017</v>
      </c>
      <c r="AT324" s="160">
        <f t="shared" si="462"/>
        <v>585.52957694361737</v>
      </c>
      <c r="AU324" s="160">
        <f t="shared" si="462"/>
        <v>588.63578322867602</v>
      </c>
      <c r="AV324" s="160">
        <f t="shared" si="462"/>
        <v>588.12870513412486</v>
      </c>
      <c r="AW324" s="26"/>
      <c r="AX324" s="27"/>
    </row>
    <row r="325" spans="1:50" ht="12.6" hidden="1" customHeight="1" outlineLevel="1">
      <c r="A325" s="296"/>
      <c r="B325" s="13"/>
      <c r="C325" s="380"/>
      <c r="D325" s="384"/>
      <c r="E325" s="24"/>
      <c r="F325" s="407"/>
      <c r="G325" s="407"/>
      <c r="H325" s="407"/>
      <c r="I325" s="407"/>
      <c r="J325" s="407"/>
      <c r="K325" s="407"/>
      <c r="L325" s="407"/>
      <c r="M325" s="407"/>
      <c r="N325" s="407"/>
      <c r="O325" s="407"/>
      <c r="P325" s="407"/>
      <c r="Q325" s="407"/>
      <c r="R325" s="407"/>
      <c r="S325" s="407"/>
      <c r="T325" s="407"/>
      <c r="U325" s="407"/>
      <c r="V325" s="407"/>
      <c r="W325" s="407"/>
      <c r="X325" s="407"/>
      <c r="Y325" s="407"/>
      <c r="Z325" s="407"/>
      <c r="AA325" s="407"/>
      <c r="AB325" s="407"/>
      <c r="AC325" s="407"/>
      <c r="AD325" s="407"/>
      <c r="AE325" s="407"/>
      <c r="AF325" s="407"/>
      <c r="AG325" s="407"/>
      <c r="AH325" s="407"/>
      <c r="AI325" s="407"/>
      <c r="AJ325" s="407"/>
      <c r="AK325" s="407"/>
      <c r="AL325" s="407"/>
      <c r="AM325" s="407"/>
      <c r="AN325" s="407"/>
      <c r="AO325" s="407"/>
      <c r="AP325" s="407"/>
      <c r="AQ325" s="407"/>
      <c r="AR325" s="407"/>
      <c r="AS325" s="407"/>
      <c r="AT325" s="407"/>
      <c r="AU325" s="407"/>
      <c r="AV325" s="407"/>
      <c r="AW325" s="26"/>
      <c r="AX325" s="27"/>
    </row>
    <row r="326" spans="1:50" ht="12.75" hidden="1" customHeight="1" outlineLevel="1">
      <c r="A326" s="296"/>
      <c r="B326" s="28" t="s">
        <v>357</v>
      </c>
      <c r="C326" s="400" t="s">
        <v>128</v>
      </c>
      <c r="D326" s="38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>
        <f t="shared" ref="Q326:AV326" si="463">Q297+Q298</f>
        <v>0</v>
      </c>
      <c r="R326" s="24">
        <f t="shared" si="463"/>
        <v>0</v>
      </c>
      <c r="S326" s="24">
        <f t="shared" si="463"/>
        <v>6730.7503843078157</v>
      </c>
      <c r="T326" s="24">
        <f t="shared" si="463"/>
        <v>12865.433488289751</v>
      </c>
      <c r="U326" s="24">
        <f t="shared" si="463"/>
        <v>19716.261740113001</v>
      </c>
      <c r="V326" s="24">
        <f t="shared" si="463"/>
        <v>14076.444133699324</v>
      </c>
      <c r="W326" s="24">
        <f t="shared" si="463"/>
        <v>14101.948179839852</v>
      </c>
      <c r="X326" s="24">
        <f t="shared" si="463"/>
        <v>19814.916027683859</v>
      </c>
      <c r="Y326" s="24">
        <f t="shared" si="463"/>
        <v>15073.748739710407</v>
      </c>
      <c r="Z326" s="24">
        <f t="shared" si="463"/>
        <v>15073.748976484863</v>
      </c>
      <c r="AA326" s="24">
        <f t="shared" si="463"/>
        <v>21391.736550657537</v>
      </c>
      <c r="AB326" s="24">
        <f t="shared" si="463"/>
        <v>15073.749464334956</v>
      </c>
      <c r="AC326" s="24">
        <f t="shared" si="463"/>
        <v>15073.749715601905</v>
      </c>
      <c r="AD326" s="24">
        <f t="shared" si="463"/>
        <v>21391.737304556918</v>
      </c>
      <c r="AE326" s="24">
        <f t="shared" si="463"/>
        <v>15073.750233312327</v>
      </c>
      <c r="AF326" s="24">
        <f t="shared" si="463"/>
        <v>15073.750499958822</v>
      </c>
      <c r="AG326" s="24">
        <f t="shared" si="463"/>
        <v>21391.738104600976</v>
      </c>
      <c r="AH326" s="24">
        <f t="shared" si="463"/>
        <v>15073.751049357261</v>
      </c>
      <c r="AI326" s="24">
        <f t="shared" si="463"/>
        <v>15073.751332324653</v>
      </c>
      <c r="AJ326" s="24">
        <f t="shared" si="463"/>
        <v>21391.73895361412</v>
      </c>
      <c r="AK326" s="24">
        <f t="shared" si="463"/>
        <v>15073.751915350676</v>
      </c>
      <c r="AL326" s="24">
        <f t="shared" si="463"/>
        <v>15073.752215637938</v>
      </c>
      <c r="AM326" s="24">
        <f t="shared" si="463"/>
        <v>21391.73985459367</v>
      </c>
      <c r="AN326" s="24">
        <f t="shared" si="463"/>
        <v>15073.752834349812</v>
      </c>
      <c r="AO326" s="24">
        <f t="shared" si="463"/>
        <v>15073.75315301706</v>
      </c>
      <c r="AP326" s="24">
        <f t="shared" si="463"/>
        <v>21391.740810720374</v>
      </c>
      <c r="AQ326" s="24">
        <f t="shared" si="463"/>
        <v>15073.753809599053</v>
      </c>
      <c r="AR326" s="24">
        <f t="shared" si="463"/>
        <v>15073.754147771282</v>
      </c>
      <c r="AS326" s="24">
        <f t="shared" si="463"/>
        <v>21391.741825369681</v>
      </c>
      <c r="AT326" s="24">
        <f t="shared" si="463"/>
        <v>15073.754844541345</v>
      </c>
      <c r="AU326" s="24">
        <f t="shared" si="463"/>
        <v>15073.755203412422</v>
      </c>
      <c r="AV326" s="24">
        <f t="shared" si="463"/>
        <v>21391.742902123646</v>
      </c>
      <c r="AW326" s="26"/>
      <c r="AX326" s="27"/>
    </row>
    <row r="327" spans="1:50" ht="12.6" hidden="1" customHeight="1" outlineLevel="1">
      <c r="A327" s="296"/>
      <c r="B327" s="41"/>
      <c r="C327" s="380"/>
      <c r="D327" s="384"/>
      <c r="E327" s="24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26"/>
      <c r="AX327" s="27"/>
    </row>
    <row r="328" spans="1:50" ht="12.6" hidden="1" customHeight="1" outlineLevel="1">
      <c r="A328" s="296"/>
      <c r="B328" s="28" t="s">
        <v>358</v>
      </c>
      <c r="C328" s="380"/>
      <c r="D328" s="384"/>
      <c r="E328" s="255"/>
      <c r="F328" s="255"/>
      <c r="G328" s="255"/>
      <c r="H328" s="255"/>
      <c r="I328" s="255"/>
      <c r="J328" s="255"/>
      <c r="K328" s="255"/>
      <c r="L328" s="255"/>
      <c r="M328" s="255"/>
      <c r="N328" s="255"/>
      <c r="O328" s="255"/>
      <c r="P328" s="255"/>
      <c r="Q328" s="255">
        <f t="shared" ref="Q328:AV328" si="464">Q297/Q334</f>
        <v>0</v>
      </c>
      <c r="R328" s="255">
        <f t="shared" si="464"/>
        <v>0</v>
      </c>
      <c r="S328" s="255">
        <f t="shared" si="464"/>
        <v>4382.8125</v>
      </c>
      <c r="T328" s="255">
        <f t="shared" si="464"/>
        <v>5040.234375</v>
      </c>
      <c r="U328" s="255">
        <f t="shared" si="464"/>
        <v>5796.26953125</v>
      </c>
      <c r="V328" s="255">
        <f t="shared" si="464"/>
        <v>6375.896484375</v>
      </c>
      <c r="W328" s="255">
        <f t="shared" si="464"/>
        <v>6694.6913085937513</v>
      </c>
      <c r="X328" s="255">
        <f t="shared" si="464"/>
        <v>7029.4258740234382</v>
      </c>
      <c r="Y328" s="255">
        <f t="shared" si="464"/>
        <v>7380.8971677246109</v>
      </c>
      <c r="Z328" s="255">
        <f t="shared" si="464"/>
        <v>7528.5151110791021</v>
      </c>
      <c r="AA328" s="255">
        <f t="shared" si="464"/>
        <v>7679.0854133006842</v>
      </c>
      <c r="AB328" s="255">
        <f t="shared" si="464"/>
        <v>7832.6671215666984</v>
      </c>
      <c r="AC328" s="255">
        <f t="shared" si="464"/>
        <v>7989.3204639980331</v>
      </c>
      <c r="AD328" s="255">
        <f t="shared" si="464"/>
        <v>8149.1068732779941</v>
      </c>
      <c r="AE328" s="255">
        <f t="shared" si="464"/>
        <v>8312.0890107435534</v>
      </c>
      <c r="AF328" s="255">
        <f t="shared" si="464"/>
        <v>8478.3307909584255</v>
      </c>
      <c r="AG328" s="255">
        <f t="shared" si="464"/>
        <v>8647.8974067775944</v>
      </c>
      <c r="AH328" s="255">
        <f t="shared" si="464"/>
        <v>8820.8553549131466</v>
      </c>
      <c r="AI328" s="255">
        <f t="shared" si="464"/>
        <v>8997.2724620114095</v>
      </c>
      <c r="AJ328" s="255">
        <f t="shared" si="464"/>
        <v>9177.2179112516387</v>
      </c>
      <c r="AK328" s="255">
        <f t="shared" si="464"/>
        <v>9360.7622694766724</v>
      </c>
      <c r="AL328" s="255">
        <f t="shared" si="464"/>
        <v>9547.9775148662065</v>
      </c>
      <c r="AM328" s="255">
        <f t="shared" si="464"/>
        <v>9738.9370651635309</v>
      </c>
      <c r="AN328" s="255">
        <f t="shared" si="464"/>
        <v>9933.715806466802</v>
      </c>
      <c r="AO328" s="255">
        <f t="shared" si="464"/>
        <v>10132.390122596138</v>
      </c>
      <c r="AP328" s="255">
        <f t="shared" si="464"/>
        <v>10335.03792504806</v>
      </c>
      <c r="AQ328" s="255">
        <f t="shared" si="464"/>
        <v>10541.738683549023</v>
      </c>
      <c r="AR328" s="255">
        <f t="shared" si="464"/>
        <v>10752.573457220002</v>
      </c>
      <c r="AS328" s="255">
        <f t="shared" si="464"/>
        <v>10967.624926364402</v>
      </c>
      <c r="AT328" s="255">
        <f t="shared" si="464"/>
        <v>11186.977424891693</v>
      </c>
      <c r="AU328" s="255">
        <f t="shared" si="464"/>
        <v>11410.716973389526</v>
      </c>
      <c r="AV328" s="255">
        <f t="shared" si="464"/>
        <v>11638.931312857316</v>
      </c>
      <c r="AW328" s="26"/>
      <c r="AX328" s="27"/>
    </row>
    <row r="329" spans="1:50" ht="12.6" hidden="1" customHeight="1" outlineLevel="1">
      <c r="A329" s="296"/>
      <c r="B329" s="41"/>
      <c r="C329" s="380"/>
      <c r="D329" s="384"/>
      <c r="E329" s="255"/>
      <c r="F329" s="255"/>
      <c r="G329" s="255"/>
      <c r="H329" s="255"/>
      <c r="I329" s="255"/>
      <c r="J329" s="255"/>
      <c r="K329" s="255"/>
      <c r="L329" s="255"/>
      <c r="M329" s="255"/>
      <c r="N329" s="255"/>
      <c r="O329" s="255"/>
      <c r="P329" s="255"/>
      <c r="Q329" s="255"/>
      <c r="R329" s="255"/>
      <c r="S329" s="255"/>
      <c r="T329" s="255"/>
      <c r="U329" s="255"/>
      <c r="V329" s="255"/>
      <c r="W329" s="255"/>
      <c r="X329" s="255"/>
      <c r="Y329" s="255"/>
      <c r="Z329" s="255"/>
      <c r="AA329" s="255"/>
      <c r="AB329" s="255"/>
      <c r="AC329" s="255"/>
      <c r="AD329" s="255"/>
      <c r="AE329" s="255"/>
      <c r="AF329" s="255"/>
      <c r="AG329" s="255"/>
      <c r="AH329" s="255"/>
      <c r="AI329" s="255"/>
      <c r="AJ329" s="255"/>
      <c r="AK329" s="255"/>
      <c r="AL329" s="255"/>
      <c r="AM329" s="255"/>
      <c r="AN329" s="255"/>
      <c r="AO329" s="255"/>
      <c r="AP329" s="255"/>
      <c r="AQ329" s="255"/>
      <c r="AR329" s="255"/>
      <c r="AS329" s="255"/>
      <c r="AT329" s="255"/>
      <c r="AU329" s="255"/>
      <c r="AV329" s="255"/>
      <c r="AW329" s="26"/>
      <c r="AX329" s="27"/>
    </row>
    <row r="330" spans="1:50" ht="12.6" hidden="1" customHeight="1" outlineLevel="1">
      <c r="A330" s="296"/>
      <c r="B330" s="28" t="s">
        <v>359</v>
      </c>
      <c r="C330" s="380"/>
      <c r="D330" s="384"/>
      <c r="E330" s="255"/>
      <c r="F330" s="255"/>
      <c r="G330" s="255"/>
      <c r="H330" s="255"/>
      <c r="I330" s="255"/>
      <c r="J330" s="255"/>
      <c r="K330" s="255"/>
      <c r="L330" s="255"/>
      <c r="M330" s="255"/>
      <c r="N330" s="255"/>
      <c r="O330" s="255"/>
      <c r="P330" s="255"/>
      <c r="Q330" s="255">
        <f>Q328+Q335</f>
        <v>0</v>
      </c>
      <c r="R330" s="255">
        <f>R328+R335</f>
        <v>0</v>
      </c>
      <c r="S330" s="255">
        <f t="shared" ref="S330:AV330" si="465">S328+S335</f>
        <v>8413.4379803847696</v>
      </c>
      <c r="T330" s="255">
        <f t="shared" si="465"/>
        <v>16081.791860362187</v>
      </c>
      <c r="U330" s="255">
        <f t="shared" si="465"/>
        <v>24645.32717514125</v>
      </c>
      <c r="V330" s="255">
        <f>V328+V335</f>
        <v>17595.555167124156</v>
      </c>
      <c r="W330" s="255">
        <f t="shared" si="465"/>
        <v>17627.435224799814</v>
      </c>
      <c r="X330" s="255">
        <f t="shared" si="465"/>
        <v>24768.645034604822</v>
      </c>
      <c r="Y330" s="255">
        <f t="shared" si="465"/>
        <v>18842.185924638008</v>
      </c>
      <c r="Z330" s="255">
        <f t="shared" si="465"/>
        <v>18842.18622060608</v>
      </c>
      <c r="AA330" s="255">
        <f t="shared" si="465"/>
        <v>26739.670688321916</v>
      </c>
      <c r="AB330" s="255">
        <f t="shared" si="465"/>
        <v>18842.186830418694</v>
      </c>
      <c r="AC330" s="255">
        <f t="shared" si="465"/>
        <v>18842.187144502383</v>
      </c>
      <c r="AD330" s="255">
        <f t="shared" si="465"/>
        <v>26739.671630696146</v>
      </c>
      <c r="AE330" s="255">
        <f t="shared" si="465"/>
        <v>18842.187791640405</v>
      </c>
      <c r="AF330" s="255">
        <f t="shared" si="465"/>
        <v>18842.188124948527</v>
      </c>
      <c r="AG330" s="255">
        <f t="shared" si="465"/>
        <v>26739.672630751214</v>
      </c>
      <c r="AH330" s="255">
        <f t="shared" si="465"/>
        <v>18842.188811696575</v>
      </c>
      <c r="AI330" s="255">
        <f t="shared" si="465"/>
        <v>18842.189165405816</v>
      </c>
      <c r="AJ330" s="255">
        <f t="shared" si="465"/>
        <v>26739.673692017644</v>
      </c>
      <c r="AK330" s="255">
        <f t="shared" si="465"/>
        <v>18842.189894188345</v>
      </c>
      <c r="AL330" s="255">
        <f t="shared" si="465"/>
        <v>18842.19026954742</v>
      </c>
      <c r="AM330" s="255">
        <f t="shared" si="465"/>
        <v>26739.674818242085</v>
      </c>
      <c r="AN330" s="255">
        <f t="shared" si="465"/>
        <v>18842.191042937266</v>
      </c>
      <c r="AO330" s="255">
        <f t="shared" si="465"/>
        <v>18842.191441271323</v>
      </c>
      <c r="AP330" s="255">
        <f t="shared" si="465"/>
        <v>26739.676013400465</v>
      </c>
      <c r="AQ330" s="255">
        <f t="shared" si="465"/>
        <v>18842.192261998815</v>
      </c>
      <c r="AR330" s="255">
        <f t="shared" si="465"/>
        <v>18842.1926847141</v>
      </c>
      <c r="AS330" s="255">
        <f t="shared" si="465"/>
        <v>26739.677281712102</v>
      </c>
      <c r="AT330" s="255">
        <f t="shared" si="465"/>
        <v>18842.193555676684</v>
      </c>
      <c r="AU330" s="255">
        <f t="shared" si="465"/>
        <v>18842.194004265526</v>
      </c>
      <c r="AV330" s="255">
        <f t="shared" si="465"/>
        <v>26739.678627654554</v>
      </c>
      <c r="AW330" s="26"/>
      <c r="AX330" s="27"/>
    </row>
    <row r="331" spans="1:50" ht="12.6" hidden="1" customHeight="1" outlineLevel="1">
      <c r="A331" s="296"/>
      <c r="B331" s="41" t="s">
        <v>360</v>
      </c>
      <c r="C331" s="380"/>
      <c r="D331" s="384"/>
      <c r="E331" s="24"/>
      <c r="F331" s="12"/>
      <c r="G331" s="12"/>
      <c r="H331" s="12"/>
      <c r="I331" s="12"/>
      <c r="J331" s="12"/>
      <c r="K331" s="12"/>
      <c r="L331" s="12"/>
      <c r="M331" s="12"/>
      <c r="N331" s="12"/>
      <c r="O331" s="26"/>
      <c r="P331" s="26"/>
      <c r="Q331" s="26">
        <f>Q330*Q336</f>
        <v>0</v>
      </c>
      <c r="R331" s="26">
        <f>R330*R336</f>
        <v>0</v>
      </c>
      <c r="S331" s="26">
        <f t="shared" ref="S331:AV331" si="466">S330*S336</f>
        <v>420671.89901923848</v>
      </c>
      <c r="T331" s="26">
        <f t="shared" si="466"/>
        <v>804089.59301810933</v>
      </c>
      <c r="U331" s="26">
        <f t="shared" si="466"/>
        <v>1232266.3587570626</v>
      </c>
      <c r="V331" s="26">
        <f>V330*V336</f>
        <v>879777.75835620775</v>
      </c>
      <c r="W331" s="26">
        <f t="shared" si="466"/>
        <v>881371.76123999071</v>
      </c>
      <c r="X331" s="26">
        <f t="shared" si="466"/>
        <v>1238432.2517302411</v>
      </c>
      <c r="Y331" s="26">
        <f t="shared" si="466"/>
        <v>942109.29623190046</v>
      </c>
      <c r="Z331" s="26">
        <f t="shared" si="466"/>
        <v>942109.31103030394</v>
      </c>
      <c r="AA331" s="26">
        <f t="shared" si="466"/>
        <v>1336983.5344160958</v>
      </c>
      <c r="AB331" s="26">
        <f t="shared" si="466"/>
        <v>942109.34152093471</v>
      </c>
      <c r="AC331" s="26">
        <f t="shared" si="466"/>
        <v>942109.35722511914</v>
      </c>
      <c r="AD331" s="26">
        <f t="shared" si="466"/>
        <v>1336983.5815348073</v>
      </c>
      <c r="AE331" s="26">
        <f t="shared" si="466"/>
        <v>942109.38958202023</v>
      </c>
      <c r="AF331" s="26">
        <f t="shared" si="466"/>
        <v>942109.40624742629</v>
      </c>
      <c r="AG331" s="26">
        <f t="shared" si="466"/>
        <v>1336983.6315375608</v>
      </c>
      <c r="AH331" s="26">
        <f t="shared" si="466"/>
        <v>942109.44058482873</v>
      </c>
      <c r="AI331" s="26">
        <f t="shared" si="466"/>
        <v>942109.45827029087</v>
      </c>
      <c r="AJ331" s="26">
        <f t="shared" si="466"/>
        <v>1336983.6846008822</v>
      </c>
      <c r="AK331" s="26">
        <f t="shared" si="466"/>
        <v>942109.49470941722</v>
      </c>
      <c r="AL331" s="26">
        <f t="shared" si="466"/>
        <v>942109.51347737096</v>
      </c>
      <c r="AM331" s="26">
        <f t="shared" si="466"/>
        <v>1336983.7409121043</v>
      </c>
      <c r="AN331" s="26">
        <f t="shared" si="466"/>
        <v>942109.55214686331</v>
      </c>
      <c r="AO331" s="26">
        <f t="shared" si="466"/>
        <v>942109.57206356619</v>
      </c>
      <c r="AP331" s="26">
        <f t="shared" si="466"/>
        <v>1336983.8006700233</v>
      </c>
      <c r="AQ331" s="26">
        <f t="shared" si="466"/>
        <v>942109.6130999407</v>
      </c>
      <c r="AR331" s="26">
        <f t="shared" si="466"/>
        <v>942109.63423570502</v>
      </c>
      <c r="AS331" s="26">
        <f t="shared" si="466"/>
        <v>1336983.8640856051</v>
      </c>
      <c r="AT331" s="26">
        <f t="shared" si="466"/>
        <v>942109.67778383417</v>
      </c>
      <c r="AU331" s="26">
        <f t="shared" si="466"/>
        <v>942109.70021327632</v>
      </c>
      <c r="AV331" s="26">
        <f t="shared" si="466"/>
        <v>1336983.9313827276</v>
      </c>
      <c r="AW331" s="26"/>
      <c r="AX331" s="27"/>
    </row>
    <row r="332" spans="1:50" ht="12.6" hidden="1" customHeight="1" outlineLevel="1">
      <c r="A332" s="296"/>
      <c r="B332" s="41"/>
      <c r="C332" s="380"/>
      <c r="D332" s="384"/>
      <c r="E332" s="24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26"/>
      <c r="AX332" s="27"/>
    </row>
    <row r="333" spans="1:50" ht="12.6" hidden="1" customHeight="1" outlineLevel="1">
      <c r="A333" s="296"/>
      <c r="B333" s="13" t="s">
        <v>361</v>
      </c>
      <c r="C333" s="380"/>
      <c r="D333" s="384"/>
      <c r="E333" s="24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26"/>
      <c r="AX333" s="27"/>
    </row>
    <row r="334" spans="1:50" ht="12.6" hidden="1" customHeight="1" outlineLevel="1">
      <c r="A334" s="296"/>
      <c r="B334" s="28" t="s">
        <v>362</v>
      </c>
      <c r="C334" s="23" t="s">
        <v>128</v>
      </c>
      <c r="D334" s="384"/>
      <c r="E334" s="92"/>
      <c r="F334" s="219"/>
      <c r="G334" s="219"/>
      <c r="H334" s="219"/>
      <c r="I334" s="92"/>
      <c r="J334" s="219"/>
      <c r="K334" s="219"/>
      <c r="L334" s="219"/>
      <c r="M334" s="219"/>
      <c r="N334" s="219"/>
      <c r="O334" s="225"/>
      <c r="P334" s="219"/>
      <c r="Q334" s="225">
        <v>0.8</v>
      </c>
      <c r="R334" s="219">
        <f t="shared" ref="R334:AV334" si="467">Q334</f>
        <v>0.8</v>
      </c>
      <c r="S334" s="219">
        <f t="shared" si="467"/>
        <v>0.8</v>
      </c>
      <c r="T334" s="219">
        <f t="shared" si="467"/>
        <v>0.8</v>
      </c>
      <c r="U334" s="219">
        <f t="shared" si="467"/>
        <v>0.8</v>
      </c>
      <c r="V334" s="219">
        <f t="shared" si="467"/>
        <v>0.8</v>
      </c>
      <c r="W334" s="219">
        <f t="shared" si="467"/>
        <v>0.8</v>
      </c>
      <c r="X334" s="219">
        <f t="shared" si="467"/>
        <v>0.8</v>
      </c>
      <c r="Y334" s="219">
        <f t="shared" si="467"/>
        <v>0.8</v>
      </c>
      <c r="Z334" s="219">
        <f t="shared" si="467"/>
        <v>0.8</v>
      </c>
      <c r="AA334" s="219">
        <f t="shared" si="467"/>
        <v>0.8</v>
      </c>
      <c r="AB334" s="219">
        <f t="shared" si="467"/>
        <v>0.8</v>
      </c>
      <c r="AC334" s="219">
        <f t="shared" si="467"/>
        <v>0.8</v>
      </c>
      <c r="AD334" s="219">
        <f t="shared" si="467"/>
        <v>0.8</v>
      </c>
      <c r="AE334" s="219">
        <f t="shared" si="467"/>
        <v>0.8</v>
      </c>
      <c r="AF334" s="219">
        <f t="shared" si="467"/>
        <v>0.8</v>
      </c>
      <c r="AG334" s="219">
        <f t="shared" si="467"/>
        <v>0.8</v>
      </c>
      <c r="AH334" s="219">
        <f t="shared" si="467"/>
        <v>0.8</v>
      </c>
      <c r="AI334" s="219">
        <f t="shared" si="467"/>
        <v>0.8</v>
      </c>
      <c r="AJ334" s="219">
        <f t="shared" si="467"/>
        <v>0.8</v>
      </c>
      <c r="AK334" s="219">
        <f t="shared" si="467"/>
        <v>0.8</v>
      </c>
      <c r="AL334" s="219">
        <f t="shared" si="467"/>
        <v>0.8</v>
      </c>
      <c r="AM334" s="219">
        <f t="shared" si="467"/>
        <v>0.8</v>
      </c>
      <c r="AN334" s="219">
        <f t="shared" si="467"/>
        <v>0.8</v>
      </c>
      <c r="AO334" s="219">
        <f t="shared" si="467"/>
        <v>0.8</v>
      </c>
      <c r="AP334" s="219">
        <f t="shared" si="467"/>
        <v>0.8</v>
      </c>
      <c r="AQ334" s="219">
        <f t="shared" si="467"/>
        <v>0.8</v>
      </c>
      <c r="AR334" s="219">
        <f t="shared" si="467"/>
        <v>0.8</v>
      </c>
      <c r="AS334" s="219">
        <f t="shared" si="467"/>
        <v>0.8</v>
      </c>
      <c r="AT334" s="219">
        <f t="shared" si="467"/>
        <v>0.8</v>
      </c>
      <c r="AU334" s="219">
        <f t="shared" si="467"/>
        <v>0.8</v>
      </c>
      <c r="AV334" s="219">
        <f t="shared" si="467"/>
        <v>0.8</v>
      </c>
      <c r="AW334" s="26"/>
      <c r="AX334" s="27"/>
    </row>
    <row r="335" spans="1:50" ht="12.6" hidden="1" customHeight="1" outlineLevel="1">
      <c r="A335" s="296"/>
      <c r="B335" s="28" t="s">
        <v>363</v>
      </c>
      <c r="C335" s="23" t="s">
        <v>128</v>
      </c>
      <c r="D335" s="384"/>
      <c r="E335" s="92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>
        <f t="shared" ref="Q335:AV335" si="468">Q298/Q334</f>
        <v>0</v>
      </c>
      <c r="R335" s="9">
        <f t="shared" si="468"/>
        <v>0</v>
      </c>
      <c r="S335" s="9">
        <f t="shared" si="468"/>
        <v>4030.6254803847701</v>
      </c>
      <c r="T335" s="9">
        <f t="shared" si="468"/>
        <v>11041.557485362187</v>
      </c>
      <c r="U335" s="9">
        <f t="shared" si="468"/>
        <v>18849.05764389125</v>
      </c>
      <c r="V335" s="9">
        <f t="shared" si="468"/>
        <v>11219.658682749154</v>
      </c>
      <c r="W335" s="9">
        <f t="shared" si="468"/>
        <v>10932.743916206064</v>
      </c>
      <c r="X335" s="9">
        <f t="shared" si="468"/>
        <v>17739.219160581382</v>
      </c>
      <c r="Y335" s="9">
        <f t="shared" si="468"/>
        <v>11461.288756913396</v>
      </c>
      <c r="Z335" s="9">
        <f t="shared" si="468"/>
        <v>11313.671109526977</v>
      </c>
      <c r="AA335" s="9">
        <f t="shared" si="468"/>
        <v>19060.585275021233</v>
      </c>
      <c r="AB335" s="9">
        <f t="shared" si="468"/>
        <v>11009.519708851996</v>
      </c>
      <c r="AC335" s="9">
        <f t="shared" si="468"/>
        <v>10852.866680504349</v>
      </c>
      <c r="AD335" s="9">
        <f t="shared" si="468"/>
        <v>18590.564757418153</v>
      </c>
      <c r="AE335" s="9">
        <f t="shared" si="468"/>
        <v>10530.098780896853</v>
      </c>
      <c r="AF335" s="9">
        <f t="shared" si="468"/>
        <v>10363.857333990101</v>
      </c>
      <c r="AG335" s="9">
        <f t="shared" si="468"/>
        <v>18091.775223973622</v>
      </c>
      <c r="AH335" s="9">
        <f t="shared" si="468"/>
        <v>10021.333456783428</v>
      </c>
      <c r="AI335" s="9">
        <f t="shared" si="468"/>
        <v>9844.9167033944068</v>
      </c>
      <c r="AJ335" s="9">
        <f t="shared" si="468"/>
        <v>17562.455780766006</v>
      </c>
      <c r="AK335" s="9">
        <f t="shared" si="468"/>
        <v>9481.4276247116723</v>
      </c>
      <c r="AL335" s="9">
        <f t="shared" si="468"/>
        <v>9294.2127546812153</v>
      </c>
      <c r="AM335" s="9">
        <f t="shared" si="468"/>
        <v>17000.737753078556</v>
      </c>
      <c r="AN335" s="9">
        <f t="shared" si="468"/>
        <v>8908.4752364704636</v>
      </c>
      <c r="AO335" s="9">
        <f t="shared" si="468"/>
        <v>8709.8013186751868</v>
      </c>
      <c r="AP335" s="9">
        <f t="shared" si="468"/>
        <v>16404.638088352403</v>
      </c>
      <c r="AQ335" s="9">
        <f t="shared" si="468"/>
        <v>8300.4535784497912</v>
      </c>
      <c r="AR335" s="9">
        <f t="shared" si="468"/>
        <v>8089.6192274940995</v>
      </c>
      <c r="AS335" s="9">
        <f t="shared" si="468"/>
        <v>15772.052355347698</v>
      </c>
      <c r="AT335" s="9">
        <f t="shared" si="468"/>
        <v>7655.2161307849892</v>
      </c>
      <c r="AU335" s="9">
        <f t="shared" si="468"/>
        <v>7431.4770308760008</v>
      </c>
      <c r="AV335" s="9">
        <f t="shared" si="468"/>
        <v>15100.747314797238</v>
      </c>
      <c r="AW335" s="26"/>
      <c r="AX335" s="27"/>
    </row>
    <row r="336" spans="1:50" ht="12.75" hidden="1" customHeight="1" outlineLevel="1">
      <c r="A336" s="296"/>
      <c r="B336" s="28" t="s">
        <v>364</v>
      </c>
      <c r="C336" s="23" t="s">
        <v>165</v>
      </c>
      <c r="D336" s="23"/>
      <c r="E336" s="92"/>
      <c r="F336" s="219"/>
      <c r="G336" s="219"/>
      <c r="H336" s="219"/>
      <c r="I336" s="92"/>
      <c r="J336" s="219"/>
      <c r="K336" s="219"/>
      <c r="L336" s="219"/>
      <c r="M336" s="219"/>
      <c r="N336" s="219"/>
      <c r="O336" s="225"/>
      <c r="P336" s="219"/>
      <c r="Q336" s="225">
        <v>50</v>
      </c>
      <c r="R336" s="219">
        <f t="shared" ref="R336:AV336" si="469">Q336</f>
        <v>50</v>
      </c>
      <c r="S336" s="219">
        <f t="shared" si="469"/>
        <v>50</v>
      </c>
      <c r="T336" s="219">
        <f t="shared" si="469"/>
        <v>50</v>
      </c>
      <c r="U336" s="219">
        <f t="shared" si="469"/>
        <v>50</v>
      </c>
      <c r="V336" s="219">
        <f t="shared" si="469"/>
        <v>50</v>
      </c>
      <c r="W336" s="219">
        <f t="shared" si="469"/>
        <v>50</v>
      </c>
      <c r="X336" s="219">
        <f t="shared" si="469"/>
        <v>50</v>
      </c>
      <c r="Y336" s="219">
        <f t="shared" si="469"/>
        <v>50</v>
      </c>
      <c r="Z336" s="219">
        <f t="shared" si="469"/>
        <v>50</v>
      </c>
      <c r="AA336" s="219">
        <f t="shared" si="469"/>
        <v>50</v>
      </c>
      <c r="AB336" s="219">
        <f t="shared" si="469"/>
        <v>50</v>
      </c>
      <c r="AC336" s="219">
        <f t="shared" si="469"/>
        <v>50</v>
      </c>
      <c r="AD336" s="219">
        <f t="shared" si="469"/>
        <v>50</v>
      </c>
      <c r="AE336" s="219">
        <f t="shared" si="469"/>
        <v>50</v>
      </c>
      <c r="AF336" s="219">
        <f t="shared" si="469"/>
        <v>50</v>
      </c>
      <c r="AG336" s="219">
        <f t="shared" si="469"/>
        <v>50</v>
      </c>
      <c r="AH336" s="219">
        <f t="shared" si="469"/>
        <v>50</v>
      </c>
      <c r="AI336" s="219">
        <f t="shared" si="469"/>
        <v>50</v>
      </c>
      <c r="AJ336" s="219">
        <f t="shared" si="469"/>
        <v>50</v>
      </c>
      <c r="AK336" s="219">
        <f t="shared" si="469"/>
        <v>50</v>
      </c>
      <c r="AL336" s="219">
        <f t="shared" si="469"/>
        <v>50</v>
      </c>
      <c r="AM336" s="219">
        <f t="shared" si="469"/>
        <v>50</v>
      </c>
      <c r="AN336" s="219">
        <f t="shared" si="469"/>
        <v>50</v>
      </c>
      <c r="AO336" s="219">
        <f t="shared" si="469"/>
        <v>50</v>
      </c>
      <c r="AP336" s="219">
        <f t="shared" si="469"/>
        <v>50</v>
      </c>
      <c r="AQ336" s="219">
        <f t="shared" si="469"/>
        <v>50</v>
      </c>
      <c r="AR336" s="219">
        <f t="shared" si="469"/>
        <v>50</v>
      </c>
      <c r="AS336" s="219">
        <f t="shared" si="469"/>
        <v>50</v>
      </c>
      <c r="AT336" s="219">
        <f t="shared" si="469"/>
        <v>50</v>
      </c>
      <c r="AU336" s="219">
        <f t="shared" si="469"/>
        <v>50</v>
      </c>
      <c r="AV336" s="219">
        <f t="shared" si="469"/>
        <v>50</v>
      </c>
      <c r="AW336" s="26"/>
      <c r="AX336" s="27"/>
    </row>
    <row r="337" spans="1:50" s="4" customFormat="1" ht="12.75" hidden="1" customHeight="1" outlineLevel="1">
      <c r="A337" s="297"/>
      <c r="B337" s="408" t="s">
        <v>28</v>
      </c>
      <c r="C337" s="409" t="s">
        <v>130</v>
      </c>
      <c r="D337" s="409"/>
      <c r="E337" s="410"/>
      <c r="F337" s="410"/>
      <c r="G337" s="410"/>
      <c r="H337" s="410"/>
      <c r="I337" s="410"/>
      <c r="J337" s="410"/>
      <c r="K337" s="410"/>
      <c r="L337" s="410"/>
      <c r="M337" s="410"/>
      <c r="N337" s="410"/>
      <c r="O337" s="410"/>
      <c r="P337" s="410"/>
      <c r="Q337" s="410">
        <f>Q335*Q336</f>
        <v>0</v>
      </c>
      <c r="R337" s="410">
        <f>R335*R336</f>
        <v>0</v>
      </c>
      <c r="S337" s="410">
        <f t="shared" ref="S337:AV337" si="470">S335*S336</f>
        <v>201531.27401923851</v>
      </c>
      <c r="T337" s="410">
        <f t="shared" si="470"/>
        <v>552077.87426810933</v>
      </c>
      <c r="U337" s="410">
        <f t="shared" si="470"/>
        <v>942452.88219456247</v>
      </c>
      <c r="V337" s="410">
        <f t="shared" si="470"/>
        <v>560982.93413745763</v>
      </c>
      <c r="W337" s="410">
        <f t="shared" si="470"/>
        <v>546637.19581030321</v>
      </c>
      <c r="X337" s="410">
        <f t="shared" si="470"/>
        <v>886960.95802906912</v>
      </c>
      <c r="Y337" s="410">
        <f t="shared" si="470"/>
        <v>573064.4378456698</v>
      </c>
      <c r="Z337" s="410">
        <f t="shared" si="470"/>
        <v>565683.55547634885</v>
      </c>
      <c r="AA337" s="410">
        <f t="shared" si="470"/>
        <v>953029.26375106163</v>
      </c>
      <c r="AB337" s="410">
        <f t="shared" si="470"/>
        <v>550475.98544259986</v>
      </c>
      <c r="AC337" s="410">
        <f t="shared" si="470"/>
        <v>542643.33402521745</v>
      </c>
      <c r="AD337" s="410">
        <f t="shared" si="470"/>
        <v>929528.23787090764</v>
      </c>
      <c r="AE337" s="410">
        <f t="shared" si="470"/>
        <v>526504.93904484261</v>
      </c>
      <c r="AF337" s="410">
        <f t="shared" si="470"/>
        <v>518192.86669950507</v>
      </c>
      <c r="AG337" s="410">
        <f t="shared" si="470"/>
        <v>904588.76119868108</v>
      </c>
      <c r="AH337" s="410">
        <f t="shared" si="470"/>
        <v>501066.67283917143</v>
      </c>
      <c r="AI337" s="410">
        <f t="shared" si="470"/>
        <v>492245.83516972035</v>
      </c>
      <c r="AJ337" s="410">
        <f t="shared" si="470"/>
        <v>878122.78903830028</v>
      </c>
      <c r="AK337" s="410">
        <f t="shared" si="470"/>
        <v>474071.38123558363</v>
      </c>
      <c r="AL337" s="410">
        <f t="shared" si="470"/>
        <v>464710.63773406076</v>
      </c>
      <c r="AM337" s="410">
        <f t="shared" si="470"/>
        <v>850036.88765392778</v>
      </c>
      <c r="AN337" s="410">
        <f t="shared" si="470"/>
        <v>445423.76182352321</v>
      </c>
      <c r="AO337" s="410">
        <f t="shared" si="470"/>
        <v>435490.06593375932</v>
      </c>
      <c r="AP337" s="410">
        <f t="shared" si="470"/>
        <v>820231.90441762016</v>
      </c>
      <c r="AQ337" s="410">
        <f t="shared" si="470"/>
        <v>415022.67892248958</v>
      </c>
      <c r="AR337" s="410">
        <f t="shared" si="470"/>
        <v>404480.96137470496</v>
      </c>
      <c r="AS337" s="410">
        <f t="shared" si="470"/>
        <v>788602.61776738486</v>
      </c>
      <c r="AT337" s="410">
        <f t="shared" si="470"/>
        <v>382760.80653924949</v>
      </c>
      <c r="AU337" s="410">
        <f t="shared" si="470"/>
        <v>371573.85154380003</v>
      </c>
      <c r="AV337" s="410">
        <f t="shared" si="470"/>
        <v>755037.36573986185</v>
      </c>
      <c r="AW337" s="26"/>
      <c r="AX337" s="38"/>
    </row>
    <row r="338" spans="1:50" s="4" customFormat="1" ht="12.75" hidden="1" customHeight="1" outlineLevel="1">
      <c r="A338" s="297"/>
      <c r="B338" s="408" t="s">
        <v>28</v>
      </c>
      <c r="C338" s="409" t="s">
        <v>42</v>
      </c>
      <c r="D338" s="409"/>
      <c r="E338" s="411"/>
      <c r="F338" s="411"/>
      <c r="G338" s="411"/>
      <c r="H338" s="411"/>
      <c r="I338" s="411"/>
      <c r="J338" s="411"/>
      <c r="K338" s="411"/>
      <c r="L338" s="411"/>
      <c r="M338" s="412">
        <f t="shared" ref="M338:AV338" si="471">M337/10^3</f>
        <v>0</v>
      </c>
      <c r="N338" s="412">
        <f t="shared" si="471"/>
        <v>0</v>
      </c>
      <c r="O338" s="412"/>
      <c r="P338" s="412"/>
      <c r="Q338" s="412">
        <f t="shared" ref="Q338" si="472">Q337/10^3</f>
        <v>0</v>
      </c>
      <c r="R338" s="412">
        <f t="shared" si="471"/>
        <v>0</v>
      </c>
      <c r="S338" s="412">
        <f t="shared" si="471"/>
        <v>201.53127401923851</v>
      </c>
      <c r="T338" s="412">
        <f t="shared" si="471"/>
        <v>552.07787426810933</v>
      </c>
      <c r="U338" s="412">
        <f t="shared" si="471"/>
        <v>942.45288219456245</v>
      </c>
      <c r="V338" s="412">
        <f t="shared" si="471"/>
        <v>560.98293413745762</v>
      </c>
      <c r="W338" s="412">
        <f t="shared" si="471"/>
        <v>546.63719581030318</v>
      </c>
      <c r="X338" s="412">
        <f t="shared" si="471"/>
        <v>886.96095802906916</v>
      </c>
      <c r="Y338" s="412">
        <f t="shared" si="471"/>
        <v>573.06443784566977</v>
      </c>
      <c r="Z338" s="412">
        <f t="shared" si="471"/>
        <v>565.68355547634883</v>
      </c>
      <c r="AA338" s="412">
        <f t="shared" si="471"/>
        <v>953.02926375106165</v>
      </c>
      <c r="AB338" s="412">
        <f t="shared" si="471"/>
        <v>550.47598544259984</v>
      </c>
      <c r="AC338" s="412">
        <f t="shared" si="471"/>
        <v>542.64333402521743</v>
      </c>
      <c r="AD338" s="412">
        <f t="shared" si="471"/>
        <v>929.52823787090767</v>
      </c>
      <c r="AE338" s="412">
        <f t="shared" si="471"/>
        <v>526.50493904484256</v>
      </c>
      <c r="AF338" s="412">
        <f t="shared" si="471"/>
        <v>518.19286669950509</v>
      </c>
      <c r="AG338" s="412">
        <f t="shared" si="471"/>
        <v>904.58876119868103</v>
      </c>
      <c r="AH338" s="412">
        <f t="shared" si="471"/>
        <v>501.06667283917142</v>
      </c>
      <c r="AI338" s="412">
        <f t="shared" si="471"/>
        <v>492.24583516972035</v>
      </c>
      <c r="AJ338" s="412">
        <f t="shared" si="471"/>
        <v>878.12278903830031</v>
      </c>
      <c r="AK338" s="412">
        <f t="shared" si="471"/>
        <v>474.0713812355836</v>
      </c>
      <c r="AL338" s="412">
        <f t="shared" si="471"/>
        <v>464.71063773406075</v>
      </c>
      <c r="AM338" s="412">
        <f t="shared" si="471"/>
        <v>850.03688765392781</v>
      </c>
      <c r="AN338" s="412">
        <f t="shared" si="471"/>
        <v>445.42376182352319</v>
      </c>
      <c r="AO338" s="412">
        <f t="shared" si="471"/>
        <v>435.4900659337593</v>
      </c>
      <c r="AP338" s="412">
        <f t="shared" si="471"/>
        <v>820.23190441762017</v>
      </c>
      <c r="AQ338" s="412">
        <f t="shared" si="471"/>
        <v>415.0226789224896</v>
      </c>
      <c r="AR338" s="412">
        <f t="shared" si="471"/>
        <v>404.48096137470498</v>
      </c>
      <c r="AS338" s="412">
        <f t="shared" si="471"/>
        <v>788.60261776738491</v>
      </c>
      <c r="AT338" s="412">
        <f t="shared" si="471"/>
        <v>382.76080653924947</v>
      </c>
      <c r="AU338" s="412">
        <f t="shared" si="471"/>
        <v>371.57385154380006</v>
      </c>
      <c r="AV338" s="412">
        <f t="shared" si="471"/>
        <v>755.0373657398618</v>
      </c>
      <c r="AW338" s="26"/>
      <c r="AX338" s="38"/>
    </row>
    <row r="339" spans="1:50" ht="12.6" hidden="1" customHeight="1" outlineLevel="1">
      <c r="A339" s="296"/>
      <c r="B339" s="13"/>
      <c r="C339" s="380"/>
      <c r="D339" s="384"/>
      <c r="E339" s="24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26"/>
      <c r="AX339" s="413"/>
    </row>
    <row r="340" spans="1:50" ht="12.6" hidden="1" customHeight="1" outlineLevel="1">
      <c r="A340" s="296"/>
      <c r="B340" s="383" t="s">
        <v>375</v>
      </c>
      <c r="C340" s="380"/>
      <c r="D340" s="384"/>
      <c r="E340" s="24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26"/>
      <c r="AX340" s="27"/>
    </row>
    <row r="341" spans="1:50" s="4" customFormat="1" ht="12.75" hidden="1" customHeight="1" outlineLevel="1">
      <c r="A341" s="297"/>
      <c r="B341" t="s">
        <v>365</v>
      </c>
      <c r="C341" s="23" t="s">
        <v>130</v>
      </c>
      <c r="D341" s="158"/>
      <c r="E341" s="158"/>
      <c r="F341" s="158"/>
      <c r="G341" s="158"/>
      <c r="H341" s="158"/>
      <c r="I341" s="158"/>
      <c r="J341" s="158"/>
      <c r="K341" s="53"/>
      <c r="L341" s="9"/>
      <c r="M341" s="53"/>
      <c r="N341" s="9"/>
      <c r="O341" s="260">
        <f>MROUND((O$352*10^3)*'Expense Proportions'!$F$23,100)</f>
        <v>0</v>
      </c>
      <c r="P341" s="260">
        <f>MROUND((P$352*10^3)*'Expense Proportions'!$F$23,100)</f>
        <v>0</v>
      </c>
      <c r="Q341" s="260">
        <f>MROUND((Q$352*10^3)*'Expense Proportions'!$F$23,100)</f>
        <v>0</v>
      </c>
      <c r="R341" s="260">
        <f>MROUND((R$352*10^3)*'Expense Proportions'!$F$23,100)</f>
        <v>0</v>
      </c>
      <c r="S341" s="260">
        <f>MROUND((S$352*10^3)*'Expense Proportions'!$F$23,100)</f>
        <v>2300</v>
      </c>
      <c r="T341" s="260">
        <f>MROUND((T$352*10^3)*'Expense Proportions'!$F$23,100)</f>
        <v>6300</v>
      </c>
      <c r="U341" s="260">
        <f>MROUND((U$352*10^3)*'Expense Proportions'!$F$23,100)</f>
        <v>10700</v>
      </c>
      <c r="V341" s="260">
        <f>MROUND((V$352*10^3)*'Expense Proportions'!$F$23,100)</f>
        <v>6400</v>
      </c>
      <c r="W341" s="260">
        <f>MROUND((W$352*10^3)*'Expense Proportions'!$F$23,100)</f>
        <v>6200</v>
      </c>
      <c r="X341" s="260">
        <f>MROUND((X$352*10^3)*'Expense Proportions'!$F$23,100)</f>
        <v>10100</v>
      </c>
      <c r="Y341" s="260">
        <f>MROUND((Y$352*10^3)*'Expense Proportions'!$F$23,100)</f>
        <v>6500</v>
      </c>
      <c r="Z341" s="260">
        <f>MROUND((Z$352*10^3)*'Expense Proportions'!$F$23,100)</f>
        <v>6400</v>
      </c>
      <c r="AA341" s="260">
        <f>MROUND((AA$352*10^3)*'Expense Proportions'!$F$23,100)</f>
        <v>10800</v>
      </c>
      <c r="AB341" s="260">
        <f>MROUND((AB$352*10^3)*'Expense Proportions'!$F$23,100)</f>
        <v>6200</v>
      </c>
      <c r="AC341" s="260">
        <f>MROUND((AC$352*10^3)*'Expense Proportions'!$F$23,100)</f>
        <v>6200</v>
      </c>
      <c r="AD341" s="260">
        <f>MROUND((AD$352*10^3)*'Expense Proportions'!$F$23,100)</f>
        <v>10600</v>
      </c>
      <c r="AE341" s="260">
        <f>MROUND((AE$352*10^3)*'Expense Proportions'!$F$23,100)</f>
        <v>6000</v>
      </c>
      <c r="AF341" s="260">
        <f>MROUND((AF$352*10^3)*'Expense Proportions'!$F$23,100)</f>
        <v>5900</v>
      </c>
      <c r="AG341" s="260">
        <f>MROUND((AG$352*10^3)*'Expense Proportions'!$F$23,100)</f>
        <v>10300</v>
      </c>
      <c r="AH341" s="260">
        <f>MROUND((AH$352*10^3)*'Expense Proportions'!$F$23,100)</f>
        <v>5700</v>
      </c>
      <c r="AI341" s="260">
        <f>MROUND((AI$352*10^3)*'Expense Proportions'!$F$23,100)</f>
        <v>5600</v>
      </c>
      <c r="AJ341" s="260">
        <f>MROUND((AJ$352*10^3)*'Expense Proportions'!$F$23,100)</f>
        <v>10000</v>
      </c>
      <c r="AK341" s="260">
        <f>MROUND((AK$352*10^3)*'Expense Proportions'!$F$23,100)</f>
        <v>5400</v>
      </c>
      <c r="AL341" s="260">
        <f>MROUND((AL$352*10^3)*'Expense Proportions'!$F$23,100)</f>
        <v>5300</v>
      </c>
      <c r="AM341" s="260">
        <f>MROUND((AM$352*10^3)*'Expense Proportions'!$F$23,100)</f>
        <v>9600</v>
      </c>
      <c r="AN341" s="260">
        <f>MROUND((AN$352*10^3)*'Expense Proportions'!$F$23,100)</f>
        <v>5100</v>
      </c>
      <c r="AO341" s="260">
        <f>MROUND((AO$352*10^3)*'Expense Proportions'!$F$23,100)</f>
        <v>4900</v>
      </c>
      <c r="AP341" s="260">
        <f>MROUND((AP$352*10^3)*'Expense Proportions'!$F$23,100)</f>
        <v>9300</v>
      </c>
      <c r="AQ341" s="260">
        <f>MROUND((AQ$352*10^3)*'Expense Proportions'!$F$23,100)</f>
        <v>4700</v>
      </c>
      <c r="AR341" s="260">
        <f>MROUND((AR$352*10^3)*'Expense Proportions'!$F$23,100)</f>
        <v>4600</v>
      </c>
      <c r="AS341" s="260">
        <f>MROUND((AS$352*10^3)*'Expense Proportions'!$F$23,100)</f>
        <v>9000</v>
      </c>
      <c r="AT341" s="260">
        <f>MROUND((AT$352*10^3)*'Expense Proportions'!$F$23,100)</f>
        <v>4300</v>
      </c>
      <c r="AU341" s="260">
        <f>MROUND((AU$352*10^3)*'Expense Proportions'!$F$23,100)</f>
        <v>4200</v>
      </c>
      <c r="AV341" s="260">
        <f>MROUND((AV$352*10^3)*'Expense Proportions'!$F$23,100)</f>
        <v>8600</v>
      </c>
      <c r="AW341" s="26"/>
      <c r="AX341" s="38"/>
    </row>
    <row r="342" spans="1:50" s="4" customFormat="1" ht="12.75" hidden="1" customHeight="1" outlineLevel="1">
      <c r="A342" s="297"/>
      <c r="B342" t="s">
        <v>366</v>
      </c>
      <c r="C342" s="23" t="s">
        <v>130</v>
      </c>
      <c r="D342" s="158"/>
      <c r="E342" s="158"/>
      <c r="F342" s="158"/>
      <c r="G342" s="158"/>
      <c r="H342" s="158"/>
      <c r="I342" s="158"/>
      <c r="J342" s="158"/>
      <c r="K342" s="53"/>
      <c r="L342" s="9"/>
      <c r="M342" s="53"/>
      <c r="N342" s="9"/>
      <c r="O342" s="260">
        <f>MROUND((O$352*10^3)*'Expense Proportions'!$F$24,100)</f>
        <v>0</v>
      </c>
      <c r="P342" s="260">
        <f>MROUND((P$352*10^3)*'Expense Proportions'!$F$24,100)</f>
        <v>0</v>
      </c>
      <c r="Q342" s="260">
        <f>MROUND((Q$352*10^3)*'Expense Proportions'!$F$24,100)</f>
        <v>0</v>
      </c>
      <c r="R342" s="260">
        <f>MROUND((R$352*10^3)*'Expense Proportions'!$F$24,100)</f>
        <v>0</v>
      </c>
      <c r="S342" s="260">
        <f>MROUND((S$352*10^3)*'Expense Proportions'!$F$24,100)</f>
        <v>2700</v>
      </c>
      <c r="T342" s="260">
        <f>MROUND((T$352*10^3)*'Expense Proportions'!$F$24,100)</f>
        <v>7500</v>
      </c>
      <c r="U342" s="260">
        <f>MROUND((U$352*10^3)*'Expense Proportions'!$F$24,100)</f>
        <v>12800</v>
      </c>
      <c r="V342" s="260">
        <f>MROUND((V$352*10^3)*'Expense Proportions'!$F$24,100)</f>
        <v>7600</v>
      </c>
      <c r="W342" s="260">
        <f>MROUND((W$352*10^3)*'Expense Proportions'!$F$24,100)</f>
        <v>7400</v>
      </c>
      <c r="X342" s="260">
        <f>MROUND((X$352*10^3)*'Expense Proportions'!$F$24,100)</f>
        <v>12000</v>
      </c>
      <c r="Y342" s="260">
        <f>MROUND((Y$352*10^3)*'Expense Proportions'!$F$24,100)</f>
        <v>7800</v>
      </c>
      <c r="Z342" s="260">
        <f>MROUND((Z$352*10^3)*'Expense Proportions'!$F$24,100)</f>
        <v>7700</v>
      </c>
      <c r="AA342" s="260">
        <f>MROUND((AA$352*10^3)*'Expense Proportions'!$F$24,100)</f>
        <v>12900</v>
      </c>
      <c r="AB342" s="260">
        <f>MROUND((AB$352*10^3)*'Expense Proportions'!$F$24,100)</f>
        <v>7500</v>
      </c>
      <c r="AC342" s="260">
        <f>MROUND((AC$352*10^3)*'Expense Proportions'!$F$24,100)</f>
        <v>7400</v>
      </c>
      <c r="AD342" s="260">
        <f>MROUND((AD$352*10^3)*'Expense Proportions'!$F$24,100)</f>
        <v>12600</v>
      </c>
      <c r="AE342" s="260">
        <f>MROUND((AE$352*10^3)*'Expense Proportions'!$F$24,100)</f>
        <v>7100</v>
      </c>
      <c r="AF342" s="260">
        <f>MROUND((AF$352*10^3)*'Expense Proportions'!$F$24,100)</f>
        <v>7000</v>
      </c>
      <c r="AG342" s="260">
        <f>MROUND((AG$352*10^3)*'Expense Proportions'!$F$24,100)</f>
        <v>12300</v>
      </c>
      <c r="AH342" s="260">
        <f>MROUND((AH$352*10^3)*'Expense Proportions'!$F$24,100)</f>
        <v>6800</v>
      </c>
      <c r="AI342" s="260">
        <f>MROUND((AI$352*10^3)*'Expense Proportions'!$F$24,100)</f>
        <v>6700</v>
      </c>
      <c r="AJ342" s="260">
        <f>MROUND((AJ$352*10^3)*'Expense Proportions'!$F$24,100)</f>
        <v>11900</v>
      </c>
      <c r="AK342" s="260">
        <f>MROUND((AK$352*10^3)*'Expense Proportions'!$F$24,100)</f>
        <v>6400</v>
      </c>
      <c r="AL342" s="260">
        <f>MROUND((AL$352*10^3)*'Expense Proportions'!$F$24,100)</f>
        <v>6300</v>
      </c>
      <c r="AM342" s="260">
        <f>MROUND((AM$352*10^3)*'Expense Proportions'!$F$24,100)</f>
        <v>11500</v>
      </c>
      <c r="AN342" s="260">
        <f>MROUND((AN$352*10^3)*'Expense Proportions'!$F$24,100)</f>
        <v>6000</v>
      </c>
      <c r="AO342" s="260">
        <f>MROUND((AO$352*10^3)*'Expense Proportions'!$F$24,100)</f>
        <v>5900</v>
      </c>
      <c r="AP342" s="260">
        <f>MROUND((AP$352*10^3)*'Expense Proportions'!$F$24,100)</f>
        <v>11100</v>
      </c>
      <c r="AQ342" s="260">
        <f>MROUND((AQ$352*10^3)*'Expense Proportions'!$F$24,100)</f>
        <v>5600</v>
      </c>
      <c r="AR342" s="260">
        <f>MROUND((AR$352*10^3)*'Expense Proportions'!$F$24,100)</f>
        <v>5500</v>
      </c>
      <c r="AS342" s="260">
        <f>MROUND((AS$352*10^3)*'Expense Proportions'!$F$24,100)</f>
        <v>10700</v>
      </c>
      <c r="AT342" s="260">
        <f>MROUND((AT$352*10^3)*'Expense Proportions'!$F$24,100)</f>
        <v>5200</v>
      </c>
      <c r="AU342" s="260">
        <f>MROUND((AU$352*10^3)*'Expense Proportions'!$F$24,100)</f>
        <v>5000</v>
      </c>
      <c r="AV342" s="260">
        <f>MROUND((AV$352*10^3)*'Expense Proportions'!$F$24,100)</f>
        <v>10200</v>
      </c>
      <c r="AW342" s="26"/>
      <c r="AX342" s="38"/>
    </row>
    <row r="343" spans="1:50" s="4" customFormat="1" ht="12.75" hidden="1" customHeight="1" outlineLevel="1">
      <c r="A343" s="297"/>
      <c r="B343" t="s">
        <v>367</v>
      </c>
      <c r="C343" s="23" t="s">
        <v>130</v>
      </c>
      <c r="D343" s="158"/>
      <c r="E343" s="158"/>
      <c r="F343" s="158"/>
      <c r="G343" s="158"/>
      <c r="H343" s="158"/>
      <c r="I343" s="158"/>
      <c r="J343" s="158"/>
      <c r="K343" s="53"/>
      <c r="L343" s="9"/>
      <c r="M343" s="53"/>
      <c r="N343" s="9"/>
      <c r="O343" s="260">
        <f>MROUND((O$352*10^3)*'Expense Proportions'!$F$25,100)</f>
        <v>0</v>
      </c>
      <c r="P343" s="260">
        <f>MROUND((P$352*10^3)*'Expense Proportions'!$F$25,100)</f>
        <v>0</v>
      </c>
      <c r="Q343" s="260">
        <f>MROUND((Q$352*10^3)*'Expense Proportions'!$F$25,100)</f>
        <v>0</v>
      </c>
      <c r="R343" s="260">
        <f>MROUND((R$352*10^3)*'Expense Proportions'!$F$25,100)</f>
        <v>0</v>
      </c>
      <c r="S343" s="260">
        <f>MROUND((S$352*10^3)*'Expense Proportions'!$F$25,100)</f>
        <v>1800</v>
      </c>
      <c r="T343" s="260">
        <f>MROUND((T$352*10^3)*'Expense Proportions'!$F$25,100)</f>
        <v>4900</v>
      </c>
      <c r="U343" s="260">
        <f>MROUND((U$352*10^3)*'Expense Proportions'!$F$25,100)</f>
        <v>8400</v>
      </c>
      <c r="V343" s="260">
        <f>MROUND((V$352*10^3)*'Expense Proportions'!$F$25,100)</f>
        <v>5000</v>
      </c>
      <c r="W343" s="260">
        <f>MROUND((W$352*10^3)*'Expense Proportions'!$F$25,100)</f>
        <v>4900</v>
      </c>
      <c r="X343" s="260">
        <f>MROUND((X$352*10^3)*'Expense Proportions'!$F$25,100)</f>
        <v>7900</v>
      </c>
      <c r="Y343" s="260">
        <f>MROUND((Y$352*10^3)*'Expense Proportions'!$F$25,100)</f>
        <v>5100</v>
      </c>
      <c r="Z343" s="260">
        <f>MROUND((Z$352*10^3)*'Expense Proportions'!$F$25,100)</f>
        <v>5000</v>
      </c>
      <c r="AA343" s="260">
        <f>MROUND((AA$352*10^3)*'Expense Proportions'!$F$25,100)</f>
        <v>8500</v>
      </c>
      <c r="AB343" s="260">
        <f>MROUND((AB$352*10^3)*'Expense Proportions'!$F$25,100)</f>
        <v>4900</v>
      </c>
      <c r="AC343" s="260">
        <f>MROUND((AC$352*10^3)*'Expense Proportions'!$F$25,100)</f>
        <v>4800</v>
      </c>
      <c r="AD343" s="260">
        <f>MROUND((AD$352*10^3)*'Expense Proportions'!$F$25,100)</f>
        <v>8300</v>
      </c>
      <c r="AE343" s="260">
        <f>MROUND((AE$352*10^3)*'Expense Proportions'!$F$25,100)</f>
        <v>4700</v>
      </c>
      <c r="AF343" s="260">
        <f>MROUND((AF$352*10^3)*'Expense Proportions'!$F$25,100)</f>
        <v>4600</v>
      </c>
      <c r="AG343" s="260">
        <f>MROUND((AG$352*10^3)*'Expense Proportions'!$F$25,100)</f>
        <v>8100</v>
      </c>
      <c r="AH343" s="260">
        <f>MROUND((AH$352*10^3)*'Expense Proportions'!$F$25,100)</f>
        <v>4500</v>
      </c>
      <c r="AI343" s="260">
        <f>MROUND((AI$352*10^3)*'Expense Proportions'!$F$25,100)</f>
        <v>4400</v>
      </c>
      <c r="AJ343" s="260">
        <f>MROUND((AJ$352*10^3)*'Expense Proportions'!$F$25,100)</f>
        <v>7800</v>
      </c>
      <c r="AK343" s="260">
        <f>MROUND((AK$352*10^3)*'Expense Proportions'!$F$25,100)</f>
        <v>4200</v>
      </c>
      <c r="AL343" s="260">
        <f>MROUND((AL$352*10^3)*'Expense Proportions'!$F$25,100)</f>
        <v>4100</v>
      </c>
      <c r="AM343" s="260">
        <f>MROUND((AM$352*10^3)*'Expense Proportions'!$F$25,100)</f>
        <v>7600</v>
      </c>
      <c r="AN343" s="260">
        <f>MROUND((AN$352*10^3)*'Expense Proportions'!$F$25,100)</f>
        <v>4000</v>
      </c>
      <c r="AO343" s="260">
        <f>MROUND((AO$352*10^3)*'Expense Proportions'!$F$25,100)</f>
        <v>3900</v>
      </c>
      <c r="AP343" s="260">
        <f>MROUND((AP$352*10^3)*'Expense Proportions'!$F$25,100)</f>
        <v>7300</v>
      </c>
      <c r="AQ343" s="260">
        <f>MROUND((AQ$352*10^3)*'Expense Proportions'!$F$25,100)</f>
        <v>3700</v>
      </c>
      <c r="AR343" s="260">
        <f>MROUND((AR$352*10^3)*'Expense Proportions'!$F$25,100)</f>
        <v>3600</v>
      </c>
      <c r="AS343" s="260">
        <f>MROUND((AS$352*10^3)*'Expense Proportions'!$F$25,100)</f>
        <v>7000</v>
      </c>
      <c r="AT343" s="260">
        <f>MROUND((AT$352*10^3)*'Expense Proportions'!$F$25,100)</f>
        <v>3400</v>
      </c>
      <c r="AU343" s="260">
        <f>MROUND((AU$352*10^3)*'Expense Proportions'!$F$25,100)</f>
        <v>3300</v>
      </c>
      <c r="AV343" s="260">
        <f>MROUND((AV$352*10^3)*'Expense Proportions'!$F$25,100)</f>
        <v>6700</v>
      </c>
      <c r="AW343" s="26"/>
      <c r="AX343" s="38"/>
    </row>
    <row r="344" spans="1:50" s="4" customFormat="1" ht="12.75" hidden="1" customHeight="1" outlineLevel="1">
      <c r="A344" s="297"/>
      <c r="B344" t="s">
        <v>368</v>
      </c>
      <c r="C344" s="23" t="s">
        <v>130</v>
      </c>
      <c r="D344" s="158"/>
      <c r="E344" s="158"/>
      <c r="F344" s="158"/>
      <c r="G344" s="158"/>
      <c r="H344" s="158"/>
      <c r="I344" s="158"/>
      <c r="J344" s="158"/>
      <c r="K344" s="53"/>
      <c r="L344" s="9"/>
      <c r="M344" s="53"/>
      <c r="N344" s="9"/>
      <c r="O344" s="260">
        <f>MROUND((O$352*10^3)*'Expense Proportions'!$F$26,100)</f>
        <v>0</v>
      </c>
      <c r="P344" s="260">
        <f>MROUND((P$352*10^3)*'Expense Proportions'!$F$26,100)</f>
        <v>0</v>
      </c>
      <c r="Q344" s="260">
        <f>MROUND((Q$352*10^3)*'Expense Proportions'!$F$26,100)</f>
        <v>0</v>
      </c>
      <c r="R344" s="260">
        <f>MROUND((R$352*10^3)*'Expense Proportions'!$F$26,100)</f>
        <v>0</v>
      </c>
      <c r="S344" s="260">
        <f>MROUND((S$352*10^3)*'Expense Proportions'!$F$26,100)</f>
        <v>4200</v>
      </c>
      <c r="T344" s="260">
        <f>MROUND((T$352*10^3)*'Expense Proportions'!$F$26,100)</f>
        <v>11500</v>
      </c>
      <c r="U344" s="260">
        <f>MROUND((U$352*10^3)*'Expense Proportions'!$F$26,100)</f>
        <v>19700</v>
      </c>
      <c r="V344" s="260">
        <f>MROUND((V$352*10^3)*'Expense Proportions'!$F$26,100)</f>
        <v>11700</v>
      </c>
      <c r="W344" s="260">
        <f>MROUND((W$352*10^3)*'Expense Proportions'!$F$26,100)</f>
        <v>11400</v>
      </c>
      <c r="X344" s="260">
        <f>MROUND((X$352*10^3)*'Expense Proportions'!$F$26,100)</f>
        <v>18500</v>
      </c>
      <c r="Y344" s="260">
        <f>MROUND((Y$352*10^3)*'Expense Proportions'!$F$26,100)</f>
        <v>12000</v>
      </c>
      <c r="Z344" s="260">
        <f>MROUND((Z$352*10^3)*'Expense Proportions'!$F$26,100)</f>
        <v>11800</v>
      </c>
      <c r="AA344" s="260">
        <f>MROUND((AA$352*10^3)*'Expense Proportions'!$F$26,100)</f>
        <v>19900</v>
      </c>
      <c r="AB344" s="260">
        <f>MROUND((AB$352*10^3)*'Expense Proportions'!$F$26,100)</f>
        <v>11500</v>
      </c>
      <c r="AC344" s="260">
        <f>MROUND((AC$352*10^3)*'Expense Proportions'!$F$26,100)</f>
        <v>11300</v>
      </c>
      <c r="AD344" s="260">
        <f>MROUND((AD$352*10^3)*'Expense Proportions'!$F$26,100)</f>
        <v>19400</v>
      </c>
      <c r="AE344" s="260">
        <f>MROUND((AE$352*10^3)*'Expense Proportions'!$F$26,100)</f>
        <v>11000</v>
      </c>
      <c r="AF344" s="260">
        <f>MROUND((AF$352*10^3)*'Expense Proportions'!$F$26,100)</f>
        <v>10800</v>
      </c>
      <c r="AG344" s="260">
        <f>MROUND((AG$352*10^3)*'Expense Proportions'!$F$26,100)</f>
        <v>18900</v>
      </c>
      <c r="AH344" s="260">
        <f>MROUND((AH$352*10^3)*'Expense Proportions'!$F$26,100)</f>
        <v>10500</v>
      </c>
      <c r="AI344" s="260">
        <f>MROUND((AI$352*10^3)*'Expense Proportions'!$F$26,100)</f>
        <v>10300</v>
      </c>
      <c r="AJ344" s="260">
        <f>MROUND((AJ$352*10^3)*'Expense Proportions'!$F$26,100)</f>
        <v>18300</v>
      </c>
      <c r="AK344" s="260">
        <f>MROUND((AK$352*10^3)*'Expense Proportions'!$F$26,100)</f>
        <v>9900</v>
      </c>
      <c r="AL344" s="260">
        <f>MROUND((AL$352*10^3)*'Expense Proportions'!$F$26,100)</f>
        <v>9700</v>
      </c>
      <c r="AM344" s="260">
        <f>MROUND((AM$352*10^3)*'Expense Proportions'!$F$26,100)</f>
        <v>17700</v>
      </c>
      <c r="AN344" s="260">
        <f>MROUND((AN$352*10^3)*'Expense Proportions'!$F$26,100)</f>
        <v>9300</v>
      </c>
      <c r="AO344" s="260">
        <f>MROUND((AO$352*10^3)*'Expense Proportions'!$F$26,100)</f>
        <v>9100</v>
      </c>
      <c r="AP344" s="260">
        <f>MROUND((AP$352*10^3)*'Expense Proportions'!$F$26,100)</f>
        <v>17100</v>
      </c>
      <c r="AQ344" s="260">
        <f>MROUND((AQ$352*10^3)*'Expense Proportions'!$F$26,100)</f>
        <v>8700</v>
      </c>
      <c r="AR344" s="260">
        <f>MROUND((AR$352*10^3)*'Expense Proportions'!$F$26,100)</f>
        <v>8400</v>
      </c>
      <c r="AS344" s="260">
        <f>MROUND((AS$352*10^3)*'Expense Proportions'!$F$26,100)</f>
        <v>16400</v>
      </c>
      <c r="AT344" s="260">
        <f>MROUND((AT$352*10^3)*'Expense Proportions'!$F$26,100)</f>
        <v>8000</v>
      </c>
      <c r="AU344" s="260">
        <f>MROUND((AU$352*10^3)*'Expense Proportions'!$F$26,100)</f>
        <v>7700</v>
      </c>
      <c r="AV344" s="260">
        <f>MROUND((AV$352*10^3)*'Expense Proportions'!$F$26,100)</f>
        <v>15700</v>
      </c>
      <c r="AW344" s="26"/>
      <c r="AX344" s="38"/>
    </row>
    <row r="345" spans="1:50" s="4" customFormat="1" ht="12.75" hidden="1" customHeight="1" outlineLevel="1">
      <c r="A345" s="297"/>
      <c r="B345" t="s">
        <v>369</v>
      </c>
      <c r="C345" s="23" t="s">
        <v>130</v>
      </c>
      <c r="D345" s="158"/>
      <c r="E345" s="158"/>
      <c r="F345" s="158"/>
      <c r="G345" s="158"/>
      <c r="H345" s="158"/>
      <c r="I345" s="158"/>
      <c r="J345" s="158"/>
      <c r="K345" s="53"/>
      <c r="L345" s="9"/>
      <c r="M345" s="53"/>
      <c r="N345" s="9"/>
      <c r="O345" s="260">
        <f>MROUND((O$352*10^3)*'Expense Proportions'!$F$27,100)</f>
        <v>0</v>
      </c>
      <c r="P345" s="260">
        <f>MROUND((P$352*10^3)*'Expense Proportions'!$F$27,100)</f>
        <v>0</v>
      </c>
      <c r="Q345" s="260">
        <f>MROUND((Q$352*10^3)*'Expense Proportions'!$F$27,100)</f>
        <v>0</v>
      </c>
      <c r="R345" s="260">
        <f>MROUND((R$352*10^3)*'Expense Proportions'!$F$27,100)</f>
        <v>0</v>
      </c>
      <c r="S345" s="260">
        <f>MROUND((S$352*10^3)*'Expense Proportions'!$F$27,100)</f>
        <v>3200</v>
      </c>
      <c r="T345" s="260">
        <f>MROUND((T$352*10^3)*'Expense Proportions'!$F$27,100)</f>
        <v>8800</v>
      </c>
      <c r="U345" s="260">
        <f>MROUND((U$352*10^3)*'Expense Proportions'!$F$27,100)</f>
        <v>15100</v>
      </c>
      <c r="V345" s="260">
        <f>MROUND((V$352*10^3)*'Expense Proportions'!$F$27,100)</f>
        <v>9000</v>
      </c>
      <c r="W345" s="260">
        <f>MROUND((W$352*10^3)*'Expense Proportions'!$F$27,100)</f>
        <v>8800</v>
      </c>
      <c r="X345" s="260">
        <f>MROUND((X$352*10^3)*'Expense Proportions'!$F$27,100)</f>
        <v>14200</v>
      </c>
      <c r="Y345" s="260">
        <f>MROUND((Y$352*10^3)*'Expense Proportions'!$F$27,100)</f>
        <v>9200</v>
      </c>
      <c r="Z345" s="260">
        <f>MROUND((Z$352*10^3)*'Expense Proportions'!$F$27,100)</f>
        <v>9100</v>
      </c>
      <c r="AA345" s="260">
        <f>MROUND((AA$352*10^3)*'Expense Proportions'!$F$27,100)</f>
        <v>15300</v>
      </c>
      <c r="AB345" s="260">
        <f>MROUND((AB$352*10^3)*'Expense Proportions'!$F$27,100)</f>
        <v>8800</v>
      </c>
      <c r="AC345" s="260">
        <f>MROUND((AC$352*10^3)*'Expense Proportions'!$F$27,100)</f>
        <v>8700</v>
      </c>
      <c r="AD345" s="260">
        <f>MROUND((AD$352*10^3)*'Expense Proportions'!$F$27,100)</f>
        <v>14900</v>
      </c>
      <c r="AE345" s="260">
        <f>MROUND((AE$352*10^3)*'Expense Proportions'!$F$27,100)</f>
        <v>8400</v>
      </c>
      <c r="AF345" s="260">
        <f>MROUND((AF$352*10^3)*'Expense Proportions'!$F$27,100)</f>
        <v>8300</v>
      </c>
      <c r="AG345" s="260">
        <f>MROUND((AG$352*10^3)*'Expense Proportions'!$F$27,100)</f>
        <v>14500</v>
      </c>
      <c r="AH345" s="260">
        <f>MROUND((AH$352*10^3)*'Expense Proportions'!$F$27,100)</f>
        <v>8000</v>
      </c>
      <c r="AI345" s="260">
        <f>MROUND((AI$352*10^3)*'Expense Proportions'!$F$27,100)</f>
        <v>7900</v>
      </c>
      <c r="AJ345" s="260">
        <f>MROUND((AJ$352*10^3)*'Expense Proportions'!$F$27,100)</f>
        <v>14100</v>
      </c>
      <c r="AK345" s="260">
        <f>MROUND((AK$352*10^3)*'Expense Proportions'!$F$27,100)</f>
        <v>7600</v>
      </c>
      <c r="AL345" s="260">
        <f>MROUND((AL$352*10^3)*'Expense Proportions'!$F$27,100)</f>
        <v>7400</v>
      </c>
      <c r="AM345" s="260">
        <f>MROUND((AM$352*10^3)*'Expense Proportions'!$F$27,100)</f>
        <v>13600</v>
      </c>
      <c r="AN345" s="260">
        <f>MROUND((AN$352*10^3)*'Expense Proportions'!$F$27,100)</f>
        <v>7100</v>
      </c>
      <c r="AO345" s="260">
        <f>MROUND((AO$352*10^3)*'Expense Proportions'!$F$27,100)</f>
        <v>7000</v>
      </c>
      <c r="AP345" s="260">
        <f>MROUND((AP$352*10^3)*'Expense Proportions'!$F$27,100)</f>
        <v>13100</v>
      </c>
      <c r="AQ345" s="260">
        <f>MROUND((AQ$352*10^3)*'Expense Proportions'!$F$27,100)</f>
        <v>6600</v>
      </c>
      <c r="AR345" s="260">
        <f>MROUND((AR$352*10^3)*'Expense Proportions'!$F$27,100)</f>
        <v>6500</v>
      </c>
      <c r="AS345" s="260">
        <f>MROUND((AS$352*10^3)*'Expense Proportions'!$F$27,100)</f>
        <v>12600</v>
      </c>
      <c r="AT345" s="260">
        <f>MROUND((AT$352*10^3)*'Expense Proportions'!$F$27,100)</f>
        <v>6100</v>
      </c>
      <c r="AU345" s="260">
        <f>MROUND((AU$352*10^3)*'Expense Proportions'!$F$27,100)</f>
        <v>5900</v>
      </c>
      <c r="AV345" s="260">
        <f>MROUND((AV$352*10^3)*'Expense Proportions'!$F$27,100)</f>
        <v>12100</v>
      </c>
      <c r="AW345" s="26"/>
      <c r="AX345" s="38"/>
    </row>
    <row r="346" spans="1:50" s="4" customFormat="1" ht="12.75" hidden="1" customHeight="1" outlineLevel="1">
      <c r="A346" s="297"/>
      <c r="B346" t="s">
        <v>370</v>
      </c>
      <c r="C346" s="23" t="s">
        <v>130</v>
      </c>
      <c r="D346" s="158"/>
      <c r="E346" s="158"/>
      <c r="F346" s="158"/>
      <c r="G346" s="158"/>
      <c r="H346" s="158"/>
      <c r="I346" s="158"/>
      <c r="J346" s="158"/>
      <c r="K346" s="53"/>
      <c r="L346" s="9"/>
      <c r="M346" s="53"/>
      <c r="N346" s="9"/>
      <c r="O346" s="260">
        <f>MROUND((O$352*10^3)*'Expense Proportions'!$F$28,100)</f>
        <v>0</v>
      </c>
      <c r="P346" s="260">
        <f>MROUND((P$352*10^3)*'Expense Proportions'!$F$28,100)</f>
        <v>0</v>
      </c>
      <c r="Q346" s="260">
        <f>MROUND((Q$352*10^3)*'Expense Proportions'!$F$28,100)</f>
        <v>0</v>
      </c>
      <c r="R346" s="260">
        <f>MROUND((R$352*10^3)*'Expense Proportions'!$F$28,100)</f>
        <v>0</v>
      </c>
      <c r="S346" s="260">
        <f>MROUND((S$352*10^3)*'Expense Proportions'!$F$28,100)</f>
        <v>5700</v>
      </c>
      <c r="T346" s="260">
        <f>MROUND((T$352*10^3)*'Expense Proportions'!$F$28,100)</f>
        <v>15700</v>
      </c>
      <c r="U346" s="260">
        <f>MROUND((U$352*10^3)*'Expense Proportions'!$F$28,100)</f>
        <v>26900</v>
      </c>
      <c r="V346" s="260">
        <f>MROUND((V$352*10^3)*'Expense Proportions'!$F$28,100)</f>
        <v>16000</v>
      </c>
      <c r="W346" s="260">
        <f>MROUND((W$352*10^3)*'Expense Proportions'!$F$28,100)</f>
        <v>15600</v>
      </c>
      <c r="X346" s="260">
        <f>MROUND((X$352*10^3)*'Expense Proportions'!$F$28,100)</f>
        <v>25300</v>
      </c>
      <c r="Y346" s="260">
        <f>MROUND((Y$352*10^3)*'Expense Proportions'!$F$28,100)</f>
        <v>16300</v>
      </c>
      <c r="Z346" s="260">
        <f>MROUND((Z$352*10^3)*'Expense Proportions'!$F$28,100)</f>
        <v>16100</v>
      </c>
      <c r="AA346" s="260">
        <f>MROUND((AA$352*10^3)*'Expense Proportions'!$F$28,100)</f>
        <v>27200</v>
      </c>
      <c r="AB346" s="260">
        <f>MROUND((AB$352*10^3)*'Expense Proportions'!$F$28,100)</f>
        <v>15700</v>
      </c>
      <c r="AC346" s="260">
        <f>MROUND((AC$352*10^3)*'Expense Proportions'!$F$28,100)</f>
        <v>15500</v>
      </c>
      <c r="AD346" s="260">
        <f>MROUND((AD$352*10^3)*'Expense Proportions'!$F$28,100)</f>
        <v>26500</v>
      </c>
      <c r="AE346" s="260">
        <f>MROUND((AE$352*10^3)*'Expense Proportions'!$F$28,100)</f>
        <v>15000</v>
      </c>
      <c r="AF346" s="260">
        <f>MROUND((AF$352*10^3)*'Expense Proportions'!$F$28,100)</f>
        <v>14800</v>
      </c>
      <c r="AG346" s="260">
        <f>MROUND((AG$352*10^3)*'Expense Proportions'!$F$28,100)</f>
        <v>25800</v>
      </c>
      <c r="AH346" s="260">
        <f>MROUND((AH$352*10^3)*'Expense Proportions'!$F$28,100)</f>
        <v>14300</v>
      </c>
      <c r="AI346" s="260">
        <f>MROUND((AI$352*10^3)*'Expense Proportions'!$F$28,100)</f>
        <v>14000</v>
      </c>
      <c r="AJ346" s="260">
        <f>MROUND((AJ$352*10^3)*'Expense Proportions'!$F$28,100)</f>
        <v>25000</v>
      </c>
      <c r="AK346" s="260">
        <f>MROUND((AK$352*10^3)*'Expense Proportions'!$F$28,100)</f>
        <v>13500</v>
      </c>
      <c r="AL346" s="260">
        <f>MROUND((AL$352*10^3)*'Expense Proportions'!$F$28,100)</f>
        <v>13300</v>
      </c>
      <c r="AM346" s="260">
        <f>MROUND((AM$352*10^3)*'Expense Proportions'!$F$28,100)</f>
        <v>24200</v>
      </c>
      <c r="AN346" s="260">
        <f>MROUND((AN$352*10^3)*'Expense Proportions'!$F$28,100)</f>
        <v>12700</v>
      </c>
      <c r="AO346" s="260">
        <f>MROUND((AO$352*10^3)*'Expense Proportions'!$F$28,100)</f>
        <v>12400</v>
      </c>
      <c r="AP346" s="260">
        <f>MROUND((AP$352*10^3)*'Expense Proportions'!$F$28,100)</f>
        <v>23400</v>
      </c>
      <c r="AQ346" s="260">
        <f>MROUND((AQ$352*10^3)*'Expense Proportions'!$F$28,100)</f>
        <v>11800</v>
      </c>
      <c r="AR346" s="260">
        <f>MROUND((AR$352*10^3)*'Expense Proportions'!$F$28,100)</f>
        <v>11500</v>
      </c>
      <c r="AS346" s="260">
        <f>MROUND((AS$352*10^3)*'Expense Proportions'!$F$28,100)</f>
        <v>22500</v>
      </c>
      <c r="AT346" s="260">
        <f>MROUND((AT$352*10^3)*'Expense Proportions'!$F$28,100)</f>
        <v>10900</v>
      </c>
      <c r="AU346" s="260">
        <f>MROUND((AU$352*10^3)*'Expense Proportions'!$F$28,100)</f>
        <v>10600</v>
      </c>
      <c r="AV346" s="260">
        <f>MROUND((AV$352*10^3)*'Expense Proportions'!$F$28,100)</f>
        <v>21500</v>
      </c>
      <c r="AW346" s="26"/>
      <c r="AX346" s="38"/>
    </row>
    <row r="347" spans="1:50" s="4" customFormat="1" ht="12.75" hidden="1" customHeight="1" outlineLevel="1">
      <c r="A347" s="297"/>
      <c r="B347" t="s">
        <v>371</v>
      </c>
      <c r="C347" s="23" t="s">
        <v>130</v>
      </c>
      <c r="D347" s="158"/>
      <c r="E347" s="158"/>
      <c r="F347" s="158"/>
      <c r="G347" s="158"/>
      <c r="H347" s="158"/>
      <c r="I347" s="158"/>
      <c r="J347" s="158"/>
      <c r="K347" s="53"/>
      <c r="L347" s="9"/>
      <c r="M347" s="53"/>
      <c r="N347" s="9"/>
      <c r="O347" s="260">
        <f>MROUND((O$352*10^3)*'Expense Proportions'!$F$29,100)</f>
        <v>0</v>
      </c>
      <c r="P347" s="260">
        <f>MROUND((P$352*10^3)*'Expense Proportions'!$F$29,100)</f>
        <v>0</v>
      </c>
      <c r="Q347" s="260">
        <f>MROUND((Q$352*10^3)*'Expense Proportions'!$F$29,100)</f>
        <v>0</v>
      </c>
      <c r="R347" s="260">
        <f>MROUND((R$352*10^3)*'Expense Proportions'!$F$29,100)</f>
        <v>0</v>
      </c>
      <c r="S347" s="260">
        <f>MROUND((S$352*10^3)*'Expense Proportions'!$F$29,100)</f>
        <v>1300</v>
      </c>
      <c r="T347" s="260">
        <f>MROUND((T$352*10^3)*'Expense Proportions'!$F$29,100)</f>
        <v>3600</v>
      </c>
      <c r="U347" s="260">
        <f>MROUND((U$352*10^3)*'Expense Proportions'!$F$29,100)</f>
        <v>6200</v>
      </c>
      <c r="V347" s="260">
        <f>MROUND((V$352*10^3)*'Expense Proportions'!$F$29,100)</f>
        <v>3700</v>
      </c>
      <c r="W347" s="260">
        <f>MROUND((W$352*10^3)*'Expense Proportions'!$F$29,100)</f>
        <v>3600</v>
      </c>
      <c r="X347" s="260">
        <f>MROUND((X$352*10^3)*'Expense Proportions'!$F$29,100)</f>
        <v>5800</v>
      </c>
      <c r="Y347" s="260">
        <f>MROUND((Y$352*10^3)*'Expense Proportions'!$F$29,100)</f>
        <v>3800</v>
      </c>
      <c r="Z347" s="260">
        <f>MROUND((Z$352*10^3)*'Expense Proportions'!$F$29,100)</f>
        <v>3700</v>
      </c>
      <c r="AA347" s="260">
        <f>MROUND((AA$352*10^3)*'Expense Proportions'!$F$29,100)</f>
        <v>6300</v>
      </c>
      <c r="AB347" s="260">
        <f>MROUND((AB$352*10^3)*'Expense Proportions'!$F$29,100)</f>
        <v>3600</v>
      </c>
      <c r="AC347" s="260">
        <f>MROUND((AC$352*10^3)*'Expense Proportions'!$F$29,100)</f>
        <v>3600</v>
      </c>
      <c r="AD347" s="260">
        <f>MROUND((AD$352*10^3)*'Expense Proportions'!$F$29,100)</f>
        <v>6100</v>
      </c>
      <c r="AE347" s="260">
        <f>MROUND((AE$352*10^3)*'Expense Proportions'!$F$29,100)</f>
        <v>3500</v>
      </c>
      <c r="AF347" s="260">
        <f>MROUND((AF$352*10^3)*'Expense Proportions'!$F$29,100)</f>
        <v>3400</v>
      </c>
      <c r="AG347" s="260">
        <f>MROUND((AG$352*10^3)*'Expense Proportions'!$F$29,100)</f>
        <v>5900</v>
      </c>
      <c r="AH347" s="260">
        <f>MROUND((AH$352*10^3)*'Expense Proportions'!$F$29,100)</f>
        <v>3300</v>
      </c>
      <c r="AI347" s="260">
        <f>MROUND((AI$352*10^3)*'Expense Proportions'!$F$29,100)</f>
        <v>3200</v>
      </c>
      <c r="AJ347" s="260">
        <f>MROUND((AJ$352*10^3)*'Expense Proportions'!$F$29,100)</f>
        <v>5800</v>
      </c>
      <c r="AK347" s="260">
        <f>MROUND((AK$352*10^3)*'Expense Proportions'!$F$29,100)</f>
        <v>3100</v>
      </c>
      <c r="AL347" s="260">
        <f>MROUND((AL$352*10^3)*'Expense Proportions'!$F$29,100)</f>
        <v>3100</v>
      </c>
      <c r="AM347" s="260">
        <f>MROUND((AM$352*10^3)*'Expense Proportions'!$F$29,100)</f>
        <v>5600</v>
      </c>
      <c r="AN347" s="260">
        <f>MROUND((AN$352*10^3)*'Expense Proportions'!$F$29,100)</f>
        <v>2900</v>
      </c>
      <c r="AO347" s="260">
        <f>MROUND((AO$352*10^3)*'Expense Proportions'!$F$29,100)</f>
        <v>2900</v>
      </c>
      <c r="AP347" s="260">
        <f>MROUND((AP$352*10^3)*'Expense Proportions'!$F$29,100)</f>
        <v>5400</v>
      </c>
      <c r="AQ347" s="260">
        <f>MROUND((AQ$352*10^3)*'Expense Proportions'!$F$29,100)</f>
        <v>2700</v>
      </c>
      <c r="AR347" s="260">
        <f>MROUND((AR$352*10^3)*'Expense Proportions'!$F$29,100)</f>
        <v>2700</v>
      </c>
      <c r="AS347" s="260">
        <f>MROUND((AS$352*10^3)*'Expense Proportions'!$F$29,100)</f>
        <v>5200</v>
      </c>
      <c r="AT347" s="260">
        <f>MROUND((AT$352*10^3)*'Expense Proportions'!$F$29,100)</f>
        <v>2500</v>
      </c>
      <c r="AU347" s="260">
        <f>MROUND((AU$352*10^3)*'Expense Proportions'!$F$29,100)</f>
        <v>2400</v>
      </c>
      <c r="AV347" s="260">
        <f>MROUND((AV$352*10^3)*'Expense Proportions'!$F$29,100)</f>
        <v>5000</v>
      </c>
      <c r="AW347" s="26"/>
      <c r="AX347" s="38"/>
    </row>
    <row r="348" spans="1:50" s="4" customFormat="1" ht="12.75" hidden="1" customHeight="1" outlineLevel="1">
      <c r="A348" s="297"/>
      <c r="B348" t="s">
        <v>372</v>
      </c>
      <c r="C348" s="23" t="s">
        <v>130</v>
      </c>
      <c r="D348" s="158"/>
      <c r="E348" s="158"/>
      <c r="F348" s="158"/>
      <c r="G348" s="158"/>
      <c r="H348" s="158"/>
      <c r="I348" s="158"/>
      <c r="J348" s="158"/>
      <c r="K348" s="53"/>
      <c r="L348" s="9"/>
      <c r="M348" s="53"/>
      <c r="N348" s="9"/>
      <c r="O348" s="260">
        <f>MROUND((O$352*10^3)*'Expense Proportions'!$F$30,100)</f>
        <v>0</v>
      </c>
      <c r="P348" s="260">
        <f>MROUND((P$352*10^3)*'Expense Proportions'!$F$30,100)</f>
        <v>0</v>
      </c>
      <c r="Q348" s="260">
        <f>MROUND((Q$352*10^3)*'Expense Proportions'!$F$30,100)</f>
        <v>0</v>
      </c>
      <c r="R348" s="260">
        <f>MROUND((R$352*10^3)*'Expense Proportions'!$F$30,100)</f>
        <v>0</v>
      </c>
      <c r="S348" s="260">
        <f>MROUND((S$352*10^3)*'Expense Proportions'!$F$30,100)</f>
        <v>3100</v>
      </c>
      <c r="T348" s="260">
        <f>MROUND((T$352*10^3)*'Expense Proportions'!$F$30,100)</f>
        <v>8500</v>
      </c>
      <c r="U348" s="260">
        <f>MROUND((U$352*10^3)*'Expense Proportions'!$F$30,100)</f>
        <v>14400</v>
      </c>
      <c r="V348" s="260">
        <f>MROUND((V$352*10^3)*'Expense Proportions'!$F$30,100)</f>
        <v>8600</v>
      </c>
      <c r="W348" s="260">
        <f>MROUND((W$352*10^3)*'Expense Proportions'!$F$30,100)</f>
        <v>8400</v>
      </c>
      <c r="X348" s="260">
        <f>MROUND((X$352*10^3)*'Expense Proportions'!$F$30,100)</f>
        <v>13600</v>
      </c>
      <c r="Y348" s="260">
        <f>MROUND((Y$352*10^3)*'Expense Proportions'!$F$30,100)</f>
        <v>8800</v>
      </c>
      <c r="Z348" s="260">
        <f>MROUND((Z$352*10^3)*'Expense Proportions'!$F$30,100)</f>
        <v>8700</v>
      </c>
      <c r="AA348" s="260">
        <f>MROUND((AA$352*10^3)*'Expense Proportions'!$F$30,100)</f>
        <v>14600</v>
      </c>
      <c r="AB348" s="260">
        <f>MROUND((AB$352*10^3)*'Expense Proportions'!$F$30,100)</f>
        <v>8400</v>
      </c>
      <c r="AC348" s="260">
        <f>MROUND((AC$352*10^3)*'Expense Proportions'!$F$30,100)</f>
        <v>8300</v>
      </c>
      <c r="AD348" s="260">
        <f>MROUND((AD$352*10^3)*'Expense Proportions'!$F$30,100)</f>
        <v>14200</v>
      </c>
      <c r="AE348" s="260">
        <f>MROUND((AE$352*10^3)*'Expense Proportions'!$F$30,100)</f>
        <v>8100</v>
      </c>
      <c r="AF348" s="260">
        <f>MROUND((AF$352*10^3)*'Expense Proportions'!$F$30,100)</f>
        <v>7900</v>
      </c>
      <c r="AG348" s="260">
        <f>MROUND((AG$352*10^3)*'Expense Proportions'!$F$30,100)</f>
        <v>13900</v>
      </c>
      <c r="AH348" s="260">
        <f>MROUND((AH$352*10^3)*'Expense Proportions'!$F$30,100)</f>
        <v>7700</v>
      </c>
      <c r="AI348" s="260">
        <f>MROUND((AI$352*10^3)*'Expense Proportions'!$F$30,100)</f>
        <v>7500</v>
      </c>
      <c r="AJ348" s="260">
        <f>MROUND((AJ$352*10^3)*'Expense Proportions'!$F$30,100)</f>
        <v>13500</v>
      </c>
      <c r="AK348" s="260">
        <f>MROUND((AK$352*10^3)*'Expense Proportions'!$F$30,100)</f>
        <v>7300</v>
      </c>
      <c r="AL348" s="260">
        <f>MROUND((AL$352*10^3)*'Expense Proportions'!$F$30,100)</f>
        <v>7100</v>
      </c>
      <c r="AM348" s="260">
        <f>MROUND((AM$352*10^3)*'Expense Proportions'!$F$30,100)</f>
        <v>13000</v>
      </c>
      <c r="AN348" s="260">
        <f>MROUND((AN$352*10^3)*'Expense Proportions'!$F$30,100)</f>
        <v>6800</v>
      </c>
      <c r="AO348" s="260">
        <f>MROUND((AO$352*10^3)*'Expense Proportions'!$F$30,100)</f>
        <v>6700</v>
      </c>
      <c r="AP348" s="260">
        <f>MROUND((AP$352*10^3)*'Expense Proportions'!$F$30,100)</f>
        <v>12600</v>
      </c>
      <c r="AQ348" s="260">
        <f>MROUND((AQ$352*10^3)*'Expense Proportions'!$F$30,100)</f>
        <v>6400</v>
      </c>
      <c r="AR348" s="260">
        <f>MROUND((AR$352*10^3)*'Expense Proportions'!$F$30,100)</f>
        <v>6200</v>
      </c>
      <c r="AS348" s="260">
        <f>MROUND((AS$352*10^3)*'Expense Proportions'!$F$30,100)</f>
        <v>12100</v>
      </c>
      <c r="AT348" s="260">
        <f>MROUND((AT$352*10^3)*'Expense Proportions'!$F$30,100)</f>
        <v>5900</v>
      </c>
      <c r="AU348" s="260">
        <f>MROUND((AU$352*10^3)*'Expense Proportions'!$F$30,100)</f>
        <v>5700</v>
      </c>
      <c r="AV348" s="260">
        <f>MROUND((AV$352*10^3)*'Expense Proportions'!$F$30,100)</f>
        <v>11600</v>
      </c>
      <c r="AW348" s="26"/>
      <c r="AX348" s="38"/>
    </row>
    <row r="349" spans="1:50" s="4" customFormat="1" ht="12.75" hidden="1" customHeight="1" outlineLevel="1">
      <c r="A349" s="297"/>
      <c r="B349" s="4" t="s">
        <v>47</v>
      </c>
      <c r="C349" s="380" t="s">
        <v>130</v>
      </c>
      <c r="D349" s="158"/>
      <c r="E349" s="158"/>
      <c r="F349" s="158"/>
      <c r="G349" s="158"/>
      <c r="H349" s="158"/>
      <c r="I349" s="158"/>
      <c r="J349" s="158"/>
      <c r="K349" s="395"/>
      <c r="L349" s="395"/>
      <c r="M349" s="395"/>
      <c r="N349" s="395"/>
      <c r="O349" s="395">
        <f t="shared" ref="O349:Q349" si="473">SUM(O341:O347)</f>
        <v>0</v>
      </c>
      <c r="P349" s="395">
        <f t="shared" si="473"/>
        <v>0</v>
      </c>
      <c r="Q349" s="395">
        <f t="shared" si="473"/>
        <v>0</v>
      </c>
      <c r="R349" s="395">
        <f t="shared" ref="R349" si="474">SUM(R341:R347)</f>
        <v>0</v>
      </c>
      <c r="S349" s="395">
        <f t="shared" ref="S349:AV349" si="475">SUM(S341:S347)</f>
        <v>21200</v>
      </c>
      <c r="T349" s="395">
        <f t="shared" si="475"/>
        <v>58300</v>
      </c>
      <c r="U349" s="395">
        <f t="shared" si="475"/>
        <v>99800</v>
      </c>
      <c r="V349" s="395">
        <f t="shared" si="475"/>
        <v>59400</v>
      </c>
      <c r="W349" s="395">
        <f t="shared" si="475"/>
        <v>57900</v>
      </c>
      <c r="X349" s="395">
        <f t="shared" si="475"/>
        <v>93800</v>
      </c>
      <c r="Y349" s="395">
        <f t="shared" si="475"/>
        <v>60700</v>
      </c>
      <c r="Z349" s="395">
        <f t="shared" si="475"/>
        <v>59800</v>
      </c>
      <c r="AA349" s="395">
        <f t="shared" si="475"/>
        <v>100900</v>
      </c>
      <c r="AB349" s="395">
        <f t="shared" si="475"/>
        <v>58200</v>
      </c>
      <c r="AC349" s="395">
        <f t="shared" si="475"/>
        <v>57500</v>
      </c>
      <c r="AD349" s="395">
        <f t="shared" si="475"/>
        <v>98400</v>
      </c>
      <c r="AE349" s="395">
        <f t="shared" si="475"/>
        <v>55700</v>
      </c>
      <c r="AF349" s="395">
        <f t="shared" si="475"/>
        <v>54800</v>
      </c>
      <c r="AG349" s="395">
        <f t="shared" si="475"/>
        <v>95800</v>
      </c>
      <c r="AH349" s="395">
        <f t="shared" si="475"/>
        <v>53100</v>
      </c>
      <c r="AI349" s="395">
        <f t="shared" si="475"/>
        <v>52100</v>
      </c>
      <c r="AJ349" s="395">
        <f t="shared" si="475"/>
        <v>92900</v>
      </c>
      <c r="AK349" s="395">
        <f t="shared" si="475"/>
        <v>50100</v>
      </c>
      <c r="AL349" s="395">
        <f t="shared" si="475"/>
        <v>49200</v>
      </c>
      <c r="AM349" s="395">
        <f t="shared" si="475"/>
        <v>89800</v>
      </c>
      <c r="AN349" s="395">
        <f t="shared" si="475"/>
        <v>47100</v>
      </c>
      <c r="AO349" s="395">
        <f t="shared" si="475"/>
        <v>46100</v>
      </c>
      <c r="AP349" s="395">
        <f t="shared" si="475"/>
        <v>86700</v>
      </c>
      <c r="AQ349" s="395">
        <f t="shared" si="475"/>
        <v>43800</v>
      </c>
      <c r="AR349" s="395">
        <f t="shared" si="475"/>
        <v>42800</v>
      </c>
      <c r="AS349" s="395">
        <f t="shared" si="475"/>
        <v>83400</v>
      </c>
      <c r="AT349" s="395">
        <f t="shared" si="475"/>
        <v>40400</v>
      </c>
      <c r="AU349" s="395">
        <f t="shared" si="475"/>
        <v>39100</v>
      </c>
      <c r="AV349" s="395">
        <f t="shared" si="475"/>
        <v>79800</v>
      </c>
      <c r="AW349" s="26"/>
      <c r="AX349" s="38"/>
    </row>
    <row r="350" spans="1:50" s="4" customFormat="1" ht="12.75" hidden="1" customHeight="1" outlineLevel="1">
      <c r="A350" s="297"/>
      <c r="C350" s="380"/>
      <c r="D350" s="158"/>
      <c r="E350" s="158"/>
      <c r="F350" s="158"/>
      <c r="G350" s="158"/>
      <c r="H350" s="158"/>
      <c r="I350" s="158"/>
      <c r="J350" s="158"/>
      <c r="K350" s="158"/>
      <c r="L350" s="158"/>
      <c r="M350" s="158"/>
      <c r="N350" s="158"/>
      <c r="O350" s="158"/>
      <c r="P350" s="158"/>
      <c r="Q350" s="158"/>
      <c r="R350" s="158"/>
      <c r="S350" s="158"/>
      <c r="T350" s="158"/>
      <c r="U350" s="158"/>
      <c r="V350" s="158"/>
      <c r="W350" s="158"/>
      <c r="X350" s="158"/>
      <c r="Y350" s="158"/>
      <c r="Z350" s="158"/>
      <c r="AA350" s="158"/>
      <c r="AB350" s="158"/>
      <c r="AC350" s="158"/>
      <c r="AD350" s="158"/>
      <c r="AE350" s="158"/>
      <c r="AF350" s="158"/>
      <c r="AG350" s="158"/>
      <c r="AH350" s="158"/>
      <c r="AI350" s="158"/>
      <c r="AJ350" s="158"/>
      <c r="AK350" s="158"/>
      <c r="AL350" s="158"/>
      <c r="AM350" s="158"/>
      <c r="AN350" s="158"/>
      <c r="AO350" s="158"/>
      <c r="AP350" s="158"/>
      <c r="AQ350" s="158"/>
      <c r="AR350" s="158"/>
      <c r="AS350" s="158"/>
      <c r="AT350" s="158"/>
      <c r="AU350" s="158"/>
      <c r="AV350" s="158"/>
      <c r="AW350" s="26"/>
      <c r="AX350" s="38"/>
    </row>
    <row r="351" spans="1:50" s="4" customFormat="1" ht="12.75" hidden="1" customHeight="1" outlineLevel="1">
      <c r="A351" s="297"/>
      <c r="C351" s="380"/>
      <c r="D351" s="380"/>
      <c r="E351" s="158"/>
      <c r="F351" s="158"/>
      <c r="G351" s="158"/>
      <c r="H351" s="158"/>
      <c r="I351" s="158"/>
      <c r="J351" s="158"/>
      <c r="K351" s="158"/>
      <c r="L351" s="158"/>
      <c r="M351" s="158"/>
      <c r="N351" s="158"/>
      <c r="O351" s="158"/>
      <c r="P351" s="158"/>
      <c r="Q351" s="158"/>
      <c r="R351" s="158"/>
      <c r="S351" s="158"/>
      <c r="T351" s="158"/>
      <c r="U351" s="414"/>
      <c r="V351" s="158"/>
      <c r="W351" s="158"/>
      <c r="X351" s="158"/>
      <c r="Y351" s="158"/>
      <c r="Z351" s="158"/>
      <c r="AA351" s="158"/>
      <c r="AB351" s="158"/>
      <c r="AC351" s="158"/>
      <c r="AD351" s="158"/>
      <c r="AE351" s="158"/>
      <c r="AF351" s="158"/>
      <c r="AG351" s="158"/>
      <c r="AH351" s="158"/>
      <c r="AI351" s="158"/>
      <c r="AJ351" s="158"/>
      <c r="AK351" s="158"/>
      <c r="AL351" s="158"/>
      <c r="AM351" s="158"/>
      <c r="AN351" s="158"/>
      <c r="AO351" s="158"/>
      <c r="AP351" s="158"/>
      <c r="AQ351" s="158"/>
      <c r="AR351" s="158"/>
      <c r="AS351" s="158"/>
      <c r="AT351" s="158"/>
      <c r="AU351" s="158"/>
      <c r="AV351" s="158"/>
      <c r="AW351" s="26"/>
      <c r="AX351" s="38"/>
    </row>
    <row r="352" spans="1:50" s="4" customFormat="1" ht="12.75" hidden="1" customHeight="1" outlineLevel="1">
      <c r="A352" s="297"/>
      <c r="B352" s="352" t="s">
        <v>373</v>
      </c>
      <c r="C352" s="380" t="s">
        <v>42</v>
      </c>
      <c r="D352" s="409"/>
      <c r="E352" s="415"/>
      <c r="F352" s="415"/>
      <c r="G352" s="415"/>
      <c r="H352" s="415"/>
      <c r="I352" s="415"/>
      <c r="J352" s="415"/>
      <c r="K352" s="415"/>
      <c r="L352" s="415">
        <f>(L338)/10^3</f>
        <v>0</v>
      </c>
      <c r="M352" s="415">
        <f>(M338)/10^3</f>
        <v>0</v>
      </c>
      <c r="N352" s="415">
        <f>(N338)/10^3</f>
        <v>0</v>
      </c>
      <c r="O352" s="415">
        <f t="shared" ref="O352:AV352" si="476">(O337)/10^3</f>
        <v>0</v>
      </c>
      <c r="P352" s="415">
        <f t="shared" si="476"/>
        <v>0</v>
      </c>
      <c r="Q352" s="415">
        <f t="shared" si="476"/>
        <v>0</v>
      </c>
      <c r="R352" s="415">
        <f t="shared" si="476"/>
        <v>0</v>
      </c>
      <c r="S352" s="415">
        <f t="shared" si="476"/>
        <v>201.53127401923851</v>
      </c>
      <c r="T352" s="415">
        <f t="shared" si="476"/>
        <v>552.07787426810933</v>
      </c>
      <c r="U352" s="415">
        <f t="shared" si="476"/>
        <v>942.45288219456245</v>
      </c>
      <c r="V352" s="415">
        <f t="shared" si="476"/>
        <v>560.98293413745762</v>
      </c>
      <c r="W352" s="415">
        <f t="shared" si="476"/>
        <v>546.63719581030318</v>
      </c>
      <c r="X352" s="415">
        <f t="shared" si="476"/>
        <v>886.96095802906916</v>
      </c>
      <c r="Y352" s="415">
        <f t="shared" si="476"/>
        <v>573.06443784566977</v>
      </c>
      <c r="Z352" s="415">
        <f t="shared" si="476"/>
        <v>565.68355547634883</v>
      </c>
      <c r="AA352" s="415">
        <f t="shared" si="476"/>
        <v>953.02926375106165</v>
      </c>
      <c r="AB352" s="415">
        <f t="shared" si="476"/>
        <v>550.47598544259984</v>
      </c>
      <c r="AC352" s="415">
        <f t="shared" si="476"/>
        <v>542.64333402521743</v>
      </c>
      <c r="AD352" s="415">
        <f t="shared" si="476"/>
        <v>929.52823787090767</v>
      </c>
      <c r="AE352" s="415">
        <f t="shared" si="476"/>
        <v>526.50493904484256</v>
      </c>
      <c r="AF352" s="415">
        <f t="shared" si="476"/>
        <v>518.19286669950509</v>
      </c>
      <c r="AG352" s="415">
        <f t="shared" si="476"/>
        <v>904.58876119868103</v>
      </c>
      <c r="AH352" s="415">
        <f t="shared" si="476"/>
        <v>501.06667283917142</v>
      </c>
      <c r="AI352" s="415">
        <f t="shared" si="476"/>
        <v>492.24583516972035</v>
      </c>
      <c r="AJ352" s="415">
        <f t="shared" si="476"/>
        <v>878.12278903830031</v>
      </c>
      <c r="AK352" s="415">
        <f t="shared" si="476"/>
        <v>474.0713812355836</v>
      </c>
      <c r="AL352" s="415">
        <f t="shared" si="476"/>
        <v>464.71063773406075</v>
      </c>
      <c r="AM352" s="415">
        <f t="shared" si="476"/>
        <v>850.03688765392781</v>
      </c>
      <c r="AN352" s="415">
        <f t="shared" si="476"/>
        <v>445.42376182352319</v>
      </c>
      <c r="AO352" s="415">
        <f t="shared" si="476"/>
        <v>435.4900659337593</v>
      </c>
      <c r="AP352" s="415">
        <f t="shared" si="476"/>
        <v>820.23190441762017</v>
      </c>
      <c r="AQ352" s="415">
        <f t="shared" si="476"/>
        <v>415.0226789224896</v>
      </c>
      <c r="AR352" s="415">
        <f t="shared" si="476"/>
        <v>404.48096137470498</v>
      </c>
      <c r="AS352" s="415">
        <f t="shared" si="476"/>
        <v>788.60261776738491</v>
      </c>
      <c r="AT352" s="415">
        <f t="shared" si="476"/>
        <v>382.76080653924947</v>
      </c>
      <c r="AU352" s="415">
        <f t="shared" si="476"/>
        <v>371.57385154380006</v>
      </c>
      <c r="AV352" s="415">
        <f t="shared" si="476"/>
        <v>755.0373657398618</v>
      </c>
      <c r="AW352" s="26"/>
      <c r="AX352" s="38"/>
    </row>
    <row r="353" spans="1:50" s="4" customFormat="1" ht="12.75" hidden="1" customHeight="1" outlineLevel="1">
      <c r="A353" s="297"/>
      <c r="B353" s="352" t="s">
        <v>374</v>
      </c>
      <c r="C353" s="380" t="s">
        <v>42</v>
      </c>
      <c r="D353" s="409"/>
      <c r="E353" s="415"/>
      <c r="F353" s="415"/>
      <c r="G353" s="415"/>
      <c r="H353" s="415"/>
      <c r="I353" s="416"/>
      <c r="J353" s="416"/>
      <c r="K353" s="416"/>
      <c r="L353" s="416">
        <f t="shared" ref="L353:AV353" si="477">((L320)/10^3)</f>
        <v>0</v>
      </c>
      <c r="M353" s="416">
        <f t="shared" si="477"/>
        <v>0</v>
      </c>
      <c r="N353" s="416">
        <f t="shared" si="477"/>
        <v>0</v>
      </c>
      <c r="O353" s="416">
        <f t="shared" si="477"/>
        <v>0</v>
      </c>
      <c r="P353" s="416">
        <f t="shared" si="477"/>
        <v>0</v>
      </c>
      <c r="Q353" s="416">
        <f t="shared" si="477"/>
        <v>0</v>
      </c>
      <c r="R353" s="416">
        <f t="shared" si="477"/>
        <v>0</v>
      </c>
      <c r="S353" s="416">
        <f t="shared" si="477"/>
        <v>39.922874061022313</v>
      </c>
      <c r="T353" s="416">
        <f t="shared" si="477"/>
        <v>88.741274431971362</v>
      </c>
      <c r="U353" s="416">
        <f t="shared" si="477"/>
        <v>132.48111124218775</v>
      </c>
      <c r="V353" s="416">
        <f t="shared" si="477"/>
        <v>87.086606439963504</v>
      </c>
      <c r="W353" s="416">
        <f t="shared" si="477"/>
        <v>86.214812453319965</v>
      </c>
      <c r="X353" s="416">
        <f t="shared" si="477"/>
        <v>129.10885359385293</v>
      </c>
      <c r="Y353" s="416">
        <f t="shared" si="477"/>
        <v>91.402585628395926</v>
      </c>
      <c r="Z353" s="416">
        <f t="shared" si="477"/>
        <v>90.907915426011968</v>
      </c>
      <c r="AA353" s="416">
        <f t="shared" si="477"/>
        <v>139.08049051570109</v>
      </c>
      <c r="AB353" s="416">
        <f t="shared" si="477"/>
        <v>89.888696941020058</v>
      </c>
      <c r="AC353" s="416">
        <f t="shared" si="477"/>
        <v>89.363748964888586</v>
      </c>
      <c r="AD353" s="416">
        <f t="shared" si="477"/>
        <v>137.50544072535521</v>
      </c>
      <c r="AE353" s="416">
        <f t="shared" si="477"/>
        <v>88.282146154867263</v>
      </c>
      <c r="AF353" s="416">
        <f t="shared" si="477"/>
        <v>87.725067163012753</v>
      </c>
      <c r="AG353" s="416">
        <f t="shared" si="477"/>
        <v>135.83398528744186</v>
      </c>
      <c r="AH353" s="416">
        <f t="shared" si="477"/>
        <v>86.57726160819567</v>
      </c>
      <c r="AI353" s="416">
        <f t="shared" si="477"/>
        <v>85.98608492540771</v>
      </c>
      <c r="AJ353" s="416">
        <f t="shared" si="477"/>
        <v>134.06022340508471</v>
      </c>
      <c r="AK353" s="416">
        <f t="shared" si="477"/>
        <v>84.768024488191358</v>
      </c>
      <c r="AL353" s="416">
        <f t="shared" si="477"/>
        <v>84.831326508351751</v>
      </c>
      <c r="AM353" s="416">
        <f t="shared" si="477"/>
        <v>132.17789310543225</v>
      </c>
      <c r="AN353" s="416">
        <f t="shared" si="477"/>
        <v>85.638568409564854</v>
      </c>
      <c r="AO353" s="416">
        <f t="shared" si="477"/>
        <v>86.054337951159965</v>
      </c>
      <c r="AP353" s="416">
        <f t="shared" si="477"/>
        <v>130.18034913279863</v>
      </c>
      <c r="AQ353" s="416">
        <f t="shared" si="477"/>
        <v>86.910989514662518</v>
      </c>
      <c r="AR353" s="416">
        <f t="shared" si="477"/>
        <v>87.352207478359574</v>
      </c>
      <c r="AS353" s="416">
        <f t="shared" si="477"/>
        <v>128.06053948868811</v>
      </c>
      <c r="AT353" s="416">
        <f t="shared" si="477"/>
        <v>88.261292970760991</v>
      </c>
      <c r="AU353" s="416">
        <f t="shared" si="477"/>
        <v>88.72951700358</v>
      </c>
      <c r="AV353" s="416">
        <f t="shared" si="477"/>
        <v>125.81098053588083</v>
      </c>
      <c r="AW353" s="26"/>
      <c r="AX353" s="38"/>
    </row>
    <row r="354" spans="1:50" ht="12.6" hidden="1" customHeight="1" outlineLevel="1">
      <c r="A354" s="296"/>
      <c r="B354" s="41"/>
      <c r="C354" s="380"/>
      <c r="D354" s="384"/>
      <c r="E354" s="24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26"/>
      <c r="AX354" s="27"/>
    </row>
    <row r="355" spans="1:50" collapsed="1">
      <c r="A355" s="296" t="s">
        <v>138</v>
      </c>
      <c r="B355" s="21" t="s">
        <v>317</v>
      </c>
      <c r="C355" s="22"/>
      <c r="D355" s="146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318"/>
      <c r="AX355" s="27"/>
    </row>
    <row r="356" spans="1:50" ht="12.75" hidden="1" customHeight="1" outlineLevel="1">
      <c r="A356" s="296"/>
      <c r="B356" s="13"/>
      <c r="C356" s="318"/>
      <c r="D356" s="23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6"/>
      <c r="AX356" s="27"/>
    </row>
    <row r="357" spans="1:50" ht="12.75" hidden="1" customHeight="1" outlineLevel="1">
      <c r="A357" s="296"/>
      <c r="B357" s="212" t="s">
        <v>28</v>
      </c>
      <c r="C357" s="213"/>
      <c r="D357" s="213"/>
      <c r="E357" s="155"/>
      <c r="F357" s="214"/>
      <c r="G357" s="155"/>
      <c r="H357" s="159"/>
      <c r="I357" s="155"/>
      <c r="J357" s="214"/>
      <c r="K357" s="155"/>
      <c r="L357" s="159"/>
      <c r="M357" s="155"/>
      <c r="N357" s="155"/>
      <c r="O357" s="155"/>
      <c r="P357" s="155"/>
      <c r="Q357" s="155"/>
      <c r="R357" s="155"/>
      <c r="S357" s="155"/>
      <c r="T357" s="155"/>
      <c r="U357" s="155"/>
      <c r="V357" s="155"/>
      <c r="W357" s="155"/>
      <c r="X357" s="155"/>
      <c r="Y357" s="155"/>
      <c r="Z357" s="155"/>
      <c r="AA357" s="155"/>
      <c r="AB357" s="155"/>
      <c r="AC357" s="155"/>
      <c r="AD357" s="155"/>
      <c r="AE357" s="155"/>
      <c r="AF357" s="155"/>
      <c r="AG357" s="155"/>
      <c r="AH357" s="155"/>
      <c r="AI357" s="155"/>
      <c r="AJ357" s="155"/>
      <c r="AK357" s="155"/>
      <c r="AL357" s="155"/>
      <c r="AM357" s="155"/>
      <c r="AN357" s="155"/>
      <c r="AO357" s="155"/>
      <c r="AP357" s="155"/>
      <c r="AQ357" s="155"/>
      <c r="AR357" s="155"/>
      <c r="AS357" s="155"/>
      <c r="AT357" s="155"/>
      <c r="AU357" s="155"/>
      <c r="AV357" s="155"/>
      <c r="AW357" s="26"/>
      <c r="AX357" s="27"/>
    </row>
    <row r="358" spans="1:50" ht="12.75" hidden="1" customHeight="1" outlineLevel="1">
      <c r="A358" s="296"/>
      <c r="B358" s="4" t="s">
        <v>315</v>
      </c>
      <c r="C358" s="23"/>
      <c r="D358" s="23"/>
      <c r="E358" s="52"/>
      <c r="F358" s="52"/>
      <c r="G358" s="52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6"/>
      <c r="AX358" s="27"/>
    </row>
    <row r="359" spans="1:50" ht="12.75" hidden="1" customHeight="1" outlineLevel="1">
      <c r="A359" s="296"/>
      <c r="B359" s="28" t="s">
        <v>177</v>
      </c>
      <c r="C359" s="23" t="s">
        <v>102</v>
      </c>
      <c r="D359" s="23"/>
      <c r="E359" s="52"/>
      <c r="F359" s="153"/>
      <c r="G359" s="153"/>
      <c r="H359" s="139"/>
      <c r="I359" s="25"/>
      <c r="J359" s="168"/>
      <c r="K359" s="25"/>
      <c r="L359" s="25"/>
      <c r="M359" s="25"/>
      <c r="N359" s="25"/>
      <c r="O359" s="139"/>
      <c r="P359" s="168"/>
      <c r="Q359" s="139"/>
      <c r="R359" s="168">
        <v>0.65</v>
      </c>
      <c r="S359" s="168">
        <v>0.25</v>
      </c>
      <c r="T359" s="168">
        <v>0.15</v>
      </c>
      <c r="U359" s="139">
        <v>0.15</v>
      </c>
      <c r="V359" s="139">
        <v>0.1</v>
      </c>
      <c r="W359" s="139">
        <v>0.05</v>
      </c>
      <c r="X359" s="139">
        <v>0.05</v>
      </c>
      <c r="Y359" s="139">
        <v>0.05</v>
      </c>
      <c r="Z359" s="139">
        <v>0.02</v>
      </c>
      <c r="AA359" s="25">
        <f t="shared" ref="AA359" si="478">IF(Z360&gt;0,Z359,0)</f>
        <v>0.02</v>
      </c>
      <c r="AB359" s="25">
        <f t="shared" ref="AB359" si="479">IF(AA360&gt;0,AA359,0)</f>
        <v>0.02</v>
      </c>
      <c r="AC359" s="25">
        <f t="shared" ref="AC359" si="480">IF(AB360&gt;0,AB359,0)</f>
        <v>0.02</v>
      </c>
      <c r="AD359" s="25">
        <f t="shared" ref="AD359" si="481">IF(AC360&gt;0,AC359,0)</f>
        <v>0.02</v>
      </c>
      <c r="AE359" s="25">
        <f t="shared" ref="AE359" si="482">IF(AD360&gt;0,AD359,0)</f>
        <v>0.02</v>
      </c>
      <c r="AF359" s="25">
        <f t="shared" ref="AF359" si="483">IF(AE360&gt;0,AE359,0)</f>
        <v>0.02</v>
      </c>
      <c r="AG359" s="25">
        <f t="shared" ref="AG359" si="484">IF(AF360&gt;0,AF359,0)</f>
        <v>0.02</v>
      </c>
      <c r="AH359" s="25">
        <f t="shared" ref="AH359" si="485">IF(AG360&gt;0,AG359,0)</f>
        <v>0.02</v>
      </c>
      <c r="AI359" s="25">
        <f t="shared" ref="AI359" si="486">IF(AH360&gt;0,AH359,0)</f>
        <v>0.02</v>
      </c>
      <c r="AJ359" s="25">
        <f t="shared" ref="AJ359" si="487">IF(AI360&gt;0,AI359,0)</f>
        <v>0.02</v>
      </c>
      <c r="AK359" s="25">
        <f t="shared" ref="AK359" si="488">IF(AJ360&gt;0,AJ359,0)</f>
        <v>0.02</v>
      </c>
      <c r="AL359" s="25">
        <f t="shared" ref="AL359" si="489">IF(AK360&gt;0,AK359,0)</f>
        <v>0.02</v>
      </c>
      <c r="AM359" s="25">
        <f t="shared" ref="AM359" si="490">IF(AL360&gt;0,AL359,0)</f>
        <v>0.02</v>
      </c>
      <c r="AN359" s="25">
        <f t="shared" ref="AN359" si="491">IF(AM360&gt;0,AM359,0)</f>
        <v>0.02</v>
      </c>
      <c r="AO359" s="25">
        <f t="shared" ref="AO359" si="492">IF(AN360&gt;0,AN359,0)</f>
        <v>0.02</v>
      </c>
      <c r="AP359" s="25">
        <f t="shared" ref="AP359" si="493">IF(AO360&gt;0,AO359,0)</f>
        <v>0.02</v>
      </c>
      <c r="AQ359" s="25">
        <f t="shared" ref="AQ359" si="494">IF(AP360&gt;0,AP359,0)</f>
        <v>0.02</v>
      </c>
      <c r="AR359" s="25">
        <f t="shared" ref="AR359" si="495">IF(AQ360&gt;0,AQ359,0)</f>
        <v>0.02</v>
      </c>
      <c r="AS359" s="25">
        <f t="shared" ref="AS359" si="496">IF(AR360&gt;0,AR359,0)</f>
        <v>0.02</v>
      </c>
      <c r="AT359" s="25">
        <f t="shared" ref="AT359" si="497">IF(AS360&gt;0,AS359,0)</f>
        <v>0.02</v>
      </c>
      <c r="AU359" s="25">
        <f t="shared" ref="AU359" si="498">IF(AT360&gt;0,AT359,0)</f>
        <v>0.02</v>
      </c>
      <c r="AV359" s="25">
        <f t="shared" ref="AV359" si="499">IF(AU360&gt;0,AU359,0)</f>
        <v>0.02</v>
      </c>
      <c r="AW359" s="26"/>
      <c r="AX359" s="27"/>
    </row>
    <row r="360" spans="1:50" ht="12.75" hidden="1" customHeight="1" outlineLevel="1">
      <c r="A360" s="296"/>
      <c r="B360" s="28" t="s">
        <v>170</v>
      </c>
      <c r="C360" s="23" t="s">
        <v>64</v>
      </c>
      <c r="D360" s="23"/>
      <c r="E360" s="49"/>
      <c r="F360" s="52"/>
      <c r="G360" s="52"/>
      <c r="H360" s="9"/>
      <c r="I360" s="52"/>
      <c r="J360" s="9"/>
      <c r="K360" s="9"/>
      <c r="L360" s="9"/>
      <c r="M360" s="9"/>
      <c r="N360" s="52"/>
      <c r="O360" s="52"/>
      <c r="P360" s="9"/>
      <c r="Q360" s="52">
        <v>8500</v>
      </c>
      <c r="R360" s="9">
        <f t="shared" ref="R360" si="500">IF(Q360&gt;0,Q360*(1+R359),0)</f>
        <v>14025</v>
      </c>
      <c r="S360" s="9">
        <f t="shared" ref="S360" si="501">IF(R360&gt;0,R360*(1+S359),0)</f>
        <v>17531.25</v>
      </c>
      <c r="T360" s="9">
        <f t="shared" ref="T360" si="502">IF(S360&gt;0,S360*(1+T359),0)</f>
        <v>20160.9375</v>
      </c>
      <c r="U360" s="9">
        <f t="shared" ref="U360" si="503">IF(T360&gt;0,T360*(1+U359),0)</f>
        <v>23185.078125</v>
      </c>
      <c r="V360" s="9">
        <f t="shared" ref="V360" si="504">IF(U360&gt;0,U360*(1+V359),0)</f>
        <v>25503.585937500004</v>
      </c>
      <c r="W360" s="9">
        <f t="shared" ref="W360" si="505">IF(V360&gt;0,V360*(1+W359),0)</f>
        <v>26778.765234375005</v>
      </c>
      <c r="X360" s="9">
        <f t="shared" ref="X360" si="506">IF(W360&gt;0,W360*(1+X359),0)</f>
        <v>28117.703496093756</v>
      </c>
      <c r="Y360" s="9">
        <f t="shared" ref="Y360" si="507">IF(X360&gt;0,X360*(1+Y359),0)</f>
        <v>29523.588670898444</v>
      </c>
      <c r="Z360" s="9">
        <f t="shared" ref="Z360" si="508">IF(Y360&gt;0,Y360*(1+Z359),0)</f>
        <v>30114.060444316412</v>
      </c>
      <c r="AA360" s="9">
        <f t="shared" ref="AA360" si="509">IF(Z360&gt;0,Z360*(1+AA359),0)</f>
        <v>30716.34165320274</v>
      </c>
      <c r="AB360" s="9">
        <f t="shared" ref="AB360:AV360" si="510">IF(AA360&gt;0,AA360*(1+AB359),0)</f>
        <v>31330.668486266797</v>
      </c>
      <c r="AC360" s="9">
        <f t="shared" ref="AC360" si="511">IF(AB360&gt;0,AB360*(1+AC359),0)</f>
        <v>31957.281855992132</v>
      </c>
      <c r="AD360" s="9">
        <f t="shared" ref="AD360" si="512">IF(AC360&gt;0,AC360*(1+AD359),0)</f>
        <v>32596.427493111976</v>
      </c>
      <c r="AE360" s="9">
        <f t="shared" ref="AE360" si="513">IF(AD360&gt;0,AD360*(1+AE359),0)</f>
        <v>33248.356042974214</v>
      </c>
      <c r="AF360" s="9">
        <f t="shared" ref="AF360" si="514">IF(AE360&gt;0,AE360*(1+AF359),0)</f>
        <v>33913.323163833702</v>
      </c>
      <c r="AG360" s="9">
        <f t="shared" ref="AG360" si="515">IF(AF360&gt;0,AF360*(1+AG359),0)</f>
        <v>34591.589627110377</v>
      </c>
      <c r="AH360" s="9">
        <f t="shared" ref="AH360" si="516">IF(AG360&gt;0,AG360*(1+AH359),0)</f>
        <v>35283.421419652586</v>
      </c>
      <c r="AI360" s="9">
        <f t="shared" ref="AI360" si="517">IF(AH360&gt;0,AH360*(1+AI359),0)</f>
        <v>35989.089848045638</v>
      </c>
      <c r="AJ360" s="9">
        <f t="shared" ref="AJ360" si="518">IF(AI360&gt;0,AI360*(1+AJ359),0)</f>
        <v>36708.871645006555</v>
      </c>
      <c r="AK360" s="9">
        <f t="shared" ref="AK360" si="519">IF(AJ360&gt;0,AJ360*(1+AK359),0)</f>
        <v>37443.049077906689</v>
      </c>
      <c r="AL360" s="9">
        <f t="shared" ref="AL360" si="520">IF(AK360&gt;0,AK360*(1+AL359),0)</f>
        <v>38191.910059464826</v>
      </c>
      <c r="AM360" s="9">
        <f t="shared" ref="AM360" si="521">IF(AL360&gt;0,AL360*(1+AM359),0)</f>
        <v>38955.748260654123</v>
      </c>
      <c r="AN360" s="9">
        <f t="shared" ref="AN360" si="522">IF(AM360&gt;0,AM360*(1+AN359),0)</f>
        <v>39734.863225867208</v>
      </c>
      <c r="AO360" s="9">
        <f t="shared" ref="AO360" si="523">IF(AN360&gt;0,AN360*(1+AO359),0)</f>
        <v>40529.560490384552</v>
      </c>
      <c r="AP360" s="9">
        <f t="shared" ref="AP360" si="524">IF(AO360&gt;0,AO360*(1+AP359),0)</f>
        <v>41340.151700192248</v>
      </c>
      <c r="AQ360" s="9">
        <f t="shared" ref="AQ360" si="525">IF(AP360&gt;0,AP360*(1+AQ359),0)</f>
        <v>42166.954734196093</v>
      </c>
      <c r="AR360" s="9">
        <f t="shared" ref="AR360" si="526">IF(AQ360&gt;0,AQ360*(1+AR359),0)</f>
        <v>43010.293828880014</v>
      </c>
      <c r="AS360" s="9">
        <f t="shared" ref="AS360" si="527">IF(AR360&gt;0,AR360*(1+AS359),0)</f>
        <v>43870.499705457616</v>
      </c>
      <c r="AT360" s="9">
        <f t="shared" ref="AT360" si="528">IF(AS360&gt;0,AS360*(1+AT359),0)</f>
        <v>44747.909699566771</v>
      </c>
      <c r="AU360" s="9">
        <f t="shared" ref="AU360" si="529">IF(AT360&gt;0,AT360*(1+AU359),0)</f>
        <v>45642.867893558105</v>
      </c>
      <c r="AV360" s="9">
        <f t="shared" si="510"/>
        <v>46555.72525142927</v>
      </c>
      <c r="AW360" s="26"/>
      <c r="AX360" s="27"/>
    </row>
    <row r="361" spans="1:50" ht="12.75" hidden="1" customHeight="1" outlineLevel="1">
      <c r="A361" s="296"/>
      <c r="B361" s="28" t="s">
        <v>164</v>
      </c>
      <c r="C361" s="23" t="s">
        <v>165</v>
      </c>
      <c r="D361" s="23"/>
      <c r="E361" s="65"/>
      <c r="F361" s="92"/>
      <c r="G361" s="219"/>
      <c r="H361" s="219"/>
      <c r="I361" s="92"/>
      <c r="J361" s="219"/>
      <c r="K361" s="219"/>
      <c r="L361" s="219"/>
      <c r="M361" s="219"/>
      <c r="N361" s="92"/>
      <c r="O361" s="92"/>
      <c r="P361" s="219"/>
      <c r="Q361" s="92">
        <v>120</v>
      </c>
      <c r="R361" s="219">
        <f>IF(R360&gt;0,Q361,0)</f>
        <v>120</v>
      </c>
      <c r="S361" s="219">
        <f>IF(S360&gt;0,R361,0)</f>
        <v>120</v>
      </c>
      <c r="T361" s="219">
        <f>IF(T360&gt;0,S361,0)</f>
        <v>120</v>
      </c>
      <c r="U361" s="219">
        <f t="shared" ref="U361" si="530">IF(U360&gt;0,T361,0)</f>
        <v>120</v>
      </c>
      <c r="V361" s="219">
        <f t="shared" ref="V361" si="531">IF(V360&gt;0,U361,0)</f>
        <v>120</v>
      </c>
      <c r="W361" s="219">
        <f t="shared" ref="W361" si="532">IF(W360&gt;0,V361,0)</f>
        <v>120</v>
      </c>
      <c r="X361" s="219">
        <f t="shared" ref="X361" si="533">IF(X360&gt;0,W361,0)</f>
        <v>120</v>
      </c>
      <c r="Y361" s="219">
        <f t="shared" ref="Y361" si="534">IF(Y360&gt;0,X361,0)</f>
        <v>120</v>
      </c>
      <c r="Z361" s="219">
        <f t="shared" ref="Z361" si="535">IF(Y360&gt;0,Y361,0)</f>
        <v>120</v>
      </c>
      <c r="AA361" s="219">
        <f t="shared" ref="AA361" si="536">IF(Z360&gt;0,Z361,0)</f>
        <v>120</v>
      </c>
      <c r="AB361" s="219">
        <f t="shared" ref="AB361:AV361" si="537">IF(AA360&gt;0,AA361,0)</f>
        <v>120</v>
      </c>
      <c r="AC361" s="219">
        <f t="shared" ref="AC361" si="538">IF(AB360&gt;0,AB361,0)</f>
        <v>120</v>
      </c>
      <c r="AD361" s="219">
        <f t="shared" ref="AD361" si="539">IF(AC360&gt;0,AC361,0)</f>
        <v>120</v>
      </c>
      <c r="AE361" s="219">
        <f t="shared" ref="AE361" si="540">IF(AD360&gt;0,AD361,0)</f>
        <v>120</v>
      </c>
      <c r="AF361" s="219">
        <f t="shared" ref="AF361" si="541">IF(AE360&gt;0,AE361,0)</f>
        <v>120</v>
      </c>
      <c r="AG361" s="219">
        <f t="shared" ref="AG361" si="542">IF(AF360&gt;0,AF361,0)</f>
        <v>120</v>
      </c>
      <c r="AH361" s="219">
        <f t="shared" ref="AH361" si="543">IF(AG360&gt;0,AG361,0)</f>
        <v>120</v>
      </c>
      <c r="AI361" s="219">
        <f t="shared" ref="AI361" si="544">IF(AH360&gt;0,AH361,0)</f>
        <v>120</v>
      </c>
      <c r="AJ361" s="219">
        <f t="shared" ref="AJ361" si="545">IF(AI360&gt;0,AI361,0)</f>
        <v>120</v>
      </c>
      <c r="AK361" s="219">
        <f t="shared" ref="AK361" si="546">IF(AJ360&gt;0,AJ361,0)</f>
        <v>120</v>
      </c>
      <c r="AL361" s="219">
        <f t="shared" ref="AL361" si="547">IF(AK360&gt;0,AK361,0)</f>
        <v>120</v>
      </c>
      <c r="AM361" s="219">
        <f t="shared" ref="AM361" si="548">IF(AL360&gt;0,AL361,0)</f>
        <v>120</v>
      </c>
      <c r="AN361" s="219">
        <f t="shared" ref="AN361" si="549">IF(AM360&gt;0,AM361,0)</f>
        <v>120</v>
      </c>
      <c r="AO361" s="219">
        <f t="shared" ref="AO361" si="550">IF(AN360&gt;0,AN361,0)</f>
        <v>120</v>
      </c>
      <c r="AP361" s="219">
        <f t="shared" ref="AP361" si="551">IF(AO360&gt;0,AO361,0)</f>
        <v>120</v>
      </c>
      <c r="AQ361" s="219">
        <f t="shared" ref="AQ361" si="552">IF(AP360&gt;0,AP361,0)</f>
        <v>120</v>
      </c>
      <c r="AR361" s="219">
        <f t="shared" ref="AR361" si="553">IF(AQ360&gt;0,AQ361,0)</f>
        <v>120</v>
      </c>
      <c r="AS361" s="219">
        <f t="shared" ref="AS361" si="554">IF(AR360&gt;0,AR361,0)</f>
        <v>120</v>
      </c>
      <c r="AT361" s="219">
        <f t="shared" ref="AT361" si="555">IF(AS360&gt;0,AS361,0)</f>
        <v>120</v>
      </c>
      <c r="AU361" s="219">
        <f t="shared" ref="AU361" si="556">IF(AT360&gt;0,AT361,0)</f>
        <v>120</v>
      </c>
      <c r="AV361" s="219">
        <f t="shared" si="537"/>
        <v>120</v>
      </c>
      <c r="AW361" s="26"/>
      <c r="AX361" s="27"/>
    </row>
    <row r="362" spans="1:50" ht="12.75" hidden="1" customHeight="1" outlineLevel="1">
      <c r="A362" s="296"/>
      <c r="B362" s="4" t="s">
        <v>46</v>
      </c>
      <c r="C362" s="23" t="s">
        <v>130</v>
      </c>
      <c r="D362" s="23"/>
      <c r="E362" s="189">
        <f>E360*E361</f>
        <v>0</v>
      </c>
      <c r="F362" s="189">
        <f>F360*F361</f>
        <v>0</v>
      </c>
      <c r="G362" s="189">
        <f>G360*G361</f>
        <v>0</v>
      </c>
      <c r="H362" s="189">
        <f>H360*H361</f>
        <v>0</v>
      </c>
      <c r="I362" s="189"/>
      <c r="J362" s="189"/>
      <c r="K362" s="189"/>
      <c r="L362" s="189"/>
      <c r="M362" s="189"/>
      <c r="N362" s="189"/>
      <c r="O362" s="156"/>
      <c r="P362" s="156"/>
      <c r="Q362" s="156">
        <f t="shared" ref="Q362:Y362" si="557">Q360*Q361</f>
        <v>1020000</v>
      </c>
      <c r="R362" s="156">
        <f t="shared" si="557"/>
        <v>1683000</v>
      </c>
      <c r="S362" s="156">
        <f t="shared" si="557"/>
        <v>2103750</v>
      </c>
      <c r="T362" s="156">
        <f t="shared" si="557"/>
        <v>2419312.5</v>
      </c>
      <c r="U362" s="156">
        <f t="shared" si="557"/>
        <v>2782209.375</v>
      </c>
      <c r="V362" s="325">
        <f t="shared" si="557"/>
        <v>3060430.3125000005</v>
      </c>
      <c r="W362" s="325">
        <f t="shared" si="557"/>
        <v>3213451.8281250005</v>
      </c>
      <c r="X362" s="325">
        <f t="shared" si="557"/>
        <v>3374124.4195312508</v>
      </c>
      <c r="Y362" s="325">
        <f t="shared" si="557"/>
        <v>3542830.6405078131</v>
      </c>
      <c r="Z362" s="189">
        <f t="shared" ref="Z362:AA362" si="558">Z360*Z361</f>
        <v>3613687.2533179694</v>
      </c>
      <c r="AA362" s="189">
        <f t="shared" si="558"/>
        <v>3685960.998384329</v>
      </c>
      <c r="AB362" s="189">
        <f t="shared" ref="AB362:AV362" si="559">AB360*AB361</f>
        <v>3759680.2183520156</v>
      </c>
      <c r="AC362" s="189">
        <f t="shared" ref="AC362:AU362" si="560">AC360*AC361</f>
        <v>3834873.8227190557</v>
      </c>
      <c r="AD362" s="189">
        <f t="shared" si="560"/>
        <v>3911571.2991734371</v>
      </c>
      <c r="AE362" s="189">
        <f t="shared" si="560"/>
        <v>3989802.7251569056</v>
      </c>
      <c r="AF362" s="189">
        <f t="shared" si="560"/>
        <v>4069598.7796600442</v>
      </c>
      <c r="AG362" s="189">
        <f t="shared" si="560"/>
        <v>4150990.7552532451</v>
      </c>
      <c r="AH362" s="189">
        <f t="shared" si="560"/>
        <v>4234010.5703583099</v>
      </c>
      <c r="AI362" s="189">
        <f t="shared" si="560"/>
        <v>4318690.7817654768</v>
      </c>
      <c r="AJ362" s="189">
        <f t="shared" si="560"/>
        <v>4405064.5974007864</v>
      </c>
      <c r="AK362" s="189">
        <f t="shared" si="560"/>
        <v>4493165.8893488031</v>
      </c>
      <c r="AL362" s="189">
        <f t="shared" si="560"/>
        <v>4583029.2071357789</v>
      </c>
      <c r="AM362" s="189">
        <f t="shared" si="560"/>
        <v>4674689.7912784945</v>
      </c>
      <c r="AN362" s="189">
        <f t="shared" si="560"/>
        <v>4768183.5871040653</v>
      </c>
      <c r="AO362" s="189">
        <f t="shared" si="560"/>
        <v>4863547.2588461461</v>
      </c>
      <c r="AP362" s="189">
        <f t="shared" si="560"/>
        <v>4960818.2040230697</v>
      </c>
      <c r="AQ362" s="189">
        <f t="shared" si="560"/>
        <v>5060034.5681035314</v>
      </c>
      <c r="AR362" s="189">
        <f t="shared" si="560"/>
        <v>5161235.2594656013</v>
      </c>
      <c r="AS362" s="189">
        <f t="shared" si="560"/>
        <v>5264459.9646549141</v>
      </c>
      <c r="AT362" s="189">
        <f t="shared" si="560"/>
        <v>5369749.1639480125</v>
      </c>
      <c r="AU362" s="189">
        <f t="shared" si="560"/>
        <v>5477144.1472269725</v>
      </c>
      <c r="AV362" s="189">
        <f t="shared" si="559"/>
        <v>5586687.0301715126</v>
      </c>
      <c r="AW362" s="26"/>
      <c r="AX362" s="27"/>
    </row>
    <row r="363" spans="1:50" ht="12.75" hidden="1" customHeight="1" outlineLevel="1">
      <c r="A363" s="296"/>
      <c r="B363" s="10" t="s">
        <v>196</v>
      </c>
      <c r="C363" s="23" t="s">
        <v>64</v>
      </c>
      <c r="D363" s="23"/>
      <c r="E363" s="272"/>
      <c r="F363" s="272"/>
      <c r="G363" s="272"/>
      <c r="H363" s="272"/>
      <c r="I363" s="274"/>
      <c r="J363" s="275"/>
      <c r="K363" s="275"/>
      <c r="L363" s="275"/>
      <c r="M363" s="275"/>
      <c r="N363" s="272"/>
      <c r="O363" s="272"/>
      <c r="P363" s="272"/>
      <c r="Q363" s="272">
        <f>Q360/90</f>
        <v>94.444444444444443</v>
      </c>
      <c r="R363" s="272">
        <f>R360/90</f>
        <v>155.83333333333334</v>
      </c>
      <c r="S363" s="272">
        <f t="shared" ref="S363:Y363" si="561">S360/90</f>
        <v>194.79166666666666</v>
      </c>
      <c r="T363" s="272">
        <f t="shared" si="561"/>
        <v>224.01041666666666</v>
      </c>
      <c r="U363" s="272">
        <f t="shared" si="561"/>
        <v>257.61197916666669</v>
      </c>
      <c r="V363" s="272">
        <f t="shared" si="561"/>
        <v>283.37317708333336</v>
      </c>
      <c r="W363" s="272">
        <f t="shared" si="561"/>
        <v>297.54183593750008</v>
      </c>
      <c r="X363" s="272">
        <f t="shared" si="561"/>
        <v>312.41892773437507</v>
      </c>
      <c r="Y363" s="272">
        <f t="shared" si="561"/>
        <v>328.03987412109382</v>
      </c>
      <c r="Z363" s="272">
        <f t="shared" ref="Z363:AB363" si="562">Z360/90</f>
        <v>334.60067160351571</v>
      </c>
      <c r="AA363" s="272">
        <f t="shared" si="562"/>
        <v>341.29268503558603</v>
      </c>
      <c r="AB363" s="272">
        <f t="shared" si="562"/>
        <v>348.11853873629775</v>
      </c>
      <c r="AC363" s="272">
        <f t="shared" ref="AC363:AU363" si="563">AC360/90</f>
        <v>355.08090951102372</v>
      </c>
      <c r="AD363" s="272">
        <f t="shared" si="563"/>
        <v>362.18252770124417</v>
      </c>
      <c r="AE363" s="272">
        <f t="shared" si="563"/>
        <v>369.42617825526906</v>
      </c>
      <c r="AF363" s="272">
        <f t="shared" si="563"/>
        <v>376.81470182037447</v>
      </c>
      <c r="AG363" s="272">
        <f t="shared" si="563"/>
        <v>384.35099585678199</v>
      </c>
      <c r="AH363" s="272">
        <f t="shared" si="563"/>
        <v>392.03801577391761</v>
      </c>
      <c r="AI363" s="272">
        <f t="shared" si="563"/>
        <v>399.87877608939596</v>
      </c>
      <c r="AJ363" s="272">
        <f t="shared" si="563"/>
        <v>407.87635161118396</v>
      </c>
      <c r="AK363" s="272">
        <f t="shared" si="563"/>
        <v>416.03387864340766</v>
      </c>
      <c r="AL363" s="272">
        <f t="shared" si="563"/>
        <v>424.35455621627585</v>
      </c>
      <c r="AM363" s="272">
        <f t="shared" si="563"/>
        <v>432.84164734060136</v>
      </c>
      <c r="AN363" s="272">
        <f t="shared" si="563"/>
        <v>441.49848028741343</v>
      </c>
      <c r="AO363" s="272">
        <f t="shared" si="563"/>
        <v>450.32844989316169</v>
      </c>
      <c r="AP363" s="272">
        <f t="shared" si="563"/>
        <v>459.33501889102496</v>
      </c>
      <c r="AQ363" s="272">
        <f t="shared" si="563"/>
        <v>468.52171926884546</v>
      </c>
      <c r="AR363" s="272">
        <f t="shared" si="563"/>
        <v>477.8921536542224</v>
      </c>
      <c r="AS363" s="272">
        <f t="shared" si="563"/>
        <v>487.44999672730683</v>
      </c>
      <c r="AT363" s="272">
        <f t="shared" si="563"/>
        <v>497.19899666185302</v>
      </c>
      <c r="AU363" s="272">
        <f t="shared" si="563"/>
        <v>507.14297659509003</v>
      </c>
      <c r="AV363" s="275"/>
      <c r="AW363" s="26"/>
      <c r="AX363" s="27"/>
    </row>
    <row r="364" spans="1:50" ht="12.75" hidden="1" customHeight="1" outlineLevel="1">
      <c r="A364" s="296"/>
      <c r="B364" s="4"/>
      <c r="C364" s="23"/>
      <c r="D364" s="23"/>
      <c r="E364" s="272"/>
      <c r="F364" s="272"/>
      <c r="G364" s="272"/>
      <c r="H364" s="272"/>
      <c r="I364" s="272"/>
      <c r="J364" s="272"/>
      <c r="K364" s="272"/>
      <c r="L364" s="272"/>
      <c r="M364" s="272"/>
      <c r="N364" s="273"/>
      <c r="O364" s="273"/>
      <c r="P364" s="273"/>
      <c r="Q364" s="273"/>
      <c r="R364" s="273"/>
      <c r="S364" s="273"/>
      <c r="T364" s="273"/>
      <c r="U364" s="272"/>
      <c r="V364" s="272"/>
      <c r="W364" s="272"/>
      <c r="X364" s="272"/>
      <c r="Y364" s="272"/>
      <c r="Z364" s="272"/>
      <c r="AA364" s="272"/>
      <c r="AB364" s="272"/>
      <c r="AC364" s="272"/>
      <c r="AD364" s="272"/>
      <c r="AE364" s="272"/>
      <c r="AF364" s="272"/>
      <c r="AG364" s="272"/>
      <c r="AH364" s="272"/>
      <c r="AI364" s="272"/>
      <c r="AJ364" s="272"/>
      <c r="AK364" s="272"/>
      <c r="AL364" s="272"/>
      <c r="AM364" s="272"/>
      <c r="AN364" s="272"/>
      <c r="AO364" s="272"/>
      <c r="AP364" s="272"/>
      <c r="AQ364" s="272"/>
      <c r="AR364" s="272"/>
      <c r="AS364" s="272"/>
      <c r="AT364" s="272"/>
      <c r="AU364" s="272"/>
      <c r="AV364" s="272"/>
      <c r="AW364" s="26"/>
      <c r="AX364" s="27"/>
    </row>
    <row r="365" spans="1:50" ht="12.75" hidden="1" customHeight="1" outlineLevel="1">
      <c r="A365" s="296"/>
      <c r="B365" s="4" t="s">
        <v>314</v>
      </c>
      <c r="C365" s="23"/>
      <c r="D365" s="23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Q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26"/>
      <c r="AX365" s="27"/>
    </row>
    <row r="366" spans="1:50" ht="12.75" hidden="1" customHeight="1" outlineLevel="1">
      <c r="A366" s="296"/>
      <c r="B366" s="28" t="s">
        <v>177</v>
      </c>
      <c r="C366" s="23" t="s">
        <v>102</v>
      </c>
      <c r="D366" s="23"/>
      <c r="E366" s="52"/>
      <c r="F366" s="153"/>
      <c r="G366" s="153"/>
      <c r="H366" s="139"/>
      <c r="I366" s="25"/>
      <c r="J366" s="25"/>
      <c r="K366" s="139"/>
      <c r="L366" s="25"/>
      <c r="M366" s="25"/>
      <c r="N366" s="25"/>
      <c r="O366" s="25"/>
      <c r="P366" s="25"/>
      <c r="Q366" s="139"/>
      <c r="R366" s="168">
        <v>0.65</v>
      </c>
      <c r="S366" s="168">
        <v>0.25</v>
      </c>
      <c r="T366" s="168">
        <v>0.15</v>
      </c>
      <c r="U366" s="139">
        <v>0.15</v>
      </c>
      <c r="V366" s="139">
        <v>0.1</v>
      </c>
      <c r="W366" s="139">
        <v>0.05</v>
      </c>
      <c r="X366" s="139">
        <v>0.05</v>
      </c>
      <c r="Y366" s="139">
        <v>0.05</v>
      </c>
      <c r="Z366" s="139">
        <v>0.02</v>
      </c>
      <c r="AA366" s="25">
        <f t="shared" ref="AA366" si="564">Z366</f>
        <v>0.02</v>
      </c>
      <c r="AB366" s="25">
        <f t="shared" ref="AB366" si="565">AA366</f>
        <v>0.02</v>
      </c>
      <c r="AC366" s="25">
        <f t="shared" ref="AC366" si="566">AB366</f>
        <v>0.02</v>
      </c>
      <c r="AD366" s="25">
        <f t="shared" ref="AD366" si="567">AC366</f>
        <v>0.02</v>
      </c>
      <c r="AE366" s="25">
        <f t="shared" ref="AE366" si="568">AD366</f>
        <v>0.02</v>
      </c>
      <c r="AF366" s="25">
        <f t="shared" ref="AF366" si="569">AE366</f>
        <v>0.02</v>
      </c>
      <c r="AG366" s="25">
        <f t="shared" ref="AG366" si="570">AF366</f>
        <v>0.02</v>
      </c>
      <c r="AH366" s="25">
        <f t="shared" ref="AH366" si="571">AG366</f>
        <v>0.02</v>
      </c>
      <c r="AI366" s="25">
        <f t="shared" ref="AI366" si="572">AH366</f>
        <v>0.02</v>
      </c>
      <c r="AJ366" s="25">
        <f t="shared" ref="AJ366" si="573">AI366</f>
        <v>0.02</v>
      </c>
      <c r="AK366" s="25">
        <f t="shared" ref="AK366" si="574">AJ366</f>
        <v>0.02</v>
      </c>
      <c r="AL366" s="25">
        <f t="shared" ref="AL366" si="575">AK366</f>
        <v>0.02</v>
      </c>
      <c r="AM366" s="25">
        <f t="shared" ref="AM366" si="576">AL366</f>
        <v>0.02</v>
      </c>
      <c r="AN366" s="25">
        <f t="shared" ref="AN366" si="577">AM366</f>
        <v>0.02</v>
      </c>
      <c r="AO366" s="25">
        <f t="shared" ref="AO366" si="578">AN366</f>
        <v>0.02</v>
      </c>
      <c r="AP366" s="25">
        <f t="shared" ref="AP366" si="579">AO366</f>
        <v>0.02</v>
      </c>
      <c r="AQ366" s="25">
        <f t="shared" ref="AQ366" si="580">AP366</f>
        <v>0.02</v>
      </c>
      <c r="AR366" s="25">
        <f t="shared" ref="AR366" si="581">AQ366</f>
        <v>0.02</v>
      </c>
      <c r="AS366" s="25">
        <f t="shared" ref="AS366" si="582">AR366</f>
        <v>0.02</v>
      </c>
      <c r="AT366" s="25">
        <f t="shared" ref="AT366" si="583">AS366</f>
        <v>0.02</v>
      </c>
      <c r="AU366" s="25">
        <f t="shared" ref="AU366" si="584">AT366</f>
        <v>0.02</v>
      </c>
      <c r="AV366" s="25">
        <f t="shared" ref="AV366" si="585">AU366</f>
        <v>0.02</v>
      </c>
      <c r="AW366" s="26"/>
      <c r="AX366" s="27"/>
    </row>
    <row r="367" spans="1:50" ht="12.75" hidden="1" customHeight="1" outlineLevel="1">
      <c r="A367" s="296"/>
      <c r="B367" s="28" t="s">
        <v>170</v>
      </c>
      <c r="C367" s="23" t="s">
        <v>64</v>
      </c>
      <c r="D367" s="23"/>
      <c r="E367" s="49"/>
      <c r="F367" s="52"/>
      <c r="G367" s="52"/>
      <c r="H367" s="9"/>
      <c r="I367" s="9"/>
      <c r="J367" s="9"/>
      <c r="K367" s="52"/>
      <c r="L367" s="52"/>
      <c r="M367" s="52"/>
      <c r="N367" s="52"/>
      <c r="O367" s="52"/>
      <c r="P367" s="52"/>
      <c r="Q367" s="52">
        <v>8500</v>
      </c>
      <c r="R367" s="9">
        <f t="shared" ref="R367" si="586">IF(Q367&gt;0,Q367*(1+R366),0)</f>
        <v>14025</v>
      </c>
      <c r="S367" s="9">
        <f t="shared" ref="S367" si="587">IF(R367&gt;0,R367*(1+S366),0)</f>
        <v>17531.25</v>
      </c>
      <c r="T367" s="9">
        <f t="shared" ref="T367" si="588">IF(S367&gt;0,S367*(1+T366),0)</f>
        <v>20160.9375</v>
      </c>
      <c r="U367" s="9">
        <f t="shared" ref="U367" si="589">IF(T367&gt;0,T367*(1+U366),0)</f>
        <v>23185.078125</v>
      </c>
      <c r="V367" s="9">
        <f t="shared" ref="V367" si="590">IF(U367&gt;0,U367*(1+V366),0)</f>
        <v>25503.585937500004</v>
      </c>
      <c r="W367" s="9">
        <f t="shared" ref="W367" si="591">IF(V367&gt;0,V367*(1+W366),0)</f>
        <v>26778.765234375005</v>
      </c>
      <c r="X367" s="9">
        <f t="shared" ref="X367" si="592">IF(W367&gt;0,W367*(1+X366),0)</f>
        <v>28117.703496093756</v>
      </c>
      <c r="Y367" s="9">
        <f t="shared" ref="Y367" si="593">IF(X367&gt;0,X367*(1+Y366),0)</f>
        <v>29523.588670898444</v>
      </c>
      <c r="Z367" s="9">
        <f t="shared" ref="Z367" si="594">IF(Y367&gt;0,Y367*(1+Z366),0)</f>
        <v>30114.060444316412</v>
      </c>
      <c r="AA367" s="9">
        <f t="shared" ref="AA367" si="595">IF(Z367&gt;0,Z367*(1+AA366),0)</f>
        <v>30716.34165320274</v>
      </c>
      <c r="AB367" s="9">
        <f t="shared" ref="AB367" si="596">IF(AA367&gt;0,AA367*(1+AB366),0)</f>
        <v>31330.668486266797</v>
      </c>
      <c r="AC367" s="9">
        <f t="shared" ref="AC367" si="597">IF(AB367&gt;0,AB367*(1+AC366),0)</f>
        <v>31957.281855992132</v>
      </c>
      <c r="AD367" s="9">
        <f t="shared" ref="AD367" si="598">IF(AC367&gt;0,AC367*(1+AD366),0)</f>
        <v>32596.427493111976</v>
      </c>
      <c r="AE367" s="9">
        <f t="shared" ref="AE367:AV367" si="599">IF(AD367&gt;0,AD367*(1+AE366),0)</f>
        <v>33248.356042974214</v>
      </c>
      <c r="AF367" s="9">
        <f t="shared" si="599"/>
        <v>33913.323163833702</v>
      </c>
      <c r="AG367" s="9">
        <f t="shared" si="599"/>
        <v>34591.589627110377</v>
      </c>
      <c r="AH367" s="9">
        <f t="shared" si="599"/>
        <v>35283.421419652586</v>
      </c>
      <c r="AI367" s="9">
        <f t="shared" si="599"/>
        <v>35989.089848045638</v>
      </c>
      <c r="AJ367" s="9">
        <f t="shared" si="599"/>
        <v>36708.871645006555</v>
      </c>
      <c r="AK367" s="9">
        <f t="shared" si="599"/>
        <v>37443.049077906689</v>
      </c>
      <c r="AL367" s="9">
        <f t="shared" si="599"/>
        <v>38191.910059464826</v>
      </c>
      <c r="AM367" s="9">
        <f t="shared" si="599"/>
        <v>38955.748260654123</v>
      </c>
      <c r="AN367" s="9">
        <f t="shared" si="599"/>
        <v>39734.863225867208</v>
      </c>
      <c r="AO367" s="9">
        <f t="shared" si="599"/>
        <v>40529.560490384552</v>
      </c>
      <c r="AP367" s="9">
        <f t="shared" si="599"/>
        <v>41340.151700192248</v>
      </c>
      <c r="AQ367" s="9">
        <f t="shared" si="599"/>
        <v>42166.954734196093</v>
      </c>
      <c r="AR367" s="9">
        <f t="shared" si="599"/>
        <v>43010.293828880014</v>
      </c>
      <c r="AS367" s="9">
        <f t="shared" si="599"/>
        <v>43870.499705457616</v>
      </c>
      <c r="AT367" s="9">
        <f t="shared" si="599"/>
        <v>44747.909699566771</v>
      </c>
      <c r="AU367" s="9">
        <f t="shared" si="599"/>
        <v>45642.867893558105</v>
      </c>
      <c r="AV367" s="9">
        <f t="shared" si="599"/>
        <v>46555.72525142927</v>
      </c>
      <c r="AW367" s="26"/>
      <c r="AX367" s="27"/>
    </row>
    <row r="368" spans="1:50" ht="12.75" hidden="1" customHeight="1" outlineLevel="1">
      <c r="A368" s="296"/>
      <c r="B368" s="28" t="s">
        <v>164</v>
      </c>
      <c r="C368" s="23" t="s">
        <v>165</v>
      </c>
      <c r="D368" s="23"/>
      <c r="E368" s="65"/>
      <c r="F368" s="92"/>
      <c r="G368" s="219"/>
      <c r="H368" s="219"/>
      <c r="I368" s="219"/>
      <c r="J368" s="219"/>
      <c r="K368" s="92"/>
      <c r="L368" s="92"/>
      <c r="M368" s="92"/>
      <c r="N368" s="92"/>
      <c r="O368" s="92"/>
      <c r="P368" s="92"/>
      <c r="Q368" s="92">
        <v>120</v>
      </c>
      <c r="R368" s="219">
        <f>IF(R367&gt;0,Q368,0)</f>
        <v>120</v>
      </c>
      <c r="S368" s="219">
        <f>IF(S367&gt;0,R368,0)</f>
        <v>120</v>
      </c>
      <c r="T368" s="219">
        <f>IF(T367&gt;0,S368,0)</f>
        <v>120</v>
      </c>
      <c r="U368" s="219">
        <f t="shared" ref="U368" si="600">IF(U367&gt;0,T368,0)</f>
        <v>120</v>
      </c>
      <c r="V368" s="219">
        <f t="shared" ref="V368" si="601">IF(V367&gt;0,U368,0)</f>
        <v>120</v>
      </c>
      <c r="W368" s="219">
        <f t="shared" ref="W368" si="602">IF(W367&gt;0,V368,0)</f>
        <v>120</v>
      </c>
      <c r="X368" s="219">
        <f t="shared" ref="X368" si="603">IF(X367&gt;0,W368,0)</f>
        <v>120</v>
      </c>
      <c r="Y368" s="219">
        <f t="shared" ref="Y368" si="604">IF(Y367&gt;0,X368,0)</f>
        <v>120</v>
      </c>
      <c r="Z368" s="219">
        <f t="shared" ref="Z368" si="605">IF(Y367&gt;0,Y368,0)</f>
        <v>120</v>
      </c>
      <c r="AA368" s="219">
        <f t="shared" ref="AA368" si="606">IF(Z367&gt;0,Z368,0)</f>
        <v>120</v>
      </c>
      <c r="AB368" s="219">
        <f t="shared" ref="AB368" si="607">IF(AA367&gt;0,AA368,0)</f>
        <v>120</v>
      </c>
      <c r="AC368" s="219">
        <f t="shared" ref="AC368" si="608">IF(AB367&gt;0,AB368,0)</f>
        <v>120</v>
      </c>
      <c r="AD368" s="219">
        <f t="shared" ref="AD368" si="609">IF(AC367&gt;0,AC368,0)</f>
        <v>120</v>
      </c>
      <c r="AE368" s="219">
        <f t="shared" ref="AE368:AV368" si="610">IF(AD367&gt;0,AD368,0)</f>
        <v>120</v>
      </c>
      <c r="AF368" s="219">
        <f t="shared" si="610"/>
        <v>120</v>
      </c>
      <c r="AG368" s="219">
        <f t="shared" si="610"/>
        <v>120</v>
      </c>
      <c r="AH368" s="219">
        <f t="shared" si="610"/>
        <v>120</v>
      </c>
      <c r="AI368" s="219">
        <f t="shared" si="610"/>
        <v>120</v>
      </c>
      <c r="AJ368" s="219">
        <f t="shared" si="610"/>
        <v>120</v>
      </c>
      <c r="AK368" s="219">
        <f t="shared" si="610"/>
        <v>120</v>
      </c>
      <c r="AL368" s="219">
        <f t="shared" si="610"/>
        <v>120</v>
      </c>
      <c r="AM368" s="219">
        <f t="shared" si="610"/>
        <v>120</v>
      </c>
      <c r="AN368" s="219">
        <f t="shared" si="610"/>
        <v>120</v>
      </c>
      <c r="AO368" s="219">
        <f t="shared" si="610"/>
        <v>120</v>
      </c>
      <c r="AP368" s="219">
        <f t="shared" si="610"/>
        <v>120</v>
      </c>
      <c r="AQ368" s="219">
        <f t="shared" si="610"/>
        <v>120</v>
      </c>
      <c r="AR368" s="219">
        <f t="shared" si="610"/>
        <v>120</v>
      </c>
      <c r="AS368" s="219">
        <f t="shared" si="610"/>
        <v>120</v>
      </c>
      <c r="AT368" s="219">
        <f t="shared" si="610"/>
        <v>120</v>
      </c>
      <c r="AU368" s="219">
        <f t="shared" si="610"/>
        <v>120</v>
      </c>
      <c r="AV368" s="219">
        <f t="shared" si="610"/>
        <v>120</v>
      </c>
      <c r="AW368" s="26"/>
      <c r="AX368" s="27"/>
    </row>
    <row r="369" spans="1:50" ht="12.75" hidden="1" customHeight="1" outlineLevel="1">
      <c r="A369" s="296"/>
      <c r="B369" s="4" t="s">
        <v>46</v>
      </c>
      <c r="C369" s="23" t="s">
        <v>130</v>
      </c>
      <c r="D369" s="23"/>
      <c r="E369" s="189">
        <f t="shared" ref="E369:K369" si="611">E367*E368</f>
        <v>0</v>
      </c>
      <c r="F369" s="189">
        <f t="shared" si="611"/>
        <v>0</v>
      </c>
      <c r="G369" s="189">
        <f t="shared" si="611"/>
        <v>0</v>
      </c>
      <c r="H369" s="189">
        <f t="shared" si="611"/>
        <v>0</v>
      </c>
      <c r="I369" s="189">
        <f t="shared" si="611"/>
        <v>0</v>
      </c>
      <c r="J369" s="189">
        <f t="shared" si="611"/>
        <v>0</v>
      </c>
      <c r="K369" s="189">
        <f t="shared" si="611"/>
        <v>0</v>
      </c>
      <c r="L369" s="189"/>
      <c r="M369" s="189">
        <f>M367*M368</f>
        <v>0</v>
      </c>
      <c r="N369" s="189"/>
      <c r="O369" s="189"/>
      <c r="P369" s="189"/>
      <c r="Q369" s="156">
        <f t="shared" ref="Q369:Z369" si="612">Q367*Q368</f>
        <v>1020000</v>
      </c>
      <c r="R369" s="156">
        <f t="shared" si="612"/>
        <v>1683000</v>
      </c>
      <c r="S369" s="156">
        <f t="shared" si="612"/>
        <v>2103750</v>
      </c>
      <c r="T369" s="156">
        <f t="shared" si="612"/>
        <v>2419312.5</v>
      </c>
      <c r="U369" s="156">
        <f t="shared" si="612"/>
        <v>2782209.375</v>
      </c>
      <c r="V369" s="325">
        <f t="shared" si="612"/>
        <v>3060430.3125000005</v>
      </c>
      <c r="W369" s="325">
        <f t="shared" si="612"/>
        <v>3213451.8281250005</v>
      </c>
      <c r="X369" s="325">
        <f t="shared" si="612"/>
        <v>3374124.4195312508</v>
      </c>
      <c r="Y369" s="325">
        <f t="shared" si="612"/>
        <v>3542830.6405078131</v>
      </c>
      <c r="Z369" s="189">
        <f t="shared" si="612"/>
        <v>3613687.2533179694</v>
      </c>
      <c r="AA369" s="189">
        <f t="shared" ref="AA369:AV369" si="613">AA367*AA368</f>
        <v>3685960.998384329</v>
      </c>
      <c r="AB369" s="189">
        <f t="shared" si="613"/>
        <v>3759680.2183520156</v>
      </c>
      <c r="AC369" s="189">
        <f t="shared" si="613"/>
        <v>3834873.8227190557</v>
      </c>
      <c r="AD369" s="189">
        <f t="shared" si="613"/>
        <v>3911571.2991734371</v>
      </c>
      <c r="AE369" s="189">
        <f t="shared" si="613"/>
        <v>3989802.7251569056</v>
      </c>
      <c r="AF369" s="189">
        <f t="shared" si="613"/>
        <v>4069598.7796600442</v>
      </c>
      <c r="AG369" s="189">
        <f t="shared" si="613"/>
        <v>4150990.7552532451</v>
      </c>
      <c r="AH369" s="189">
        <f t="shared" si="613"/>
        <v>4234010.5703583099</v>
      </c>
      <c r="AI369" s="189">
        <f t="shared" si="613"/>
        <v>4318690.7817654768</v>
      </c>
      <c r="AJ369" s="189">
        <f t="shared" si="613"/>
        <v>4405064.5974007864</v>
      </c>
      <c r="AK369" s="189">
        <f t="shared" si="613"/>
        <v>4493165.8893488031</v>
      </c>
      <c r="AL369" s="189">
        <f t="shared" si="613"/>
        <v>4583029.2071357789</v>
      </c>
      <c r="AM369" s="189">
        <f t="shared" si="613"/>
        <v>4674689.7912784945</v>
      </c>
      <c r="AN369" s="189">
        <f t="shared" si="613"/>
        <v>4768183.5871040653</v>
      </c>
      <c r="AO369" s="189">
        <f t="shared" si="613"/>
        <v>4863547.2588461461</v>
      </c>
      <c r="AP369" s="189">
        <f t="shared" si="613"/>
        <v>4960818.2040230697</v>
      </c>
      <c r="AQ369" s="189">
        <f t="shared" si="613"/>
        <v>5060034.5681035314</v>
      </c>
      <c r="AR369" s="189">
        <f t="shared" si="613"/>
        <v>5161235.2594656013</v>
      </c>
      <c r="AS369" s="189">
        <f t="shared" si="613"/>
        <v>5264459.9646549141</v>
      </c>
      <c r="AT369" s="189">
        <f t="shared" si="613"/>
        <v>5369749.1639480125</v>
      </c>
      <c r="AU369" s="189">
        <f t="shared" si="613"/>
        <v>5477144.1472269725</v>
      </c>
      <c r="AV369" s="189">
        <f t="shared" si="613"/>
        <v>5586687.0301715126</v>
      </c>
      <c r="AW369" s="26"/>
      <c r="AX369" s="27"/>
    </row>
    <row r="370" spans="1:50" ht="12.75" hidden="1" customHeight="1" outlineLevel="1">
      <c r="A370" s="296"/>
      <c r="B370" s="10" t="s">
        <v>196</v>
      </c>
      <c r="C370" s="23" t="s">
        <v>64</v>
      </c>
      <c r="D370" s="23"/>
      <c r="E370" s="272"/>
      <c r="F370" s="272"/>
      <c r="G370" s="272"/>
      <c r="H370" s="272"/>
      <c r="I370" s="274"/>
      <c r="J370" s="275"/>
      <c r="K370" s="275"/>
      <c r="L370" s="275"/>
      <c r="M370" s="275"/>
      <c r="N370" s="272"/>
      <c r="O370" s="324"/>
      <c r="P370" s="272"/>
      <c r="Q370" s="272">
        <f>Q367/90</f>
        <v>94.444444444444443</v>
      </c>
      <c r="R370" s="272">
        <f>R367/90</f>
        <v>155.83333333333334</v>
      </c>
      <c r="S370" s="272">
        <f t="shared" ref="S370:AD370" si="614">S367/90</f>
        <v>194.79166666666666</v>
      </c>
      <c r="T370" s="272">
        <f t="shared" si="614"/>
        <v>224.01041666666666</v>
      </c>
      <c r="U370" s="272">
        <f t="shared" si="614"/>
        <v>257.61197916666669</v>
      </c>
      <c r="V370" s="272">
        <f t="shared" si="614"/>
        <v>283.37317708333336</v>
      </c>
      <c r="W370" s="272">
        <f t="shared" si="614"/>
        <v>297.54183593750008</v>
      </c>
      <c r="X370" s="272">
        <f t="shared" si="614"/>
        <v>312.41892773437507</v>
      </c>
      <c r="Y370" s="272">
        <f t="shared" si="614"/>
        <v>328.03987412109382</v>
      </c>
      <c r="Z370" s="272">
        <f t="shared" si="614"/>
        <v>334.60067160351571</v>
      </c>
      <c r="AA370" s="272">
        <f t="shared" si="614"/>
        <v>341.29268503558603</v>
      </c>
      <c r="AB370" s="272">
        <f t="shared" si="614"/>
        <v>348.11853873629775</v>
      </c>
      <c r="AC370" s="272">
        <f t="shared" si="614"/>
        <v>355.08090951102372</v>
      </c>
      <c r="AD370" s="272">
        <f t="shared" si="614"/>
        <v>362.18252770124417</v>
      </c>
      <c r="AE370" s="275"/>
      <c r="AF370" s="275"/>
      <c r="AG370" s="275"/>
      <c r="AH370" s="275"/>
      <c r="AI370" s="275"/>
      <c r="AJ370" s="275"/>
      <c r="AK370" s="275"/>
      <c r="AL370" s="275"/>
      <c r="AM370" s="275"/>
      <c r="AN370" s="275"/>
      <c r="AO370" s="275"/>
      <c r="AP370" s="275"/>
      <c r="AQ370" s="275"/>
      <c r="AR370" s="275"/>
      <c r="AS370" s="275"/>
      <c r="AT370" s="275"/>
      <c r="AU370" s="275"/>
      <c r="AV370" s="275"/>
      <c r="AW370" s="26"/>
      <c r="AX370" s="27"/>
    </row>
    <row r="371" spans="1:50" ht="12.75" hidden="1" customHeight="1" outlineLevel="1">
      <c r="A371" s="296"/>
      <c r="B371" s="4"/>
      <c r="C371" s="23"/>
      <c r="D371" s="23"/>
      <c r="E371" s="272"/>
      <c r="F371" s="272"/>
      <c r="G371" s="272"/>
      <c r="H371" s="272"/>
      <c r="I371" s="272"/>
      <c r="J371" s="272"/>
      <c r="K371" s="272"/>
      <c r="L371" s="272"/>
      <c r="M371" s="272"/>
      <c r="N371" s="272"/>
      <c r="O371" s="272"/>
      <c r="P371" s="272"/>
      <c r="Q371" s="272"/>
      <c r="R371" s="272"/>
      <c r="S371" s="272"/>
      <c r="T371" s="272"/>
      <c r="U371" s="272"/>
      <c r="V371" s="272"/>
      <c r="W371" s="272"/>
      <c r="X371" s="272"/>
      <c r="Y371" s="272"/>
      <c r="Z371" s="272"/>
      <c r="AA371" s="272"/>
      <c r="AB371" s="272"/>
      <c r="AC371" s="272"/>
      <c r="AD371" s="272"/>
      <c r="AE371" s="272"/>
      <c r="AF371" s="272"/>
      <c r="AG371" s="272"/>
      <c r="AH371" s="272"/>
      <c r="AI371" s="272"/>
      <c r="AJ371" s="272"/>
      <c r="AK371" s="272"/>
      <c r="AL371" s="272"/>
      <c r="AM371" s="272"/>
      <c r="AN371" s="272"/>
      <c r="AO371" s="272"/>
      <c r="AP371" s="272"/>
      <c r="AQ371" s="272"/>
      <c r="AR371" s="272"/>
      <c r="AS371" s="272"/>
      <c r="AT371" s="272"/>
      <c r="AU371" s="272"/>
      <c r="AV371" s="272"/>
      <c r="AW371" s="26"/>
      <c r="AX371" s="27"/>
    </row>
    <row r="372" spans="1:50" ht="12.75" hidden="1" customHeight="1" outlineLevel="1">
      <c r="A372" s="296"/>
      <c r="B372" s="4" t="s">
        <v>316</v>
      </c>
      <c r="C372" s="23" t="s">
        <v>42</v>
      </c>
      <c r="D372" s="23"/>
      <c r="E372" s="9">
        <f>(E364+E369)/10^3</f>
        <v>0</v>
      </c>
      <c r="F372" s="9">
        <f>(F364+F369)/10^3</f>
        <v>0</v>
      </c>
      <c r="G372" s="9">
        <f>(G364+G369)/10^3</f>
        <v>0</v>
      </c>
      <c r="H372" s="9">
        <f>(H364+H369)/10^3</f>
        <v>0</v>
      </c>
      <c r="I372" s="9"/>
      <c r="J372" s="9"/>
      <c r="K372" s="9"/>
      <c r="L372" s="9"/>
      <c r="M372" s="9"/>
      <c r="N372" s="9"/>
      <c r="O372" s="9"/>
      <c r="P372" s="9"/>
      <c r="Q372" s="9">
        <f>(Q362+Q369)/10^3</f>
        <v>2040</v>
      </c>
      <c r="R372" s="9">
        <f t="shared" ref="R372:AV372" si="615">(R362+R369)/10^3</f>
        <v>3366</v>
      </c>
      <c r="S372" s="9">
        <f t="shared" si="615"/>
        <v>4207.5</v>
      </c>
      <c r="T372" s="9">
        <f t="shared" si="615"/>
        <v>4838.625</v>
      </c>
      <c r="U372" s="9">
        <f t="shared" si="615"/>
        <v>5564.4187499999998</v>
      </c>
      <c r="V372" s="9">
        <f t="shared" si="615"/>
        <v>6120.8606250000012</v>
      </c>
      <c r="W372" s="9">
        <f t="shared" si="615"/>
        <v>6426.9036562500005</v>
      </c>
      <c r="X372" s="9">
        <f t="shared" si="615"/>
        <v>6748.2488390625012</v>
      </c>
      <c r="Y372" s="9">
        <f t="shared" si="615"/>
        <v>7085.6612810156257</v>
      </c>
      <c r="Z372" s="9">
        <f t="shared" si="615"/>
        <v>7227.3745066359388</v>
      </c>
      <c r="AA372" s="9">
        <f t="shared" si="615"/>
        <v>7371.9219967686577</v>
      </c>
      <c r="AB372" s="9">
        <f t="shared" si="615"/>
        <v>7519.3604367040316</v>
      </c>
      <c r="AC372" s="9">
        <f t="shared" si="615"/>
        <v>7669.7476454381112</v>
      </c>
      <c r="AD372" s="9">
        <f t="shared" si="615"/>
        <v>7823.1425983468744</v>
      </c>
      <c r="AE372" s="9">
        <f t="shared" si="615"/>
        <v>7979.6054503138112</v>
      </c>
      <c r="AF372" s="9">
        <f t="shared" si="615"/>
        <v>8139.1975593200887</v>
      </c>
      <c r="AG372" s="9">
        <f t="shared" si="615"/>
        <v>8301.9815105064899</v>
      </c>
      <c r="AH372" s="9">
        <f t="shared" si="615"/>
        <v>8468.0211407166189</v>
      </c>
      <c r="AI372" s="9">
        <f t="shared" si="615"/>
        <v>8637.3815635309529</v>
      </c>
      <c r="AJ372" s="9">
        <f t="shared" si="615"/>
        <v>8810.1291948015732</v>
      </c>
      <c r="AK372" s="9">
        <f t="shared" si="615"/>
        <v>8986.3317786976058</v>
      </c>
      <c r="AL372" s="9">
        <f t="shared" si="615"/>
        <v>9166.0584142715579</v>
      </c>
      <c r="AM372" s="9">
        <f t="shared" si="615"/>
        <v>9349.3795825569887</v>
      </c>
      <c r="AN372" s="9">
        <f t="shared" si="615"/>
        <v>9536.3671742081315</v>
      </c>
      <c r="AO372" s="9">
        <f t="shared" si="615"/>
        <v>9727.0945176922924</v>
      </c>
      <c r="AP372" s="9">
        <f t="shared" si="615"/>
        <v>9921.636408046139</v>
      </c>
      <c r="AQ372" s="9">
        <f t="shared" si="615"/>
        <v>10120.069136207063</v>
      </c>
      <c r="AR372" s="9">
        <f t="shared" si="615"/>
        <v>10322.470518931203</v>
      </c>
      <c r="AS372" s="9">
        <f t="shared" si="615"/>
        <v>10528.919929309828</v>
      </c>
      <c r="AT372" s="9">
        <f t="shared" si="615"/>
        <v>10739.498327896024</v>
      </c>
      <c r="AU372" s="9">
        <f t="shared" si="615"/>
        <v>10954.288294453945</v>
      </c>
      <c r="AV372" s="9">
        <f t="shared" si="615"/>
        <v>11173.374060343025</v>
      </c>
      <c r="AW372" s="26"/>
      <c r="AX372" s="27"/>
    </row>
    <row r="373" spans="1:50" ht="12.75" hidden="1" customHeight="1" outlineLevel="1">
      <c r="A373" s="296"/>
      <c r="B373" s="4"/>
      <c r="C373" s="23"/>
      <c r="D373" s="23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26"/>
      <c r="AX373" s="27"/>
    </row>
    <row r="374" spans="1:50" ht="12.75" hidden="1" customHeight="1" outlineLevel="1">
      <c r="A374" s="296"/>
      <c r="B374" s="212" t="s">
        <v>174</v>
      </c>
      <c r="C374" s="213"/>
      <c r="D374" s="213"/>
      <c r="E374" s="155"/>
      <c r="F374" s="214"/>
      <c r="G374" s="155"/>
      <c r="H374" s="159"/>
      <c r="I374" s="155"/>
      <c r="J374" s="214"/>
      <c r="K374" s="155"/>
      <c r="L374" s="159"/>
      <c r="M374" s="155"/>
      <c r="N374" s="155"/>
      <c r="O374" s="155"/>
      <c r="P374" s="155"/>
      <c r="Q374" s="155"/>
      <c r="R374" s="155"/>
      <c r="S374" s="155"/>
      <c r="T374" s="155"/>
      <c r="U374" s="155"/>
      <c r="V374" s="155"/>
      <c r="W374" s="155"/>
      <c r="X374" s="155"/>
      <c r="Y374" s="155"/>
      <c r="Z374" s="155"/>
      <c r="AA374" s="155"/>
      <c r="AB374" s="155"/>
      <c r="AC374" s="155"/>
      <c r="AD374" s="155"/>
      <c r="AE374" s="155"/>
      <c r="AF374" s="155"/>
      <c r="AG374" s="155"/>
      <c r="AH374" s="155"/>
      <c r="AI374" s="155"/>
      <c r="AJ374" s="155"/>
      <c r="AK374" s="155"/>
      <c r="AL374" s="155"/>
      <c r="AM374" s="155"/>
      <c r="AN374" s="155"/>
      <c r="AO374" s="155"/>
      <c r="AP374" s="155"/>
      <c r="AQ374" s="155"/>
      <c r="AR374" s="155"/>
      <c r="AS374" s="155"/>
      <c r="AT374" s="155"/>
      <c r="AU374" s="155"/>
      <c r="AV374" s="155"/>
      <c r="AW374" s="26"/>
      <c r="AX374" s="27"/>
    </row>
    <row r="375" spans="1:50" ht="12.75" hidden="1" customHeight="1" outlineLevel="1">
      <c r="A375" s="296"/>
      <c r="B375" s="28"/>
      <c r="C375" s="23"/>
      <c r="D375" s="23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26"/>
      <c r="AX375" s="27"/>
    </row>
    <row r="376" spans="1:50" ht="12.75" hidden="1" customHeight="1" outlineLevel="1">
      <c r="A376" s="296"/>
      <c r="B376" s="4" t="s">
        <v>315</v>
      </c>
      <c r="C376" s="3"/>
      <c r="D376" s="23"/>
      <c r="E376" s="3"/>
      <c r="F376" s="3"/>
      <c r="G376" s="3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26"/>
      <c r="AX376" s="27"/>
    </row>
    <row r="377" spans="1:50" ht="12.75" hidden="1" customHeight="1" outlineLevel="1">
      <c r="A377" s="296"/>
      <c r="B377" s="28" t="s">
        <v>173</v>
      </c>
      <c r="C377" s="23" t="s">
        <v>102</v>
      </c>
      <c r="D377" s="23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68"/>
      <c r="P377" s="168"/>
      <c r="Q377" s="168">
        <v>0.4</v>
      </c>
      <c r="R377" s="168">
        <v>0.45</v>
      </c>
      <c r="S377" s="168">
        <v>0.45</v>
      </c>
      <c r="T377" s="168">
        <v>0.5</v>
      </c>
      <c r="U377" s="168">
        <f>T377+2%</f>
        <v>0.52</v>
      </c>
      <c r="V377" s="153">
        <f t="shared" ref="V377:AV377" si="616">IF(V360&gt;0,U377,0)</f>
        <v>0.52</v>
      </c>
      <c r="W377" s="153">
        <f t="shared" si="616"/>
        <v>0.52</v>
      </c>
      <c r="X377" s="153">
        <f t="shared" si="616"/>
        <v>0.52</v>
      </c>
      <c r="Y377" s="153">
        <f t="shared" si="616"/>
        <v>0.52</v>
      </c>
      <c r="Z377" s="153">
        <f t="shared" si="616"/>
        <v>0.52</v>
      </c>
      <c r="AA377" s="153">
        <f t="shared" si="616"/>
        <v>0.52</v>
      </c>
      <c r="AB377" s="153">
        <f t="shared" si="616"/>
        <v>0.52</v>
      </c>
      <c r="AC377" s="153">
        <f t="shared" si="616"/>
        <v>0.52</v>
      </c>
      <c r="AD377" s="153">
        <f t="shared" si="616"/>
        <v>0.52</v>
      </c>
      <c r="AE377" s="153">
        <f t="shared" si="616"/>
        <v>0.52</v>
      </c>
      <c r="AF377" s="153">
        <f t="shared" si="616"/>
        <v>0.52</v>
      </c>
      <c r="AG377" s="153">
        <f t="shared" si="616"/>
        <v>0.52</v>
      </c>
      <c r="AH377" s="153">
        <f t="shared" si="616"/>
        <v>0.52</v>
      </c>
      <c r="AI377" s="153">
        <f t="shared" si="616"/>
        <v>0.52</v>
      </c>
      <c r="AJ377" s="153">
        <f t="shared" si="616"/>
        <v>0.52</v>
      </c>
      <c r="AK377" s="153">
        <f t="shared" si="616"/>
        <v>0.52</v>
      </c>
      <c r="AL377" s="153">
        <f t="shared" si="616"/>
        <v>0.52</v>
      </c>
      <c r="AM377" s="153">
        <f t="shared" si="616"/>
        <v>0.52</v>
      </c>
      <c r="AN377" s="153">
        <f t="shared" si="616"/>
        <v>0.52</v>
      </c>
      <c r="AO377" s="153">
        <f t="shared" si="616"/>
        <v>0.52</v>
      </c>
      <c r="AP377" s="153">
        <f t="shared" si="616"/>
        <v>0.52</v>
      </c>
      <c r="AQ377" s="153">
        <f t="shared" si="616"/>
        <v>0.52</v>
      </c>
      <c r="AR377" s="153">
        <f t="shared" si="616"/>
        <v>0.52</v>
      </c>
      <c r="AS377" s="153">
        <f t="shared" si="616"/>
        <v>0.52</v>
      </c>
      <c r="AT377" s="153">
        <f t="shared" si="616"/>
        <v>0.52</v>
      </c>
      <c r="AU377" s="153">
        <f t="shared" si="616"/>
        <v>0.52</v>
      </c>
      <c r="AV377" s="153">
        <f t="shared" si="616"/>
        <v>0.52</v>
      </c>
      <c r="AW377" s="26"/>
      <c r="AX377" s="27"/>
    </row>
    <row r="378" spans="1:50" ht="12.75" hidden="1" customHeight="1" outlineLevel="1">
      <c r="A378" s="296"/>
      <c r="B378" s="4" t="s">
        <v>224</v>
      </c>
      <c r="C378" s="23" t="s">
        <v>130</v>
      </c>
      <c r="D378" s="23"/>
      <c r="E378" s="220"/>
      <c r="F378" s="220"/>
      <c r="G378" s="220"/>
      <c r="H378" s="220"/>
      <c r="I378" s="220"/>
      <c r="J378" s="220"/>
      <c r="K378" s="220"/>
      <c r="L378" s="220"/>
      <c r="M378" s="220"/>
      <c r="N378" s="220"/>
      <c r="O378" s="220"/>
      <c r="P378" s="220"/>
      <c r="Q378" s="220">
        <f t="shared" ref="Q378" si="617">((Q377*Q362)-Q362)*-1</f>
        <v>612000</v>
      </c>
      <c r="R378" s="220">
        <f t="shared" ref="R378" si="618">((R377*R362)-R362)*-1</f>
        <v>925650</v>
      </c>
      <c r="S378" s="220">
        <f t="shared" ref="S378" si="619">((S377*S362)-S362)*-1</f>
        <v>1157062.5</v>
      </c>
      <c r="T378" s="220">
        <f t="shared" ref="T378" si="620">((T377*T362)-T362)*-1</f>
        <v>1209656.25</v>
      </c>
      <c r="U378" s="220">
        <f t="shared" ref="U378" si="621">((U377*U362)-U362)*-1</f>
        <v>1335460.5</v>
      </c>
      <c r="V378" s="220">
        <f t="shared" ref="V378:AV378" si="622">((V377*V362)-V362)*-1</f>
        <v>1469006.5500000003</v>
      </c>
      <c r="W378" s="220">
        <f t="shared" si="622"/>
        <v>1542456.8775000002</v>
      </c>
      <c r="X378" s="220">
        <f t="shared" si="622"/>
        <v>1619579.7213750004</v>
      </c>
      <c r="Y378" s="220">
        <f t="shared" si="622"/>
        <v>1700558.7074437502</v>
      </c>
      <c r="Z378" s="220">
        <f t="shared" si="622"/>
        <v>1734569.8815926253</v>
      </c>
      <c r="AA378" s="220">
        <f t="shared" si="622"/>
        <v>1769261.2792244779</v>
      </c>
      <c r="AB378" s="220">
        <f t="shared" si="622"/>
        <v>1804646.5048089675</v>
      </c>
      <c r="AC378" s="220">
        <f t="shared" si="622"/>
        <v>1840739.4349051467</v>
      </c>
      <c r="AD378" s="220">
        <f t="shared" si="622"/>
        <v>1877554.2236032498</v>
      </c>
      <c r="AE378" s="220">
        <f t="shared" si="622"/>
        <v>1915105.3080753146</v>
      </c>
      <c r="AF378" s="220">
        <f t="shared" si="622"/>
        <v>1953407.4142368212</v>
      </c>
      <c r="AG378" s="220">
        <f t="shared" si="622"/>
        <v>1992475.5625215578</v>
      </c>
      <c r="AH378" s="220">
        <f t="shared" si="622"/>
        <v>2032325.0737719885</v>
      </c>
      <c r="AI378" s="220">
        <f t="shared" si="622"/>
        <v>2072971.5752474288</v>
      </c>
      <c r="AJ378" s="220">
        <f t="shared" si="622"/>
        <v>2114431.0067523774</v>
      </c>
      <c r="AK378" s="220">
        <f t="shared" si="622"/>
        <v>2156719.6268874253</v>
      </c>
      <c r="AL378" s="220">
        <f t="shared" si="622"/>
        <v>2199854.0194251738</v>
      </c>
      <c r="AM378" s="220">
        <f t="shared" si="622"/>
        <v>2243851.0998136774</v>
      </c>
      <c r="AN378" s="220">
        <f t="shared" si="622"/>
        <v>2288728.1218099515</v>
      </c>
      <c r="AO378" s="220">
        <f t="shared" si="622"/>
        <v>2334502.6842461498</v>
      </c>
      <c r="AP378" s="220">
        <f t="shared" si="622"/>
        <v>2381192.7379310732</v>
      </c>
      <c r="AQ378" s="220">
        <f t="shared" si="622"/>
        <v>2428816.5926896948</v>
      </c>
      <c r="AR378" s="220">
        <f t="shared" si="622"/>
        <v>2477392.9245434883</v>
      </c>
      <c r="AS378" s="220">
        <f t="shared" si="622"/>
        <v>2526940.7830343586</v>
      </c>
      <c r="AT378" s="220">
        <f t="shared" si="622"/>
        <v>2577479.5986950458</v>
      </c>
      <c r="AU378" s="220">
        <f t="shared" si="622"/>
        <v>2629029.1906689466</v>
      </c>
      <c r="AV378" s="220">
        <f t="shared" si="622"/>
        <v>2681609.7744823261</v>
      </c>
      <c r="AW378" s="26"/>
      <c r="AX378" s="27"/>
    </row>
    <row r="379" spans="1:50" ht="12.75" hidden="1" customHeight="1" outlineLevel="1">
      <c r="A379" s="296"/>
      <c r="B379" s="28"/>
      <c r="C379" s="23"/>
      <c r="D379" s="23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26"/>
      <c r="AX379" s="27"/>
    </row>
    <row r="380" spans="1:50" ht="12.75" hidden="1" customHeight="1" outlineLevel="1">
      <c r="A380" s="296"/>
      <c r="B380" s="4" t="s">
        <v>318</v>
      </c>
      <c r="C380" s="23"/>
      <c r="D380" s="23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26"/>
      <c r="AX380" s="27"/>
    </row>
    <row r="381" spans="1:50" ht="12.75" hidden="1" customHeight="1" outlineLevel="1">
      <c r="A381" s="296"/>
      <c r="B381" s="28" t="s">
        <v>173</v>
      </c>
      <c r="C381" s="23" t="s">
        <v>102</v>
      </c>
      <c r="D381" s="23"/>
      <c r="E381" s="139"/>
      <c r="F381" s="139"/>
      <c r="G381" s="139"/>
      <c r="H381" s="139"/>
      <c r="I381" s="139"/>
      <c r="J381" s="153"/>
      <c r="K381" s="153"/>
      <c r="L381" s="153"/>
      <c r="M381" s="153"/>
      <c r="N381" s="139"/>
      <c r="O381" s="139"/>
      <c r="P381" s="168"/>
      <c r="Q381" s="168">
        <v>0.4</v>
      </c>
      <c r="R381" s="168">
        <v>0.45</v>
      </c>
      <c r="S381" s="168">
        <v>0.45</v>
      </c>
      <c r="T381" s="168">
        <v>0.5</v>
      </c>
      <c r="U381" s="168">
        <f>T381+2%</f>
        <v>0.52</v>
      </c>
      <c r="V381" s="153">
        <f t="shared" ref="V381" si="623">IF(V367&gt;0,U381,0)</f>
        <v>0.52</v>
      </c>
      <c r="W381" s="153">
        <f t="shared" ref="W381:AV381" si="624">IF(W367&gt;0,V381,0)</f>
        <v>0.52</v>
      </c>
      <c r="X381" s="153">
        <f t="shared" si="624"/>
        <v>0.52</v>
      </c>
      <c r="Y381" s="153">
        <f t="shared" si="624"/>
        <v>0.52</v>
      </c>
      <c r="Z381" s="153">
        <f t="shared" si="624"/>
        <v>0.52</v>
      </c>
      <c r="AA381" s="153">
        <f t="shared" si="624"/>
        <v>0.52</v>
      </c>
      <c r="AB381" s="153">
        <f t="shared" si="624"/>
        <v>0.52</v>
      </c>
      <c r="AC381" s="153">
        <f t="shared" si="624"/>
        <v>0.52</v>
      </c>
      <c r="AD381" s="153">
        <f t="shared" si="624"/>
        <v>0.52</v>
      </c>
      <c r="AE381" s="153">
        <f t="shared" si="624"/>
        <v>0.52</v>
      </c>
      <c r="AF381" s="153">
        <f t="shared" si="624"/>
        <v>0.52</v>
      </c>
      <c r="AG381" s="153">
        <f t="shared" si="624"/>
        <v>0.52</v>
      </c>
      <c r="AH381" s="153">
        <f t="shared" si="624"/>
        <v>0.52</v>
      </c>
      <c r="AI381" s="153">
        <f t="shared" si="624"/>
        <v>0.52</v>
      </c>
      <c r="AJ381" s="153">
        <f t="shared" si="624"/>
        <v>0.52</v>
      </c>
      <c r="AK381" s="153">
        <f t="shared" si="624"/>
        <v>0.52</v>
      </c>
      <c r="AL381" s="153">
        <f t="shared" si="624"/>
        <v>0.52</v>
      </c>
      <c r="AM381" s="153">
        <f t="shared" si="624"/>
        <v>0.52</v>
      </c>
      <c r="AN381" s="153">
        <f t="shared" si="624"/>
        <v>0.52</v>
      </c>
      <c r="AO381" s="153">
        <f t="shared" si="624"/>
        <v>0.52</v>
      </c>
      <c r="AP381" s="153">
        <f t="shared" si="624"/>
        <v>0.52</v>
      </c>
      <c r="AQ381" s="153">
        <f t="shared" si="624"/>
        <v>0.52</v>
      </c>
      <c r="AR381" s="153">
        <f t="shared" si="624"/>
        <v>0.52</v>
      </c>
      <c r="AS381" s="153">
        <f t="shared" si="624"/>
        <v>0.52</v>
      </c>
      <c r="AT381" s="153">
        <f t="shared" si="624"/>
        <v>0.52</v>
      </c>
      <c r="AU381" s="153">
        <f t="shared" si="624"/>
        <v>0.52</v>
      </c>
      <c r="AV381" s="153">
        <f t="shared" si="624"/>
        <v>0.52</v>
      </c>
      <c r="AW381" s="26"/>
      <c r="AX381" s="27"/>
    </row>
    <row r="382" spans="1:50" ht="12.75" hidden="1" customHeight="1" outlineLevel="1">
      <c r="A382" s="296"/>
      <c r="B382" s="4" t="s">
        <v>224</v>
      </c>
      <c r="C382" s="23" t="s">
        <v>130</v>
      </c>
      <c r="D382" s="23"/>
      <c r="E382" s="220"/>
      <c r="F382" s="220"/>
      <c r="G382" s="220"/>
      <c r="H382" s="220"/>
      <c r="I382" s="220"/>
      <c r="J382" s="220"/>
      <c r="K382" s="220"/>
      <c r="L382" s="220"/>
      <c r="M382" s="220"/>
      <c r="N382" s="220"/>
      <c r="O382" s="220"/>
      <c r="P382" s="220"/>
      <c r="Q382" s="220">
        <f t="shared" ref="Q382" si="625">((Q381*Q369)-Q369)*-1</f>
        <v>612000</v>
      </c>
      <c r="R382" s="220">
        <f t="shared" ref="R382" si="626">((R381*R369)-R369)*-1</f>
        <v>925650</v>
      </c>
      <c r="S382" s="220">
        <f t="shared" ref="S382" si="627">((S381*S369)-S369)*-1</f>
        <v>1157062.5</v>
      </c>
      <c r="T382" s="220">
        <f t="shared" ref="T382" si="628">((T381*T369)-T369)*-1</f>
        <v>1209656.25</v>
      </c>
      <c r="U382" s="220">
        <f t="shared" ref="U382" si="629">((U381*U369)-U369)*-1</f>
        <v>1335460.5</v>
      </c>
      <c r="V382" s="220">
        <f t="shared" ref="V382" si="630">((V381*V369)-V369)*-1</f>
        <v>1469006.5500000003</v>
      </c>
      <c r="W382" s="220">
        <f t="shared" ref="W382:AV382" si="631">((W381*W369)-W369)*-1</f>
        <v>1542456.8775000002</v>
      </c>
      <c r="X382" s="220">
        <f t="shared" si="631"/>
        <v>1619579.7213750004</v>
      </c>
      <c r="Y382" s="220">
        <f t="shared" si="631"/>
        <v>1700558.7074437502</v>
      </c>
      <c r="Z382" s="220">
        <f t="shared" si="631"/>
        <v>1734569.8815926253</v>
      </c>
      <c r="AA382" s="220">
        <f t="shared" si="631"/>
        <v>1769261.2792244779</v>
      </c>
      <c r="AB382" s="220">
        <f t="shared" si="631"/>
        <v>1804646.5048089675</v>
      </c>
      <c r="AC382" s="220">
        <f t="shared" si="631"/>
        <v>1840739.4349051467</v>
      </c>
      <c r="AD382" s="220">
        <f t="shared" si="631"/>
        <v>1877554.2236032498</v>
      </c>
      <c r="AE382" s="220">
        <f t="shared" si="631"/>
        <v>1915105.3080753146</v>
      </c>
      <c r="AF382" s="220">
        <f t="shared" si="631"/>
        <v>1953407.4142368212</v>
      </c>
      <c r="AG382" s="220">
        <f t="shared" si="631"/>
        <v>1992475.5625215578</v>
      </c>
      <c r="AH382" s="220">
        <f t="shared" si="631"/>
        <v>2032325.0737719885</v>
      </c>
      <c r="AI382" s="220">
        <f t="shared" si="631"/>
        <v>2072971.5752474288</v>
      </c>
      <c r="AJ382" s="220">
        <f t="shared" si="631"/>
        <v>2114431.0067523774</v>
      </c>
      <c r="AK382" s="220">
        <f t="shared" si="631"/>
        <v>2156719.6268874253</v>
      </c>
      <c r="AL382" s="220">
        <f t="shared" si="631"/>
        <v>2199854.0194251738</v>
      </c>
      <c r="AM382" s="220">
        <f t="shared" si="631"/>
        <v>2243851.0998136774</v>
      </c>
      <c r="AN382" s="220">
        <f t="shared" si="631"/>
        <v>2288728.1218099515</v>
      </c>
      <c r="AO382" s="220">
        <f t="shared" si="631"/>
        <v>2334502.6842461498</v>
      </c>
      <c r="AP382" s="220">
        <f t="shared" si="631"/>
        <v>2381192.7379310732</v>
      </c>
      <c r="AQ382" s="220">
        <f t="shared" si="631"/>
        <v>2428816.5926896948</v>
      </c>
      <c r="AR382" s="220">
        <f t="shared" si="631"/>
        <v>2477392.9245434883</v>
      </c>
      <c r="AS382" s="220">
        <f t="shared" si="631"/>
        <v>2526940.7830343586</v>
      </c>
      <c r="AT382" s="220">
        <f t="shared" si="631"/>
        <v>2577479.5986950458</v>
      </c>
      <c r="AU382" s="220">
        <f t="shared" si="631"/>
        <v>2629029.1906689466</v>
      </c>
      <c r="AV382" s="220">
        <f t="shared" si="631"/>
        <v>2681609.7744823261</v>
      </c>
      <c r="AW382" s="26"/>
      <c r="AX382" s="27"/>
    </row>
    <row r="383" spans="1:50" ht="12.75" hidden="1" customHeight="1" outlineLevel="1">
      <c r="A383" s="296"/>
      <c r="B383" s="28"/>
      <c r="C383" s="23"/>
      <c r="D383" s="23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26"/>
      <c r="AX383" s="27"/>
    </row>
    <row r="384" spans="1:50" s="4" customFormat="1" ht="12.75" hidden="1" customHeight="1" outlineLevel="1">
      <c r="A384" s="297"/>
      <c r="B384" s="4" t="s">
        <v>247</v>
      </c>
      <c r="C384" s="318" t="s">
        <v>130</v>
      </c>
      <c r="D384" s="318"/>
      <c r="E384" s="299"/>
      <c r="F384" s="299"/>
      <c r="G384" s="299"/>
      <c r="H384" s="299"/>
      <c r="I384" s="299"/>
      <c r="J384" s="299"/>
      <c r="K384" s="299"/>
      <c r="L384" s="299"/>
      <c r="M384" s="299"/>
      <c r="N384" s="299"/>
      <c r="O384" s="299">
        <f t="shared" ref="O384:R384" si="632">O378+O382</f>
        <v>0</v>
      </c>
      <c r="P384" s="299">
        <f t="shared" si="632"/>
        <v>0</v>
      </c>
      <c r="Q384" s="299">
        <f t="shared" si="632"/>
        <v>1224000</v>
      </c>
      <c r="R384" s="299">
        <f t="shared" si="632"/>
        <v>1851300</v>
      </c>
      <c r="S384" s="299">
        <f t="shared" ref="S384:AV384" si="633">S378+S382</f>
        <v>2314125</v>
      </c>
      <c r="T384" s="299">
        <f t="shared" si="633"/>
        <v>2419312.5</v>
      </c>
      <c r="U384" s="299">
        <f t="shared" si="633"/>
        <v>2670921</v>
      </c>
      <c r="V384" s="299">
        <f t="shared" si="633"/>
        <v>2938013.1000000006</v>
      </c>
      <c r="W384" s="299">
        <f t="shared" si="633"/>
        <v>3084913.7550000004</v>
      </c>
      <c r="X384" s="299">
        <f t="shared" si="633"/>
        <v>3239159.4427500009</v>
      </c>
      <c r="Y384" s="299">
        <f t="shared" si="633"/>
        <v>3401117.4148875005</v>
      </c>
      <c r="Z384" s="299">
        <f t="shared" si="633"/>
        <v>3469139.7631852506</v>
      </c>
      <c r="AA384" s="299">
        <f t="shared" si="633"/>
        <v>3538522.5584489559</v>
      </c>
      <c r="AB384" s="299">
        <f t="shared" si="633"/>
        <v>3609293.0096179349</v>
      </c>
      <c r="AC384" s="299">
        <f t="shared" si="633"/>
        <v>3681478.8698102934</v>
      </c>
      <c r="AD384" s="299">
        <f t="shared" si="633"/>
        <v>3755108.4472064995</v>
      </c>
      <c r="AE384" s="299">
        <f t="shared" si="633"/>
        <v>3830210.6161506292</v>
      </c>
      <c r="AF384" s="299">
        <f t="shared" si="633"/>
        <v>3906814.8284736425</v>
      </c>
      <c r="AG384" s="299">
        <f t="shared" si="633"/>
        <v>3984951.1250431156</v>
      </c>
      <c r="AH384" s="299">
        <f t="shared" si="633"/>
        <v>4064650.147543977</v>
      </c>
      <c r="AI384" s="299">
        <f t="shared" si="633"/>
        <v>4145943.1504948577</v>
      </c>
      <c r="AJ384" s="299">
        <f t="shared" si="633"/>
        <v>4228862.0135047548</v>
      </c>
      <c r="AK384" s="299">
        <f t="shared" si="633"/>
        <v>4313439.2537748506</v>
      </c>
      <c r="AL384" s="299">
        <f t="shared" si="633"/>
        <v>4399708.0388503475</v>
      </c>
      <c r="AM384" s="299">
        <f t="shared" si="633"/>
        <v>4487702.1996273547</v>
      </c>
      <c r="AN384" s="299">
        <f t="shared" si="633"/>
        <v>4577456.243619903</v>
      </c>
      <c r="AO384" s="299">
        <f t="shared" si="633"/>
        <v>4669005.3684922997</v>
      </c>
      <c r="AP384" s="299">
        <f t="shared" si="633"/>
        <v>4762385.4758621464</v>
      </c>
      <c r="AQ384" s="299">
        <f t="shared" si="633"/>
        <v>4857633.1853793897</v>
      </c>
      <c r="AR384" s="299">
        <f t="shared" si="633"/>
        <v>4954785.8490869766</v>
      </c>
      <c r="AS384" s="299">
        <f t="shared" si="633"/>
        <v>5053881.5660687173</v>
      </c>
      <c r="AT384" s="299">
        <f t="shared" si="633"/>
        <v>5154959.1973900916</v>
      </c>
      <c r="AU384" s="299">
        <f t="shared" si="633"/>
        <v>5258058.3813378932</v>
      </c>
      <c r="AV384" s="299">
        <f t="shared" si="633"/>
        <v>5363219.5489646522</v>
      </c>
      <c r="AW384" s="26"/>
      <c r="AX384" s="38"/>
    </row>
    <row r="385" spans="1:50" ht="12.75" hidden="1" customHeight="1" outlineLevel="1">
      <c r="A385" s="296"/>
      <c r="B385" s="4"/>
      <c r="C385" s="23"/>
      <c r="D385" s="23"/>
      <c r="E385" s="273"/>
      <c r="F385" s="273"/>
      <c r="G385" s="273"/>
      <c r="H385" s="273"/>
      <c r="I385" s="273"/>
      <c r="J385" s="273"/>
      <c r="K385" s="273"/>
      <c r="L385" s="273"/>
      <c r="M385" s="273"/>
      <c r="N385" s="273"/>
      <c r="O385" s="273"/>
      <c r="P385" s="273"/>
      <c r="Q385" s="273"/>
      <c r="R385" s="273"/>
      <c r="S385" s="273"/>
      <c r="T385" s="273"/>
      <c r="U385" s="273"/>
      <c r="V385" s="273"/>
      <c r="W385" s="273"/>
      <c r="X385" s="273"/>
      <c r="Y385" s="273"/>
      <c r="Z385" s="273"/>
      <c r="AA385" s="273"/>
      <c r="AB385" s="273"/>
      <c r="AC385" s="273"/>
      <c r="AD385" s="273"/>
      <c r="AE385" s="273"/>
      <c r="AF385" s="273"/>
      <c r="AG385" s="273"/>
      <c r="AH385" s="273"/>
      <c r="AI385" s="273"/>
      <c r="AJ385" s="273"/>
      <c r="AK385" s="273"/>
      <c r="AL385" s="273"/>
      <c r="AM385" s="273"/>
      <c r="AN385" s="273"/>
      <c r="AO385" s="273"/>
      <c r="AP385" s="273"/>
      <c r="AQ385" s="273"/>
      <c r="AR385" s="273"/>
      <c r="AS385" s="273"/>
      <c r="AT385" s="273"/>
      <c r="AU385" s="273"/>
      <c r="AV385" s="273"/>
      <c r="AW385" s="26"/>
      <c r="AX385" s="27"/>
    </row>
    <row r="386" spans="1:50" ht="12.75" hidden="1" customHeight="1" outlineLevel="1">
      <c r="A386" s="296"/>
      <c r="B386" s="4" t="s">
        <v>320</v>
      </c>
      <c r="C386" s="23" t="s">
        <v>64</v>
      </c>
      <c r="D386" s="23"/>
      <c r="E386" s="224"/>
      <c r="F386" s="224"/>
      <c r="G386" s="224"/>
      <c r="H386" s="224"/>
      <c r="I386" s="237"/>
      <c r="J386" s="224"/>
      <c r="K386" s="224"/>
      <c r="L386" s="224"/>
      <c r="M386" s="224"/>
      <c r="N386" s="237"/>
      <c r="O386" s="237"/>
      <c r="P386" s="237"/>
      <c r="Q386" s="237">
        <v>2</v>
      </c>
      <c r="R386" s="224">
        <f t="shared" ref="R386" si="634">Q386</f>
        <v>2</v>
      </c>
      <c r="S386" s="224">
        <f t="shared" ref="S386" si="635">R386</f>
        <v>2</v>
      </c>
      <c r="T386" s="224">
        <f t="shared" ref="T386" si="636">S386</f>
        <v>2</v>
      </c>
      <c r="U386" s="224">
        <f t="shared" ref="U386" si="637">T386</f>
        <v>2</v>
      </c>
      <c r="V386" s="224">
        <f t="shared" ref="V386" si="638">U386</f>
        <v>2</v>
      </c>
      <c r="W386" s="224">
        <f t="shared" ref="W386" si="639">V386</f>
        <v>2</v>
      </c>
      <c r="X386" s="224">
        <f t="shared" ref="X386" si="640">W386</f>
        <v>2</v>
      </c>
      <c r="Y386" s="224">
        <f t="shared" ref="Y386" si="641">X386</f>
        <v>2</v>
      </c>
      <c r="Z386" s="224">
        <f t="shared" ref="Z386" si="642">Y386</f>
        <v>2</v>
      </c>
      <c r="AA386" s="224">
        <f t="shared" ref="AA386" si="643">Z386</f>
        <v>2</v>
      </c>
      <c r="AB386" s="224">
        <f t="shared" ref="AB386" si="644">AA386</f>
        <v>2</v>
      </c>
      <c r="AC386" s="224">
        <f t="shared" ref="AC386" si="645">AB386</f>
        <v>2</v>
      </c>
      <c r="AD386" s="224">
        <f t="shared" ref="AD386" si="646">AC386</f>
        <v>2</v>
      </c>
      <c r="AE386" s="224">
        <f t="shared" ref="AE386" si="647">AD386</f>
        <v>2</v>
      </c>
      <c r="AF386" s="224">
        <f t="shared" ref="AF386" si="648">AE386</f>
        <v>2</v>
      </c>
      <c r="AG386" s="224">
        <f t="shared" ref="AG386" si="649">AF386</f>
        <v>2</v>
      </c>
      <c r="AH386" s="224">
        <f t="shared" ref="AH386" si="650">AG386</f>
        <v>2</v>
      </c>
      <c r="AI386" s="224">
        <f t="shared" ref="AI386" si="651">AH386</f>
        <v>2</v>
      </c>
      <c r="AJ386" s="224">
        <f t="shared" ref="AJ386" si="652">AI386</f>
        <v>2</v>
      </c>
      <c r="AK386" s="224">
        <f t="shared" ref="AK386" si="653">AJ386</f>
        <v>2</v>
      </c>
      <c r="AL386" s="224">
        <f t="shared" ref="AL386" si="654">AK386</f>
        <v>2</v>
      </c>
      <c r="AM386" s="224">
        <f t="shared" ref="AM386" si="655">AL386</f>
        <v>2</v>
      </c>
      <c r="AN386" s="224">
        <f t="shared" ref="AN386" si="656">AM386</f>
        <v>2</v>
      </c>
      <c r="AO386" s="224">
        <f t="shared" ref="AO386" si="657">AN386</f>
        <v>2</v>
      </c>
      <c r="AP386" s="224">
        <f t="shared" ref="AP386" si="658">AO386</f>
        <v>2</v>
      </c>
      <c r="AQ386" s="224">
        <f t="shared" ref="AQ386" si="659">AP386</f>
        <v>2</v>
      </c>
      <c r="AR386" s="224">
        <f t="shared" ref="AR386" si="660">AQ386</f>
        <v>2</v>
      </c>
      <c r="AS386" s="224">
        <f t="shared" ref="AS386" si="661">AR386</f>
        <v>2</v>
      </c>
      <c r="AT386" s="224">
        <f t="shared" ref="AT386" si="662">AS386</f>
        <v>2</v>
      </c>
      <c r="AU386" s="224">
        <f t="shared" ref="AU386:AV386" si="663">AT386</f>
        <v>2</v>
      </c>
      <c r="AV386" s="224">
        <f t="shared" si="663"/>
        <v>2</v>
      </c>
      <c r="AW386" s="26"/>
      <c r="AX386" s="27"/>
    </row>
    <row r="387" spans="1:50" ht="12.75" hidden="1" customHeight="1" outlineLevel="1">
      <c r="A387" s="296"/>
      <c r="B387" s="4"/>
      <c r="C387" s="23"/>
      <c r="D387" s="23"/>
      <c r="E387" s="224"/>
      <c r="F387" s="224"/>
      <c r="G387" s="224"/>
      <c r="H387" s="224"/>
      <c r="I387" s="224"/>
      <c r="J387" s="224"/>
      <c r="K387" s="224"/>
      <c r="L387" s="224"/>
      <c r="M387" s="224"/>
      <c r="N387" s="224"/>
      <c r="O387" s="224"/>
      <c r="P387" s="224"/>
      <c r="Q387" s="224"/>
      <c r="R387" s="224"/>
      <c r="S387" s="224"/>
      <c r="T387" s="224"/>
      <c r="U387" s="224"/>
      <c r="V387" s="224"/>
      <c r="W387" s="224"/>
      <c r="X387" s="224"/>
      <c r="Y387" s="224"/>
      <c r="Z387" s="224"/>
      <c r="AA387" s="224"/>
      <c r="AB387" s="224"/>
      <c r="AC387" s="224"/>
      <c r="AD387" s="224"/>
      <c r="AE387" s="224"/>
      <c r="AF387" s="224"/>
      <c r="AG387" s="224"/>
      <c r="AH387" s="224"/>
      <c r="AI387" s="224"/>
      <c r="AJ387" s="224"/>
      <c r="AK387" s="224"/>
      <c r="AL387" s="224"/>
      <c r="AM387" s="224"/>
      <c r="AN387" s="224"/>
      <c r="AO387" s="224"/>
      <c r="AP387" s="224"/>
      <c r="AQ387" s="224"/>
      <c r="AR387" s="224"/>
      <c r="AS387" s="224"/>
      <c r="AT387" s="224"/>
      <c r="AU387" s="224"/>
      <c r="AV387" s="224"/>
      <c r="AW387" s="26"/>
      <c r="AX387" s="27"/>
    </row>
    <row r="388" spans="1:50" ht="12.75" hidden="1" customHeight="1" outlineLevel="1">
      <c r="A388" s="296"/>
      <c r="B388" s="4" t="s">
        <v>197</v>
      </c>
      <c r="C388" s="23"/>
      <c r="D388" s="23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26"/>
      <c r="AX388" s="27"/>
    </row>
    <row r="389" spans="1:50" ht="12.75" hidden="1" customHeight="1" outlineLevel="1">
      <c r="A389" s="296"/>
      <c r="B389" s="28" t="s">
        <v>377</v>
      </c>
      <c r="C389" s="23" t="s">
        <v>130</v>
      </c>
      <c r="D389" s="23"/>
      <c r="E389" s="239"/>
      <c r="F389" s="239"/>
      <c r="G389" s="239"/>
      <c r="H389" s="239"/>
      <c r="I389" s="239"/>
      <c r="J389" s="239"/>
      <c r="K389" s="239"/>
      <c r="L389" s="239"/>
      <c r="M389" s="239"/>
      <c r="N389" s="239"/>
      <c r="O389" s="239"/>
      <c r="P389" s="239"/>
      <c r="Q389" s="239">
        <f>MROUND((Q$372*10^3)*'Expense Proportions'!$F$8,100)</f>
        <v>255000</v>
      </c>
      <c r="R389" s="239">
        <f>MROUND((R$372*10^3)*'Expense Proportions'!$F$8,100)</f>
        <v>420800</v>
      </c>
      <c r="S389" s="239">
        <f>MROUND((S$372*10^3)*'Expense Proportions'!$F$8,100)</f>
        <v>525900</v>
      </c>
      <c r="T389" s="239">
        <f>MROUND((T$372*10^3)*'Expense Proportions'!$F$8,100)</f>
        <v>604800</v>
      </c>
      <c r="U389" s="239">
        <f>MROUND((U$372*10^3)*'Expense Proportions'!$F$8,100)</f>
        <v>695600</v>
      </c>
      <c r="V389" s="239">
        <f>MROUND((V$372*10^3)*'Expense Proportions'!$F$8,100)</f>
        <v>765100</v>
      </c>
      <c r="W389" s="239">
        <f>MROUND((W$372*10^3)*'Expense Proportions'!$F$8,100)</f>
        <v>803400</v>
      </c>
      <c r="X389" s="239">
        <f>MROUND((X$372*10^3)*'Expense Proportions'!$F$8,100)</f>
        <v>843500</v>
      </c>
      <c r="Y389" s="239">
        <f>MROUND((Y$372*10^3)*'Expense Proportions'!$F$8,100)</f>
        <v>885700</v>
      </c>
      <c r="Z389" s="239">
        <f>MROUND((Z$372*10^3)*'Expense Proportions'!$F$8,100)</f>
        <v>903400</v>
      </c>
      <c r="AA389" s="239">
        <f>MROUND((AA$372*10^3)*'Expense Proportions'!$F$8,100)</f>
        <v>921500</v>
      </c>
      <c r="AB389" s="239">
        <f>MROUND((AB$372*10^3)*'Expense Proportions'!$F$8,100)</f>
        <v>939900</v>
      </c>
      <c r="AC389" s="239">
        <f>MROUND((AC$372*10^3)*'Expense Proportions'!$F$8,100)</f>
        <v>958700</v>
      </c>
      <c r="AD389" s="239">
        <f>MROUND((AD$372*10^3)*'Expense Proportions'!$F$8,100)</f>
        <v>977900</v>
      </c>
      <c r="AE389" s="239">
        <f>MROUND((AE$372*10^3)*'Expense Proportions'!$F$8,100)</f>
        <v>997500</v>
      </c>
      <c r="AF389" s="239">
        <f>MROUND((AF$372*10^3)*'Expense Proportions'!$F$8,100)</f>
        <v>1017400</v>
      </c>
      <c r="AG389" s="239">
        <f>MROUND((AG$372*10^3)*'Expense Proportions'!$F$8,100)</f>
        <v>1037700</v>
      </c>
      <c r="AH389" s="239">
        <f>MROUND((AH$372*10^3)*'Expense Proportions'!$F$8,100)</f>
        <v>1058500</v>
      </c>
      <c r="AI389" s="239">
        <f>MROUND((AI$372*10^3)*'Expense Proportions'!$F$8,100)</f>
        <v>1079700</v>
      </c>
      <c r="AJ389" s="239">
        <f>MROUND((AJ$372*10^3)*'Expense Proportions'!$F$8,100)</f>
        <v>1101300</v>
      </c>
      <c r="AK389" s="239">
        <f>MROUND((AK$372*10^3)*'Expense Proportions'!$F$8,100)</f>
        <v>1123300</v>
      </c>
      <c r="AL389" s="239">
        <f>MROUND((AL$372*10^3)*'Expense Proportions'!$F$8,100)</f>
        <v>1145800</v>
      </c>
      <c r="AM389" s="239">
        <f>MROUND((AM$372*10^3)*'Expense Proportions'!$F$8,100)</f>
        <v>1168700</v>
      </c>
      <c r="AN389" s="239">
        <f>MROUND((AN$372*10^3)*'Expense Proportions'!$F$8,100)</f>
        <v>1192000</v>
      </c>
      <c r="AO389" s="239">
        <f>MROUND((AO$372*10^3)*'Expense Proportions'!$F$8,100)</f>
        <v>1215900</v>
      </c>
      <c r="AP389" s="239">
        <f>MROUND((AP$372*10^3)*'Expense Proportions'!$F$8,100)</f>
        <v>1240200</v>
      </c>
      <c r="AQ389" s="239">
        <f>MROUND((AQ$372*10^3)*'Expense Proportions'!$F$8,100)</f>
        <v>1265000</v>
      </c>
      <c r="AR389" s="239">
        <f>MROUND((AR$372*10^3)*'Expense Proportions'!$F$8,100)</f>
        <v>1290300</v>
      </c>
      <c r="AS389" s="239">
        <f>MROUND((AS$372*10^3)*'Expense Proportions'!$F$8,100)</f>
        <v>1316100</v>
      </c>
      <c r="AT389" s="239">
        <f>MROUND((AT$372*10^3)*'Expense Proportions'!$F$8,100)</f>
        <v>1342400</v>
      </c>
      <c r="AU389" s="239">
        <f>MROUND((AU$372*10^3)*'Expense Proportions'!$F$8,100)</f>
        <v>1369300</v>
      </c>
      <c r="AV389" s="239">
        <f>MROUND((AV$372*10^3)*'Expense Proportions'!$F$8,100)</f>
        <v>1396700</v>
      </c>
      <c r="AW389" s="26"/>
      <c r="AX389" s="27"/>
    </row>
    <row r="390" spans="1:50" ht="12.75" hidden="1" customHeight="1" outlineLevel="1">
      <c r="A390" s="296"/>
      <c r="B390" s="28" t="s">
        <v>380</v>
      </c>
      <c r="C390" s="23" t="s">
        <v>130</v>
      </c>
      <c r="D390" s="23"/>
      <c r="E390" s="239"/>
      <c r="F390" s="239"/>
      <c r="G390" s="239"/>
      <c r="H390" s="239"/>
      <c r="I390" s="239"/>
      <c r="J390" s="239"/>
      <c r="K390" s="239"/>
      <c r="L390" s="239"/>
      <c r="M390" s="239"/>
      <c r="N390" s="239"/>
      <c r="O390" s="239"/>
      <c r="P390" s="239"/>
      <c r="Q390" s="239">
        <f>MROUND((Q$372*10^3)*'Expense Proportions'!$F$11,100)</f>
        <v>53600</v>
      </c>
      <c r="R390" s="239">
        <f>MROUND((R$372*10^3)*'Expense Proportions'!$F$11,100)</f>
        <v>88400</v>
      </c>
      <c r="S390" s="239">
        <f>MROUND((S$372*10^3)*'Expense Proportions'!$F$11,100)</f>
        <v>110400</v>
      </c>
      <c r="T390" s="239">
        <f>MROUND((T$372*10^3)*'Expense Proportions'!$F$11,100)</f>
        <v>127000</v>
      </c>
      <c r="U390" s="239">
        <f>MROUND((U$372*10^3)*'Expense Proportions'!$F$11,100)</f>
        <v>146100</v>
      </c>
      <c r="V390" s="239">
        <f>MROUND((V$372*10^3)*'Expense Proportions'!$F$11,100)</f>
        <v>160700</v>
      </c>
      <c r="W390" s="239">
        <f>MROUND((W$372*10^3)*'Expense Proportions'!$F$11,100)</f>
        <v>168700</v>
      </c>
      <c r="X390" s="239">
        <f>MROUND((X$372*10^3)*'Expense Proportions'!$F$11,100)</f>
        <v>177100</v>
      </c>
      <c r="Y390" s="239">
        <f>MROUND((Y$372*10^3)*'Expense Proportions'!$F$11,100)</f>
        <v>186000</v>
      </c>
      <c r="Z390" s="239">
        <f>MROUND((Z$372*10^3)*'Expense Proportions'!$F$11,100)</f>
        <v>189700</v>
      </c>
      <c r="AA390" s="239">
        <f>MROUND((AA$372*10^3)*'Expense Proportions'!$F$11,100)</f>
        <v>193500</v>
      </c>
      <c r="AB390" s="239">
        <f>MROUND((AB$372*10^3)*'Expense Proportions'!$F$11,100)</f>
        <v>197400</v>
      </c>
      <c r="AC390" s="239">
        <f>MROUND((AC$372*10^3)*'Expense Proportions'!$F$11,100)</f>
        <v>201300</v>
      </c>
      <c r="AD390" s="239">
        <f>MROUND((AD$372*10^3)*'Expense Proportions'!$F$11,100)</f>
        <v>205400</v>
      </c>
      <c r="AE390" s="239">
        <f>MROUND((AE$372*10^3)*'Expense Proportions'!$F$11,100)</f>
        <v>209500</v>
      </c>
      <c r="AF390" s="239">
        <f>MROUND((AF$372*10^3)*'Expense Proportions'!$F$11,100)</f>
        <v>213700</v>
      </c>
      <c r="AG390" s="239">
        <f>MROUND((AG$372*10^3)*'Expense Proportions'!$F$11,100)</f>
        <v>217900</v>
      </c>
      <c r="AH390" s="239">
        <f>MROUND((AH$372*10^3)*'Expense Proportions'!$F$11,100)</f>
        <v>222300</v>
      </c>
      <c r="AI390" s="239">
        <f>MROUND((AI$372*10^3)*'Expense Proportions'!$F$11,100)</f>
        <v>226700</v>
      </c>
      <c r="AJ390" s="239">
        <f>MROUND((AJ$372*10^3)*'Expense Proportions'!$F$11,100)</f>
        <v>231300</v>
      </c>
      <c r="AK390" s="239">
        <f>MROUND((AK$372*10^3)*'Expense Proportions'!$F$11,100)</f>
        <v>235900</v>
      </c>
      <c r="AL390" s="239">
        <f>MROUND((AL$372*10^3)*'Expense Proportions'!$F$11,100)</f>
        <v>240600</v>
      </c>
      <c r="AM390" s="239">
        <f>MROUND((AM$372*10^3)*'Expense Proportions'!$F$11,100)</f>
        <v>245400</v>
      </c>
      <c r="AN390" s="239">
        <f>MROUND((AN$372*10^3)*'Expense Proportions'!$F$11,100)</f>
        <v>250300</v>
      </c>
      <c r="AO390" s="239">
        <f>MROUND((AO$372*10^3)*'Expense Proportions'!$F$11,100)</f>
        <v>255300</v>
      </c>
      <c r="AP390" s="239">
        <f>MROUND((AP$372*10^3)*'Expense Proportions'!$F$11,100)</f>
        <v>260400</v>
      </c>
      <c r="AQ390" s="239">
        <f>MROUND((AQ$372*10^3)*'Expense Proportions'!$F$11,100)</f>
        <v>265700</v>
      </c>
      <c r="AR390" s="239">
        <f>MROUND((AR$372*10^3)*'Expense Proportions'!$F$11,100)</f>
        <v>271000</v>
      </c>
      <c r="AS390" s="239">
        <f>MROUND((AS$372*10^3)*'Expense Proportions'!$F$11,100)</f>
        <v>276400</v>
      </c>
      <c r="AT390" s="239">
        <f>MROUND((AT$372*10^3)*'Expense Proportions'!$F$11,100)</f>
        <v>281900</v>
      </c>
      <c r="AU390" s="239">
        <f>MROUND((AU$372*10^3)*'Expense Proportions'!$F$11,100)</f>
        <v>287600</v>
      </c>
      <c r="AV390" s="239">
        <f>MROUND((AV$372*10^3)*'Expense Proportions'!$F$11,100)</f>
        <v>293300</v>
      </c>
      <c r="AW390" s="26"/>
      <c r="AX390" s="27"/>
    </row>
    <row r="391" spans="1:50" ht="12.75" hidden="1" customHeight="1" outlineLevel="1">
      <c r="A391" s="296"/>
      <c r="B391" s="28" t="s">
        <v>381</v>
      </c>
      <c r="C391" s="23" t="s">
        <v>130</v>
      </c>
      <c r="D391" s="23"/>
      <c r="E391" s="239"/>
      <c r="F391" s="239"/>
      <c r="G391" s="239"/>
      <c r="H391" s="239"/>
      <c r="I391" s="239"/>
      <c r="J391" s="239"/>
      <c r="K391" s="239"/>
      <c r="L391" s="239"/>
      <c r="M391" s="239"/>
      <c r="N391" s="239"/>
      <c r="O391" s="239"/>
      <c r="P391" s="239"/>
      <c r="Q391" s="239">
        <f>MROUND((Q$372*10^3)*'Expense Proportions'!$F$12,100)</f>
        <v>12900</v>
      </c>
      <c r="R391" s="239">
        <f>MROUND((R$372*10^3)*'Expense Proportions'!$F$12,100)</f>
        <v>21200</v>
      </c>
      <c r="S391" s="239">
        <f>MROUND((S$372*10^3)*'Expense Proportions'!$F$12,100)</f>
        <v>26500</v>
      </c>
      <c r="T391" s="239">
        <f>MROUND((T$372*10^3)*'Expense Proportions'!$F$12,100)</f>
        <v>30500</v>
      </c>
      <c r="U391" s="421">
        <v>25000</v>
      </c>
      <c r="V391" s="422">
        <f>U391</f>
        <v>25000</v>
      </c>
      <c r="W391" s="422">
        <f t="shared" ref="W391:AV391" si="664">V391</f>
        <v>25000</v>
      </c>
      <c r="X391" s="422">
        <f t="shared" si="664"/>
        <v>25000</v>
      </c>
      <c r="Y391" s="422">
        <f t="shared" si="664"/>
        <v>25000</v>
      </c>
      <c r="Z391" s="422">
        <f t="shared" si="664"/>
        <v>25000</v>
      </c>
      <c r="AA391" s="422">
        <f t="shared" si="664"/>
        <v>25000</v>
      </c>
      <c r="AB391" s="422">
        <f t="shared" si="664"/>
        <v>25000</v>
      </c>
      <c r="AC391" s="422">
        <f t="shared" si="664"/>
        <v>25000</v>
      </c>
      <c r="AD391" s="422">
        <f t="shared" si="664"/>
        <v>25000</v>
      </c>
      <c r="AE391" s="422">
        <f t="shared" si="664"/>
        <v>25000</v>
      </c>
      <c r="AF391" s="422">
        <f t="shared" si="664"/>
        <v>25000</v>
      </c>
      <c r="AG391" s="422">
        <f t="shared" si="664"/>
        <v>25000</v>
      </c>
      <c r="AH391" s="422">
        <f t="shared" si="664"/>
        <v>25000</v>
      </c>
      <c r="AI391" s="422">
        <f t="shared" si="664"/>
        <v>25000</v>
      </c>
      <c r="AJ391" s="422">
        <f t="shared" si="664"/>
        <v>25000</v>
      </c>
      <c r="AK391" s="422">
        <f t="shared" si="664"/>
        <v>25000</v>
      </c>
      <c r="AL391" s="422">
        <f t="shared" si="664"/>
        <v>25000</v>
      </c>
      <c r="AM391" s="422">
        <f t="shared" si="664"/>
        <v>25000</v>
      </c>
      <c r="AN391" s="422">
        <f t="shared" si="664"/>
        <v>25000</v>
      </c>
      <c r="AO391" s="422">
        <f t="shared" si="664"/>
        <v>25000</v>
      </c>
      <c r="AP391" s="422">
        <f t="shared" si="664"/>
        <v>25000</v>
      </c>
      <c r="AQ391" s="422">
        <f t="shared" si="664"/>
        <v>25000</v>
      </c>
      <c r="AR391" s="422">
        <f t="shared" si="664"/>
        <v>25000</v>
      </c>
      <c r="AS391" s="422">
        <f t="shared" si="664"/>
        <v>25000</v>
      </c>
      <c r="AT391" s="422">
        <f t="shared" si="664"/>
        <v>25000</v>
      </c>
      <c r="AU391" s="422">
        <f t="shared" si="664"/>
        <v>25000</v>
      </c>
      <c r="AV391" s="422">
        <f t="shared" si="664"/>
        <v>25000</v>
      </c>
      <c r="AW391" s="26"/>
      <c r="AX391" s="27"/>
    </row>
    <row r="392" spans="1:50" ht="12.75" hidden="1" customHeight="1" outlineLevel="1">
      <c r="A392" s="296"/>
      <c r="B392" s="28" t="s">
        <v>382</v>
      </c>
      <c r="C392" s="23" t="s">
        <v>130</v>
      </c>
      <c r="D392" s="23"/>
      <c r="E392" s="239"/>
      <c r="F392" s="239"/>
      <c r="G392" s="239"/>
      <c r="H392" s="239"/>
      <c r="I392" s="239"/>
      <c r="J392" s="239"/>
      <c r="K392" s="239"/>
      <c r="L392" s="239"/>
      <c r="M392" s="239"/>
      <c r="N392" s="239"/>
      <c r="O392" s="239"/>
      <c r="P392" s="239"/>
      <c r="Q392" s="239">
        <f>MROUND((Q$372*10^3)*'Expense Proportions'!$F$13,100)</f>
        <v>40700</v>
      </c>
      <c r="R392" s="239">
        <f>MROUND((R$372*10^3)*'Expense Proportions'!$F$13,100)</f>
        <v>67100</v>
      </c>
      <c r="S392" s="239">
        <f>MROUND((S$372*10^3)*'Expense Proportions'!$F$13,100)</f>
        <v>83900</v>
      </c>
      <c r="T392" s="239">
        <f>MROUND((T$372*10^3)*'Expense Proportions'!$F$13,100)</f>
        <v>96500</v>
      </c>
      <c r="U392" s="421">
        <v>80000</v>
      </c>
      <c r="V392" s="422">
        <f>U392</f>
        <v>80000</v>
      </c>
      <c r="W392" s="422">
        <f t="shared" ref="W392:AV392" si="665">V392</f>
        <v>80000</v>
      </c>
      <c r="X392" s="422">
        <f t="shared" si="665"/>
        <v>80000</v>
      </c>
      <c r="Y392" s="422">
        <f t="shared" si="665"/>
        <v>80000</v>
      </c>
      <c r="Z392" s="422">
        <f t="shared" si="665"/>
        <v>80000</v>
      </c>
      <c r="AA392" s="422">
        <f t="shared" si="665"/>
        <v>80000</v>
      </c>
      <c r="AB392" s="422">
        <f t="shared" si="665"/>
        <v>80000</v>
      </c>
      <c r="AC392" s="422">
        <f t="shared" si="665"/>
        <v>80000</v>
      </c>
      <c r="AD392" s="422">
        <f t="shared" si="665"/>
        <v>80000</v>
      </c>
      <c r="AE392" s="422">
        <f t="shared" si="665"/>
        <v>80000</v>
      </c>
      <c r="AF392" s="422">
        <f t="shared" si="665"/>
        <v>80000</v>
      </c>
      <c r="AG392" s="422">
        <f t="shared" si="665"/>
        <v>80000</v>
      </c>
      <c r="AH392" s="422">
        <f t="shared" si="665"/>
        <v>80000</v>
      </c>
      <c r="AI392" s="422">
        <f t="shared" si="665"/>
        <v>80000</v>
      </c>
      <c r="AJ392" s="422">
        <f t="shared" si="665"/>
        <v>80000</v>
      </c>
      <c r="AK392" s="422">
        <f t="shared" si="665"/>
        <v>80000</v>
      </c>
      <c r="AL392" s="422">
        <f t="shared" si="665"/>
        <v>80000</v>
      </c>
      <c r="AM392" s="422">
        <f t="shared" si="665"/>
        <v>80000</v>
      </c>
      <c r="AN392" s="422">
        <f t="shared" si="665"/>
        <v>80000</v>
      </c>
      <c r="AO392" s="422">
        <f t="shared" si="665"/>
        <v>80000</v>
      </c>
      <c r="AP392" s="422">
        <f t="shared" si="665"/>
        <v>80000</v>
      </c>
      <c r="AQ392" s="422">
        <f t="shared" si="665"/>
        <v>80000</v>
      </c>
      <c r="AR392" s="422">
        <f t="shared" si="665"/>
        <v>80000</v>
      </c>
      <c r="AS392" s="422">
        <f t="shared" si="665"/>
        <v>80000</v>
      </c>
      <c r="AT392" s="422">
        <f t="shared" si="665"/>
        <v>80000</v>
      </c>
      <c r="AU392" s="422">
        <f t="shared" si="665"/>
        <v>80000</v>
      </c>
      <c r="AV392" s="422">
        <f t="shared" si="665"/>
        <v>80000</v>
      </c>
      <c r="AW392" s="26"/>
      <c r="AX392" s="27"/>
    </row>
    <row r="393" spans="1:50" ht="12.75" hidden="1" customHeight="1" outlineLevel="1">
      <c r="A393" s="296"/>
      <c r="B393" s="28" t="s">
        <v>383</v>
      </c>
      <c r="C393" s="23" t="s">
        <v>130</v>
      </c>
      <c r="D393" s="23"/>
      <c r="E393" s="239"/>
      <c r="F393" s="239"/>
      <c r="G393" s="239"/>
      <c r="H393" s="239"/>
      <c r="I393" s="239"/>
      <c r="J393" s="239"/>
      <c r="K393" s="239"/>
      <c r="L393" s="239"/>
      <c r="M393" s="239"/>
      <c r="N393" s="239"/>
      <c r="O393" s="239"/>
      <c r="P393" s="239"/>
      <c r="Q393" s="239">
        <f>MROUND((Q$372*10^3)*'Expense Proportions'!$F$14,100)</f>
        <v>96800</v>
      </c>
      <c r="R393" s="239">
        <f>MROUND((R$372*10^3)*'Expense Proportions'!$F$14,100)</f>
        <v>159700</v>
      </c>
      <c r="S393" s="239">
        <f>MROUND((S$372*10^3)*'Expense Proportions'!$F$14,100)</f>
        <v>199600</v>
      </c>
      <c r="T393" s="421">
        <v>150000</v>
      </c>
      <c r="U393" s="422">
        <f>T393</f>
        <v>150000</v>
      </c>
      <c r="V393" s="422">
        <f>U393</f>
        <v>150000</v>
      </c>
      <c r="W393" s="422">
        <f t="shared" ref="W393:AV393" si="666">V393</f>
        <v>150000</v>
      </c>
      <c r="X393" s="422">
        <f t="shared" si="666"/>
        <v>150000</v>
      </c>
      <c r="Y393" s="422">
        <f t="shared" si="666"/>
        <v>150000</v>
      </c>
      <c r="Z393" s="422">
        <f t="shared" si="666"/>
        <v>150000</v>
      </c>
      <c r="AA393" s="422">
        <f t="shared" si="666"/>
        <v>150000</v>
      </c>
      <c r="AB393" s="422">
        <f t="shared" si="666"/>
        <v>150000</v>
      </c>
      <c r="AC393" s="422">
        <f t="shared" si="666"/>
        <v>150000</v>
      </c>
      <c r="AD393" s="422">
        <f t="shared" si="666"/>
        <v>150000</v>
      </c>
      <c r="AE393" s="422">
        <f t="shared" si="666"/>
        <v>150000</v>
      </c>
      <c r="AF393" s="422">
        <f t="shared" si="666"/>
        <v>150000</v>
      </c>
      <c r="AG393" s="422">
        <f t="shared" si="666"/>
        <v>150000</v>
      </c>
      <c r="AH393" s="422">
        <f t="shared" si="666"/>
        <v>150000</v>
      </c>
      <c r="AI393" s="422">
        <f t="shared" si="666"/>
        <v>150000</v>
      </c>
      <c r="AJ393" s="422">
        <f t="shared" si="666"/>
        <v>150000</v>
      </c>
      <c r="AK393" s="422">
        <f t="shared" si="666"/>
        <v>150000</v>
      </c>
      <c r="AL393" s="422">
        <f t="shared" si="666"/>
        <v>150000</v>
      </c>
      <c r="AM393" s="422">
        <f t="shared" si="666"/>
        <v>150000</v>
      </c>
      <c r="AN393" s="422">
        <f t="shared" si="666"/>
        <v>150000</v>
      </c>
      <c r="AO393" s="422">
        <f t="shared" si="666"/>
        <v>150000</v>
      </c>
      <c r="AP393" s="422">
        <f t="shared" si="666"/>
        <v>150000</v>
      </c>
      <c r="AQ393" s="422">
        <f t="shared" si="666"/>
        <v>150000</v>
      </c>
      <c r="AR393" s="422">
        <f t="shared" si="666"/>
        <v>150000</v>
      </c>
      <c r="AS393" s="422">
        <f t="shared" si="666"/>
        <v>150000</v>
      </c>
      <c r="AT393" s="422">
        <f t="shared" si="666"/>
        <v>150000</v>
      </c>
      <c r="AU393" s="422">
        <f t="shared" si="666"/>
        <v>150000</v>
      </c>
      <c r="AV393" s="422">
        <f t="shared" si="666"/>
        <v>150000</v>
      </c>
      <c r="AW393" s="26"/>
      <c r="AX393" s="27"/>
    </row>
    <row r="394" spans="1:50" ht="12.75" hidden="1" customHeight="1" outlineLevel="1">
      <c r="A394" s="296"/>
      <c r="B394" s="28" t="s">
        <v>384</v>
      </c>
      <c r="C394" s="23"/>
      <c r="D394" s="23"/>
      <c r="E394" s="239"/>
      <c r="F394" s="239"/>
      <c r="G394" s="239"/>
      <c r="H394" s="239"/>
      <c r="I394" s="239"/>
      <c r="J394" s="239"/>
      <c r="K394" s="239"/>
      <c r="L394" s="239"/>
      <c r="M394" s="239"/>
      <c r="N394" s="239"/>
      <c r="O394" s="239"/>
      <c r="P394" s="239"/>
      <c r="Q394" s="239">
        <f>MROUND((Q$372*10^3)*'Expense Proportions'!$F$15,100)</f>
        <v>116200</v>
      </c>
      <c r="R394" s="239">
        <f>MROUND((R$372*10^3)*'Expense Proportions'!$F$15,100)</f>
        <v>191700</v>
      </c>
      <c r="S394" s="239">
        <f>MROUND((S$372*10^3)*'Expense Proportions'!$F$15,100)</f>
        <v>239700</v>
      </c>
      <c r="T394" s="421">
        <v>200000</v>
      </c>
      <c r="U394" s="422">
        <f>T394</f>
        <v>200000</v>
      </c>
      <c r="V394" s="422">
        <f>U394</f>
        <v>200000</v>
      </c>
      <c r="W394" s="422">
        <f t="shared" ref="W394:AV394" si="667">V394</f>
        <v>200000</v>
      </c>
      <c r="X394" s="422">
        <f t="shared" si="667"/>
        <v>200000</v>
      </c>
      <c r="Y394" s="422">
        <f t="shared" si="667"/>
        <v>200000</v>
      </c>
      <c r="Z394" s="422">
        <f t="shared" si="667"/>
        <v>200000</v>
      </c>
      <c r="AA394" s="422">
        <f t="shared" si="667"/>
        <v>200000</v>
      </c>
      <c r="AB394" s="422">
        <f t="shared" si="667"/>
        <v>200000</v>
      </c>
      <c r="AC394" s="422">
        <f t="shared" si="667"/>
        <v>200000</v>
      </c>
      <c r="AD394" s="422">
        <f t="shared" si="667"/>
        <v>200000</v>
      </c>
      <c r="AE394" s="422">
        <f t="shared" si="667"/>
        <v>200000</v>
      </c>
      <c r="AF394" s="422">
        <f t="shared" si="667"/>
        <v>200000</v>
      </c>
      <c r="AG394" s="422">
        <f t="shared" si="667"/>
        <v>200000</v>
      </c>
      <c r="AH394" s="422">
        <f t="shared" si="667"/>
        <v>200000</v>
      </c>
      <c r="AI394" s="422">
        <f t="shared" si="667"/>
        <v>200000</v>
      </c>
      <c r="AJ394" s="422">
        <f t="shared" si="667"/>
        <v>200000</v>
      </c>
      <c r="AK394" s="422">
        <f t="shared" si="667"/>
        <v>200000</v>
      </c>
      <c r="AL394" s="422">
        <f t="shared" si="667"/>
        <v>200000</v>
      </c>
      <c r="AM394" s="422">
        <f t="shared" si="667"/>
        <v>200000</v>
      </c>
      <c r="AN394" s="422">
        <f t="shared" si="667"/>
        <v>200000</v>
      </c>
      <c r="AO394" s="422">
        <f t="shared" si="667"/>
        <v>200000</v>
      </c>
      <c r="AP394" s="422">
        <f t="shared" si="667"/>
        <v>200000</v>
      </c>
      <c r="AQ394" s="422">
        <f t="shared" si="667"/>
        <v>200000</v>
      </c>
      <c r="AR394" s="422">
        <f t="shared" si="667"/>
        <v>200000</v>
      </c>
      <c r="AS394" s="422">
        <f t="shared" si="667"/>
        <v>200000</v>
      </c>
      <c r="AT394" s="422">
        <f t="shared" si="667"/>
        <v>200000</v>
      </c>
      <c r="AU394" s="422">
        <f t="shared" si="667"/>
        <v>200000</v>
      </c>
      <c r="AV394" s="422">
        <f t="shared" si="667"/>
        <v>200000</v>
      </c>
      <c r="AW394" s="26"/>
      <c r="AX394" s="27"/>
    </row>
    <row r="395" spans="1:50" ht="12.75" hidden="1" customHeight="1" outlineLevel="1">
      <c r="A395" s="296"/>
      <c r="B395" s="4" t="s">
        <v>198</v>
      </c>
      <c r="C395" s="23"/>
      <c r="D395" s="23"/>
      <c r="E395" s="240"/>
      <c r="F395" s="240"/>
      <c r="G395" s="240"/>
      <c r="H395" s="240"/>
      <c r="I395" s="240"/>
      <c r="J395" s="240"/>
      <c r="K395" s="240"/>
      <c r="L395" s="240"/>
      <c r="M395" s="240"/>
      <c r="N395" s="240"/>
      <c r="O395" s="240"/>
      <c r="P395" s="240"/>
      <c r="Q395" s="240">
        <f>SUM(Q389:Q394)</f>
        <v>575200</v>
      </c>
      <c r="R395" s="240">
        <f t="shared" ref="R395:U395" si="668">SUM(R389:R394)</f>
        <v>948900</v>
      </c>
      <c r="S395" s="240">
        <f t="shared" si="668"/>
        <v>1186000</v>
      </c>
      <c r="T395" s="240">
        <f t="shared" si="668"/>
        <v>1208800</v>
      </c>
      <c r="U395" s="240">
        <f t="shared" si="668"/>
        <v>1296700</v>
      </c>
      <c r="V395" s="240">
        <f>SUM(V389:V394)</f>
        <v>1380800</v>
      </c>
      <c r="W395" s="240">
        <f t="shared" ref="W395:AV395" si="669">SUM(W389:W394)</f>
        <v>1427100</v>
      </c>
      <c r="X395" s="240">
        <f t="shared" si="669"/>
        <v>1475600</v>
      </c>
      <c r="Y395" s="240">
        <f t="shared" si="669"/>
        <v>1526700</v>
      </c>
      <c r="Z395" s="240">
        <f t="shared" si="669"/>
        <v>1548100</v>
      </c>
      <c r="AA395" s="240">
        <f t="shared" si="669"/>
        <v>1570000</v>
      </c>
      <c r="AB395" s="240">
        <f t="shared" si="669"/>
        <v>1592300</v>
      </c>
      <c r="AC395" s="240">
        <f t="shared" si="669"/>
        <v>1615000</v>
      </c>
      <c r="AD395" s="240">
        <f t="shared" si="669"/>
        <v>1638300</v>
      </c>
      <c r="AE395" s="240">
        <f t="shared" si="669"/>
        <v>1662000</v>
      </c>
      <c r="AF395" s="240">
        <f t="shared" si="669"/>
        <v>1686100</v>
      </c>
      <c r="AG395" s="240">
        <f t="shared" si="669"/>
        <v>1710600</v>
      </c>
      <c r="AH395" s="240">
        <f t="shared" si="669"/>
        <v>1735800</v>
      </c>
      <c r="AI395" s="240">
        <f t="shared" si="669"/>
        <v>1761400</v>
      </c>
      <c r="AJ395" s="240">
        <f t="shared" si="669"/>
        <v>1787600</v>
      </c>
      <c r="AK395" s="240">
        <f t="shared" si="669"/>
        <v>1814200</v>
      </c>
      <c r="AL395" s="240">
        <f t="shared" si="669"/>
        <v>1841400</v>
      </c>
      <c r="AM395" s="240">
        <f t="shared" si="669"/>
        <v>1869100</v>
      </c>
      <c r="AN395" s="240">
        <f t="shared" si="669"/>
        <v>1897300</v>
      </c>
      <c r="AO395" s="240">
        <f t="shared" si="669"/>
        <v>1926200</v>
      </c>
      <c r="AP395" s="240">
        <f t="shared" si="669"/>
        <v>1955600</v>
      </c>
      <c r="AQ395" s="240">
        <f t="shared" si="669"/>
        <v>1985700</v>
      </c>
      <c r="AR395" s="240">
        <f t="shared" si="669"/>
        <v>2016300</v>
      </c>
      <c r="AS395" s="240">
        <f t="shared" si="669"/>
        <v>2047500</v>
      </c>
      <c r="AT395" s="240">
        <f t="shared" si="669"/>
        <v>2079300</v>
      </c>
      <c r="AU395" s="240">
        <f t="shared" si="669"/>
        <v>2111900</v>
      </c>
      <c r="AV395" s="240">
        <f t="shared" si="669"/>
        <v>2145000</v>
      </c>
      <c r="AW395" s="26"/>
      <c r="AX395" s="27"/>
    </row>
    <row r="396" spans="1:50" ht="12.75" hidden="1" customHeight="1" outlineLevel="1">
      <c r="A396" s="296"/>
      <c r="B396" s="28"/>
      <c r="C396" s="23"/>
      <c r="D396" s="23"/>
      <c r="E396" s="221"/>
      <c r="F396" s="221"/>
      <c r="G396" s="221"/>
      <c r="H396" s="221"/>
      <c r="I396" s="221"/>
      <c r="J396" s="221"/>
      <c r="K396" s="275"/>
      <c r="L396" s="275"/>
      <c r="M396" s="275"/>
      <c r="N396" s="275"/>
      <c r="O396" s="275"/>
      <c r="P396" s="275"/>
      <c r="Q396" s="275"/>
      <c r="R396" s="275"/>
      <c r="S396" s="275"/>
      <c r="T396" s="275"/>
      <c r="U396" s="275"/>
      <c r="V396" s="275"/>
      <c r="W396" s="275"/>
      <c r="X396" s="275"/>
      <c r="Y396" s="275"/>
      <c r="Z396" s="275"/>
      <c r="AA396" s="275"/>
      <c r="AB396" s="275"/>
      <c r="AC396" s="275"/>
      <c r="AD396" s="275"/>
      <c r="AE396" s="275"/>
      <c r="AF396" s="275"/>
      <c r="AG396" s="275"/>
      <c r="AH396" s="275"/>
      <c r="AI396" s="275"/>
      <c r="AJ396" s="275"/>
      <c r="AK396" s="275"/>
      <c r="AL396" s="275"/>
      <c r="AM396" s="275"/>
      <c r="AN396" s="275"/>
      <c r="AO396" s="275"/>
      <c r="AP396" s="275"/>
      <c r="AQ396" s="275"/>
      <c r="AR396" s="275"/>
      <c r="AS396" s="275"/>
      <c r="AT396" s="275"/>
      <c r="AU396" s="275"/>
      <c r="AV396" s="275"/>
      <c r="AW396" s="26"/>
      <c r="AX396" s="27"/>
    </row>
    <row r="397" spans="1:50" ht="12.75" hidden="1" customHeight="1" outlineLevel="1">
      <c r="A397" s="296"/>
      <c r="B397" s="28" t="s">
        <v>396</v>
      </c>
      <c r="C397" s="23" t="s">
        <v>42</v>
      </c>
      <c r="D397" s="23"/>
      <c r="E397" s="275"/>
      <c r="F397" s="275"/>
      <c r="G397" s="275"/>
      <c r="H397" s="275"/>
      <c r="I397" s="275"/>
      <c r="J397" s="275"/>
      <c r="K397" s="275"/>
      <c r="L397" s="275"/>
      <c r="M397" s="275"/>
      <c r="N397" s="275"/>
      <c r="O397" s="275"/>
      <c r="P397" s="275"/>
      <c r="Q397" s="420">
        <f>-Q187</f>
        <v>196.76233499999998</v>
      </c>
      <c r="R397" s="420">
        <f t="shared" ref="R397:AV397" si="670">-R187</f>
        <v>259.72628220000001</v>
      </c>
      <c r="S397" s="420">
        <f t="shared" si="670"/>
        <v>324.65785275000002</v>
      </c>
      <c r="T397" s="420">
        <f t="shared" si="670"/>
        <v>373.35653066250001</v>
      </c>
      <c r="U397" s="420">
        <f t="shared" si="670"/>
        <v>383.35715201953127</v>
      </c>
      <c r="V397" s="420">
        <f t="shared" si="670"/>
        <v>421.69286722148445</v>
      </c>
      <c r="W397" s="420">
        <f t="shared" si="670"/>
        <v>442.77751058255865</v>
      </c>
      <c r="X397" s="420">
        <f t="shared" si="670"/>
        <v>464.91638611168662</v>
      </c>
      <c r="Y397" s="420">
        <f t="shared" si="670"/>
        <v>488.16220541727091</v>
      </c>
      <c r="Z397" s="420">
        <f t="shared" si="670"/>
        <v>497.92544952561639</v>
      </c>
      <c r="AA397" s="420">
        <f t="shared" si="670"/>
        <v>507.8839585161287</v>
      </c>
      <c r="AB397" s="420">
        <f t="shared" si="670"/>
        <v>518.04163768645128</v>
      </c>
      <c r="AC397" s="420">
        <f t="shared" si="670"/>
        <v>528.40247044018031</v>
      </c>
      <c r="AD397" s="420">
        <f t="shared" si="670"/>
        <v>538.97051984898394</v>
      </c>
      <c r="AE397" s="420">
        <f t="shared" si="670"/>
        <v>549.74993024596358</v>
      </c>
      <c r="AF397" s="420">
        <f t="shared" si="670"/>
        <v>560.74492885088296</v>
      </c>
      <c r="AG397" s="420">
        <f t="shared" si="670"/>
        <v>571.95982742790056</v>
      </c>
      <c r="AH397" s="420">
        <f t="shared" si="670"/>
        <v>583.39902397645858</v>
      </c>
      <c r="AI397" s="420">
        <f t="shared" si="670"/>
        <v>595.0670044559879</v>
      </c>
      <c r="AJ397" s="420">
        <f t="shared" si="670"/>
        <v>606.96834454510758</v>
      </c>
      <c r="AK397" s="420">
        <f t="shared" si="670"/>
        <v>619.10771143600994</v>
      </c>
      <c r="AL397" s="420">
        <f t="shared" si="670"/>
        <v>631.48986566473002</v>
      </c>
      <c r="AM397" s="420">
        <f t="shared" si="670"/>
        <v>644.11966297802462</v>
      </c>
      <c r="AN397" s="420">
        <f t="shared" si="670"/>
        <v>657.00205623758529</v>
      </c>
      <c r="AO397" s="420">
        <f t="shared" si="670"/>
        <v>670.14209736233693</v>
      </c>
      <c r="AP397" s="420">
        <f t="shared" si="670"/>
        <v>683.5449393095837</v>
      </c>
      <c r="AQ397" s="420">
        <f t="shared" si="670"/>
        <v>697.21583809577544</v>
      </c>
      <c r="AR397" s="420">
        <f t="shared" si="670"/>
        <v>711.16015485769083</v>
      </c>
      <c r="AS397" s="420">
        <f t="shared" si="670"/>
        <v>725.38335795484477</v>
      </c>
      <c r="AT397" s="420">
        <f t="shared" si="670"/>
        <v>739.89102511394174</v>
      </c>
      <c r="AU397" s="420">
        <f t="shared" si="670"/>
        <v>754.68884561622053</v>
      </c>
      <c r="AV397" s="420">
        <f t="shared" si="670"/>
        <v>769.78262252854506</v>
      </c>
      <c r="AW397" s="26"/>
      <c r="AX397" s="27"/>
    </row>
    <row r="398" spans="1:50" ht="12.75" hidden="1" customHeight="1" outlineLevel="1">
      <c r="A398" s="296"/>
      <c r="B398" s="4" t="s">
        <v>319</v>
      </c>
      <c r="C398" s="23" t="s">
        <v>42</v>
      </c>
      <c r="D398" s="23"/>
      <c r="E398" s="9"/>
      <c r="F398" s="9"/>
      <c r="G398" s="9"/>
      <c r="H398" s="9"/>
      <c r="I398" s="9"/>
      <c r="J398" s="9"/>
      <c r="K398" s="156"/>
      <c r="L398" s="156"/>
      <c r="M398" s="156"/>
      <c r="N398" s="156"/>
      <c r="O398" s="156">
        <f>(O384+O395)/10^3</f>
        <v>0</v>
      </c>
      <c r="P398" s="156">
        <f>(P384+P395)/10^3</f>
        <v>0</v>
      </c>
      <c r="Q398" s="156">
        <f t="shared" ref="Q398:AV398" si="671">(Q384+Q395)/10^3+Q397</f>
        <v>1995.9623349999999</v>
      </c>
      <c r="R398" s="156">
        <f t="shared" si="671"/>
        <v>3059.9262822000001</v>
      </c>
      <c r="S398" s="156">
        <f t="shared" si="671"/>
        <v>3824.7828527500001</v>
      </c>
      <c r="T398" s="156">
        <f t="shared" si="671"/>
        <v>4001.4690306625002</v>
      </c>
      <c r="U398" s="156">
        <f t="shared" si="671"/>
        <v>4350.9781520195311</v>
      </c>
      <c r="V398" s="156">
        <f t="shared" si="671"/>
        <v>4740.5059672214848</v>
      </c>
      <c r="W398" s="156">
        <f t="shared" si="671"/>
        <v>4954.7912655825594</v>
      </c>
      <c r="X398" s="156">
        <f t="shared" si="671"/>
        <v>5179.6758288616884</v>
      </c>
      <c r="Y398" s="156">
        <f t="shared" si="671"/>
        <v>5415.9796203047717</v>
      </c>
      <c r="Z398" s="156">
        <f t="shared" si="671"/>
        <v>5515.1652127108673</v>
      </c>
      <c r="AA398" s="156">
        <f t="shared" si="671"/>
        <v>5616.4065169650839</v>
      </c>
      <c r="AB398" s="156">
        <f t="shared" si="671"/>
        <v>5719.6346473043859</v>
      </c>
      <c r="AC398" s="156">
        <f t="shared" si="671"/>
        <v>5824.8813402504738</v>
      </c>
      <c r="AD398" s="156">
        <f t="shared" si="671"/>
        <v>5932.3789670554825</v>
      </c>
      <c r="AE398" s="156">
        <f t="shared" si="671"/>
        <v>6041.9605463965927</v>
      </c>
      <c r="AF398" s="156">
        <f t="shared" si="671"/>
        <v>6153.6597573245253</v>
      </c>
      <c r="AG398" s="156">
        <f t="shared" si="671"/>
        <v>6267.510952471016</v>
      </c>
      <c r="AH398" s="156">
        <f t="shared" si="671"/>
        <v>6383.8491715204364</v>
      </c>
      <c r="AI398" s="156">
        <f t="shared" si="671"/>
        <v>6502.410154950845</v>
      </c>
      <c r="AJ398" s="156">
        <f t="shared" si="671"/>
        <v>6623.4303580498618</v>
      </c>
      <c r="AK398" s="156">
        <f t="shared" si="671"/>
        <v>6746.7469652108603</v>
      </c>
      <c r="AL398" s="156">
        <f t="shared" si="671"/>
        <v>6872.597904515078</v>
      </c>
      <c r="AM398" s="156">
        <f t="shared" si="671"/>
        <v>7000.9218626053789</v>
      </c>
      <c r="AN398" s="156">
        <f t="shared" si="671"/>
        <v>7131.758299857489</v>
      </c>
      <c r="AO398" s="156">
        <f t="shared" si="671"/>
        <v>7265.3474658546365</v>
      </c>
      <c r="AP398" s="156">
        <f t="shared" si="671"/>
        <v>7401.5304151717301</v>
      </c>
      <c r="AQ398" s="156">
        <f t="shared" si="671"/>
        <v>7540.5490234751651</v>
      </c>
      <c r="AR398" s="156">
        <f t="shared" si="671"/>
        <v>7682.2460039446678</v>
      </c>
      <c r="AS398" s="156">
        <f t="shared" si="671"/>
        <v>7826.7649240235614</v>
      </c>
      <c r="AT398" s="156">
        <f t="shared" si="671"/>
        <v>7974.1502225040331</v>
      </c>
      <c r="AU398" s="156">
        <f t="shared" si="671"/>
        <v>8124.6472269541136</v>
      </c>
      <c r="AV398" s="156">
        <f t="shared" si="671"/>
        <v>8278.0021714931972</v>
      </c>
      <c r="AW398" s="26"/>
      <c r="AX398" s="27"/>
    </row>
    <row r="399" spans="1:50" ht="12.75" hidden="1" customHeight="1" outlineLevel="1">
      <c r="A399" s="296"/>
      <c r="B399" s="4"/>
      <c r="C399" s="23"/>
      <c r="D399" s="23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26"/>
      <c r="AX399" s="27"/>
    </row>
    <row r="400" spans="1:50" ht="12.75" hidden="1" customHeight="1" outlineLevel="1">
      <c r="A400" s="296"/>
      <c r="B400" s="28"/>
      <c r="C400" s="23"/>
      <c r="D400" s="23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26"/>
      <c r="AX400" s="27"/>
    </row>
    <row r="401" spans="1:50" ht="12.75" hidden="1" customHeight="1" outlineLevel="1">
      <c r="A401" s="296"/>
      <c r="B401" s="212" t="s">
        <v>166</v>
      </c>
      <c r="C401" s="213"/>
      <c r="D401" s="213"/>
      <c r="E401" s="155"/>
      <c r="F401" s="214"/>
      <c r="G401" s="155"/>
      <c r="H401" s="155"/>
      <c r="I401" s="155"/>
      <c r="J401" s="155"/>
      <c r="K401" s="155"/>
      <c r="L401" s="155"/>
      <c r="M401" s="155"/>
      <c r="N401" s="155"/>
      <c r="O401" s="155"/>
      <c r="P401" s="155"/>
      <c r="Q401" s="155"/>
      <c r="R401" s="155"/>
      <c r="S401" s="155"/>
      <c r="T401" s="155"/>
      <c r="U401" s="155"/>
      <c r="V401" s="155"/>
      <c r="W401" s="155"/>
      <c r="X401" s="155"/>
      <c r="Y401" s="155"/>
      <c r="Z401" s="155"/>
      <c r="AA401" s="155"/>
      <c r="AB401" s="155"/>
      <c r="AC401" s="155"/>
      <c r="AD401" s="155"/>
      <c r="AE401" s="155"/>
      <c r="AF401" s="155"/>
      <c r="AG401" s="155"/>
      <c r="AH401" s="155"/>
      <c r="AI401" s="155"/>
      <c r="AJ401" s="155"/>
      <c r="AK401" s="155"/>
      <c r="AL401" s="155"/>
      <c r="AM401" s="155"/>
      <c r="AN401" s="155"/>
      <c r="AO401" s="155"/>
      <c r="AP401" s="155"/>
      <c r="AQ401" s="155"/>
      <c r="AR401" s="155"/>
      <c r="AS401" s="155"/>
      <c r="AT401" s="155"/>
      <c r="AU401" s="155"/>
      <c r="AV401" s="155"/>
      <c r="AW401" s="26"/>
      <c r="AX401" s="27"/>
    </row>
    <row r="402" spans="1:50" ht="12.75" hidden="1" customHeight="1" outlineLevel="1">
      <c r="A402" s="296"/>
      <c r="B402" s="349"/>
      <c r="C402" s="350"/>
      <c r="D402" s="350"/>
      <c r="E402" s="255"/>
      <c r="F402" s="351"/>
      <c r="G402" s="255"/>
      <c r="H402" s="255"/>
      <c r="I402" s="255"/>
      <c r="J402" s="255"/>
      <c r="K402" s="255"/>
      <c r="L402" s="255"/>
      <c r="M402" s="255"/>
      <c r="N402" s="255"/>
      <c r="O402" s="255"/>
      <c r="P402" s="255"/>
      <c r="Q402" s="255"/>
      <c r="R402" s="255"/>
      <c r="S402" s="255"/>
      <c r="T402" s="255"/>
      <c r="U402" s="255"/>
      <c r="V402" s="255"/>
      <c r="W402" s="255"/>
      <c r="X402" s="255"/>
      <c r="Y402" s="255"/>
      <c r="Z402" s="255"/>
      <c r="AA402" s="255"/>
      <c r="AB402" s="255"/>
      <c r="AC402" s="255"/>
      <c r="AD402" s="255"/>
      <c r="AE402" s="255"/>
      <c r="AF402" s="255"/>
      <c r="AG402" s="255"/>
      <c r="AH402" s="255"/>
      <c r="AI402" s="255"/>
      <c r="AJ402" s="255"/>
      <c r="AK402" s="255"/>
      <c r="AL402" s="255"/>
      <c r="AM402" s="255"/>
      <c r="AN402" s="255"/>
      <c r="AO402" s="255"/>
      <c r="AP402" s="255"/>
      <c r="AQ402" s="255"/>
      <c r="AR402" s="255"/>
      <c r="AS402" s="255"/>
      <c r="AT402" s="255"/>
      <c r="AU402" s="255"/>
      <c r="AV402" s="255"/>
      <c r="AW402" s="26"/>
      <c r="AX402" s="27"/>
    </row>
    <row r="403" spans="1:50" ht="12.6" hidden="1" customHeight="1" outlineLevel="1">
      <c r="A403" s="296"/>
      <c r="B403" s="352" t="s">
        <v>254</v>
      </c>
      <c r="C403" s="350"/>
      <c r="D403" s="350"/>
      <c r="E403" s="353"/>
      <c r="F403" s="354"/>
      <c r="G403" s="354"/>
      <c r="H403" s="354"/>
      <c r="I403" s="354"/>
      <c r="J403" s="354"/>
      <c r="K403" s="354"/>
      <c r="L403" s="354"/>
      <c r="M403" s="354"/>
      <c r="N403" s="355"/>
      <c r="O403" s="354"/>
      <c r="P403" s="354"/>
      <c r="Q403" s="355"/>
      <c r="R403" s="354"/>
      <c r="S403" s="354"/>
      <c r="T403" s="354"/>
      <c r="U403" s="354"/>
      <c r="V403" s="354"/>
      <c r="W403" s="354"/>
      <c r="X403" s="354"/>
      <c r="Y403" s="354"/>
      <c r="Z403" s="354"/>
      <c r="AA403" s="354"/>
      <c r="AB403" s="354"/>
      <c r="AC403" s="354"/>
      <c r="AD403" s="354"/>
      <c r="AE403" s="354"/>
      <c r="AF403" s="354"/>
      <c r="AG403" s="354"/>
      <c r="AH403" s="354"/>
      <c r="AI403" s="354"/>
      <c r="AJ403" s="354"/>
      <c r="AK403" s="354"/>
      <c r="AL403" s="354"/>
      <c r="AM403" s="354"/>
      <c r="AN403" s="354"/>
      <c r="AO403" s="354"/>
      <c r="AP403" s="354"/>
      <c r="AQ403" s="354"/>
      <c r="AR403" s="354"/>
      <c r="AS403" s="354"/>
      <c r="AT403" s="354"/>
      <c r="AU403" s="354"/>
      <c r="AV403" s="354"/>
      <c r="AW403" s="26"/>
      <c r="AX403" s="27"/>
    </row>
    <row r="404" spans="1:50" ht="12.75" hidden="1" customHeight="1" outlineLevel="1">
      <c r="A404" s="296"/>
      <c r="B404" s="28" t="s">
        <v>167</v>
      </c>
      <c r="C404" s="23" t="s">
        <v>128</v>
      </c>
      <c r="D404" s="23"/>
      <c r="E404" s="92"/>
      <c r="F404" s="219"/>
      <c r="G404" s="219"/>
      <c r="H404" s="219"/>
      <c r="I404" s="219"/>
      <c r="J404" s="219"/>
      <c r="K404" s="219"/>
      <c r="L404" s="219"/>
      <c r="M404" s="219"/>
      <c r="N404" s="92"/>
      <c r="O404" s="92"/>
      <c r="P404" s="219"/>
      <c r="Q404" s="92">
        <v>7.5</v>
      </c>
      <c r="R404" s="219">
        <f t="shared" ref="R404:AV404" si="672">Q404</f>
        <v>7.5</v>
      </c>
      <c r="S404" s="219">
        <f t="shared" si="672"/>
        <v>7.5</v>
      </c>
      <c r="T404" s="219">
        <f t="shared" si="672"/>
        <v>7.5</v>
      </c>
      <c r="U404" s="219">
        <f t="shared" si="672"/>
        <v>7.5</v>
      </c>
      <c r="V404" s="219">
        <f t="shared" si="672"/>
        <v>7.5</v>
      </c>
      <c r="W404" s="219">
        <f t="shared" si="672"/>
        <v>7.5</v>
      </c>
      <c r="X404" s="219">
        <f t="shared" si="672"/>
        <v>7.5</v>
      </c>
      <c r="Y404" s="219">
        <f t="shared" si="672"/>
        <v>7.5</v>
      </c>
      <c r="Z404" s="219">
        <f t="shared" si="672"/>
        <v>7.5</v>
      </c>
      <c r="AA404" s="219">
        <f t="shared" si="672"/>
        <v>7.5</v>
      </c>
      <c r="AB404" s="219">
        <f t="shared" si="672"/>
        <v>7.5</v>
      </c>
      <c r="AC404" s="219">
        <f t="shared" si="672"/>
        <v>7.5</v>
      </c>
      <c r="AD404" s="219">
        <f t="shared" si="672"/>
        <v>7.5</v>
      </c>
      <c r="AE404" s="219">
        <f t="shared" si="672"/>
        <v>7.5</v>
      </c>
      <c r="AF404" s="219">
        <f t="shared" si="672"/>
        <v>7.5</v>
      </c>
      <c r="AG404" s="219">
        <f t="shared" si="672"/>
        <v>7.5</v>
      </c>
      <c r="AH404" s="219">
        <f t="shared" si="672"/>
        <v>7.5</v>
      </c>
      <c r="AI404" s="219">
        <f t="shared" si="672"/>
        <v>7.5</v>
      </c>
      <c r="AJ404" s="219">
        <f t="shared" si="672"/>
        <v>7.5</v>
      </c>
      <c r="AK404" s="219">
        <f t="shared" si="672"/>
        <v>7.5</v>
      </c>
      <c r="AL404" s="219">
        <f t="shared" si="672"/>
        <v>7.5</v>
      </c>
      <c r="AM404" s="219">
        <f t="shared" si="672"/>
        <v>7.5</v>
      </c>
      <c r="AN404" s="219">
        <f t="shared" si="672"/>
        <v>7.5</v>
      </c>
      <c r="AO404" s="219">
        <f t="shared" si="672"/>
        <v>7.5</v>
      </c>
      <c r="AP404" s="219">
        <f t="shared" si="672"/>
        <v>7.5</v>
      </c>
      <c r="AQ404" s="219">
        <f t="shared" si="672"/>
        <v>7.5</v>
      </c>
      <c r="AR404" s="219">
        <f t="shared" si="672"/>
        <v>7.5</v>
      </c>
      <c r="AS404" s="219">
        <f t="shared" si="672"/>
        <v>7.5</v>
      </c>
      <c r="AT404" s="219">
        <f t="shared" si="672"/>
        <v>7.5</v>
      </c>
      <c r="AU404" s="219">
        <f t="shared" si="672"/>
        <v>7.5</v>
      </c>
      <c r="AV404" s="219">
        <f t="shared" si="672"/>
        <v>7.5</v>
      </c>
      <c r="AW404" s="26"/>
      <c r="AX404" s="27"/>
    </row>
    <row r="405" spans="1:50" ht="12.75" hidden="1" customHeight="1" outlineLevel="1">
      <c r="A405" s="296"/>
      <c r="B405" s="28" t="s">
        <v>184</v>
      </c>
      <c r="C405" s="23" t="s">
        <v>128</v>
      </c>
      <c r="D405" s="23"/>
      <c r="E405" s="92"/>
      <c r="F405" s="219"/>
      <c r="G405" s="219"/>
      <c r="H405" s="219"/>
      <c r="I405" s="219"/>
      <c r="J405" s="219"/>
      <c r="K405" s="219"/>
      <c r="L405" s="219"/>
      <c r="M405" s="219"/>
      <c r="N405" s="92"/>
      <c r="O405" s="92"/>
      <c r="P405" s="219"/>
      <c r="Q405" s="92">
        <v>1</v>
      </c>
      <c r="R405" s="219">
        <f t="shared" ref="R405:AV405" si="673">Q405</f>
        <v>1</v>
      </c>
      <c r="S405" s="219">
        <f t="shared" si="673"/>
        <v>1</v>
      </c>
      <c r="T405" s="219">
        <f t="shared" si="673"/>
        <v>1</v>
      </c>
      <c r="U405" s="219">
        <f t="shared" si="673"/>
        <v>1</v>
      </c>
      <c r="V405" s="219">
        <f t="shared" si="673"/>
        <v>1</v>
      </c>
      <c r="W405" s="219">
        <f t="shared" si="673"/>
        <v>1</v>
      </c>
      <c r="X405" s="219">
        <f t="shared" si="673"/>
        <v>1</v>
      </c>
      <c r="Y405" s="219">
        <f t="shared" si="673"/>
        <v>1</v>
      </c>
      <c r="Z405" s="219">
        <f t="shared" si="673"/>
        <v>1</v>
      </c>
      <c r="AA405" s="219">
        <f t="shared" si="673"/>
        <v>1</v>
      </c>
      <c r="AB405" s="219">
        <f t="shared" si="673"/>
        <v>1</v>
      </c>
      <c r="AC405" s="219">
        <f t="shared" si="673"/>
        <v>1</v>
      </c>
      <c r="AD405" s="219">
        <f t="shared" si="673"/>
        <v>1</v>
      </c>
      <c r="AE405" s="219">
        <f t="shared" si="673"/>
        <v>1</v>
      </c>
      <c r="AF405" s="219">
        <f t="shared" si="673"/>
        <v>1</v>
      </c>
      <c r="AG405" s="219">
        <f t="shared" si="673"/>
        <v>1</v>
      </c>
      <c r="AH405" s="219">
        <f t="shared" si="673"/>
        <v>1</v>
      </c>
      <c r="AI405" s="219">
        <f t="shared" si="673"/>
        <v>1</v>
      </c>
      <c r="AJ405" s="219">
        <f t="shared" si="673"/>
        <v>1</v>
      </c>
      <c r="AK405" s="219">
        <f t="shared" si="673"/>
        <v>1</v>
      </c>
      <c r="AL405" s="219">
        <f t="shared" si="673"/>
        <v>1</v>
      </c>
      <c r="AM405" s="219">
        <f t="shared" si="673"/>
        <v>1</v>
      </c>
      <c r="AN405" s="219">
        <f t="shared" si="673"/>
        <v>1</v>
      </c>
      <c r="AO405" s="219">
        <f t="shared" si="673"/>
        <v>1</v>
      </c>
      <c r="AP405" s="219">
        <f t="shared" si="673"/>
        <v>1</v>
      </c>
      <c r="AQ405" s="219">
        <f t="shared" si="673"/>
        <v>1</v>
      </c>
      <c r="AR405" s="219">
        <f t="shared" si="673"/>
        <v>1</v>
      </c>
      <c r="AS405" s="219">
        <f t="shared" si="673"/>
        <v>1</v>
      </c>
      <c r="AT405" s="219">
        <f t="shared" si="673"/>
        <v>1</v>
      </c>
      <c r="AU405" s="219">
        <f t="shared" si="673"/>
        <v>1</v>
      </c>
      <c r="AV405" s="219">
        <f t="shared" si="673"/>
        <v>1</v>
      </c>
      <c r="AW405" s="26"/>
      <c r="AX405" s="27"/>
    </row>
    <row r="406" spans="1:50" ht="12.75" hidden="1" customHeight="1" outlineLevel="1">
      <c r="A406" s="296"/>
      <c r="B406" s="28"/>
      <c r="C406" s="23"/>
      <c r="D406" s="23"/>
      <c r="E406" s="92"/>
      <c r="F406" s="52"/>
      <c r="G406" s="52"/>
      <c r="H406" s="52"/>
      <c r="I406" s="52"/>
      <c r="J406" s="219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26"/>
      <c r="AX406" s="27"/>
    </row>
    <row r="407" spans="1:50" ht="12.75" hidden="1" customHeight="1" outlineLevel="1">
      <c r="A407" s="296"/>
      <c r="B407" s="28" t="s">
        <v>168</v>
      </c>
      <c r="C407" s="23" t="s">
        <v>115</v>
      </c>
      <c r="D407" s="23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>
        <f t="shared" ref="Q407:AV407" si="674">Q404*Q360</f>
        <v>63750</v>
      </c>
      <c r="R407" s="9">
        <f t="shared" si="674"/>
        <v>105187.5</v>
      </c>
      <c r="S407" s="9">
        <f t="shared" si="674"/>
        <v>131484.375</v>
      </c>
      <c r="T407" s="9">
        <f t="shared" si="674"/>
        <v>151207.03125</v>
      </c>
      <c r="U407" s="9">
        <f t="shared" si="674"/>
        <v>173888.0859375</v>
      </c>
      <c r="V407" s="9">
        <f t="shared" si="674"/>
        <v>191276.89453125003</v>
      </c>
      <c r="W407" s="9">
        <f t="shared" si="674"/>
        <v>200840.73925781253</v>
      </c>
      <c r="X407" s="9">
        <f t="shared" si="674"/>
        <v>210882.77622070318</v>
      </c>
      <c r="Y407" s="9">
        <f t="shared" si="674"/>
        <v>221426.91503173832</v>
      </c>
      <c r="Z407" s="9">
        <f t="shared" si="674"/>
        <v>225855.45333237309</v>
      </c>
      <c r="AA407" s="9">
        <f t="shared" si="674"/>
        <v>230372.56239902056</v>
      </c>
      <c r="AB407" s="9">
        <f t="shared" si="674"/>
        <v>234980.01364700097</v>
      </c>
      <c r="AC407" s="9">
        <f t="shared" si="674"/>
        <v>239679.61391994098</v>
      </c>
      <c r="AD407" s="9">
        <f t="shared" si="674"/>
        <v>244473.20619833982</v>
      </c>
      <c r="AE407" s="9">
        <f t="shared" si="674"/>
        <v>249362.6703223066</v>
      </c>
      <c r="AF407" s="9">
        <f t="shared" si="674"/>
        <v>254349.92372875276</v>
      </c>
      <c r="AG407" s="9">
        <f t="shared" si="674"/>
        <v>259436.92220332782</v>
      </c>
      <c r="AH407" s="9">
        <f t="shared" si="674"/>
        <v>264625.66064739437</v>
      </c>
      <c r="AI407" s="9">
        <f t="shared" si="674"/>
        <v>269918.1738603423</v>
      </c>
      <c r="AJ407" s="9">
        <f t="shared" si="674"/>
        <v>275316.53733754915</v>
      </c>
      <c r="AK407" s="9">
        <f t="shared" si="674"/>
        <v>280822.86808430019</v>
      </c>
      <c r="AL407" s="9">
        <f t="shared" si="674"/>
        <v>286439.32544598618</v>
      </c>
      <c r="AM407" s="9">
        <f t="shared" si="674"/>
        <v>292168.11195490591</v>
      </c>
      <c r="AN407" s="9">
        <f t="shared" si="674"/>
        <v>298011.47419400408</v>
      </c>
      <c r="AO407" s="9">
        <f t="shared" si="674"/>
        <v>303971.70367788413</v>
      </c>
      <c r="AP407" s="9">
        <f t="shared" si="674"/>
        <v>310051.13775144186</v>
      </c>
      <c r="AQ407" s="9">
        <f t="shared" si="674"/>
        <v>316252.16050647071</v>
      </c>
      <c r="AR407" s="9">
        <f t="shared" si="674"/>
        <v>322577.20371660008</v>
      </c>
      <c r="AS407" s="9">
        <f t="shared" si="674"/>
        <v>329028.74779093213</v>
      </c>
      <c r="AT407" s="9">
        <f t="shared" si="674"/>
        <v>335609.32274675078</v>
      </c>
      <c r="AU407" s="9">
        <f t="shared" si="674"/>
        <v>342321.50920168578</v>
      </c>
      <c r="AV407" s="9">
        <f t="shared" si="674"/>
        <v>349167.93938571954</v>
      </c>
      <c r="AW407" s="26"/>
      <c r="AX407" s="27"/>
    </row>
    <row r="408" spans="1:50" ht="12.75" hidden="1" customHeight="1" outlineLevel="1">
      <c r="A408" s="296"/>
      <c r="B408" s="28" t="s">
        <v>169</v>
      </c>
      <c r="C408" s="23" t="s">
        <v>115</v>
      </c>
      <c r="D408" s="23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>
        <f t="shared" ref="Q408:AV408" si="675">Q405*Q360</f>
        <v>8500</v>
      </c>
      <c r="R408" s="9">
        <f t="shared" si="675"/>
        <v>14025</v>
      </c>
      <c r="S408" s="9">
        <f t="shared" si="675"/>
        <v>17531.25</v>
      </c>
      <c r="T408" s="9">
        <f t="shared" si="675"/>
        <v>20160.9375</v>
      </c>
      <c r="U408" s="9">
        <f t="shared" si="675"/>
        <v>23185.078125</v>
      </c>
      <c r="V408" s="9">
        <f t="shared" si="675"/>
        <v>25503.585937500004</v>
      </c>
      <c r="W408" s="9">
        <f t="shared" si="675"/>
        <v>26778.765234375005</v>
      </c>
      <c r="X408" s="9">
        <f t="shared" si="675"/>
        <v>28117.703496093756</v>
      </c>
      <c r="Y408" s="9">
        <f t="shared" si="675"/>
        <v>29523.588670898444</v>
      </c>
      <c r="Z408" s="9">
        <f t="shared" si="675"/>
        <v>30114.060444316412</v>
      </c>
      <c r="AA408" s="9">
        <f t="shared" si="675"/>
        <v>30716.34165320274</v>
      </c>
      <c r="AB408" s="9">
        <f t="shared" si="675"/>
        <v>31330.668486266797</v>
      </c>
      <c r="AC408" s="9">
        <f t="shared" si="675"/>
        <v>31957.281855992132</v>
      </c>
      <c r="AD408" s="9">
        <f t="shared" si="675"/>
        <v>32596.427493111976</v>
      </c>
      <c r="AE408" s="9">
        <f t="shared" si="675"/>
        <v>33248.356042974214</v>
      </c>
      <c r="AF408" s="9">
        <f t="shared" si="675"/>
        <v>33913.323163833702</v>
      </c>
      <c r="AG408" s="9">
        <f t="shared" si="675"/>
        <v>34591.589627110377</v>
      </c>
      <c r="AH408" s="9">
        <f t="shared" si="675"/>
        <v>35283.421419652586</v>
      </c>
      <c r="AI408" s="9">
        <f t="shared" si="675"/>
        <v>35989.089848045638</v>
      </c>
      <c r="AJ408" s="9">
        <f t="shared" si="675"/>
        <v>36708.871645006555</v>
      </c>
      <c r="AK408" s="9">
        <f t="shared" si="675"/>
        <v>37443.049077906689</v>
      </c>
      <c r="AL408" s="9">
        <f t="shared" si="675"/>
        <v>38191.910059464826</v>
      </c>
      <c r="AM408" s="9">
        <f t="shared" si="675"/>
        <v>38955.748260654123</v>
      </c>
      <c r="AN408" s="9">
        <f t="shared" si="675"/>
        <v>39734.863225867208</v>
      </c>
      <c r="AO408" s="9">
        <f t="shared" si="675"/>
        <v>40529.560490384552</v>
      </c>
      <c r="AP408" s="9">
        <f t="shared" si="675"/>
        <v>41340.151700192248</v>
      </c>
      <c r="AQ408" s="9">
        <f t="shared" si="675"/>
        <v>42166.954734196093</v>
      </c>
      <c r="AR408" s="9">
        <f t="shared" si="675"/>
        <v>43010.293828880014</v>
      </c>
      <c r="AS408" s="9">
        <f t="shared" si="675"/>
        <v>43870.499705457616</v>
      </c>
      <c r="AT408" s="9">
        <f t="shared" si="675"/>
        <v>44747.909699566771</v>
      </c>
      <c r="AU408" s="9">
        <f t="shared" si="675"/>
        <v>45642.867893558105</v>
      </c>
      <c r="AV408" s="9">
        <f t="shared" si="675"/>
        <v>46555.72525142927</v>
      </c>
      <c r="AW408" s="26"/>
      <c r="AX408" s="27"/>
    </row>
    <row r="409" spans="1:50" ht="12.75" hidden="1" customHeight="1" outlineLevel="1">
      <c r="A409" s="296"/>
      <c r="B409" s="28" t="s">
        <v>168</v>
      </c>
      <c r="C409" s="23" t="s">
        <v>100</v>
      </c>
      <c r="D409" s="23"/>
      <c r="E409" s="224"/>
      <c r="F409" s="224"/>
      <c r="G409" s="224"/>
      <c r="H409" s="224"/>
      <c r="I409" s="224"/>
      <c r="J409" s="224"/>
      <c r="K409" s="224"/>
      <c r="L409" s="224"/>
      <c r="M409" s="224"/>
      <c r="N409" s="224"/>
      <c r="O409" s="224"/>
      <c r="P409" s="224"/>
      <c r="Q409" s="224">
        <f t="shared" ref="Q409" si="676">Q407*grams_lbs</f>
        <v>140.54452499999999</v>
      </c>
      <c r="R409" s="224">
        <f t="shared" ref="R409:AV409" si="677">R407*grams_lbs</f>
        <v>231.89846625000001</v>
      </c>
      <c r="S409" s="224">
        <f t="shared" si="677"/>
        <v>289.8730828125</v>
      </c>
      <c r="T409" s="224">
        <f t="shared" si="677"/>
        <v>333.35404523437501</v>
      </c>
      <c r="U409" s="224">
        <f t="shared" si="677"/>
        <v>383.35715201953127</v>
      </c>
      <c r="V409" s="224">
        <f t="shared" si="677"/>
        <v>421.69286722148445</v>
      </c>
      <c r="W409" s="224">
        <f t="shared" si="677"/>
        <v>442.77751058255865</v>
      </c>
      <c r="X409" s="224">
        <f t="shared" si="677"/>
        <v>464.91638611168662</v>
      </c>
      <c r="Y409" s="224">
        <f t="shared" si="677"/>
        <v>488.16220541727091</v>
      </c>
      <c r="Z409" s="224">
        <f t="shared" si="677"/>
        <v>497.92544952561639</v>
      </c>
      <c r="AA409" s="224">
        <f t="shared" si="677"/>
        <v>507.8839585161287</v>
      </c>
      <c r="AB409" s="224">
        <f t="shared" si="677"/>
        <v>518.04163768645128</v>
      </c>
      <c r="AC409" s="224">
        <f t="shared" si="677"/>
        <v>528.40247044018031</v>
      </c>
      <c r="AD409" s="224">
        <f t="shared" si="677"/>
        <v>538.97051984898394</v>
      </c>
      <c r="AE409" s="224">
        <f t="shared" si="677"/>
        <v>549.74993024596358</v>
      </c>
      <c r="AF409" s="224">
        <f t="shared" si="677"/>
        <v>560.74492885088296</v>
      </c>
      <c r="AG409" s="224">
        <f t="shared" si="677"/>
        <v>571.95982742790056</v>
      </c>
      <c r="AH409" s="224">
        <f t="shared" si="677"/>
        <v>583.39902397645858</v>
      </c>
      <c r="AI409" s="224">
        <f t="shared" si="677"/>
        <v>595.0670044559879</v>
      </c>
      <c r="AJ409" s="224">
        <f t="shared" si="677"/>
        <v>606.96834454510758</v>
      </c>
      <c r="AK409" s="224">
        <f t="shared" si="677"/>
        <v>619.10771143600994</v>
      </c>
      <c r="AL409" s="224">
        <f t="shared" si="677"/>
        <v>631.48986566473002</v>
      </c>
      <c r="AM409" s="224">
        <f t="shared" si="677"/>
        <v>644.11966297802462</v>
      </c>
      <c r="AN409" s="224">
        <f t="shared" si="677"/>
        <v>657.00205623758529</v>
      </c>
      <c r="AO409" s="224">
        <f t="shared" si="677"/>
        <v>670.14209736233693</v>
      </c>
      <c r="AP409" s="224">
        <f t="shared" si="677"/>
        <v>683.5449393095837</v>
      </c>
      <c r="AQ409" s="224">
        <f t="shared" si="677"/>
        <v>697.21583809577544</v>
      </c>
      <c r="AR409" s="224">
        <f t="shared" si="677"/>
        <v>711.16015485769083</v>
      </c>
      <c r="AS409" s="224">
        <f t="shared" si="677"/>
        <v>725.38335795484477</v>
      </c>
      <c r="AT409" s="224">
        <f t="shared" si="677"/>
        <v>739.89102511394174</v>
      </c>
      <c r="AU409" s="224">
        <f t="shared" si="677"/>
        <v>754.68884561622053</v>
      </c>
      <c r="AV409" s="224">
        <f t="shared" si="677"/>
        <v>769.78262252854506</v>
      </c>
      <c r="AW409" s="26"/>
      <c r="AX409" s="27"/>
    </row>
    <row r="410" spans="1:50" ht="12.75" hidden="1" customHeight="1" outlineLevel="1">
      <c r="A410" s="296"/>
      <c r="B410" s="28" t="s">
        <v>169</v>
      </c>
      <c r="C410" s="23" t="s">
        <v>100</v>
      </c>
      <c r="D410" s="23"/>
      <c r="E410" s="224"/>
      <c r="F410" s="224"/>
      <c r="G410" s="224"/>
      <c r="H410" s="224"/>
      <c r="I410" s="224"/>
      <c r="J410" s="224"/>
      <c r="K410" s="224"/>
      <c r="L410" s="224"/>
      <c r="M410" s="224"/>
      <c r="N410" s="224"/>
      <c r="O410" s="224"/>
      <c r="P410" s="224"/>
      <c r="Q410" s="224">
        <f t="shared" ref="Q410" si="678">Q408*grams_lbs</f>
        <v>18.739270000000001</v>
      </c>
      <c r="R410" s="224">
        <f t="shared" ref="R410:AV410" si="679">R408*grams_lbs</f>
        <v>30.919795499999999</v>
      </c>
      <c r="S410" s="224">
        <f t="shared" si="679"/>
        <v>38.649744374999997</v>
      </c>
      <c r="T410" s="224">
        <f t="shared" si="679"/>
        <v>44.447206031249998</v>
      </c>
      <c r="U410" s="224">
        <f t="shared" si="679"/>
        <v>51.1142869359375</v>
      </c>
      <c r="V410" s="224">
        <f t="shared" si="679"/>
        <v>56.225715629531258</v>
      </c>
      <c r="W410" s="224">
        <f t="shared" si="679"/>
        <v>59.037001411007822</v>
      </c>
      <c r="X410" s="224">
        <f t="shared" si="679"/>
        <v>61.988851481558214</v>
      </c>
      <c r="Y410" s="224">
        <f t="shared" si="679"/>
        <v>65.088294055636126</v>
      </c>
      <c r="Z410" s="224">
        <f t="shared" si="679"/>
        <v>66.390059936748855</v>
      </c>
      <c r="AA410" s="224">
        <f t="shared" si="679"/>
        <v>67.71786113548383</v>
      </c>
      <c r="AB410" s="224">
        <f t="shared" si="679"/>
        <v>69.07221835819351</v>
      </c>
      <c r="AC410" s="224">
        <f t="shared" si="679"/>
        <v>70.453662725357376</v>
      </c>
      <c r="AD410" s="224">
        <f t="shared" si="679"/>
        <v>71.862735979864524</v>
      </c>
      <c r="AE410" s="224">
        <f t="shared" si="679"/>
        <v>73.299990699461816</v>
      </c>
      <c r="AF410" s="224">
        <f t="shared" si="679"/>
        <v>74.765990513451058</v>
      </c>
      <c r="AG410" s="224">
        <f t="shared" si="679"/>
        <v>76.261310323720082</v>
      </c>
      <c r="AH410" s="224">
        <f t="shared" si="679"/>
        <v>77.786536530194482</v>
      </c>
      <c r="AI410" s="224">
        <f t="shared" si="679"/>
        <v>79.34226726079838</v>
      </c>
      <c r="AJ410" s="224">
        <f t="shared" si="679"/>
        <v>80.929112606014357</v>
      </c>
      <c r="AK410" s="224">
        <f t="shared" si="679"/>
        <v>82.547694858134648</v>
      </c>
      <c r="AL410" s="224">
        <f t="shared" si="679"/>
        <v>84.198648755297341</v>
      </c>
      <c r="AM410" s="224">
        <f t="shared" si="679"/>
        <v>85.882621730403301</v>
      </c>
      <c r="AN410" s="224">
        <f t="shared" si="679"/>
        <v>87.600274165011371</v>
      </c>
      <c r="AO410" s="224">
        <f t="shared" si="679"/>
        <v>89.352279648311594</v>
      </c>
      <c r="AP410" s="224">
        <f t="shared" si="679"/>
        <v>91.139325241277831</v>
      </c>
      <c r="AQ410" s="224">
        <f t="shared" si="679"/>
        <v>92.962111746103389</v>
      </c>
      <c r="AR410" s="224">
        <f t="shared" si="679"/>
        <v>94.821353981025453</v>
      </c>
      <c r="AS410" s="224">
        <f t="shared" si="679"/>
        <v>96.717781060645976</v>
      </c>
      <c r="AT410" s="224">
        <f t="shared" si="679"/>
        <v>98.652136681858892</v>
      </c>
      <c r="AU410" s="224">
        <f t="shared" si="679"/>
        <v>100.62517941549606</v>
      </c>
      <c r="AV410" s="224">
        <f t="shared" si="679"/>
        <v>102.637683003806</v>
      </c>
      <c r="AW410" s="26"/>
      <c r="AX410" s="27"/>
    </row>
    <row r="411" spans="1:50" ht="12.75" hidden="1" customHeight="1" outlineLevel="1">
      <c r="A411" s="296"/>
      <c r="B411" s="28"/>
      <c r="C411" s="23"/>
      <c r="D411" s="23"/>
      <c r="E411" s="217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26"/>
      <c r="AX411" s="27"/>
    </row>
    <row r="412" spans="1:50" ht="12.75" hidden="1" customHeight="1" outlineLevel="1">
      <c r="A412" s="296"/>
      <c r="B412" s="4" t="s">
        <v>207</v>
      </c>
      <c r="C412" s="23"/>
      <c r="D412" s="23"/>
      <c r="E412" s="52"/>
      <c r="F412" s="5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26"/>
      <c r="AX412" s="27"/>
    </row>
    <row r="413" spans="1:50" ht="12.75" hidden="1" customHeight="1" outlineLevel="1">
      <c r="A413" s="296"/>
      <c r="B413" s="28" t="s">
        <v>167</v>
      </c>
      <c r="C413" s="23" t="s">
        <v>128</v>
      </c>
      <c r="D413" s="23"/>
      <c r="E413" s="92"/>
      <c r="F413" s="219"/>
      <c r="G413" s="219"/>
      <c r="H413" s="219"/>
      <c r="I413" s="219"/>
      <c r="J413" s="219"/>
      <c r="K413" s="219"/>
      <c r="L413" s="219"/>
      <c r="M413" s="219"/>
      <c r="N413" s="92"/>
      <c r="O413" s="219"/>
      <c r="P413" s="92"/>
      <c r="Q413" s="92">
        <v>7.5</v>
      </c>
      <c r="R413" s="219">
        <f t="shared" ref="R413:AV413" si="680">Q413</f>
        <v>7.5</v>
      </c>
      <c r="S413" s="219">
        <f t="shared" si="680"/>
        <v>7.5</v>
      </c>
      <c r="T413" s="219">
        <f t="shared" si="680"/>
        <v>7.5</v>
      </c>
      <c r="U413" s="219">
        <f t="shared" si="680"/>
        <v>7.5</v>
      </c>
      <c r="V413" s="219">
        <f t="shared" si="680"/>
        <v>7.5</v>
      </c>
      <c r="W413" s="219">
        <f t="shared" si="680"/>
        <v>7.5</v>
      </c>
      <c r="X413" s="219">
        <f t="shared" si="680"/>
        <v>7.5</v>
      </c>
      <c r="Y413" s="219">
        <f t="shared" si="680"/>
        <v>7.5</v>
      </c>
      <c r="Z413" s="219">
        <f t="shared" si="680"/>
        <v>7.5</v>
      </c>
      <c r="AA413" s="219">
        <f t="shared" si="680"/>
        <v>7.5</v>
      </c>
      <c r="AB413" s="219">
        <f t="shared" si="680"/>
        <v>7.5</v>
      </c>
      <c r="AC413" s="219">
        <f t="shared" si="680"/>
        <v>7.5</v>
      </c>
      <c r="AD413" s="219">
        <f t="shared" si="680"/>
        <v>7.5</v>
      </c>
      <c r="AE413" s="219">
        <f t="shared" si="680"/>
        <v>7.5</v>
      </c>
      <c r="AF413" s="219">
        <f t="shared" si="680"/>
        <v>7.5</v>
      </c>
      <c r="AG413" s="219">
        <f t="shared" si="680"/>
        <v>7.5</v>
      </c>
      <c r="AH413" s="219">
        <f t="shared" si="680"/>
        <v>7.5</v>
      </c>
      <c r="AI413" s="219">
        <f t="shared" si="680"/>
        <v>7.5</v>
      </c>
      <c r="AJ413" s="219">
        <f t="shared" si="680"/>
        <v>7.5</v>
      </c>
      <c r="AK413" s="219">
        <f t="shared" si="680"/>
        <v>7.5</v>
      </c>
      <c r="AL413" s="219">
        <f t="shared" si="680"/>
        <v>7.5</v>
      </c>
      <c r="AM413" s="219">
        <f t="shared" si="680"/>
        <v>7.5</v>
      </c>
      <c r="AN413" s="219">
        <f t="shared" si="680"/>
        <v>7.5</v>
      </c>
      <c r="AO413" s="219">
        <f t="shared" si="680"/>
        <v>7.5</v>
      </c>
      <c r="AP413" s="219">
        <f t="shared" si="680"/>
        <v>7.5</v>
      </c>
      <c r="AQ413" s="219">
        <f t="shared" si="680"/>
        <v>7.5</v>
      </c>
      <c r="AR413" s="219">
        <f t="shared" si="680"/>
        <v>7.5</v>
      </c>
      <c r="AS413" s="219">
        <f t="shared" si="680"/>
        <v>7.5</v>
      </c>
      <c r="AT413" s="219">
        <f t="shared" si="680"/>
        <v>7.5</v>
      </c>
      <c r="AU413" s="219">
        <f t="shared" si="680"/>
        <v>7.5</v>
      </c>
      <c r="AV413" s="219">
        <f t="shared" si="680"/>
        <v>7.5</v>
      </c>
      <c r="AW413" s="26"/>
      <c r="AX413" s="27"/>
    </row>
    <row r="414" spans="1:50" ht="12.75" hidden="1" customHeight="1" outlineLevel="1">
      <c r="A414" s="296"/>
      <c r="B414" s="28" t="s">
        <v>184</v>
      </c>
      <c r="C414" s="23" t="s">
        <v>128</v>
      </c>
      <c r="D414" s="23"/>
      <c r="E414" s="92"/>
      <c r="F414" s="219"/>
      <c r="G414" s="219"/>
      <c r="H414" s="219"/>
      <c r="I414" s="219"/>
      <c r="J414" s="219"/>
      <c r="K414" s="219"/>
      <c r="L414" s="219"/>
      <c r="M414" s="219"/>
      <c r="N414" s="92"/>
      <c r="O414" s="219"/>
      <c r="P414" s="92"/>
      <c r="Q414" s="92">
        <v>1</v>
      </c>
      <c r="R414" s="219">
        <f t="shared" ref="R414:AV414" si="681">Q414</f>
        <v>1</v>
      </c>
      <c r="S414" s="219">
        <f t="shared" si="681"/>
        <v>1</v>
      </c>
      <c r="T414" s="219">
        <f t="shared" si="681"/>
        <v>1</v>
      </c>
      <c r="U414" s="219">
        <f t="shared" si="681"/>
        <v>1</v>
      </c>
      <c r="V414" s="219">
        <f t="shared" si="681"/>
        <v>1</v>
      </c>
      <c r="W414" s="219">
        <f t="shared" si="681"/>
        <v>1</v>
      </c>
      <c r="X414" s="219">
        <f t="shared" si="681"/>
        <v>1</v>
      </c>
      <c r="Y414" s="219">
        <f t="shared" si="681"/>
        <v>1</v>
      </c>
      <c r="Z414" s="219">
        <f t="shared" si="681"/>
        <v>1</v>
      </c>
      <c r="AA414" s="219">
        <f t="shared" si="681"/>
        <v>1</v>
      </c>
      <c r="AB414" s="219">
        <f t="shared" si="681"/>
        <v>1</v>
      </c>
      <c r="AC414" s="219">
        <f t="shared" si="681"/>
        <v>1</v>
      </c>
      <c r="AD414" s="219">
        <f t="shared" si="681"/>
        <v>1</v>
      </c>
      <c r="AE414" s="219">
        <f t="shared" si="681"/>
        <v>1</v>
      </c>
      <c r="AF414" s="219">
        <f t="shared" si="681"/>
        <v>1</v>
      </c>
      <c r="AG414" s="219">
        <f t="shared" si="681"/>
        <v>1</v>
      </c>
      <c r="AH414" s="219">
        <f t="shared" si="681"/>
        <v>1</v>
      </c>
      <c r="AI414" s="219">
        <f t="shared" si="681"/>
        <v>1</v>
      </c>
      <c r="AJ414" s="219">
        <f t="shared" si="681"/>
        <v>1</v>
      </c>
      <c r="AK414" s="219">
        <f t="shared" si="681"/>
        <v>1</v>
      </c>
      <c r="AL414" s="219">
        <f t="shared" si="681"/>
        <v>1</v>
      </c>
      <c r="AM414" s="219">
        <f t="shared" si="681"/>
        <v>1</v>
      </c>
      <c r="AN414" s="219">
        <f t="shared" si="681"/>
        <v>1</v>
      </c>
      <c r="AO414" s="219">
        <f t="shared" si="681"/>
        <v>1</v>
      </c>
      <c r="AP414" s="219">
        <f t="shared" si="681"/>
        <v>1</v>
      </c>
      <c r="AQ414" s="219">
        <f t="shared" si="681"/>
        <v>1</v>
      </c>
      <c r="AR414" s="219">
        <f t="shared" si="681"/>
        <v>1</v>
      </c>
      <c r="AS414" s="219">
        <f t="shared" si="681"/>
        <v>1</v>
      </c>
      <c r="AT414" s="219">
        <f t="shared" si="681"/>
        <v>1</v>
      </c>
      <c r="AU414" s="219">
        <f t="shared" si="681"/>
        <v>1</v>
      </c>
      <c r="AV414" s="219">
        <f t="shared" si="681"/>
        <v>1</v>
      </c>
      <c r="AW414" s="26"/>
      <c r="AX414" s="27"/>
    </row>
    <row r="415" spans="1:50" ht="12.75" hidden="1" customHeight="1" outlineLevel="1">
      <c r="A415" s="296"/>
      <c r="B415" s="28"/>
      <c r="C415" s="23"/>
      <c r="D415" s="23"/>
      <c r="E415" s="9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26"/>
      <c r="AX415" s="27"/>
    </row>
    <row r="416" spans="1:50" ht="12.75" hidden="1" customHeight="1" outlineLevel="1">
      <c r="A416" s="296"/>
      <c r="B416" s="28" t="s">
        <v>168</v>
      </c>
      <c r="C416" s="23" t="s">
        <v>115</v>
      </c>
      <c r="D416" s="23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>
        <f t="shared" ref="Q416:AV416" si="682">Q413*Q367</f>
        <v>63750</v>
      </c>
      <c r="R416" s="9">
        <f t="shared" si="682"/>
        <v>105187.5</v>
      </c>
      <c r="S416" s="9">
        <f t="shared" si="682"/>
        <v>131484.375</v>
      </c>
      <c r="T416" s="9">
        <f t="shared" si="682"/>
        <v>151207.03125</v>
      </c>
      <c r="U416" s="9">
        <f t="shared" si="682"/>
        <v>173888.0859375</v>
      </c>
      <c r="V416" s="9">
        <f t="shared" si="682"/>
        <v>191276.89453125003</v>
      </c>
      <c r="W416" s="9">
        <f t="shared" si="682"/>
        <v>200840.73925781253</v>
      </c>
      <c r="X416" s="9">
        <f t="shared" si="682"/>
        <v>210882.77622070318</v>
      </c>
      <c r="Y416" s="9">
        <f t="shared" si="682"/>
        <v>221426.91503173832</v>
      </c>
      <c r="Z416" s="9">
        <f t="shared" si="682"/>
        <v>225855.45333237309</v>
      </c>
      <c r="AA416" s="9">
        <f t="shared" si="682"/>
        <v>230372.56239902056</v>
      </c>
      <c r="AB416" s="9">
        <f t="shared" si="682"/>
        <v>234980.01364700097</v>
      </c>
      <c r="AC416" s="9">
        <f t="shared" si="682"/>
        <v>239679.61391994098</v>
      </c>
      <c r="AD416" s="9">
        <f t="shared" si="682"/>
        <v>244473.20619833982</v>
      </c>
      <c r="AE416" s="9">
        <f t="shared" si="682"/>
        <v>249362.6703223066</v>
      </c>
      <c r="AF416" s="9">
        <f t="shared" si="682"/>
        <v>254349.92372875276</v>
      </c>
      <c r="AG416" s="9">
        <f t="shared" si="682"/>
        <v>259436.92220332782</v>
      </c>
      <c r="AH416" s="9">
        <f t="shared" si="682"/>
        <v>264625.66064739437</v>
      </c>
      <c r="AI416" s="9">
        <f t="shared" si="682"/>
        <v>269918.1738603423</v>
      </c>
      <c r="AJ416" s="9">
        <f t="shared" si="682"/>
        <v>275316.53733754915</v>
      </c>
      <c r="AK416" s="9">
        <f t="shared" si="682"/>
        <v>280822.86808430019</v>
      </c>
      <c r="AL416" s="9">
        <f t="shared" si="682"/>
        <v>286439.32544598618</v>
      </c>
      <c r="AM416" s="9">
        <f t="shared" si="682"/>
        <v>292168.11195490591</v>
      </c>
      <c r="AN416" s="9">
        <f t="shared" si="682"/>
        <v>298011.47419400408</v>
      </c>
      <c r="AO416" s="9">
        <f t="shared" si="682"/>
        <v>303971.70367788413</v>
      </c>
      <c r="AP416" s="9">
        <f t="shared" si="682"/>
        <v>310051.13775144186</v>
      </c>
      <c r="AQ416" s="9">
        <f t="shared" si="682"/>
        <v>316252.16050647071</v>
      </c>
      <c r="AR416" s="9">
        <f t="shared" si="682"/>
        <v>322577.20371660008</v>
      </c>
      <c r="AS416" s="9">
        <f t="shared" si="682"/>
        <v>329028.74779093213</v>
      </c>
      <c r="AT416" s="9">
        <f t="shared" si="682"/>
        <v>335609.32274675078</v>
      </c>
      <c r="AU416" s="9">
        <f t="shared" si="682"/>
        <v>342321.50920168578</v>
      </c>
      <c r="AV416" s="9">
        <f t="shared" si="682"/>
        <v>349167.93938571954</v>
      </c>
      <c r="AW416" s="26"/>
      <c r="AX416" s="27"/>
    </row>
    <row r="417" spans="1:50" ht="12.75" hidden="1" customHeight="1" outlineLevel="1">
      <c r="A417" s="296"/>
      <c r="B417" s="28" t="s">
        <v>169</v>
      </c>
      <c r="C417" s="23" t="s">
        <v>115</v>
      </c>
      <c r="D417" s="23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>
        <f t="shared" ref="Q417:AV417" si="683">Q414*Q367</f>
        <v>8500</v>
      </c>
      <c r="R417" s="9">
        <f t="shared" si="683"/>
        <v>14025</v>
      </c>
      <c r="S417" s="9">
        <f t="shared" si="683"/>
        <v>17531.25</v>
      </c>
      <c r="T417" s="9">
        <f t="shared" si="683"/>
        <v>20160.9375</v>
      </c>
      <c r="U417" s="9">
        <f t="shared" si="683"/>
        <v>23185.078125</v>
      </c>
      <c r="V417" s="9">
        <f t="shared" si="683"/>
        <v>25503.585937500004</v>
      </c>
      <c r="W417" s="9">
        <f t="shared" si="683"/>
        <v>26778.765234375005</v>
      </c>
      <c r="X417" s="9">
        <f t="shared" si="683"/>
        <v>28117.703496093756</v>
      </c>
      <c r="Y417" s="9">
        <f t="shared" si="683"/>
        <v>29523.588670898444</v>
      </c>
      <c r="Z417" s="9">
        <f t="shared" si="683"/>
        <v>30114.060444316412</v>
      </c>
      <c r="AA417" s="9">
        <f t="shared" si="683"/>
        <v>30716.34165320274</v>
      </c>
      <c r="AB417" s="9">
        <f t="shared" si="683"/>
        <v>31330.668486266797</v>
      </c>
      <c r="AC417" s="9">
        <f t="shared" si="683"/>
        <v>31957.281855992132</v>
      </c>
      <c r="AD417" s="9">
        <f t="shared" si="683"/>
        <v>32596.427493111976</v>
      </c>
      <c r="AE417" s="9">
        <f t="shared" si="683"/>
        <v>33248.356042974214</v>
      </c>
      <c r="AF417" s="9">
        <f t="shared" si="683"/>
        <v>33913.323163833702</v>
      </c>
      <c r="AG417" s="9">
        <f t="shared" si="683"/>
        <v>34591.589627110377</v>
      </c>
      <c r="AH417" s="9">
        <f t="shared" si="683"/>
        <v>35283.421419652586</v>
      </c>
      <c r="AI417" s="9">
        <f t="shared" si="683"/>
        <v>35989.089848045638</v>
      </c>
      <c r="AJ417" s="9">
        <f t="shared" si="683"/>
        <v>36708.871645006555</v>
      </c>
      <c r="AK417" s="9">
        <f t="shared" si="683"/>
        <v>37443.049077906689</v>
      </c>
      <c r="AL417" s="9">
        <f t="shared" si="683"/>
        <v>38191.910059464826</v>
      </c>
      <c r="AM417" s="9">
        <f t="shared" si="683"/>
        <v>38955.748260654123</v>
      </c>
      <c r="AN417" s="9">
        <f t="shared" si="683"/>
        <v>39734.863225867208</v>
      </c>
      <c r="AO417" s="9">
        <f t="shared" si="683"/>
        <v>40529.560490384552</v>
      </c>
      <c r="AP417" s="9">
        <f t="shared" si="683"/>
        <v>41340.151700192248</v>
      </c>
      <c r="AQ417" s="9">
        <f t="shared" si="683"/>
        <v>42166.954734196093</v>
      </c>
      <c r="AR417" s="9">
        <f t="shared" si="683"/>
        <v>43010.293828880014</v>
      </c>
      <c r="AS417" s="9">
        <f t="shared" si="683"/>
        <v>43870.499705457616</v>
      </c>
      <c r="AT417" s="9">
        <f t="shared" si="683"/>
        <v>44747.909699566771</v>
      </c>
      <c r="AU417" s="9">
        <f t="shared" si="683"/>
        <v>45642.867893558105</v>
      </c>
      <c r="AV417" s="9">
        <f t="shared" si="683"/>
        <v>46555.72525142927</v>
      </c>
      <c r="AW417" s="26"/>
      <c r="AX417" s="27"/>
    </row>
    <row r="418" spans="1:50" ht="12.75" hidden="1" customHeight="1" outlineLevel="1">
      <c r="A418" s="296"/>
      <c r="B418" s="28" t="s">
        <v>168</v>
      </c>
      <c r="C418" s="23" t="s">
        <v>100</v>
      </c>
      <c r="D418" s="23"/>
      <c r="E418" s="215"/>
      <c r="F418" s="215"/>
      <c r="G418" s="215"/>
      <c r="H418" s="215"/>
      <c r="I418" s="224"/>
      <c r="J418" s="224"/>
      <c r="K418" s="224"/>
      <c r="L418" s="224"/>
      <c r="M418" s="224"/>
      <c r="N418" s="224"/>
      <c r="O418" s="224"/>
      <c r="P418" s="224"/>
      <c r="Q418" s="224">
        <f t="shared" ref="Q418" si="684">Q416*grams_lbs</f>
        <v>140.54452499999999</v>
      </c>
      <c r="R418" s="224">
        <f t="shared" ref="R418:AV418" si="685">R416*grams_lbs</f>
        <v>231.89846625000001</v>
      </c>
      <c r="S418" s="224">
        <f t="shared" si="685"/>
        <v>289.8730828125</v>
      </c>
      <c r="T418" s="224">
        <f t="shared" si="685"/>
        <v>333.35404523437501</v>
      </c>
      <c r="U418" s="224">
        <f t="shared" si="685"/>
        <v>383.35715201953127</v>
      </c>
      <c r="V418" s="224">
        <f t="shared" si="685"/>
        <v>421.69286722148445</v>
      </c>
      <c r="W418" s="224">
        <f t="shared" si="685"/>
        <v>442.77751058255865</v>
      </c>
      <c r="X418" s="224">
        <f t="shared" si="685"/>
        <v>464.91638611168662</v>
      </c>
      <c r="Y418" s="224">
        <f t="shared" si="685"/>
        <v>488.16220541727091</v>
      </c>
      <c r="Z418" s="224">
        <f t="shared" si="685"/>
        <v>497.92544952561639</v>
      </c>
      <c r="AA418" s="224">
        <f t="shared" si="685"/>
        <v>507.8839585161287</v>
      </c>
      <c r="AB418" s="224">
        <f t="shared" si="685"/>
        <v>518.04163768645128</v>
      </c>
      <c r="AC418" s="224">
        <f t="shared" si="685"/>
        <v>528.40247044018031</v>
      </c>
      <c r="AD418" s="224">
        <f t="shared" si="685"/>
        <v>538.97051984898394</v>
      </c>
      <c r="AE418" s="224">
        <f t="shared" si="685"/>
        <v>549.74993024596358</v>
      </c>
      <c r="AF418" s="224">
        <f t="shared" si="685"/>
        <v>560.74492885088296</v>
      </c>
      <c r="AG418" s="224">
        <f t="shared" si="685"/>
        <v>571.95982742790056</v>
      </c>
      <c r="AH418" s="224">
        <f t="shared" si="685"/>
        <v>583.39902397645858</v>
      </c>
      <c r="AI418" s="224">
        <f t="shared" si="685"/>
        <v>595.0670044559879</v>
      </c>
      <c r="AJ418" s="224">
        <f t="shared" si="685"/>
        <v>606.96834454510758</v>
      </c>
      <c r="AK418" s="224">
        <f t="shared" si="685"/>
        <v>619.10771143600994</v>
      </c>
      <c r="AL418" s="224">
        <f t="shared" si="685"/>
        <v>631.48986566473002</v>
      </c>
      <c r="AM418" s="224">
        <f t="shared" si="685"/>
        <v>644.11966297802462</v>
      </c>
      <c r="AN418" s="224">
        <f t="shared" si="685"/>
        <v>657.00205623758529</v>
      </c>
      <c r="AO418" s="224">
        <f t="shared" si="685"/>
        <v>670.14209736233693</v>
      </c>
      <c r="AP418" s="224">
        <f t="shared" si="685"/>
        <v>683.5449393095837</v>
      </c>
      <c r="AQ418" s="224">
        <f t="shared" si="685"/>
        <v>697.21583809577544</v>
      </c>
      <c r="AR418" s="224">
        <f t="shared" si="685"/>
        <v>711.16015485769083</v>
      </c>
      <c r="AS418" s="224">
        <f t="shared" si="685"/>
        <v>725.38335795484477</v>
      </c>
      <c r="AT418" s="224">
        <f t="shared" si="685"/>
        <v>739.89102511394174</v>
      </c>
      <c r="AU418" s="224">
        <f t="shared" si="685"/>
        <v>754.68884561622053</v>
      </c>
      <c r="AV418" s="224">
        <f t="shared" si="685"/>
        <v>769.78262252854506</v>
      </c>
      <c r="AW418" s="26"/>
      <c r="AX418" s="27"/>
    </row>
    <row r="419" spans="1:50" ht="12.75" hidden="1" customHeight="1" outlineLevel="1">
      <c r="A419" s="296"/>
      <c r="B419" s="28" t="s">
        <v>169</v>
      </c>
      <c r="C419" s="23" t="s">
        <v>100</v>
      </c>
      <c r="D419" s="23"/>
      <c r="E419" s="215"/>
      <c r="F419" s="215"/>
      <c r="G419" s="215"/>
      <c r="H419" s="215"/>
      <c r="I419" s="224"/>
      <c r="J419" s="224"/>
      <c r="K419" s="224"/>
      <c r="L419" s="224"/>
      <c r="M419" s="224"/>
      <c r="N419" s="224"/>
      <c r="O419" s="224"/>
      <c r="P419" s="224"/>
      <c r="Q419" s="224">
        <f t="shared" ref="Q419" si="686">Q417*grams_lbs</f>
        <v>18.739270000000001</v>
      </c>
      <c r="R419" s="224">
        <f t="shared" ref="R419:AV419" si="687">R417*grams_lbs</f>
        <v>30.919795499999999</v>
      </c>
      <c r="S419" s="224">
        <f t="shared" si="687"/>
        <v>38.649744374999997</v>
      </c>
      <c r="T419" s="224">
        <f t="shared" si="687"/>
        <v>44.447206031249998</v>
      </c>
      <c r="U419" s="224">
        <f t="shared" si="687"/>
        <v>51.1142869359375</v>
      </c>
      <c r="V419" s="224">
        <f t="shared" si="687"/>
        <v>56.225715629531258</v>
      </c>
      <c r="W419" s="224">
        <f t="shared" si="687"/>
        <v>59.037001411007822</v>
      </c>
      <c r="X419" s="224">
        <f t="shared" si="687"/>
        <v>61.988851481558214</v>
      </c>
      <c r="Y419" s="224">
        <f t="shared" si="687"/>
        <v>65.088294055636126</v>
      </c>
      <c r="Z419" s="224">
        <f t="shared" si="687"/>
        <v>66.390059936748855</v>
      </c>
      <c r="AA419" s="224">
        <f t="shared" si="687"/>
        <v>67.71786113548383</v>
      </c>
      <c r="AB419" s="224">
        <f t="shared" si="687"/>
        <v>69.07221835819351</v>
      </c>
      <c r="AC419" s="224">
        <f t="shared" si="687"/>
        <v>70.453662725357376</v>
      </c>
      <c r="AD419" s="224">
        <f t="shared" si="687"/>
        <v>71.862735979864524</v>
      </c>
      <c r="AE419" s="224">
        <f t="shared" si="687"/>
        <v>73.299990699461816</v>
      </c>
      <c r="AF419" s="224">
        <f t="shared" si="687"/>
        <v>74.765990513451058</v>
      </c>
      <c r="AG419" s="224">
        <f t="shared" si="687"/>
        <v>76.261310323720082</v>
      </c>
      <c r="AH419" s="224">
        <f t="shared" si="687"/>
        <v>77.786536530194482</v>
      </c>
      <c r="AI419" s="224">
        <f t="shared" si="687"/>
        <v>79.34226726079838</v>
      </c>
      <c r="AJ419" s="224">
        <f t="shared" si="687"/>
        <v>80.929112606014357</v>
      </c>
      <c r="AK419" s="224">
        <f t="shared" si="687"/>
        <v>82.547694858134648</v>
      </c>
      <c r="AL419" s="224">
        <f t="shared" si="687"/>
        <v>84.198648755297341</v>
      </c>
      <c r="AM419" s="224">
        <f t="shared" si="687"/>
        <v>85.882621730403301</v>
      </c>
      <c r="AN419" s="224">
        <f t="shared" si="687"/>
        <v>87.600274165011371</v>
      </c>
      <c r="AO419" s="224">
        <f t="shared" si="687"/>
        <v>89.352279648311594</v>
      </c>
      <c r="AP419" s="224">
        <f t="shared" si="687"/>
        <v>91.139325241277831</v>
      </c>
      <c r="AQ419" s="224">
        <f t="shared" si="687"/>
        <v>92.962111746103389</v>
      </c>
      <c r="AR419" s="224">
        <f t="shared" si="687"/>
        <v>94.821353981025453</v>
      </c>
      <c r="AS419" s="224">
        <f t="shared" si="687"/>
        <v>96.717781060645976</v>
      </c>
      <c r="AT419" s="224">
        <f t="shared" si="687"/>
        <v>98.652136681858892</v>
      </c>
      <c r="AU419" s="224">
        <f t="shared" si="687"/>
        <v>100.62517941549606</v>
      </c>
      <c r="AV419" s="224">
        <f t="shared" si="687"/>
        <v>102.637683003806</v>
      </c>
      <c r="AW419" s="26"/>
      <c r="AX419" s="27"/>
    </row>
    <row r="420" spans="1:50" ht="12.75" hidden="1" customHeight="1" outlineLevel="1">
      <c r="A420" s="296"/>
      <c r="B420" s="28"/>
      <c r="C420" s="23"/>
      <c r="D420" s="23"/>
      <c r="E420" s="216"/>
      <c r="F420" s="216"/>
      <c r="G420" s="216"/>
      <c r="H420" s="216"/>
      <c r="I420" s="216"/>
      <c r="J420" s="216"/>
      <c r="K420" s="216"/>
      <c r="L420" s="216"/>
      <c r="M420" s="216"/>
      <c r="N420" s="216"/>
      <c r="O420" s="216"/>
      <c r="P420" s="216"/>
      <c r="Q420" s="216"/>
      <c r="R420" s="216"/>
      <c r="S420" s="216"/>
      <c r="T420" s="216"/>
      <c r="U420" s="216"/>
      <c r="V420" s="216"/>
      <c r="W420" s="216"/>
      <c r="X420" s="216"/>
      <c r="Y420" s="216"/>
      <c r="Z420" s="216"/>
      <c r="AA420" s="216"/>
      <c r="AB420" s="216"/>
      <c r="AC420" s="216"/>
      <c r="AD420" s="216"/>
      <c r="AE420" s="216"/>
      <c r="AF420" s="216"/>
      <c r="AG420" s="216"/>
      <c r="AH420" s="216"/>
      <c r="AI420" s="216"/>
      <c r="AJ420" s="216"/>
      <c r="AK420" s="216"/>
      <c r="AL420" s="216"/>
      <c r="AM420" s="216"/>
      <c r="AN420" s="216"/>
      <c r="AO420" s="216"/>
      <c r="AP420" s="216"/>
      <c r="AQ420" s="216"/>
      <c r="AR420" s="216"/>
      <c r="AS420" s="216"/>
      <c r="AT420" s="216"/>
      <c r="AU420" s="216"/>
      <c r="AV420" s="216"/>
      <c r="AW420" s="26"/>
      <c r="AX420" s="27"/>
    </row>
    <row r="421" spans="1:50" ht="12.75" hidden="1" customHeight="1" outlineLevel="1">
      <c r="A421" s="296"/>
      <c r="B421" s="41" t="s">
        <v>208</v>
      </c>
      <c r="C421" s="318" t="s">
        <v>115</v>
      </c>
      <c r="D421" s="23"/>
      <c r="E421" s="216"/>
      <c r="F421" s="216"/>
      <c r="G421" s="216"/>
      <c r="H421" s="216"/>
      <c r="I421" s="216"/>
      <c r="J421" s="216"/>
      <c r="K421" s="216"/>
      <c r="L421" s="216"/>
      <c r="M421" s="216"/>
      <c r="N421" s="216"/>
      <c r="O421" s="216"/>
      <c r="P421" s="216"/>
      <c r="Q421" s="216">
        <f t="shared" ref="Q421:AV421" si="688">Q404*Q360+Q413*Q367</f>
        <v>127500</v>
      </c>
      <c r="R421" s="216">
        <f t="shared" si="688"/>
        <v>210375</v>
      </c>
      <c r="S421" s="216">
        <f t="shared" si="688"/>
        <v>262968.75</v>
      </c>
      <c r="T421" s="216">
        <f t="shared" si="688"/>
        <v>302414.0625</v>
      </c>
      <c r="U421" s="216">
        <f t="shared" si="688"/>
        <v>347776.171875</v>
      </c>
      <c r="V421" s="216">
        <f t="shared" si="688"/>
        <v>382553.78906250006</v>
      </c>
      <c r="W421" s="216">
        <f t="shared" si="688"/>
        <v>401681.47851562506</v>
      </c>
      <c r="X421" s="216">
        <f t="shared" si="688"/>
        <v>421765.55244140635</v>
      </c>
      <c r="Y421" s="216">
        <f t="shared" si="688"/>
        <v>442853.83006347663</v>
      </c>
      <c r="Z421" s="216">
        <f t="shared" si="688"/>
        <v>451710.90666474617</v>
      </c>
      <c r="AA421" s="216">
        <f t="shared" si="688"/>
        <v>460745.12479804113</v>
      </c>
      <c r="AB421" s="216">
        <f t="shared" si="688"/>
        <v>469960.02729400195</v>
      </c>
      <c r="AC421" s="216">
        <f t="shared" si="688"/>
        <v>479359.22783988196</v>
      </c>
      <c r="AD421" s="216">
        <f t="shared" si="688"/>
        <v>488946.41239667963</v>
      </c>
      <c r="AE421" s="216">
        <f t="shared" si="688"/>
        <v>498725.3406446132</v>
      </c>
      <c r="AF421" s="216">
        <f t="shared" si="688"/>
        <v>508699.84745750553</v>
      </c>
      <c r="AG421" s="216">
        <f t="shared" si="688"/>
        <v>518873.84440665564</v>
      </c>
      <c r="AH421" s="216">
        <f t="shared" si="688"/>
        <v>529251.32129478874</v>
      </c>
      <c r="AI421" s="216">
        <f t="shared" si="688"/>
        <v>539836.3477206846</v>
      </c>
      <c r="AJ421" s="216">
        <f t="shared" si="688"/>
        <v>550633.07467509829</v>
      </c>
      <c r="AK421" s="216">
        <f t="shared" si="688"/>
        <v>561645.73616860039</v>
      </c>
      <c r="AL421" s="216">
        <f t="shared" si="688"/>
        <v>572878.65089197236</v>
      </c>
      <c r="AM421" s="216">
        <f t="shared" si="688"/>
        <v>584336.22390981182</v>
      </c>
      <c r="AN421" s="216">
        <f t="shared" si="688"/>
        <v>596022.94838800817</v>
      </c>
      <c r="AO421" s="216">
        <f t="shared" si="688"/>
        <v>607943.40735576826</v>
      </c>
      <c r="AP421" s="216">
        <f t="shared" si="688"/>
        <v>620102.27550288371</v>
      </c>
      <c r="AQ421" s="216">
        <f t="shared" si="688"/>
        <v>632504.32101294142</v>
      </c>
      <c r="AR421" s="216">
        <f t="shared" si="688"/>
        <v>645154.40743320016</v>
      </c>
      <c r="AS421" s="216">
        <f t="shared" si="688"/>
        <v>658057.49558186426</v>
      </c>
      <c r="AT421" s="216">
        <f t="shared" si="688"/>
        <v>671218.64549350156</v>
      </c>
      <c r="AU421" s="216">
        <f t="shared" si="688"/>
        <v>684643.01840337156</v>
      </c>
      <c r="AV421" s="216">
        <f t="shared" si="688"/>
        <v>698335.87877143908</v>
      </c>
      <c r="AW421" s="26"/>
      <c r="AX421" s="27"/>
    </row>
    <row r="422" spans="1:50" ht="12.75" hidden="1" customHeight="1" outlineLevel="1">
      <c r="A422" s="296"/>
      <c r="B422" s="41" t="s">
        <v>209</v>
      </c>
      <c r="C422" s="318" t="s">
        <v>115</v>
      </c>
      <c r="D422" s="23"/>
      <c r="E422" s="216"/>
      <c r="F422" s="216"/>
      <c r="G422" s="216"/>
      <c r="H422" s="216"/>
      <c r="I422" s="216"/>
      <c r="J422" s="216"/>
      <c r="K422" s="216"/>
      <c r="L422" s="216"/>
      <c r="M422" s="216"/>
      <c r="N422" s="216"/>
      <c r="O422" s="216"/>
      <c r="P422" s="216"/>
      <c r="Q422" s="216">
        <f t="shared" ref="Q422:AV422" si="689">Q405*Q360+Q414*Q367</f>
        <v>17000</v>
      </c>
      <c r="R422" s="216">
        <f t="shared" si="689"/>
        <v>28050</v>
      </c>
      <c r="S422" s="216">
        <f t="shared" si="689"/>
        <v>35062.5</v>
      </c>
      <c r="T422" s="216">
        <f t="shared" si="689"/>
        <v>40321.875</v>
      </c>
      <c r="U422" s="216">
        <f t="shared" si="689"/>
        <v>46370.15625</v>
      </c>
      <c r="V422" s="216">
        <f t="shared" si="689"/>
        <v>51007.171875000007</v>
      </c>
      <c r="W422" s="216">
        <f t="shared" si="689"/>
        <v>53557.53046875001</v>
      </c>
      <c r="X422" s="216">
        <f t="shared" si="689"/>
        <v>56235.406992187513</v>
      </c>
      <c r="Y422" s="216">
        <f t="shared" si="689"/>
        <v>59047.177341796887</v>
      </c>
      <c r="Z422" s="216">
        <f t="shared" si="689"/>
        <v>60228.120888632824</v>
      </c>
      <c r="AA422" s="216">
        <f t="shared" si="689"/>
        <v>61432.683306405481</v>
      </c>
      <c r="AB422" s="216">
        <f t="shared" si="689"/>
        <v>62661.336972533594</v>
      </c>
      <c r="AC422" s="216">
        <f t="shared" si="689"/>
        <v>63914.563711984265</v>
      </c>
      <c r="AD422" s="216">
        <f t="shared" si="689"/>
        <v>65192.854986223952</v>
      </c>
      <c r="AE422" s="216">
        <f t="shared" si="689"/>
        <v>66496.712085948428</v>
      </c>
      <c r="AF422" s="216">
        <f t="shared" si="689"/>
        <v>67826.646327667404</v>
      </c>
      <c r="AG422" s="216">
        <f t="shared" si="689"/>
        <v>69183.179254220755</v>
      </c>
      <c r="AH422" s="216">
        <f t="shared" si="689"/>
        <v>70566.842839305173</v>
      </c>
      <c r="AI422" s="216">
        <f t="shared" si="689"/>
        <v>71978.179696091276</v>
      </c>
      <c r="AJ422" s="216">
        <f t="shared" si="689"/>
        <v>73417.74329001311</v>
      </c>
      <c r="AK422" s="216">
        <f t="shared" si="689"/>
        <v>74886.098155813379</v>
      </c>
      <c r="AL422" s="216">
        <f t="shared" si="689"/>
        <v>76383.820118929652</v>
      </c>
      <c r="AM422" s="216">
        <f t="shared" si="689"/>
        <v>77911.496521308247</v>
      </c>
      <c r="AN422" s="216">
        <f t="shared" si="689"/>
        <v>79469.726451734416</v>
      </c>
      <c r="AO422" s="216">
        <f t="shared" si="689"/>
        <v>81059.120980769105</v>
      </c>
      <c r="AP422" s="216">
        <f t="shared" si="689"/>
        <v>82680.303400384495</v>
      </c>
      <c r="AQ422" s="216">
        <f t="shared" si="689"/>
        <v>84333.909468392187</v>
      </c>
      <c r="AR422" s="216">
        <f t="shared" si="689"/>
        <v>86020.587657760028</v>
      </c>
      <c r="AS422" s="216">
        <f t="shared" si="689"/>
        <v>87740.999410915232</v>
      </c>
      <c r="AT422" s="216">
        <f t="shared" si="689"/>
        <v>89495.819399133543</v>
      </c>
      <c r="AU422" s="216">
        <f t="shared" si="689"/>
        <v>91285.735787116209</v>
      </c>
      <c r="AV422" s="216">
        <f t="shared" si="689"/>
        <v>93111.450502858541</v>
      </c>
      <c r="AW422" s="26"/>
      <c r="AX422" s="27"/>
    </row>
    <row r="423" spans="1:50" ht="12.75" hidden="1" customHeight="1" outlineLevel="1">
      <c r="A423" s="296"/>
      <c r="B423" s="10"/>
      <c r="C423" s="23"/>
      <c r="D423" s="23"/>
      <c r="E423" s="216"/>
      <c r="F423" s="216"/>
      <c r="G423" s="216"/>
      <c r="H423" s="216"/>
      <c r="I423" s="216"/>
      <c r="J423" s="216"/>
      <c r="K423" s="216"/>
      <c r="L423" s="216"/>
      <c r="M423" s="216"/>
      <c r="N423" s="216"/>
      <c r="O423" s="216"/>
      <c r="P423" s="216"/>
      <c r="Q423" s="216"/>
      <c r="R423" s="216"/>
      <c r="S423" s="216"/>
      <c r="T423" s="216"/>
      <c r="U423" s="216"/>
      <c r="V423" s="216"/>
      <c r="W423" s="216"/>
      <c r="X423" s="216"/>
      <c r="Y423" s="216"/>
      <c r="Z423" s="216"/>
      <c r="AA423" s="216"/>
      <c r="AB423" s="216"/>
      <c r="AC423" s="216"/>
      <c r="AD423" s="216"/>
      <c r="AE423" s="216"/>
      <c r="AF423" s="216"/>
      <c r="AG423" s="216"/>
      <c r="AH423" s="216"/>
      <c r="AI423" s="216"/>
      <c r="AJ423" s="216"/>
      <c r="AK423" s="216"/>
      <c r="AL423" s="216"/>
      <c r="AM423" s="216"/>
      <c r="AN423" s="216"/>
      <c r="AO423" s="216"/>
      <c r="AP423" s="216"/>
      <c r="AQ423" s="216"/>
      <c r="AR423" s="216"/>
      <c r="AS423" s="216"/>
      <c r="AT423" s="216"/>
      <c r="AU423" s="216"/>
      <c r="AV423" s="216"/>
      <c r="AW423" s="26"/>
      <c r="AX423" s="27"/>
    </row>
    <row r="424" spans="1:50" ht="12.75" hidden="1" customHeight="1" outlineLevel="1">
      <c r="A424" s="296"/>
      <c r="B424" s="41" t="s">
        <v>171</v>
      </c>
      <c r="C424" s="318" t="s">
        <v>115</v>
      </c>
      <c r="D424" s="318"/>
      <c r="E424" s="158"/>
      <c r="F424" s="158"/>
      <c r="G424" s="158"/>
      <c r="H424" s="158"/>
      <c r="I424" s="158"/>
      <c r="J424" s="158"/>
      <c r="K424" s="158"/>
      <c r="L424" s="158"/>
      <c r="M424" s="158"/>
      <c r="N424" s="158"/>
      <c r="O424" s="158"/>
      <c r="P424" s="158"/>
      <c r="Q424" s="158">
        <f t="shared" ref="Q424" si="690">Q421</f>
        <v>127500</v>
      </c>
      <c r="R424" s="158">
        <f t="shared" ref="R424:AV424" si="691">R421</f>
        <v>210375</v>
      </c>
      <c r="S424" s="158">
        <f t="shared" si="691"/>
        <v>262968.75</v>
      </c>
      <c r="T424" s="158">
        <f t="shared" si="691"/>
        <v>302414.0625</v>
      </c>
      <c r="U424" s="158">
        <f t="shared" si="691"/>
        <v>347776.171875</v>
      </c>
      <c r="V424" s="158">
        <f t="shared" si="691"/>
        <v>382553.78906250006</v>
      </c>
      <c r="W424" s="158">
        <f t="shared" si="691"/>
        <v>401681.47851562506</v>
      </c>
      <c r="X424" s="158">
        <f t="shared" si="691"/>
        <v>421765.55244140635</v>
      </c>
      <c r="Y424" s="158">
        <f t="shared" si="691"/>
        <v>442853.83006347663</v>
      </c>
      <c r="Z424" s="158">
        <f t="shared" si="691"/>
        <v>451710.90666474617</v>
      </c>
      <c r="AA424" s="158">
        <f t="shared" si="691"/>
        <v>460745.12479804113</v>
      </c>
      <c r="AB424" s="158">
        <f t="shared" si="691"/>
        <v>469960.02729400195</v>
      </c>
      <c r="AC424" s="158">
        <f t="shared" si="691"/>
        <v>479359.22783988196</v>
      </c>
      <c r="AD424" s="158">
        <f t="shared" si="691"/>
        <v>488946.41239667963</v>
      </c>
      <c r="AE424" s="158">
        <f t="shared" si="691"/>
        <v>498725.3406446132</v>
      </c>
      <c r="AF424" s="158">
        <f t="shared" si="691"/>
        <v>508699.84745750553</v>
      </c>
      <c r="AG424" s="158">
        <f t="shared" si="691"/>
        <v>518873.84440665564</v>
      </c>
      <c r="AH424" s="158">
        <f t="shared" si="691"/>
        <v>529251.32129478874</v>
      </c>
      <c r="AI424" s="158">
        <f t="shared" si="691"/>
        <v>539836.3477206846</v>
      </c>
      <c r="AJ424" s="158">
        <f t="shared" si="691"/>
        <v>550633.07467509829</v>
      </c>
      <c r="AK424" s="158">
        <f t="shared" si="691"/>
        <v>561645.73616860039</v>
      </c>
      <c r="AL424" s="158">
        <f t="shared" si="691"/>
        <v>572878.65089197236</v>
      </c>
      <c r="AM424" s="158">
        <f t="shared" si="691"/>
        <v>584336.22390981182</v>
      </c>
      <c r="AN424" s="158">
        <f t="shared" si="691"/>
        <v>596022.94838800817</v>
      </c>
      <c r="AO424" s="158">
        <f t="shared" si="691"/>
        <v>607943.40735576826</v>
      </c>
      <c r="AP424" s="158">
        <f t="shared" si="691"/>
        <v>620102.27550288371</v>
      </c>
      <c r="AQ424" s="158">
        <f t="shared" si="691"/>
        <v>632504.32101294142</v>
      </c>
      <c r="AR424" s="158">
        <f t="shared" si="691"/>
        <v>645154.40743320016</v>
      </c>
      <c r="AS424" s="158">
        <f t="shared" si="691"/>
        <v>658057.49558186426</v>
      </c>
      <c r="AT424" s="158">
        <f t="shared" si="691"/>
        <v>671218.64549350156</v>
      </c>
      <c r="AU424" s="158">
        <f t="shared" si="691"/>
        <v>684643.01840337156</v>
      </c>
      <c r="AV424" s="158">
        <f t="shared" si="691"/>
        <v>698335.87877143908</v>
      </c>
      <c r="AW424" s="26"/>
      <c r="AX424" s="27"/>
    </row>
    <row r="425" spans="1:50" ht="12.75" hidden="1" customHeight="1" outlineLevel="1">
      <c r="A425" s="296"/>
      <c r="B425" s="41" t="s">
        <v>172</v>
      </c>
      <c r="C425" s="318" t="s">
        <v>115</v>
      </c>
      <c r="D425" s="318"/>
      <c r="E425" s="158"/>
      <c r="F425" s="158"/>
      <c r="G425" s="158"/>
      <c r="H425" s="158"/>
      <c r="I425" s="158"/>
      <c r="J425" s="158"/>
      <c r="K425" s="158"/>
      <c r="L425" s="158"/>
      <c r="M425" s="158"/>
      <c r="N425" s="158"/>
      <c r="O425" s="158"/>
      <c r="P425" s="158"/>
      <c r="Q425" s="158">
        <f t="shared" ref="Q425" si="692">Q422</f>
        <v>17000</v>
      </c>
      <c r="R425" s="158">
        <f t="shared" ref="R425:AV425" si="693">R422</f>
        <v>28050</v>
      </c>
      <c r="S425" s="158">
        <f t="shared" si="693"/>
        <v>35062.5</v>
      </c>
      <c r="T425" s="158">
        <f t="shared" si="693"/>
        <v>40321.875</v>
      </c>
      <c r="U425" s="158">
        <f t="shared" si="693"/>
        <v>46370.15625</v>
      </c>
      <c r="V425" s="158">
        <f t="shared" si="693"/>
        <v>51007.171875000007</v>
      </c>
      <c r="W425" s="158">
        <f t="shared" si="693"/>
        <v>53557.53046875001</v>
      </c>
      <c r="X425" s="158">
        <f t="shared" si="693"/>
        <v>56235.406992187513</v>
      </c>
      <c r="Y425" s="158">
        <f t="shared" si="693"/>
        <v>59047.177341796887</v>
      </c>
      <c r="Z425" s="158">
        <f t="shared" si="693"/>
        <v>60228.120888632824</v>
      </c>
      <c r="AA425" s="158">
        <f t="shared" si="693"/>
        <v>61432.683306405481</v>
      </c>
      <c r="AB425" s="158">
        <f t="shared" si="693"/>
        <v>62661.336972533594</v>
      </c>
      <c r="AC425" s="158">
        <f t="shared" si="693"/>
        <v>63914.563711984265</v>
      </c>
      <c r="AD425" s="158">
        <f t="shared" si="693"/>
        <v>65192.854986223952</v>
      </c>
      <c r="AE425" s="158">
        <f t="shared" si="693"/>
        <v>66496.712085948428</v>
      </c>
      <c r="AF425" s="158">
        <f t="shared" si="693"/>
        <v>67826.646327667404</v>
      </c>
      <c r="AG425" s="158">
        <f t="shared" si="693"/>
        <v>69183.179254220755</v>
      </c>
      <c r="AH425" s="158">
        <f t="shared" si="693"/>
        <v>70566.842839305173</v>
      </c>
      <c r="AI425" s="158">
        <f t="shared" si="693"/>
        <v>71978.179696091276</v>
      </c>
      <c r="AJ425" s="158">
        <f t="shared" si="693"/>
        <v>73417.74329001311</v>
      </c>
      <c r="AK425" s="158">
        <f t="shared" si="693"/>
        <v>74886.098155813379</v>
      </c>
      <c r="AL425" s="158">
        <f t="shared" si="693"/>
        <v>76383.820118929652</v>
      </c>
      <c r="AM425" s="158">
        <f t="shared" si="693"/>
        <v>77911.496521308247</v>
      </c>
      <c r="AN425" s="158">
        <f t="shared" si="693"/>
        <v>79469.726451734416</v>
      </c>
      <c r="AO425" s="158">
        <f t="shared" si="693"/>
        <v>81059.120980769105</v>
      </c>
      <c r="AP425" s="158">
        <f t="shared" si="693"/>
        <v>82680.303400384495</v>
      </c>
      <c r="AQ425" s="158">
        <f t="shared" si="693"/>
        <v>84333.909468392187</v>
      </c>
      <c r="AR425" s="158">
        <f t="shared" si="693"/>
        <v>86020.587657760028</v>
      </c>
      <c r="AS425" s="158">
        <f t="shared" si="693"/>
        <v>87740.999410915232</v>
      </c>
      <c r="AT425" s="158">
        <f t="shared" si="693"/>
        <v>89495.819399133543</v>
      </c>
      <c r="AU425" s="158">
        <f t="shared" si="693"/>
        <v>91285.735787116209</v>
      </c>
      <c r="AV425" s="158">
        <f t="shared" si="693"/>
        <v>93111.450502858541</v>
      </c>
      <c r="AW425" s="26"/>
      <c r="AX425" s="27"/>
    </row>
    <row r="426" spans="1:50" ht="12.75" hidden="1" customHeight="1" outlineLevel="1">
      <c r="A426" s="296"/>
      <c r="B426" s="41" t="s">
        <v>171</v>
      </c>
      <c r="C426" s="318" t="s">
        <v>100</v>
      </c>
      <c r="D426" s="318"/>
      <c r="E426" s="158"/>
      <c r="F426" s="158"/>
      <c r="G426" s="158"/>
      <c r="H426" s="158"/>
      <c r="I426" s="158"/>
      <c r="J426" s="158"/>
      <c r="K426" s="226"/>
      <c r="L426" s="158"/>
      <c r="M426" s="158"/>
      <c r="N426" s="158"/>
      <c r="O426" s="158"/>
      <c r="P426" s="158"/>
      <c r="Q426" s="158">
        <f t="shared" ref="Q426" si="694">Q424*grams_lbs</f>
        <v>281.08904999999999</v>
      </c>
      <c r="R426" s="158">
        <f t="shared" ref="R426:AV426" si="695">R424*grams_lbs</f>
        <v>463.79693250000003</v>
      </c>
      <c r="S426" s="158">
        <f t="shared" si="695"/>
        <v>579.746165625</v>
      </c>
      <c r="T426" s="158">
        <f t="shared" si="695"/>
        <v>666.70809046875002</v>
      </c>
      <c r="U426" s="158">
        <f t="shared" si="695"/>
        <v>766.71430403906254</v>
      </c>
      <c r="V426" s="158">
        <f t="shared" si="695"/>
        <v>843.3857344429689</v>
      </c>
      <c r="W426" s="158">
        <f t="shared" si="695"/>
        <v>885.5550211651173</v>
      </c>
      <c r="X426" s="158">
        <f t="shared" si="695"/>
        <v>929.83277222337324</v>
      </c>
      <c r="Y426" s="158">
        <f t="shared" si="695"/>
        <v>976.32441083454182</v>
      </c>
      <c r="Z426" s="158">
        <f t="shared" si="695"/>
        <v>995.85089905123277</v>
      </c>
      <c r="AA426" s="158">
        <f t="shared" si="695"/>
        <v>1015.7679170322574</v>
      </c>
      <c r="AB426" s="158">
        <f t="shared" si="695"/>
        <v>1036.0832753729026</v>
      </c>
      <c r="AC426" s="158">
        <f t="shared" si="695"/>
        <v>1056.8049408803606</v>
      </c>
      <c r="AD426" s="158">
        <f t="shared" si="695"/>
        <v>1077.9410396979679</v>
      </c>
      <c r="AE426" s="158">
        <f t="shared" si="695"/>
        <v>1099.4998604919272</v>
      </c>
      <c r="AF426" s="158">
        <f t="shared" si="695"/>
        <v>1121.4898577017659</v>
      </c>
      <c r="AG426" s="158">
        <f t="shared" si="695"/>
        <v>1143.9196548558011</v>
      </c>
      <c r="AH426" s="158">
        <f t="shared" si="695"/>
        <v>1166.7980479529172</v>
      </c>
      <c r="AI426" s="158">
        <f t="shared" si="695"/>
        <v>1190.1340089119758</v>
      </c>
      <c r="AJ426" s="158">
        <f t="shared" si="695"/>
        <v>1213.9366890902152</v>
      </c>
      <c r="AK426" s="158">
        <f t="shared" si="695"/>
        <v>1238.2154228720199</v>
      </c>
      <c r="AL426" s="158">
        <f t="shared" si="695"/>
        <v>1262.97973132946</v>
      </c>
      <c r="AM426" s="158">
        <f t="shared" si="695"/>
        <v>1288.2393259560492</v>
      </c>
      <c r="AN426" s="158">
        <f t="shared" si="695"/>
        <v>1314.0041124751706</v>
      </c>
      <c r="AO426" s="158">
        <f t="shared" si="695"/>
        <v>1340.2841947246739</v>
      </c>
      <c r="AP426" s="158">
        <f t="shared" si="695"/>
        <v>1367.0898786191674</v>
      </c>
      <c r="AQ426" s="158">
        <f t="shared" si="695"/>
        <v>1394.4316761915509</v>
      </c>
      <c r="AR426" s="158">
        <f t="shared" si="695"/>
        <v>1422.3203097153817</v>
      </c>
      <c r="AS426" s="158">
        <f t="shared" si="695"/>
        <v>1450.7667159096895</v>
      </c>
      <c r="AT426" s="158">
        <f t="shared" si="695"/>
        <v>1479.7820502278835</v>
      </c>
      <c r="AU426" s="158">
        <f t="shared" si="695"/>
        <v>1509.3776912324411</v>
      </c>
      <c r="AV426" s="158">
        <f t="shared" si="695"/>
        <v>1539.5652450570901</v>
      </c>
      <c r="AW426" s="26"/>
      <c r="AX426" s="27"/>
    </row>
    <row r="427" spans="1:50" ht="12.6" hidden="1" customHeight="1" outlineLevel="1">
      <c r="A427" s="296"/>
      <c r="B427" s="41" t="s">
        <v>172</v>
      </c>
      <c r="C427" s="318" t="s">
        <v>100</v>
      </c>
      <c r="D427" s="3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>
        <f t="shared" ref="Q427" si="696">Q425*grams_lbs</f>
        <v>37.478540000000002</v>
      </c>
      <c r="R427" s="218">
        <f t="shared" ref="R427:AV427" si="697">R425*grams_lbs</f>
        <v>61.839590999999999</v>
      </c>
      <c r="S427" s="218">
        <f t="shared" si="697"/>
        <v>77.299488749999995</v>
      </c>
      <c r="T427" s="218">
        <f t="shared" si="697"/>
        <v>88.894412062499995</v>
      </c>
      <c r="U427" s="218">
        <f t="shared" si="697"/>
        <v>102.228573871875</v>
      </c>
      <c r="V427" s="218">
        <f t="shared" si="697"/>
        <v>112.45143125906252</v>
      </c>
      <c r="W427" s="218">
        <f t="shared" si="697"/>
        <v>118.07400282201564</v>
      </c>
      <c r="X427" s="218">
        <f t="shared" si="697"/>
        <v>123.97770296311643</v>
      </c>
      <c r="Y427" s="218">
        <f t="shared" si="697"/>
        <v>130.17658811127225</v>
      </c>
      <c r="Z427" s="218">
        <f t="shared" si="697"/>
        <v>132.78011987349771</v>
      </c>
      <c r="AA427" s="218">
        <f t="shared" si="697"/>
        <v>135.43572227096766</v>
      </c>
      <c r="AB427" s="218">
        <f t="shared" si="697"/>
        <v>138.14443671638702</v>
      </c>
      <c r="AC427" s="218">
        <f t="shared" si="697"/>
        <v>140.90732545071475</v>
      </c>
      <c r="AD427" s="218">
        <f t="shared" si="697"/>
        <v>143.72547195972905</v>
      </c>
      <c r="AE427" s="218">
        <f t="shared" si="697"/>
        <v>146.59998139892363</v>
      </c>
      <c r="AF427" s="218">
        <f t="shared" si="697"/>
        <v>149.53198102690212</v>
      </c>
      <c r="AG427" s="218">
        <f t="shared" si="697"/>
        <v>152.52262064744016</v>
      </c>
      <c r="AH427" s="218">
        <f t="shared" si="697"/>
        <v>155.57307306038896</v>
      </c>
      <c r="AI427" s="218">
        <f t="shared" si="697"/>
        <v>158.68453452159676</v>
      </c>
      <c r="AJ427" s="218">
        <f t="shared" si="697"/>
        <v>161.85822521202871</v>
      </c>
      <c r="AK427" s="218">
        <f t="shared" si="697"/>
        <v>165.0953897162693</v>
      </c>
      <c r="AL427" s="218">
        <f t="shared" si="697"/>
        <v>168.39729751059468</v>
      </c>
      <c r="AM427" s="218">
        <f t="shared" si="697"/>
        <v>171.7652434608066</v>
      </c>
      <c r="AN427" s="218">
        <f t="shared" si="697"/>
        <v>175.20054833002274</v>
      </c>
      <c r="AO427" s="218">
        <f t="shared" si="697"/>
        <v>178.70455929662319</v>
      </c>
      <c r="AP427" s="218">
        <f t="shared" si="697"/>
        <v>182.27865048255566</v>
      </c>
      <c r="AQ427" s="218">
        <f t="shared" si="697"/>
        <v>185.92422349220678</v>
      </c>
      <c r="AR427" s="218">
        <f t="shared" si="697"/>
        <v>189.64270796205091</v>
      </c>
      <c r="AS427" s="218">
        <f t="shared" si="697"/>
        <v>193.43556212129195</v>
      </c>
      <c r="AT427" s="218">
        <f t="shared" si="697"/>
        <v>197.30427336371778</v>
      </c>
      <c r="AU427" s="218">
        <f t="shared" si="697"/>
        <v>201.25035883099213</v>
      </c>
      <c r="AV427" s="218">
        <f t="shared" si="697"/>
        <v>205.27536600761201</v>
      </c>
      <c r="AW427" s="26"/>
      <c r="AX427" s="27"/>
    </row>
    <row r="428" spans="1:50" ht="12.6" hidden="1" customHeight="1" outlineLevel="1">
      <c r="A428" s="296"/>
      <c r="B428" s="28"/>
      <c r="C428" s="23"/>
      <c r="D428" s="23"/>
      <c r="E428" s="216"/>
      <c r="F428" s="52"/>
      <c r="G428" s="52"/>
      <c r="H428" s="24">
        <f>IF(H63&gt;0,G428,0)</f>
        <v>0</v>
      </c>
      <c r="I428" s="24"/>
      <c r="J428" s="24"/>
      <c r="K428" s="24"/>
      <c r="L428" s="24"/>
      <c r="M428" s="24">
        <f>IF(M63&gt;0,L428,0)</f>
        <v>0</v>
      </c>
      <c r="N428" s="24">
        <f>IF(N63&gt;0,M428,0)</f>
        <v>0</v>
      </c>
      <c r="O428" s="24"/>
      <c r="P428" s="24"/>
      <c r="Q428" s="24">
        <f t="shared" ref="Q428:AV428" si="698">IF(Q63&gt;0,P428,0)</f>
        <v>0</v>
      </c>
      <c r="R428" s="24">
        <f t="shared" si="698"/>
        <v>0</v>
      </c>
      <c r="S428" s="24">
        <f t="shared" si="698"/>
        <v>0</v>
      </c>
      <c r="T428" s="24">
        <f t="shared" si="698"/>
        <v>0</v>
      </c>
      <c r="U428" s="24">
        <f t="shared" si="698"/>
        <v>0</v>
      </c>
      <c r="V428" s="24">
        <f t="shared" si="698"/>
        <v>0</v>
      </c>
      <c r="W428" s="24">
        <f t="shared" si="698"/>
        <v>0</v>
      </c>
      <c r="X428" s="24">
        <f t="shared" si="698"/>
        <v>0</v>
      </c>
      <c r="Y428" s="24">
        <f t="shared" si="698"/>
        <v>0</v>
      </c>
      <c r="Z428" s="24">
        <f t="shared" si="698"/>
        <v>0</v>
      </c>
      <c r="AA428" s="24">
        <f t="shared" si="698"/>
        <v>0</v>
      </c>
      <c r="AB428" s="24">
        <f t="shared" si="698"/>
        <v>0</v>
      </c>
      <c r="AC428" s="24">
        <f t="shared" si="698"/>
        <v>0</v>
      </c>
      <c r="AD428" s="24">
        <f t="shared" si="698"/>
        <v>0</v>
      </c>
      <c r="AE428" s="24">
        <f t="shared" si="698"/>
        <v>0</v>
      </c>
      <c r="AF428" s="24">
        <f t="shared" si="698"/>
        <v>0</v>
      </c>
      <c r="AG428" s="24">
        <f t="shared" si="698"/>
        <v>0</v>
      </c>
      <c r="AH428" s="24">
        <f t="shared" si="698"/>
        <v>0</v>
      </c>
      <c r="AI428" s="24">
        <f t="shared" si="698"/>
        <v>0</v>
      </c>
      <c r="AJ428" s="24">
        <f t="shared" si="698"/>
        <v>0</v>
      </c>
      <c r="AK428" s="24">
        <f t="shared" si="698"/>
        <v>0</v>
      </c>
      <c r="AL428" s="24">
        <f t="shared" si="698"/>
        <v>0</v>
      </c>
      <c r="AM428" s="24">
        <f t="shared" si="698"/>
        <v>0</v>
      </c>
      <c r="AN428" s="24">
        <f t="shared" si="698"/>
        <v>0</v>
      </c>
      <c r="AO428" s="24">
        <f t="shared" si="698"/>
        <v>0</v>
      </c>
      <c r="AP428" s="24">
        <f t="shared" si="698"/>
        <v>0</v>
      </c>
      <c r="AQ428" s="24">
        <f t="shared" si="698"/>
        <v>0</v>
      </c>
      <c r="AR428" s="24">
        <f t="shared" si="698"/>
        <v>0</v>
      </c>
      <c r="AS428" s="24">
        <f t="shared" si="698"/>
        <v>0</v>
      </c>
      <c r="AT428" s="24">
        <f t="shared" si="698"/>
        <v>0</v>
      </c>
      <c r="AU428" s="24">
        <f t="shared" si="698"/>
        <v>0</v>
      </c>
      <c r="AV428" s="24">
        <f t="shared" si="698"/>
        <v>0</v>
      </c>
      <c r="AW428" s="26"/>
      <c r="AX428" s="27"/>
    </row>
    <row r="429" spans="1:50" collapsed="1">
      <c r="A429" s="296" t="s">
        <v>138</v>
      </c>
      <c r="B429" s="21" t="s">
        <v>63</v>
      </c>
      <c r="C429" s="22"/>
      <c r="D429" s="147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0"/>
      <c r="AX429" s="27"/>
    </row>
    <row r="430" spans="1:50" ht="12.75" hidden="1" customHeight="1" outlineLevel="1">
      <c r="A430" s="296"/>
      <c r="B430" s="13" t="s">
        <v>59</v>
      </c>
      <c r="C430" s="23"/>
      <c r="D430" s="23"/>
      <c r="E430" s="24"/>
      <c r="G430" s="24"/>
      <c r="H430" s="25"/>
      <c r="I430" s="24"/>
      <c r="K430" s="24"/>
      <c r="L430" s="25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6"/>
      <c r="AX430" s="27"/>
    </row>
    <row r="431" spans="1:50" ht="12.75" hidden="1" customHeight="1" outlineLevel="1" collapsed="1">
      <c r="A431" s="296"/>
      <c r="B431" s="13" t="s">
        <v>237</v>
      </c>
      <c r="C431" s="23"/>
      <c r="D431" s="23"/>
      <c r="E431" s="24"/>
      <c r="G431" s="24"/>
      <c r="H431" s="25"/>
      <c r="I431" s="24"/>
      <c r="K431" s="24"/>
      <c r="L431" s="25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6"/>
      <c r="AX431" s="27"/>
    </row>
    <row r="432" spans="1:50" ht="12.75" hidden="1" customHeight="1" outlineLevel="2">
      <c r="A432" s="296"/>
      <c r="B432" s="212" t="s">
        <v>160</v>
      </c>
      <c r="C432" s="213"/>
      <c r="D432" s="213"/>
      <c r="E432" s="155"/>
      <c r="F432" s="214"/>
      <c r="G432" s="155"/>
      <c r="H432" s="159"/>
      <c r="I432" s="155"/>
      <c r="J432" s="214"/>
      <c r="K432" s="155"/>
      <c r="L432" s="159"/>
      <c r="M432" s="155"/>
      <c r="N432" s="155"/>
      <c r="O432" s="155"/>
      <c r="P432" s="155"/>
      <c r="Q432" s="155"/>
      <c r="R432" s="155"/>
      <c r="S432" s="155"/>
      <c r="T432" s="155"/>
      <c r="U432" s="155"/>
      <c r="V432" s="155"/>
      <c r="W432" s="155"/>
      <c r="X432" s="155"/>
      <c r="Y432" s="155"/>
      <c r="Z432" s="155"/>
      <c r="AA432" s="155"/>
      <c r="AB432" s="155"/>
      <c r="AC432" s="155"/>
      <c r="AD432" s="155"/>
      <c r="AE432" s="155"/>
      <c r="AF432" s="155"/>
      <c r="AG432" s="155"/>
      <c r="AH432" s="155"/>
      <c r="AI432" s="155"/>
      <c r="AJ432" s="155"/>
      <c r="AK432" s="155"/>
      <c r="AL432" s="155"/>
      <c r="AM432" s="155"/>
      <c r="AN432" s="155"/>
      <c r="AO432" s="155"/>
      <c r="AP432" s="155"/>
      <c r="AQ432" s="155"/>
      <c r="AR432" s="155"/>
      <c r="AS432" s="155"/>
      <c r="AT432" s="155"/>
      <c r="AU432" s="155"/>
      <c r="AV432" s="155"/>
      <c r="AW432" s="26"/>
      <c r="AX432" s="27"/>
    </row>
    <row r="433" spans="1:50" ht="12.75" hidden="1" customHeight="1" outlineLevel="2">
      <c r="A433" s="296"/>
      <c r="B433" s="30" t="s">
        <v>156</v>
      </c>
      <c r="C433" s="23" t="s">
        <v>100</v>
      </c>
      <c r="D433" s="23"/>
      <c r="E433" s="24"/>
      <c r="F433" s="24"/>
      <c r="G433" s="24"/>
      <c r="H433" s="24"/>
      <c r="I433" s="241"/>
      <c r="J433" s="241">
        <f>J67</f>
        <v>0</v>
      </c>
      <c r="K433" s="241">
        <f>K67</f>
        <v>580.36621500000001</v>
      </c>
      <c r="L433" s="241">
        <f t="shared" ref="L433:AV433" si="699">L80</f>
        <v>117.62088624</v>
      </c>
      <c r="M433" s="241">
        <f t="shared" si="699"/>
        <v>117.62088624</v>
      </c>
      <c r="N433" s="241">
        <f t="shared" si="699"/>
        <v>825.33905935890425</v>
      </c>
      <c r="O433" s="241">
        <f t="shared" si="699"/>
        <v>128.89960135890411</v>
      </c>
      <c r="P433" s="241">
        <f t="shared" si="699"/>
        <v>128.89960135890411</v>
      </c>
      <c r="Q433" s="241">
        <f t="shared" si="699"/>
        <v>825.33905935890425</v>
      </c>
      <c r="R433" s="241">
        <f t="shared" si="699"/>
        <v>830.79821188356152</v>
      </c>
      <c r="S433" s="241">
        <f t="shared" si="699"/>
        <v>1661.596423767123</v>
      </c>
      <c r="T433" s="241">
        <f t="shared" si="699"/>
        <v>2358.0358817671231</v>
      </c>
      <c r="U433" s="241">
        <f t="shared" si="699"/>
        <v>1661.596423767123</v>
      </c>
      <c r="V433" s="241">
        <f t="shared" si="699"/>
        <v>1661.596423767123</v>
      </c>
      <c r="W433" s="241">
        <f t="shared" si="699"/>
        <v>2358.0358817671231</v>
      </c>
      <c r="X433" s="241">
        <f t="shared" si="699"/>
        <v>1661.596423767123</v>
      </c>
      <c r="Y433" s="241">
        <f t="shared" si="699"/>
        <v>1661.596423767123</v>
      </c>
      <c r="Z433" s="241">
        <f t="shared" si="699"/>
        <v>2358.0358817671231</v>
      </c>
      <c r="AA433" s="241">
        <f t="shared" si="699"/>
        <v>1661.596423767123</v>
      </c>
      <c r="AB433" s="241">
        <f t="shared" si="699"/>
        <v>1661.596423767123</v>
      </c>
      <c r="AC433" s="241">
        <f t="shared" si="699"/>
        <v>2358.0358817671231</v>
      </c>
      <c r="AD433" s="241">
        <f t="shared" si="699"/>
        <v>1661.596423767123</v>
      </c>
      <c r="AE433" s="241">
        <f t="shared" si="699"/>
        <v>1661.596423767123</v>
      </c>
      <c r="AF433" s="241">
        <f t="shared" si="699"/>
        <v>2358.0358817671231</v>
      </c>
      <c r="AG433" s="241">
        <f t="shared" si="699"/>
        <v>1661.596423767123</v>
      </c>
      <c r="AH433" s="241">
        <f t="shared" si="699"/>
        <v>1661.596423767123</v>
      </c>
      <c r="AI433" s="241">
        <f t="shared" si="699"/>
        <v>2358.0358817671231</v>
      </c>
      <c r="AJ433" s="241">
        <f t="shared" si="699"/>
        <v>1661.596423767123</v>
      </c>
      <c r="AK433" s="241">
        <f t="shared" si="699"/>
        <v>1661.596423767123</v>
      </c>
      <c r="AL433" s="241">
        <f t="shared" si="699"/>
        <v>2358.0358817671231</v>
      </c>
      <c r="AM433" s="241">
        <f t="shared" si="699"/>
        <v>1661.596423767123</v>
      </c>
      <c r="AN433" s="241">
        <f t="shared" si="699"/>
        <v>1661.596423767123</v>
      </c>
      <c r="AO433" s="241">
        <f t="shared" si="699"/>
        <v>2358.0358817671231</v>
      </c>
      <c r="AP433" s="241">
        <f t="shared" si="699"/>
        <v>1661.596423767123</v>
      </c>
      <c r="AQ433" s="241">
        <f t="shared" si="699"/>
        <v>1661.596423767123</v>
      </c>
      <c r="AR433" s="241">
        <f t="shared" si="699"/>
        <v>2358.0358817671231</v>
      </c>
      <c r="AS433" s="241">
        <f t="shared" si="699"/>
        <v>1661.596423767123</v>
      </c>
      <c r="AT433" s="241">
        <f t="shared" si="699"/>
        <v>1661.596423767123</v>
      </c>
      <c r="AU433" s="241">
        <f t="shared" si="699"/>
        <v>2358.0358817671231</v>
      </c>
      <c r="AV433" s="241">
        <f t="shared" si="699"/>
        <v>1661.596423767123</v>
      </c>
      <c r="AW433" s="26"/>
      <c r="AX433" s="27"/>
    </row>
    <row r="434" spans="1:50" ht="12.75" hidden="1" customHeight="1" outlineLevel="2">
      <c r="A434" s="296"/>
      <c r="B434" s="30"/>
      <c r="C434" s="23"/>
      <c r="D434" s="23"/>
      <c r="E434" s="24"/>
      <c r="F434" s="24"/>
      <c r="G434" s="24"/>
      <c r="H434" s="24"/>
      <c r="I434" s="241"/>
      <c r="J434" s="241"/>
      <c r="K434" s="241"/>
      <c r="L434" s="241"/>
      <c r="M434" s="241"/>
      <c r="N434" s="241"/>
      <c r="O434" s="241"/>
      <c r="P434" s="241"/>
      <c r="Q434" s="241"/>
      <c r="R434" s="241"/>
      <c r="S434" s="241"/>
      <c r="T434" s="241"/>
      <c r="U434" s="241"/>
      <c r="V434" s="241"/>
      <c r="W434" s="241"/>
      <c r="X434" s="241"/>
      <c r="Y434" s="241"/>
      <c r="Z434" s="241"/>
      <c r="AA434" s="241"/>
      <c r="AB434" s="241"/>
      <c r="AC434" s="241"/>
      <c r="AD434" s="241"/>
      <c r="AE434" s="241"/>
      <c r="AF434" s="241"/>
      <c r="AG434" s="241"/>
      <c r="AH434" s="241"/>
      <c r="AI434" s="241"/>
      <c r="AJ434" s="241"/>
      <c r="AK434" s="241"/>
      <c r="AL434" s="241"/>
      <c r="AM434" s="241"/>
      <c r="AN434" s="241"/>
      <c r="AO434" s="241"/>
      <c r="AP434" s="241"/>
      <c r="AQ434" s="241"/>
      <c r="AR434" s="241"/>
      <c r="AS434" s="241"/>
      <c r="AT434" s="241"/>
      <c r="AU434" s="241"/>
      <c r="AV434" s="241"/>
      <c r="AW434" s="26"/>
      <c r="AX434" s="27"/>
    </row>
    <row r="435" spans="1:50" ht="12.75" hidden="1" customHeight="1" outlineLevel="2">
      <c r="A435" s="296"/>
      <c r="B435" s="30" t="s">
        <v>156</v>
      </c>
      <c r="C435" s="23" t="s">
        <v>115</v>
      </c>
      <c r="D435" s="23"/>
      <c r="E435" s="24"/>
      <c r="F435" s="24"/>
      <c r="G435" s="24"/>
      <c r="H435" s="24"/>
      <c r="I435" s="24"/>
      <c r="J435" s="24">
        <f>J68</f>
        <v>0</v>
      </c>
      <c r="K435" s="24">
        <f>K68</f>
        <v>263250</v>
      </c>
      <c r="L435" s="24">
        <f t="shared" ref="L435:AV435" si="700">L81</f>
        <v>53352</v>
      </c>
      <c r="M435" s="24">
        <f t="shared" si="700"/>
        <v>53352</v>
      </c>
      <c r="N435" s="24">
        <f t="shared" si="700"/>
        <v>374367.94520547951</v>
      </c>
      <c r="O435" s="24">
        <f t="shared" si="700"/>
        <v>58467.945205479446</v>
      </c>
      <c r="P435" s="24">
        <f t="shared" si="700"/>
        <v>58467.945205479446</v>
      </c>
      <c r="Q435" s="24">
        <f t="shared" si="700"/>
        <v>374367.94520547951</v>
      </c>
      <c r="R435" s="24">
        <f t="shared" si="700"/>
        <v>376844.17808219173</v>
      </c>
      <c r="S435" s="24">
        <f t="shared" si="700"/>
        <v>753688.35616438347</v>
      </c>
      <c r="T435" s="24">
        <f t="shared" si="700"/>
        <v>1069588.3561643835</v>
      </c>
      <c r="U435" s="24">
        <f t="shared" si="700"/>
        <v>753688.35616438347</v>
      </c>
      <c r="V435" s="24">
        <f t="shared" si="700"/>
        <v>753688.35616438347</v>
      </c>
      <c r="W435" s="24">
        <f t="shared" si="700"/>
        <v>1069588.3561643835</v>
      </c>
      <c r="X435" s="24">
        <f t="shared" si="700"/>
        <v>753688.35616438347</v>
      </c>
      <c r="Y435" s="24">
        <f t="shared" si="700"/>
        <v>753688.35616438347</v>
      </c>
      <c r="Z435" s="24">
        <f t="shared" si="700"/>
        <v>1069588.3561643835</v>
      </c>
      <c r="AA435" s="24">
        <f t="shared" si="700"/>
        <v>753688.35616438347</v>
      </c>
      <c r="AB435" s="24">
        <f t="shared" si="700"/>
        <v>753688.35616438347</v>
      </c>
      <c r="AC435" s="24">
        <f t="shared" si="700"/>
        <v>1069588.3561643835</v>
      </c>
      <c r="AD435" s="24">
        <f t="shared" si="700"/>
        <v>753688.35616438347</v>
      </c>
      <c r="AE435" s="24">
        <f t="shared" si="700"/>
        <v>753688.35616438347</v>
      </c>
      <c r="AF435" s="24">
        <f t="shared" si="700"/>
        <v>1069588.3561643835</v>
      </c>
      <c r="AG435" s="24">
        <f t="shared" si="700"/>
        <v>753688.35616438347</v>
      </c>
      <c r="AH435" s="24">
        <f t="shared" si="700"/>
        <v>753688.35616438347</v>
      </c>
      <c r="AI435" s="24">
        <f t="shared" si="700"/>
        <v>1069588.3561643835</v>
      </c>
      <c r="AJ435" s="24">
        <f t="shared" si="700"/>
        <v>753688.35616438347</v>
      </c>
      <c r="AK435" s="24">
        <f t="shared" si="700"/>
        <v>753688.35616438347</v>
      </c>
      <c r="AL435" s="24">
        <f t="shared" si="700"/>
        <v>1069588.3561643835</v>
      </c>
      <c r="AM435" s="24">
        <f t="shared" si="700"/>
        <v>753688.35616438347</v>
      </c>
      <c r="AN435" s="24">
        <f t="shared" si="700"/>
        <v>753688.35616438347</v>
      </c>
      <c r="AO435" s="24">
        <f t="shared" si="700"/>
        <v>1069588.3561643835</v>
      </c>
      <c r="AP435" s="24">
        <f t="shared" si="700"/>
        <v>753688.35616438347</v>
      </c>
      <c r="AQ435" s="24">
        <f t="shared" si="700"/>
        <v>753688.35616438347</v>
      </c>
      <c r="AR435" s="24">
        <f t="shared" si="700"/>
        <v>1069588.3561643835</v>
      </c>
      <c r="AS435" s="24">
        <f t="shared" si="700"/>
        <v>753688.35616438347</v>
      </c>
      <c r="AT435" s="24">
        <f t="shared" si="700"/>
        <v>753688.35616438347</v>
      </c>
      <c r="AU435" s="24">
        <f t="shared" si="700"/>
        <v>1069588.3561643835</v>
      </c>
      <c r="AV435" s="24">
        <f t="shared" si="700"/>
        <v>753688.35616438347</v>
      </c>
      <c r="AW435" s="26"/>
      <c r="AX435" s="27"/>
    </row>
    <row r="436" spans="1:50" ht="12.75" hidden="1" customHeight="1" outlineLevel="2">
      <c r="A436" s="296"/>
      <c r="B436" s="30"/>
      <c r="C436" s="23"/>
      <c r="D436" s="23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6"/>
      <c r="AX436" s="27"/>
    </row>
    <row r="437" spans="1:50" s="4" customFormat="1" ht="12.75" hidden="1" customHeight="1" outlineLevel="2">
      <c r="A437" s="297"/>
      <c r="B437" s="41" t="s">
        <v>163</v>
      </c>
      <c r="C437" s="20" t="s">
        <v>100</v>
      </c>
      <c r="D437" s="20"/>
      <c r="E437" s="40">
        <f t="shared" ref="E437:J437" si="701">SUM(E433:E434)</f>
        <v>0</v>
      </c>
      <c r="F437" s="40">
        <f t="shared" si="701"/>
        <v>0</v>
      </c>
      <c r="G437" s="40">
        <f t="shared" si="701"/>
        <v>0</v>
      </c>
      <c r="H437" s="40">
        <f t="shared" si="701"/>
        <v>0</v>
      </c>
      <c r="I437" s="40">
        <f t="shared" si="701"/>
        <v>0</v>
      </c>
      <c r="J437" s="40">
        <f t="shared" si="701"/>
        <v>0</v>
      </c>
      <c r="K437" s="40">
        <f t="shared" ref="K437:AV437" si="702">SUM(K433:K434)</f>
        <v>580.36621500000001</v>
      </c>
      <c r="L437" s="40">
        <f t="shared" si="702"/>
        <v>117.62088624</v>
      </c>
      <c r="M437" s="40">
        <f t="shared" si="702"/>
        <v>117.62088624</v>
      </c>
      <c r="N437" s="40">
        <f t="shared" si="702"/>
        <v>825.33905935890425</v>
      </c>
      <c r="O437" s="40">
        <f t="shared" si="702"/>
        <v>128.89960135890411</v>
      </c>
      <c r="P437" s="40">
        <f t="shared" si="702"/>
        <v>128.89960135890411</v>
      </c>
      <c r="Q437" s="40">
        <f t="shared" si="702"/>
        <v>825.33905935890425</v>
      </c>
      <c r="R437" s="40">
        <f t="shared" si="702"/>
        <v>830.79821188356152</v>
      </c>
      <c r="S437" s="40">
        <f t="shared" si="702"/>
        <v>1661.596423767123</v>
      </c>
      <c r="T437" s="40">
        <f t="shared" si="702"/>
        <v>2358.0358817671231</v>
      </c>
      <c r="U437" s="40">
        <f t="shared" si="702"/>
        <v>1661.596423767123</v>
      </c>
      <c r="V437" s="40">
        <f t="shared" si="702"/>
        <v>1661.596423767123</v>
      </c>
      <c r="W437" s="40">
        <f t="shared" si="702"/>
        <v>2358.0358817671231</v>
      </c>
      <c r="X437" s="40">
        <f t="shared" si="702"/>
        <v>1661.596423767123</v>
      </c>
      <c r="Y437" s="40">
        <f t="shared" si="702"/>
        <v>1661.596423767123</v>
      </c>
      <c r="Z437" s="40">
        <f t="shared" si="702"/>
        <v>2358.0358817671231</v>
      </c>
      <c r="AA437" s="40">
        <f t="shared" si="702"/>
        <v>1661.596423767123</v>
      </c>
      <c r="AB437" s="40">
        <f t="shared" si="702"/>
        <v>1661.596423767123</v>
      </c>
      <c r="AC437" s="40">
        <f t="shared" si="702"/>
        <v>2358.0358817671231</v>
      </c>
      <c r="AD437" s="40">
        <f t="shared" si="702"/>
        <v>1661.596423767123</v>
      </c>
      <c r="AE437" s="40">
        <f t="shared" si="702"/>
        <v>1661.596423767123</v>
      </c>
      <c r="AF437" s="40">
        <f t="shared" si="702"/>
        <v>2358.0358817671231</v>
      </c>
      <c r="AG437" s="40">
        <f t="shared" si="702"/>
        <v>1661.596423767123</v>
      </c>
      <c r="AH437" s="40">
        <f t="shared" si="702"/>
        <v>1661.596423767123</v>
      </c>
      <c r="AI437" s="40">
        <f t="shared" si="702"/>
        <v>2358.0358817671231</v>
      </c>
      <c r="AJ437" s="40">
        <f t="shared" si="702"/>
        <v>1661.596423767123</v>
      </c>
      <c r="AK437" s="40">
        <f t="shared" si="702"/>
        <v>1661.596423767123</v>
      </c>
      <c r="AL437" s="40">
        <f t="shared" si="702"/>
        <v>2358.0358817671231</v>
      </c>
      <c r="AM437" s="40">
        <f t="shared" si="702"/>
        <v>1661.596423767123</v>
      </c>
      <c r="AN437" s="40">
        <f t="shared" si="702"/>
        <v>1661.596423767123</v>
      </c>
      <c r="AO437" s="40">
        <f t="shared" si="702"/>
        <v>2358.0358817671231</v>
      </c>
      <c r="AP437" s="40">
        <f t="shared" si="702"/>
        <v>1661.596423767123</v>
      </c>
      <c r="AQ437" s="40">
        <f t="shared" si="702"/>
        <v>1661.596423767123</v>
      </c>
      <c r="AR437" s="40">
        <f t="shared" si="702"/>
        <v>2358.0358817671231</v>
      </c>
      <c r="AS437" s="40">
        <f t="shared" si="702"/>
        <v>1661.596423767123</v>
      </c>
      <c r="AT437" s="40">
        <f t="shared" si="702"/>
        <v>1661.596423767123</v>
      </c>
      <c r="AU437" s="40">
        <f t="shared" si="702"/>
        <v>2358.0358817671231</v>
      </c>
      <c r="AV437" s="40">
        <f t="shared" si="702"/>
        <v>1661.596423767123</v>
      </c>
      <c r="AW437" s="26"/>
      <c r="AX437" s="38"/>
    </row>
    <row r="438" spans="1:50" s="4" customFormat="1" ht="12.75" hidden="1" customHeight="1" outlineLevel="2">
      <c r="A438" s="297"/>
      <c r="B438" s="41" t="s">
        <v>163</v>
      </c>
      <c r="C438" s="20" t="s">
        <v>115</v>
      </c>
      <c r="D438" s="20"/>
      <c r="E438" s="26">
        <f t="shared" ref="E438:J438" si="703">SUM(E435:E435)</f>
        <v>0</v>
      </c>
      <c r="F438" s="26">
        <f t="shared" si="703"/>
        <v>0</v>
      </c>
      <c r="G438" s="26">
        <f t="shared" si="703"/>
        <v>0</v>
      </c>
      <c r="H438" s="26">
        <f t="shared" si="703"/>
        <v>0</v>
      </c>
      <c r="I438" s="26">
        <f t="shared" si="703"/>
        <v>0</v>
      </c>
      <c r="J438" s="26">
        <f t="shared" si="703"/>
        <v>0</v>
      </c>
      <c r="K438" s="26">
        <f t="shared" ref="K438:AV438" si="704">SUM(K435:K435)</f>
        <v>263250</v>
      </c>
      <c r="L438" s="26">
        <f t="shared" si="704"/>
        <v>53352</v>
      </c>
      <c r="M438" s="26">
        <f t="shared" si="704"/>
        <v>53352</v>
      </c>
      <c r="N438" s="26">
        <f t="shared" si="704"/>
        <v>374367.94520547951</v>
      </c>
      <c r="O438" s="26">
        <f t="shared" si="704"/>
        <v>58467.945205479446</v>
      </c>
      <c r="P438" s="26">
        <f t="shared" si="704"/>
        <v>58467.945205479446</v>
      </c>
      <c r="Q438" s="26">
        <f t="shared" si="704"/>
        <v>374367.94520547951</v>
      </c>
      <c r="R438" s="26">
        <f t="shared" si="704"/>
        <v>376844.17808219173</v>
      </c>
      <c r="S438" s="26">
        <f t="shared" si="704"/>
        <v>753688.35616438347</v>
      </c>
      <c r="T438" s="26">
        <f t="shared" si="704"/>
        <v>1069588.3561643835</v>
      </c>
      <c r="U438" s="26">
        <f t="shared" si="704"/>
        <v>753688.35616438347</v>
      </c>
      <c r="V438" s="26">
        <f t="shared" si="704"/>
        <v>753688.35616438347</v>
      </c>
      <c r="W438" s="26">
        <f t="shared" si="704"/>
        <v>1069588.3561643835</v>
      </c>
      <c r="X438" s="26">
        <f t="shared" si="704"/>
        <v>753688.35616438347</v>
      </c>
      <c r="Y438" s="26">
        <f t="shared" si="704"/>
        <v>753688.35616438347</v>
      </c>
      <c r="Z438" s="26">
        <f t="shared" si="704"/>
        <v>1069588.3561643835</v>
      </c>
      <c r="AA438" s="26">
        <f t="shared" si="704"/>
        <v>753688.35616438347</v>
      </c>
      <c r="AB438" s="26">
        <f t="shared" si="704"/>
        <v>753688.35616438347</v>
      </c>
      <c r="AC438" s="26">
        <f t="shared" si="704"/>
        <v>1069588.3561643835</v>
      </c>
      <c r="AD438" s="26">
        <f t="shared" si="704"/>
        <v>753688.35616438347</v>
      </c>
      <c r="AE438" s="26">
        <f t="shared" si="704"/>
        <v>753688.35616438347</v>
      </c>
      <c r="AF438" s="26">
        <f t="shared" si="704"/>
        <v>1069588.3561643835</v>
      </c>
      <c r="AG438" s="26">
        <f t="shared" si="704"/>
        <v>753688.35616438347</v>
      </c>
      <c r="AH438" s="26">
        <f t="shared" si="704"/>
        <v>753688.35616438347</v>
      </c>
      <c r="AI438" s="26">
        <f t="shared" si="704"/>
        <v>1069588.3561643835</v>
      </c>
      <c r="AJ438" s="26">
        <f t="shared" si="704"/>
        <v>753688.35616438347</v>
      </c>
      <c r="AK438" s="26">
        <f t="shared" si="704"/>
        <v>753688.35616438347</v>
      </c>
      <c r="AL438" s="26">
        <f t="shared" si="704"/>
        <v>1069588.3561643835</v>
      </c>
      <c r="AM438" s="26">
        <f t="shared" si="704"/>
        <v>753688.35616438347</v>
      </c>
      <c r="AN438" s="26">
        <f t="shared" si="704"/>
        <v>753688.35616438347</v>
      </c>
      <c r="AO438" s="26">
        <f t="shared" si="704"/>
        <v>1069588.3561643835</v>
      </c>
      <c r="AP438" s="26">
        <f t="shared" si="704"/>
        <v>753688.35616438347</v>
      </c>
      <c r="AQ438" s="26">
        <f t="shared" si="704"/>
        <v>753688.35616438347</v>
      </c>
      <c r="AR438" s="26">
        <f t="shared" si="704"/>
        <v>1069588.3561643835</v>
      </c>
      <c r="AS438" s="26">
        <f t="shared" si="704"/>
        <v>753688.35616438347</v>
      </c>
      <c r="AT438" s="26">
        <f t="shared" si="704"/>
        <v>753688.35616438347</v>
      </c>
      <c r="AU438" s="26">
        <f t="shared" si="704"/>
        <v>1069588.3561643835</v>
      </c>
      <c r="AV438" s="26">
        <f t="shared" si="704"/>
        <v>753688.35616438347</v>
      </c>
      <c r="AW438" s="26"/>
      <c r="AX438" s="38"/>
    </row>
    <row r="439" spans="1:50" s="4" customFormat="1" ht="12.75" hidden="1" customHeight="1" outlineLevel="2">
      <c r="A439" s="297"/>
      <c r="B439" s="41"/>
      <c r="C439" s="20"/>
      <c r="D439" s="20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38"/>
    </row>
    <row r="440" spans="1:50" s="4" customFormat="1" ht="12.75" hidden="1" customHeight="1" outlineLevel="2">
      <c r="A440" s="297"/>
      <c r="B440" s="41" t="s">
        <v>161</v>
      </c>
      <c r="C440" s="20"/>
      <c r="D440" s="20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38"/>
    </row>
    <row r="441" spans="1:50" ht="12.75" hidden="1" customHeight="1" outlineLevel="2">
      <c r="A441" s="296"/>
      <c r="B441" s="30" t="str">
        <f>B433</f>
        <v>California</v>
      </c>
      <c r="C441" s="23" t="s">
        <v>100</v>
      </c>
      <c r="D441" s="23"/>
      <c r="E441" s="241">
        <f t="shared" ref="E441:AV441" si="705">E90</f>
        <v>0</v>
      </c>
      <c r="F441" s="241">
        <f t="shared" si="705"/>
        <v>0</v>
      </c>
      <c r="G441" s="241">
        <f t="shared" si="705"/>
        <v>0</v>
      </c>
      <c r="H441" s="241">
        <f t="shared" si="705"/>
        <v>0</v>
      </c>
      <c r="I441" s="241">
        <f t="shared" si="705"/>
        <v>0</v>
      </c>
      <c r="J441" s="241">
        <f t="shared" si="705"/>
        <v>0</v>
      </c>
      <c r="K441" s="241">
        <f t="shared" si="705"/>
        <v>116.07324300000001</v>
      </c>
      <c r="L441" s="241">
        <f t="shared" si="705"/>
        <v>23.524177248000001</v>
      </c>
      <c r="M441" s="241">
        <f t="shared" si="705"/>
        <v>23.524177248000001</v>
      </c>
      <c r="N441" s="241">
        <f t="shared" si="705"/>
        <v>165.06781187178086</v>
      </c>
      <c r="O441" s="241">
        <f t="shared" si="705"/>
        <v>25.779920271780824</v>
      </c>
      <c r="P441" s="241">
        <f t="shared" si="705"/>
        <v>25.779920271780824</v>
      </c>
      <c r="Q441" s="241">
        <f t="shared" si="705"/>
        <v>165.06781187178086</v>
      </c>
      <c r="R441" s="241">
        <f t="shared" si="705"/>
        <v>166.15964237671233</v>
      </c>
      <c r="S441" s="241">
        <f t="shared" si="705"/>
        <v>332.31928475342465</v>
      </c>
      <c r="T441" s="241">
        <f t="shared" si="705"/>
        <v>471.60717635342462</v>
      </c>
      <c r="U441" s="241">
        <f t="shared" si="705"/>
        <v>332.31928475342465</v>
      </c>
      <c r="V441" s="241">
        <f t="shared" si="705"/>
        <v>332.31928475342465</v>
      </c>
      <c r="W441" s="241">
        <f t="shared" si="705"/>
        <v>471.60717635342462</v>
      </c>
      <c r="X441" s="241">
        <f t="shared" si="705"/>
        <v>332.31928475342465</v>
      </c>
      <c r="Y441" s="241">
        <f t="shared" si="705"/>
        <v>332.31928475342465</v>
      </c>
      <c r="Z441" s="241">
        <f t="shared" si="705"/>
        <v>471.60717635342462</v>
      </c>
      <c r="AA441" s="241">
        <f t="shared" si="705"/>
        <v>332.31928475342465</v>
      </c>
      <c r="AB441" s="241">
        <f t="shared" si="705"/>
        <v>332.31928475342465</v>
      </c>
      <c r="AC441" s="241">
        <f t="shared" si="705"/>
        <v>471.60717635342462</v>
      </c>
      <c r="AD441" s="241">
        <f t="shared" si="705"/>
        <v>332.31928475342465</v>
      </c>
      <c r="AE441" s="241">
        <f t="shared" si="705"/>
        <v>332.31928475342465</v>
      </c>
      <c r="AF441" s="241">
        <f t="shared" si="705"/>
        <v>471.60717635342462</v>
      </c>
      <c r="AG441" s="241">
        <f t="shared" si="705"/>
        <v>332.31928475342465</v>
      </c>
      <c r="AH441" s="241">
        <f t="shared" si="705"/>
        <v>332.31928475342465</v>
      </c>
      <c r="AI441" s="241">
        <f t="shared" si="705"/>
        <v>471.60717635342462</v>
      </c>
      <c r="AJ441" s="241">
        <f t="shared" si="705"/>
        <v>332.31928475342465</v>
      </c>
      <c r="AK441" s="241">
        <f t="shared" si="705"/>
        <v>332.31928475342465</v>
      </c>
      <c r="AL441" s="241">
        <f t="shared" si="705"/>
        <v>471.60717635342462</v>
      </c>
      <c r="AM441" s="241">
        <f t="shared" si="705"/>
        <v>332.31928475342465</v>
      </c>
      <c r="AN441" s="241">
        <f t="shared" si="705"/>
        <v>332.31928475342465</v>
      </c>
      <c r="AO441" s="241">
        <f t="shared" si="705"/>
        <v>471.60717635342462</v>
      </c>
      <c r="AP441" s="241">
        <f t="shared" si="705"/>
        <v>332.31928475342465</v>
      </c>
      <c r="AQ441" s="241">
        <f t="shared" si="705"/>
        <v>332.31928475342465</v>
      </c>
      <c r="AR441" s="241">
        <f t="shared" si="705"/>
        <v>471.60717635342462</v>
      </c>
      <c r="AS441" s="241">
        <f t="shared" si="705"/>
        <v>332.31928475342465</v>
      </c>
      <c r="AT441" s="241">
        <f t="shared" si="705"/>
        <v>332.31928475342465</v>
      </c>
      <c r="AU441" s="241">
        <f t="shared" si="705"/>
        <v>471.60717635342462</v>
      </c>
      <c r="AV441" s="241">
        <f t="shared" si="705"/>
        <v>332.31928475342465</v>
      </c>
      <c r="AW441" s="26"/>
      <c r="AX441" s="27"/>
    </row>
    <row r="442" spans="1:50" s="4" customFormat="1" ht="12.75" hidden="1" customHeight="1" outlineLevel="2">
      <c r="A442" s="297"/>
      <c r="B442" s="30"/>
      <c r="C442" s="20"/>
      <c r="D442" s="20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6"/>
      <c r="AX442" s="38"/>
    </row>
    <row r="443" spans="1:50" ht="12.75" hidden="1" customHeight="1" outlineLevel="2">
      <c r="A443" s="296"/>
      <c r="B443" s="30" t="str">
        <f>B441</f>
        <v>California</v>
      </c>
      <c r="C443" s="23" t="s">
        <v>115</v>
      </c>
      <c r="D443" s="23"/>
      <c r="E443" s="188">
        <f t="shared" ref="E443:J443" si="706">E441*lbs_grams</f>
        <v>0</v>
      </c>
      <c r="F443" s="188">
        <f t="shared" si="706"/>
        <v>0</v>
      </c>
      <c r="G443" s="188">
        <f t="shared" si="706"/>
        <v>0</v>
      </c>
      <c r="H443" s="188">
        <f t="shared" si="706"/>
        <v>0</v>
      </c>
      <c r="I443" s="188">
        <f t="shared" si="706"/>
        <v>0</v>
      </c>
      <c r="J443" s="188">
        <f t="shared" si="706"/>
        <v>0</v>
      </c>
      <c r="K443" s="188">
        <f t="shared" ref="K443:AV443" si="707">K441*lbs_grams</f>
        <v>52649.894438855998</v>
      </c>
      <c r="L443" s="188">
        <f t="shared" si="707"/>
        <v>10670.378606274817</v>
      </c>
      <c r="M443" s="188">
        <f t="shared" si="707"/>
        <v>10670.378606274817</v>
      </c>
      <c r="N443" s="188">
        <f t="shared" si="707"/>
        <v>74873.438922544825</v>
      </c>
      <c r="O443" s="188">
        <f t="shared" si="707"/>
        <v>11693.565595917607</v>
      </c>
      <c r="P443" s="188">
        <f t="shared" si="707"/>
        <v>11693.565595917607</v>
      </c>
      <c r="Q443" s="188">
        <f t="shared" si="707"/>
        <v>74873.438922544825</v>
      </c>
      <c r="R443" s="188">
        <f t="shared" si="707"/>
        <v>75368.684504937701</v>
      </c>
      <c r="S443" s="188">
        <f t="shared" si="707"/>
        <v>150737.3690098754</v>
      </c>
      <c r="T443" s="188">
        <f t="shared" si="707"/>
        <v>213917.24233650256</v>
      </c>
      <c r="U443" s="188">
        <f t="shared" si="707"/>
        <v>150737.3690098754</v>
      </c>
      <c r="V443" s="188">
        <f t="shared" si="707"/>
        <v>150737.3690098754</v>
      </c>
      <c r="W443" s="188">
        <f t="shared" si="707"/>
        <v>213917.24233650256</v>
      </c>
      <c r="X443" s="188">
        <f t="shared" si="707"/>
        <v>150737.3690098754</v>
      </c>
      <c r="Y443" s="188">
        <f t="shared" si="707"/>
        <v>150737.3690098754</v>
      </c>
      <c r="Z443" s="188">
        <f t="shared" si="707"/>
        <v>213917.24233650256</v>
      </c>
      <c r="AA443" s="188">
        <f t="shared" si="707"/>
        <v>150737.3690098754</v>
      </c>
      <c r="AB443" s="188">
        <f t="shared" si="707"/>
        <v>150737.3690098754</v>
      </c>
      <c r="AC443" s="188">
        <f t="shared" si="707"/>
        <v>213917.24233650256</v>
      </c>
      <c r="AD443" s="188">
        <f t="shared" si="707"/>
        <v>150737.3690098754</v>
      </c>
      <c r="AE443" s="188">
        <f t="shared" si="707"/>
        <v>150737.3690098754</v>
      </c>
      <c r="AF443" s="188">
        <f t="shared" si="707"/>
        <v>213917.24233650256</v>
      </c>
      <c r="AG443" s="188">
        <f t="shared" si="707"/>
        <v>150737.3690098754</v>
      </c>
      <c r="AH443" s="188">
        <f t="shared" si="707"/>
        <v>150737.3690098754</v>
      </c>
      <c r="AI443" s="188">
        <f t="shared" si="707"/>
        <v>213917.24233650256</v>
      </c>
      <c r="AJ443" s="188">
        <f t="shared" si="707"/>
        <v>150737.3690098754</v>
      </c>
      <c r="AK443" s="188">
        <f t="shared" si="707"/>
        <v>150737.3690098754</v>
      </c>
      <c r="AL443" s="188">
        <f t="shared" si="707"/>
        <v>213917.24233650256</v>
      </c>
      <c r="AM443" s="188">
        <f t="shared" si="707"/>
        <v>150737.3690098754</v>
      </c>
      <c r="AN443" s="188">
        <f t="shared" si="707"/>
        <v>150737.3690098754</v>
      </c>
      <c r="AO443" s="188">
        <f t="shared" si="707"/>
        <v>213917.24233650256</v>
      </c>
      <c r="AP443" s="188">
        <f t="shared" si="707"/>
        <v>150737.3690098754</v>
      </c>
      <c r="AQ443" s="188">
        <f t="shared" si="707"/>
        <v>150737.3690098754</v>
      </c>
      <c r="AR443" s="188">
        <f t="shared" si="707"/>
        <v>213917.24233650256</v>
      </c>
      <c r="AS443" s="188">
        <f t="shared" si="707"/>
        <v>150737.3690098754</v>
      </c>
      <c r="AT443" s="188">
        <f t="shared" si="707"/>
        <v>150737.3690098754</v>
      </c>
      <c r="AU443" s="188">
        <f t="shared" si="707"/>
        <v>213917.24233650256</v>
      </c>
      <c r="AV443" s="188">
        <f t="shared" si="707"/>
        <v>150737.3690098754</v>
      </c>
      <c r="AW443" s="26"/>
      <c r="AX443" s="27"/>
    </row>
    <row r="444" spans="1:50" s="4" customFormat="1" ht="12.75" hidden="1" customHeight="1" outlineLevel="2">
      <c r="A444" s="297"/>
      <c r="B444" s="30"/>
      <c r="C444" s="23"/>
      <c r="D444" s="20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6"/>
      <c r="AX444" s="38"/>
    </row>
    <row r="445" spans="1:50" s="4" customFormat="1" ht="12.75" hidden="1" customHeight="1" outlineLevel="2">
      <c r="A445" s="297"/>
      <c r="B445" s="41" t="s">
        <v>162</v>
      </c>
      <c r="C445" s="23" t="s">
        <v>100</v>
      </c>
      <c r="D445" s="20"/>
      <c r="E445" s="40">
        <f t="shared" ref="E445:AV445" si="708">SUM(E441:E441)</f>
        <v>0</v>
      </c>
      <c r="F445" s="40">
        <f t="shared" si="708"/>
        <v>0</v>
      </c>
      <c r="G445" s="40">
        <f t="shared" si="708"/>
        <v>0</v>
      </c>
      <c r="H445" s="40">
        <f t="shared" si="708"/>
        <v>0</v>
      </c>
      <c r="I445" s="40">
        <f t="shared" si="708"/>
        <v>0</v>
      </c>
      <c r="J445" s="40">
        <f t="shared" si="708"/>
        <v>0</v>
      </c>
      <c r="K445" s="40">
        <f t="shared" si="708"/>
        <v>116.07324300000001</v>
      </c>
      <c r="L445" s="40">
        <f t="shared" si="708"/>
        <v>23.524177248000001</v>
      </c>
      <c r="M445" s="40">
        <f t="shared" si="708"/>
        <v>23.524177248000001</v>
      </c>
      <c r="N445" s="40">
        <f t="shared" si="708"/>
        <v>165.06781187178086</v>
      </c>
      <c r="O445" s="40">
        <f t="shared" si="708"/>
        <v>25.779920271780824</v>
      </c>
      <c r="P445" s="40">
        <f t="shared" si="708"/>
        <v>25.779920271780824</v>
      </c>
      <c r="Q445" s="40">
        <f t="shared" si="708"/>
        <v>165.06781187178086</v>
      </c>
      <c r="R445" s="40">
        <f t="shared" si="708"/>
        <v>166.15964237671233</v>
      </c>
      <c r="S445" s="40">
        <f t="shared" si="708"/>
        <v>332.31928475342465</v>
      </c>
      <c r="T445" s="40">
        <f t="shared" si="708"/>
        <v>471.60717635342462</v>
      </c>
      <c r="U445" s="40">
        <f t="shared" si="708"/>
        <v>332.31928475342465</v>
      </c>
      <c r="V445" s="40">
        <f t="shared" si="708"/>
        <v>332.31928475342465</v>
      </c>
      <c r="W445" s="40">
        <f t="shared" si="708"/>
        <v>471.60717635342462</v>
      </c>
      <c r="X445" s="40">
        <f t="shared" si="708"/>
        <v>332.31928475342465</v>
      </c>
      <c r="Y445" s="40">
        <f t="shared" si="708"/>
        <v>332.31928475342465</v>
      </c>
      <c r="Z445" s="40">
        <f t="shared" si="708"/>
        <v>471.60717635342462</v>
      </c>
      <c r="AA445" s="40">
        <f t="shared" si="708"/>
        <v>332.31928475342465</v>
      </c>
      <c r="AB445" s="40">
        <f t="shared" si="708"/>
        <v>332.31928475342465</v>
      </c>
      <c r="AC445" s="40">
        <f t="shared" si="708"/>
        <v>471.60717635342462</v>
      </c>
      <c r="AD445" s="40">
        <f t="shared" si="708"/>
        <v>332.31928475342465</v>
      </c>
      <c r="AE445" s="40">
        <f t="shared" si="708"/>
        <v>332.31928475342465</v>
      </c>
      <c r="AF445" s="40">
        <f t="shared" si="708"/>
        <v>471.60717635342462</v>
      </c>
      <c r="AG445" s="40">
        <f t="shared" si="708"/>
        <v>332.31928475342465</v>
      </c>
      <c r="AH445" s="40">
        <f t="shared" si="708"/>
        <v>332.31928475342465</v>
      </c>
      <c r="AI445" s="40">
        <f t="shared" si="708"/>
        <v>471.60717635342462</v>
      </c>
      <c r="AJ445" s="40">
        <f t="shared" si="708"/>
        <v>332.31928475342465</v>
      </c>
      <c r="AK445" s="40">
        <f t="shared" si="708"/>
        <v>332.31928475342465</v>
      </c>
      <c r="AL445" s="40">
        <f t="shared" si="708"/>
        <v>471.60717635342462</v>
      </c>
      <c r="AM445" s="40">
        <f t="shared" si="708"/>
        <v>332.31928475342465</v>
      </c>
      <c r="AN445" s="40">
        <f t="shared" si="708"/>
        <v>332.31928475342465</v>
      </c>
      <c r="AO445" s="40">
        <f t="shared" si="708"/>
        <v>471.60717635342462</v>
      </c>
      <c r="AP445" s="40">
        <f t="shared" si="708"/>
        <v>332.31928475342465</v>
      </c>
      <c r="AQ445" s="40">
        <f t="shared" si="708"/>
        <v>332.31928475342465</v>
      </c>
      <c r="AR445" s="40">
        <f t="shared" si="708"/>
        <v>471.60717635342462</v>
      </c>
      <c r="AS445" s="40">
        <f t="shared" si="708"/>
        <v>332.31928475342465</v>
      </c>
      <c r="AT445" s="40">
        <f t="shared" si="708"/>
        <v>332.31928475342465</v>
      </c>
      <c r="AU445" s="40">
        <f t="shared" si="708"/>
        <v>471.60717635342462</v>
      </c>
      <c r="AV445" s="40">
        <f t="shared" si="708"/>
        <v>332.31928475342465</v>
      </c>
      <c r="AW445" s="26"/>
      <c r="AX445" s="38"/>
    </row>
    <row r="446" spans="1:50" s="4" customFormat="1" ht="12.75" hidden="1" customHeight="1" outlineLevel="2">
      <c r="A446" s="297"/>
      <c r="B446" s="41" t="s">
        <v>162</v>
      </c>
      <c r="C446" s="23" t="s">
        <v>115</v>
      </c>
      <c r="D446" s="20"/>
      <c r="E446" s="26">
        <f t="shared" ref="E446:AV446" si="709">SUM(E443:E443)</f>
        <v>0</v>
      </c>
      <c r="F446" s="26">
        <f t="shared" si="709"/>
        <v>0</v>
      </c>
      <c r="G446" s="26">
        <f t="shared" si="709"/>
        <v>0</v>
      </c>
      <c r="H446" s="26">
        <f t="shared" si="709"/>
        <v>0</v>
      </c>
      <c r="I446" s="26">
        <f t="shared" si="709"/>
        <v>0</v>
      </c>
      <c r="J446" s="26">
        <f t="shared" si="709"/>
        <v>0</v>
      </c>
      <c r="K446" s="26">
        <f t="shared" si="709"/>
        <v>52649.894438855998</v>
      </c>
      <c r="L446" s="26">
        <f t="shared" si="709"/>
        <v>10670.378606274817</v>
      </c>
      <c r="M446" s="26">
        <f t="shared" si="709"/>
        <v>10670.378606274817</v>
      </c>
      <c r="N446" s="26">
        <f t="shared" si="709"/>
        <v>74873.438922544825</v>
      </c>
      <c r="O446" s="26">
        <f t="shared" si="709"/>
        <v>11693.565595917607</v>
      </c>
      <c r="P446" s="26">
        <f t="shared" si="709"/>
        <v>11693.565595917607</v>
      </c>
      <c r="Q446" s="26">
        <f t="shared" si="709"/>
        <v>74873.438922544825</v>
      </c>
      <c r="R446" s="26">
        <f t="shared" si="709"/>
        <v>75368.684504937701</v>
      </c>
      <c r="S446" s="26">
        <f t="shared" si="709"/>
        <v>150737.3690098754</v>
      </c>
      <c r="T446" s="26">
        <f t="shared" si="709"/>
        <v>213917.24233650256</v>
      </c>
      <c r="U446" s="26">
        <f t="shared" si="709"/>
        <v>150737.3690098754</v>
      </c>
      <c r="V446" s="26">
        <f t="shared" si="709"/>
        <v>150737.3690098754</v>
      </c>
      <c r="W446" s="26">
        <f t="shared" si="709"/>
        <v>213917.24233650256</v>
      </c>
      <c r="X446" s="26">
        <f t="shared" si="709"/>
        <v>150737.3690098754</v>
      </c>
      <c r="Y446" s="26">
        <f t="shared" si="709"/>
        <v>150737.3690098754</v>
      </c>
      <c r="Z446" s="26">
        <f t="shared" si="709"/>
        <v>213917.24233650256</v>
      </c>
      <c r="AA446" s="26">
        <f t="shared" si="709"/>
        <v>150737.3690098754</v>
      </c>
      <c r="AB446" s="26">
        <f t="shared" si="709"/>
        <v>150737.3690098754</v>
      </c>
      <c r="AC446" s="26">
        <f t="shared" si="709"/>
        <v>213917.24233650256</v>
      </c>
      <c r="AD446" s="26">
        <f t="shared" si="709"/>
        <v>150737.3690098754</v>
      </c>
      <c r="AE446" s="26">
        <f t="shared" si="709"/>
        <v>150737.3690098754</v>
      </c>
      <c r="AF446" s="26">
        <f t="shared" si="709"/>
        <v>213917.24233650256</v>
      </c>
      <c r="AG446" s="26">
        <f t="shared" si="709"/>
        <v>150737.3690098754</v>
      </c>
      <c r="AH446" s="26">
        <f t="shared" si="709"/>
        <v>150737.3690098754</v>
      </c>
      <c r="AI446" s="26">
        <f t="shared" si="709"/>
        <v>213917.24233650256</v>
      </c>
      <c r="AJ446" s="26">
        <f t="shared" si="709"/>
        <v>150737.3690098754</v>
      </c>
      <c r="AK446" s="26">
        <f t="shared" si="709"/>
        <v>150737.3690098754</v>
      </c>
      <c r="AL446" s="26">
        <f t="shared" si="709"/>
        <v>213917.24233650256</v>
      </c>
      <c r="AM446" s="26">
        <f t="shared" si="709"/>
        <v>150737.3690098754</v>
      </c>
      <c r="AN446" s="26">
        <f t="shared" si="709"/>
        <v>150737.3690098754</v>
      </c>
      <c r="AO446" s="26">
        <f t="shared" si="709"/>
        <v>213917.24233650256</v>
      </c>
      <c r="AP446" s="26">
        <f t="shared" si="709"/>
        <v>150737.3690098754</v>
      </c>
      <c r="AQ446" s="26">
        <f t="shared" si="709"/>
        <v>150737.3690098754</v>
      </c>
      <c r="AR446" s="26">
        <f t="shared" si="709"/>
        <v>213917.24233650256</v>
      </c>
      <c r="AS446" s="26">
        <f t="shared" si="709"/>
        <v>150737.3690098754</v>
      </c>
      <c r="AT446" s="26">
        <f t="shared" si="709"/>
        <v>150737.3690098754</v>
      </c>
      <c r="AU446" s="26">
        <f t="shared" si="709"/>
        <v>213917.24233650256</v>
      </c>
      <c r="AV446" s="26">
        <f t="shared" si="709"/>
        <v>150737.3690098754</v>
      </c>
      <c r="AW446" s="26"/>
      <c r="AX446" s="38"/>
    </row>
    <row r="447" spans="1:50" s="4" customFormat="1" ht="12.75" hidden="1" customHeight="1" outlineLevel="2">
      <c r="A447" s="297"/>
      <c r="B447" s="41"/>
      <c r="C447" s="20"/>
      <c r="D447" s="20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38"/>
    </row>
    <row r="448" spans="1:50" s="4" customFormat="1" ht="12.75" hidden="1" customHeight="1" outlineLevel="2">
      <c r="A448" s="297"/>
      <c r="B448" s="212" t="s">
        <v>189</v>
      </c>
      <c r="C448" s="213"/>
      <c r="D448" s="20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38"/>
    </row>
    <row r="449" spans="1:50" ht="12.75" hidden="1" customHeight="1" outlineLevel="2">
      <c r="A449" s="296"/>
      <c r="B449" s="30" t="s">
        <v>156</v>
      </c>
      <c r="C449" s="23" t="s">
        <v>100</v>
      </c>
      <c r="D449" s="23"/>
      <c r="E449" s="24"/>
      <c r="F449" s="24"/>
      <c r="G449" s="24"/>
      <c r="H449" s="24"/>
      <c r="I449" s="24">
        <f t="shared" ref="I449:AV449" si="710">I433+I441</f>
        <v>0</v>
      </c>
      <c r="J449" s="24">
        <f t="shared" si="710"/>
        <v>0</v>
      </c>
      <c r="K449" s="24">
        <f t="shared" si="710"/>
        <v>696.43945800000006</v>
      </c>
      <c r="L449" s="24">
        <f t="shared" si="710"/>
        <v>141.14506348800001</v>
      </c>
      <c r="M449" s="24">
        <f t="shared" si="710"/>
        <v>141.14506348800001</v>
      </c>
      <c r="N449" s="24">
        <f t="shared" si="710"/>
        <v>990.40687123068506</v>
      </c>
      <c r="O449" s="24">
        <f t="shared" si="710"/>
        <v>154.67952163068492</v>
      </c>
      <c r="P449" s="24">
        <f t="shared" si="710"/>
        <v>154.67952163068492</v>
      </c>
      <c r="Q449" s="24">
        <f t="shared" si="710"/>
        <v>990.40687123068506</v>
      </c>
      <c r="R449" s="24">
        <f t="shared" si="710"/>
        <v>996.95785426027385</v>
      </c>
      <c r="S449" s="24">
        <f t="shared" si="710"/>
        <v>1993.9157085205477</v>
      </c>
      <c r="T449" s="24">
        <f t="shared" si="710"/>
        <v>2829.6430581205477</v>
      </c>
      <c r="U449" s="24">
        <f t="shared" si="710"/>
        <v>1993.9157085205477</v>
      </c>
      <c r="V449" s="24">
        <f t="shared" si="710"/>
        <v>1993.9157085205477</v>
      </c>
      <c r="W449" s="24">
        <f t="shared" si="710"/>
        <v>2829.6430581205477</v>
      </c>
      <c r="X449" s="24">
        <f t="shared" si="710"/>
        <v>1993.9157085205477</v>
      </c>
      <c r="Y449" s="24">
        <f t="shared" si="710"/>
        <v>1993.9157085205477</v>
      </c>
      <c r="Z449" s="24">
        <f t="shared" si="710"/>
        <v>2829.6430581205477</v>
      </c>
      <c r="AA449" s="24">
        <f t="shared" si="710"/>
        <v>1993.9157085205477</v>
      </c>
      <c r="AB449" s="24">
        <f t="shared" si="710"/>
        <v>1993.9157085205477</v>
      </c>
      <c r="AC449" s="24">
        <f t="shared" si="710"/>
        <v>2829.6430581205477</v>
      </c>
      <c r="AD449" s="24">
        <f t="shared" si="710"/>
        <v>1993.9157085205477</v>
      </c>
      <c r="AE449" s="24">
        <f t="shared" si="710"/>
        <v>1993.9157085205477</v>
      </c>
      <c r="AF449" s="24">
        <f t="shared" si="710"/>
        <v>2829.6430581205477</v>
      </c>
      <c r="AG449" s="24">
        <f t="shared" si="710"/>
        <v>1993.9157085205477</v>
      </c>
      <c r="AH449" s="24">
        <f t="shared" si="710"/>
        <v>1993.9157085205477</v>
      </c>
      <c r="AI449" s="24">
        <f t="shared" si="710"/>
        <v>2829.6430581205477</v>
      </c>
      <c r="AJ449" s="24">
        <f t="shared" si="710"/>
        <v>1993.9157085205477</v>
      </c>
      <c r="AK449" s="24">
        <f t="shared" si="710"/>
        <v>1993.9157085205477</v>
      </c>
      <c r="AL449" s="24">
        <f t="shared" si="710"/>
        <v>2829.6430581205477</v>
      </c>
      <c r="AM449" s="24">
        <f t="shared" si="710"/>
        <v>1993.9157085205477</v>
      </c>
      <c r="AN449" s="24">
        <f t="shared" si="710"/>
        <v>1993.9157085205477</v>
      </c>
      <c r="AO449" s="24">
        <f t="shared" si="710"/>
        <v>2829.6430581205477</v>
      </c>
      <c r="AP449" s="24">
        <f t="shared" si="710"/>
        <v>1993.9157085205477</v>
      </c>
      <c r="AQ449" s="24">
        <f t="shared" si="710"/>
        <v>1993.9157085205477</v>
      </c>
      <c r="AR449" s="24">
        <f t="shared" si="710"/>
        <v>2829.6430581205477</v>
      </c>
      <c r="AS449" s="24">
        <f t="shared" si="710"/>
        <v>1993.9157085205477</v>
      </c>
      <c r="AT449" s="24">
        <f t="shared" si="710"/>
        <v>1993.9157085205477</v>
      </c>
      <c r="AU449" s="24">
        <f t="shared" si="710"/>
        <v>2829.6430581205477</v>
      </c>
      <c r="AV449" s="24">
        <f t="shared" si="710"/>
        <v>1993.9157085205477</v>
      </c>
      <c r="AW449" s="26"/>
      <c r="AX449" s="27"/>
    </row>
    <row r="450" spans="1:50" s="4" customFormat="1" ht="12.75" hidden="1" customHeight="1" outlineLevel="2">
      <c r="A450" s="297"/>
      <c r="B450" s="30"/>
      <c r="C450" s="23"/>
      <c r="D450" s="20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6"/>
      <c r="AX450" s="38"/>
    </row>
    <row r="451" spans="1:50" s="4" customFormat="1" ht="12.75" hidden="1" customHeight="1" outlineLevel="2">
      <c r="A451" s="297"/>
      <c r="B451" s="41" t="s">
        <v>188</v>
      </c>
      <c r="C451" s="23" t="s">
        <v>100</v>
      </c>
      <c r="D451" s="20"/>
      <c r="E451" s="24">
        <f t="shared" ref="E451:AV451" si="711">SUM(E449:E449)</f>
        <v>0</v>
      </c>
      <c r="F451" s="24">
        <f t="shared" si="711"/>
        <v>0</v>
      </c>
      <c r="G451" s="24">
        <f t="shared" si="711"/>
        <v>0</v>
      </c>
      <c r="H451" s="24">
        <f t="shared" si="711"/>
        <v>0</v>
      </c>
      <c r="I451" s="24">
        <f t="shared" si="711"/>
        <v>0</v>
      </c>
      <c r="J451" s="24">
        <f t="shared" si="711"/>
        <v>0</v>
      </c>
      <c r="K451" s="24">
        <f t="shared" si="711"/>
        <v>696.43945800000006</v>
      </c>
      <c r="L451" s="24">
        <f t="shared" si="711"/>
        <v>141.14506348800001</v>
      </c>
      <c r="M451" s="24">
        <f t="shared" si="711"/>
        <v>141.14506348800001</v>
      </c>
      <c r="N451" s="24">
        <f t="shared" si="711"/>
        <v>990.40687123068506</v>
      </c>
      <c r="O451" s="24">
        <f t="shared" si="711"/>
        <v>154.67952163068492</v>
      </c>
      <c r="P451" s="24">
        <f t="shared" si="711"/>
        <v>154.67952163068492</v>
      </c>
      <c r="Q451" s="24">
        <f t="shared" si="711"/>
        <v>990.40687123068506</v>
      </c>
      <c r="R451" s="24">
        <f t="shared" si="711"/>
        <v>996.95785426027385</v>
      </c>
      <c r="S451" s="24">
        <f t="shared" si="711"/>
        <v>1993.9157085205477</v>
      </c>
      <c r="T451" s="24">
        <f t="shared" si="711"/>
        <v>2829.6430581205477</v>
      </c>
      <c r="U451" s="24">
        <f t="shared" si="711"/>
        <v>1993.9157085205477</v>
      </c>
      <c r="V451" s="24">
        <f t="shared" si="711"/>
        <v>1993.9157085205477</v>
      </c>
      <c r="W451" s="24">
        <f t="shared" si="711"/>
        <v>2829.6430581205477</v>
      </c>
      <c r="X451" s="24">
        <f t="shared" si="711"/>
        <v>1993.9157085205477</v>
      </c>
      <c r="Y451" s="24">
        <f t="shared" si="711"/>
        <v>1993.9157085205477</v>
      </c>
      <c r="Z451" s="24">
        <f t="shared" si="711"/>
        <v>2829.6430581205477</v>
      </c>
      <c r="AA451" s="24">
        <f t="shared" si="711"/>
        <v>1993.9157085205477</v>
      </c>
      <c r="AB451" s="24">
        <f t="shared" si="711"/>
        <v>1993.9157085205477</v>
      </c>
      <c r="AC451" s="24">
        <f t="shared" si="711"/>
        <v>2829.6430581205477</v>
      </c>
      <c r="AD451" s="24">
        <f t="shared" si="711"/>
        <v>1993.9157085205477</v>
      </c>
      <c r="AE451" s="24">
        <f t="shared" si="711"/>
        <v>1993.9157085205477</v>
      </c>
      <c r="AF451" s="24">
        <f t="shared" si="711"/>
        <v>2829.6430581205477</v>
      </c>
      <c r="AG451" s="24">
        <f t="shared" si="711"/>
        <v>1993.9157085205477</v>
      </c>
      <c r="AH451" s="24">
        <f t="shared" si="711"/>
        <v>1993.9157085205477</v>
      </c>
      <c r="AI451" s="24">
        <f t="shared" si="711"/>
        <v>2829.6430581205477</v>
      </c>
      <c r="AJ451" s="24">
        <f t="shared" si="711"/>
        <v>1993.9157085205477</v>
      </c>
      <c r="AK451" s="24">
        <f t="shared" si="711"/>
        <v>1993.9157085205477</v>
      </c>
      <c r="AL451" s="24">
        <f t="shared" si="711"/>
        <v>2829.6430581205477</v>
      </c>
      <c r="AM451" s="24">
        <f t="shared" si="711"/>
        <v>1993.9157085205477</v>
      </c>
      <c r="AN451" s="24">
        <f t="shared" si="711"/>
        <v>1993.9157085205477</v>
      </c>
      <c r="AO451" s="24">
        <f t="shared" si="711"/>
        <v>2829.6430581205477</v>
      </c>
      <c r="AP451" s="24">
        <f t="shared" si="711"/>
        <v>1993.9157085205477</v>
      </c>
      <c r="AQ451" s="24">
        <f t="shared" si="711"/>
        <v>1993.9157085205477</v>
      </c>
      <c r="AR451" s="24">
        <f t="shared" si="711"/>
        <v>2829.6430581205477</v>
      </c>
      <c r="AS451" s="24">
        <f t="shared" si="711"/>
        <v>1993.9157085205477</v>
      </c>
      <c r="AT451" s="24">
        <f t="shared" si="711"/>
        <v>1993.9157085205477</v>
      </c>
      <c r="AU451" s="24">
        <f t="shared" si="711"/>
        <v>2829.6430581205477</v>
      </c>
      <c r="AV451" s="24">
        <f t="shared" si="711"/>
        <v>1993.9157085205477</v>
      </c>
      <c r="AW451" s="26"/>
      <c r="AX451" s="38"/>
    </row>
    <row r="452" spans="1:50" s="4" customFormat="1" ht="12.75" hidden="1" customHeight="1" outlineLevel="2">
      <c r="A452" s="297"/>
      <c r="B452" s="41"/>
      <c r="C452" s="23"/>
      <c r="D452" s="20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38"/>
    </row>
    <row r="453" spans="1:50" s="4" customFormat="1" ht="12.75" hidden="1" customHeight="1" outlineLevel="2">
      <c r="A453" s="297"/>
      <c r="B453" s="212" t="s">
        <v>222</v>
      </c>
      <c r="C453" s="213"/>
      <c r="D453" s="213"/>
      <c r="E453" s="155"/>
      <c r="F453" s="214"/>
      <c r="G453" s="155"/>
      <c r="H453" s="159"/>
      <c r="I453" s="155"/>
      <c r="J453" s="214"/>
      <c r="K453" s="155"/>
      <c r="L453" s="159"/>
      <c r="M453" s="155"/>
      <c r="N453" s="155"/>
      <c r="O453" s="155"/>
      <c r="P453" s="155"/>
      <c r="Q453" s="155"/>
      <c r="R453" s="155"/>
      <c r="S453" s="155"/>
      <c r="T453" s="155"/>
      <c r="U453" s="155"/>
      <c r="V453" s="155"/>
      <c r="W453" s="155"/>
      <c r="X453" s="155"/>
      <c r="Y453" s="155"/>
      <c r="Z453" s="155"/>
      <c r="AA453" s="155"/>
      <c r="AB453" s="155"/>
      <c r="AC453" s="155"/>
      <c r="AD453" s="155"/>
      <c r="AE453" s="155"/>
      <c r="AF453" s="155"/>
      <c r="AG453" s="155"/>
      <c r="AH453" s="155"/>
      <c r="AI453" s="155"/>
      <c r="AJ453" s="155"/>
      <c r="AK453" s="155"/>
      <c r="AL453" s="155"/>
      <c r="AM453" s="155"/>
      <c r="AN453" s="155"/>
      <c r="AO453" s="155"/>
      <c r="AP453" s="155"/>
      <c r="AQ453" s="155"/>
      <c r="AR453" s="155"/>
      <c r="AS453" s="155"/>
      <c r="AT453" s="155"/>
      <c r="AU453" s="155"/>
      <c r="AV453" s="155"/>
      <c r="AW453" s="26"/>
      <c r="AX453" s="38"/>
    </row>
    <row r="454" spans="1:50" s="4" customFormat="1" ht="12.75" hidden="1" customHeight="1" outlineLevel="2">
      <c r="A454" s="297"/>
      <c r="B454" s="41"/>
      <c r="C454" s="23"/>
      <c r="D454" s="20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38"/>
    </row>
    <row r="455" spans="1:50" s="4" customFormat="1" ht="12.75" hidden="1" customHeight="1" outlineLevel="2">
      <c r="A455" s="297"/>
      <c r="B455" s="30" t="s">
        <v>156</v>
      </c>
      <c r="C455" s="23" t="s">
        <v>149</v>
      </c>
      <c r="D455" s="20"/>
      <c r="E455" s="26"/>
      <c r="F455" s="26"/>
      <c r="G455" s="26"/>
      <c r="H455" s="26"/>
      <c r="I455" s="24">
        <f t="shared" ref="I455:AV455" si="712">I54</f>
        <v>0</v>
      </c>
      <c r="J455" s="24">
        <f t="shared" si="712"/>
        <v>0</v>
      </c>
      <c r="K455" s="24">
        <f t="shared" si="712"/>
        <v>10750</v>
      </c>
      <c r="L455" s="24">
        <f t="shared" si="712"/>
        <v>12450</v>
      </c>
      <c r="M455" s="24">
        <f t="shared" si="712"/>
        <v>12450</v>
      </c>
      <c r="N455" s="24">
        <f t="shared" si="712"/>
        <v>12450</v>
      </c>
      <c r="O455" s="24">
        <f t="shared" si="712"/>
        <v>12450</v>
      </c>
      <c r="P455" s="24">
        <f t="shared" si="712"/>
        <v>12450</v>
      </c>
      <c r="Q455" s="24">
        <f t="shared" si="712"/>
        <v>12450</v>
      </c>
      <c r="R455" s="24">
        <f t="shared" si="712"/>
        <v>21750</v>
      </c>
      <c r="S455" s="24">
        <f t="shared" si="712"/>
        <v>32750</v>
      </c>
      <c r="T455" s="24">
        <f t="shared" si="712"/>
        <v>32750</v>
      </c>
      <c r="U455" s="24">
        <f t="shared" si="712"/>
        <v>32750</v>
      </c>
      <c r="V455" s="24">
        <f t="shared" si="712"/>
        <v>32750</v>
      </c>
      <c r="W455" s="24">
        <f t="shared" si="712"/>
        <v>32750</v>
      </c>
      <c r="X455" s="24">
        <f t="shared" si="712"/>
        <v>32750</v>
      </c>
      <c r="Y455" s="24">
        <f t="shared" si="712"/>
        <v>32750</v>
      </c>
      <c r="Z455" s="24">
        <f t="shared" si="712"/>
        <v>32750</v>
      </c>
      <c r="AA455" s="24">
        <f t="shared" si="712"/>
        <v>32750</v>
      </c>
      <c r="AB455" s="24">
        <f t="shared" si="712"/>
        <v>32750</v>
      </c>
      <c r="AC455" s="24">
        <f t="shared" si="712"/>
        <v>32750</v>
      </c>
      <c r="AD455" s="24">
        <f t="shared" si="712"/>
        <v>32750</v>
      </c>
      <c r="AE455" s="24">
        <f t="shared" si="712"/>
        <v>32750</v>
      </c>
      <c r="AF455" s="24">
        <f t="shared" si="712"/>
        <v>32750</v>
      </c>
      <c r="AG455" s="24">
        <f t="shared" si="712"/>
        <v>32750</v>
      </c>
      <c r="AH455" s="24">
        <f t="shared" si="712"/>
        <v>32750</v>
      </c>
      <c r="AI455" s="24">
        <f t="shared" si="712"/>
        <v>32750</v>
      </c>
      <c r="AJ455" s="24">
        <f t="shared" si="712"/>
        <v>32750</v>
      </c>
      <c r="AK455" s="24">
        <f t="shared" si="712"/>
        <v>32750</v>
      </c>
      <c r="AL455" s="24">
        <f t="shared" si="712"/>
        <v>32750</v>
      </c>
      <c r="AM455" s="24">
        <f t="shared" si="712"/>
        <v>32750</v>
      </c>
      <c r="AN455" s="24">
        <f t="shared" si="712"/>
        <v>32750</v>
      </c>
      <c r="AO455" s="24">
        <f t="shared" si="712"/>
        <v>32750</v>
      </c>
      <c r="AP455" s="24">
        <f t="shared" si="712"/>
        <v>32750</v>
      </c>
      <c r="AQ455" s="24">
        <f t="shared" si="712"/>
        <v>32750</v>
      </c>
      <c r="AR455" s="24">
        <f t="shared" si="712"/>
        <v>32750</v>
      </c>
      <c r="AS455" s="24">
        <f t="shared" si="712"/>
        <v>32750</v>
      </c>
      <c r="AT455" s="24">
        <f t="shared" si="712"/>
        <v>32750</v>
      </c>
      <c r="AU455" s="24">
        <f t="shared" si="712"/>
        <v>32750</v>
      </c>
      <c r="AV455" s="24">
        <f t="shared" si="712"/>
        <v>32750</v>
      </c>
      <c r="AW455" s="26"/>
      <c r="AX455" s="38"/>
    </row>
    <row r="456" spans="1:50" s="4" customFormat="1" ht="12.75" hidden="1" customHeight="1" outlineLevel="2">
      <c r="A456" s="297"/>
      <c r="B456" s="41"/>
      <c r="C456" s="23"/>
      <c r="D456" s="20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38"/>
    </row>
    <row r="457" spans="1:50" s="4" customFormat="1" ht="12.75" hidden="1" customHeight="1" outlineLevel="2">
      <c r="A457" s="297"/>
      <c r="B457" s="41" t="s">
        <v>223</v>
      </c>
      <c r="C457" s="23" t="s">
        <v>100</v>
      </c>
      <c r="D457" s="20"/>
      <c r="E457" s="24">
        <f t="shared" ref="E457:AV457" si="713">SUM(E455:E455)</f>
        <v>0</v>
      </c>
      <c r="F457" s="24">
        <f t="shared" si="713"/>
        <v>0</v>
      </c>
      <c r="G457" s="24">
        <f t="shared" si="713"/>
        <v>0</v>
      </c>
      <c r="H457" s="24">
        <f t="shared" si="713"/>
        <v>0</v>
      </c>
      <c r="I457" s="26">
        <f t="shared" si="713"/>
        <v>0</v>
      </c>
      <c r="J457" s="26">
        <f t="shared" si="713"/>
        <v>0</v>
      </c>
      <c r="K457" s="26">
        <f t="shared" si="713"/>
        <v>10750</v>
      </c>
      <c r="L457" s="26">
        <f t="shared" si="713"/>
        <v>12450</v>
      </c>
      <c r="M457" s="26">
        <f t="shared" si="713"/>
        <v>12450</v>
      </c>
      <c r="N457" s="26">
        <f t="shared" si="713"/>
        <v>12450</v>
      </c>
      <c r="O457" s="26">
        <f t="shared" si="713"/>
        <v>12450</v>
      </c>
      <c r="P457" s="26">
        <f t="shared" si="713"/>
        <v>12450</v>
      </c>
      <c r="Q457" s="26">
        <f t="shared" si="713"/>
        <v>12450</v>
      </c>
      <c r="R457" s="26">
        <f t="shared" si="713"/>
        <v>21750</v>
      </c>
      <c r="S457" s="26">
        <f t="shared" si="713"/>
        <v>32750</v>
      </c>
      <c r="T457" s="26">
        <f t="shared" si="713"/>
        <v>32750</v>
      </c>
      <c r="U457" s="26">
        <f t="shared" si="713"/>
        <v>32750</v>
      </c>
      <c r="V457" s="26">
        <f t="shared" si="713"/>
        <v>32750</v>
      </c>
      <c r="W457" s="26">
        <f t="shared" si="713"/>
        <v>32750</v>
      </c>
      <c r="X457" s="26">
        <f t="shared" si="713"/>
        <v>32750</v>
      </c>
      <c r="Y457" s="26">
        <f t="shared" si="713"/>
        <v>32750</v>
      </c>
      <c r="Z457" s="26">
        <f t="shared" si="713"/>
        <v>32750</v>
      </c>
      <c r="AA457" s="26">
        <f t="shared" si="713"/>
        <v>32750</v>
      </c>
      <c r="AB457" s="26">
        <f t="shared" si="713"/>
        <v>32750</v>
      </c>
      <c r="AC457" s="26">
        <f t="shared" si="713"/>
        <v>32750</v>
      </c>
      <c r="AD457" s="26">
        <f t="shared" si="713"/>
        <v>32750</v>
      </c>
      <c r="AE457" s="26">
        <f t="shared" si="713"/>
        <v>32750</v>
      </c>
      <c r="AF457" s="26">
        <f t="shared" si="713"/>
        <v>32750</v>
      </c>
      <c r="AG457" s="26">
        <f t="shared" si="713"/>
        <v>32750</v>
      </c>
      <c r="AH457" s="26">
        <f t="shared" si="713"/>
        <v>32750</v>
      </c>
      <c r="AI457" s="26">
        <f t="shared" si="713"/>
        <v>32750</v>
      </c>
      <c r="AJ457" s="26">
        <f t="shared" si="713"/>
        <v>32750</v>
      </c>
      <c r="AK457" s="26">
        <f t="shared" si="713"/>
        <v>32750</v>
      </c>
      <c r="AL457" s="26">
        <f t="shared" si="713"/>
        <v>32750</v>
      </c>
      <c r="AM457" s="26">
        <f t="shared" si="713"/>
        <v>32750</v>
      </c>
      <c r="AN457" s="26">
        <f t="shared" si="713"/>
        <v>32750</v>
      </c>
      <c r="AO457" s="26">
        <f t="shared" si="713"/>
        <v>32750</v>
      </c>
      <c r="AP457" s="26">
        <f t="shared" si="713"/>
        <v>32750</v>
      </c>
      <c r="AQ457" s="26">
        <f t="shared" si="713"/>
        <v>32750</v>
      </c>
      <c r="AR457" s="26">
        <f t="shared" si="713"/>
        <v>32750</v>
      </c>
      <c r="AS457" s="26">
        <f t="shared" si="713"/>
        <v>32750</v>
      </c>
      <c r="AT457" s="26">
        <f t="shared" si="713"/>
        <v>32750</v>
      </c>
      <c r="AU457" s="26">
        <f t="shared" si="713"/>
        <v>32750</v>
      </c>
      <c r="AV457" s="26">
        <f t="shared" si="713"/>
        <v>32750</v>
      </c>
      <c r="AW457" s="26"/>
      <c r="AX457" s="38"/>
    </row>
    <row r="458" spans="1:50" s="4" customFormat="1" ht="12.75" hidden="1" customHeight="1" outlineLevel="2">
      <c r="A458" s="297"/>
      <c r="B458" s="41"/>
      <c r="C458" s="23"/>
      <c r="D458" s="20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38"/>
    </row>
    <row r="459" spans="1:50" s="4" customFormat="1" ht="12.75" hidden="1" customHeight="1" outlineLevel="2">
      <c r="A459" s="297"/>
      <c r="B459" s="13" t="s">
        <v>306</v>
      </c>
      <c r="C459" s="333"/>
      <c r="D459" s="23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6"/>
      <c r="AX459" s="38"/>
    </row>
    <row r="460" spans="1:50" s="4" customFormat="1" ht="12.75" hidden="1" customHeight="1" outlineLevel="2">
      <c r="A460" s="297"/>
      <c r="B460" s="30" t="s">
        <v>156</v>
      </c>
      <c r="C460" s="23" t="s">
        <v>112</v>
      </c>
      <c r="D460" s="23"/>
      <c r="E460" s="12"/>
      <c r="F460" s="12"/>
      <c r="G460" s="12"/>
      <c r="H460" s="12"/>
      <c r="I460" s="12"/>
      <c r="J460" s="12"/>
      <c r="K460" s="12"/>
      <c r="L460" s="12"/>
      <c r="M460" s="12">
        <f t="shared" ref="M460:AV460" si="714">M196</f>
        <v>1.2610451683451209</v>
      </c>
      <c r="N460" s="12">
        <f t="shared" si="714"/>
        <v>1.2610451683451211</v>
      </c>
      <c r="O460" s="12">
        <f t="shared" si="714"/>
        <v>1.2610451683451211</v>
      </c>
      <c r="P460" s="12">
        <f t="shared" si="714"/>
        <v>1.2610451683451211</v>
      </c>
      <c r="Q460" s="12">
        <f t="shared" si="714"/>
        <v>1.2610451683451211</v>
      </c>
      <c r="R460" s="12">
        <f t="shared" si="714"/>
        <v>1.0088361346760966</v>
      </c>
      <c r="S460" s="12">
        <f t="shared" si="714"/>
        <v>1.0088361346760966</v>
      </c>
      <c r="T460" s="12">
        <f t="shared" si="714"/>
        <v>1.0088361346760966</v>
      </c>
      <c r="U460" s="12">
        <f t="shared" si="714"/>
        <v>0.90757038630898845</v>
      </c>
      <c r="V460" s="12">
        <f t="shared" si="714"/>
        <v>0.90757038630898845</v>
      </c>
      <c r="W460" s="12">
        <f t="shared" si="714"/>
        <v>0.90757038630898845</v>
      </c>
      <c r="X460" s="12">
        <f t="shared" si="714"/>
        <v>0.90757038630898845</v>
      </c>
      <c r="Y460" s="12">
        <f t="shared" si="714"/>
        <v>0.90757038630898845</v>
      </c>
      <c r="Z460" s="12">
        <f t="shared" si="714"/>
        <v>0.90757038630898845</v>
      </c>
      <c r="AA460" s="12">
        <f t="shared" si="714"/>
        <v>0.90757038630898845</v>
      </c>
      <c r="AB460" s="12">
        <f t="shared" si="714"/>
        <v>0.90757038630898845</v>
      </c>
      <c r="AC460" s="12">
        <f t="shared" si="714"/>
        <v>0.90757038630898845</v>
      </c>
      <c r="AD460" s="12">
        <f t="shared" si="714"/>
        <v>0.90757038630898845</v>
      </c>
      <c r="AE460" s="12">
        <f t="shared" si="714"/>
        <v>0.90757038630898845</v>
      </c>
      <c r="AF460" s="12">
        <f t="shared" si="714"/>
        <v>0.90757038630898845</v>
      </c>
      <c r="AG460" s="12">
        <f t="shared" si="714"/>
        <v>0.90757038630898845</v>
      </c>
      <c r="AH460" s="12">
        <f t="shared" si="714"/>
        <v>0.90757038630898845</v>
      </c>
      <c r="AI460" s="12">
        <f t="shared" si="714"/>
        <v>0.90757038630898845</v>
      </c>
      <c r="AJ460" s="12">
        <f t="shared" si="714"/>
        <v>0.90757038630898845</v>
      </c>
      <c r="AK460" s="12">
        <f t="shared" si="714"/>
        <v>0.90757038630898845</v>
      </c>
      <c r="AL460" s="12">
        <f t="shared" si="714"/>
        <v>0.90757038630898845</v>
      </c>
      <c r="AM460" s="12">
        <f t="shared" si="714"/>
        <v>0.90757038630898845</v>
      </c>
      <c r="AN460" s="12">
        <f t="shared" si="714"/>
        <v>0.90757038630898845</v>
      </c>
      <c r="AO460" s="12">
        <f t="shared" si="714"/>
        <v>0.90757038630898845</v>
      </c>
      <c r="AP460" s="12">
        <f t="shared" si="714"/>
        <v>0.90757038630898845</v>
      </c>
      <c r="AQ460" s="12">
        <f t="shared" si="714"/>
        <v>0.90757038630898845</v>
      </c>
      <c r="AR460" s="12">
        <f t="shared" si="714"/>
        <v>0.90757038630898845</v>
      </c>
      <c r="AS460" s="12">
        <f t="shared" si="714"/>
        <v>0.90757038630898845</v>
      </c>
      <c r="AT460" s="12">
        <f t="shared" si="714"/>
        <v>0.90757038630898845</v>
      </c>
      <c r="AU460" s="12">
        <f t="shared" si="714"/>
        <v>0.90757038630898845</v>
      </c>
      <c r="AV460" s="12">
        <f t="shared" si="714"/>
        <v>0.90757038630898845</v>
      </c>
      <c r="AW460" s="26"/>
      <c r="AX460" s="38"/>
    </row>
    <row r="461" spans="1:50" s="4" customFormat="1" ht="12.75" hidden="1" customHeight="1" outlineLevel="2">
      <c r="A461" s="297"/>
      <c r="B461" s="30"/>
      <c r="C461" s="23"/>
      <c r="D461" s="23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6"/>
      <c r="AX461" s="38"/>
    </row>
    <row r="462" spans="1:50" s="4" customFormat="1" ht="12.75" hidden="1" customHeight="1" outlineLevel="2">
      <c r="A462" s="297"/>
      <c r="B462" s="13" t="s">
        <v>186</v>
      </c>
      <c r="C462" s="20"/>
      <c r="D462" s="20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38"/>
    </row>
    <row r="463" spans="1:50" s="4" customFormat="1" ht="12.75" hidden="1" customHeight="1" outlineLevel="2">
      <c r="A463" s="297"/>
      <c r="B463" s="30" t="s">
        <v>156</v>
      </c>
      <c r="C463" s="23" t="s">
        <v>112</v>
      </c>
      <c r="D463" s="23"/>
      <c r="E463" s="12"/>
      <c r="F463" s="12"/>
      <c r="G463" s="12"/>
      <c r="H463" s="12"/>
      <c r="I463" s="12"/>
      <c r="J463" s="12"/>
      <c r="K463" s="12"/>
      <c r="L463" s="12"/>
      <c r="M463" s="12">
        <f t="shared" ref="M463:AV463" si="715">M218</f>
        <v>2.6115486598480953</v>
      </c>
      <c r="N463" s="12">
        <f t="shared" si="715"/>
        <v>2.5432132022582516</v>
      </c>
      <c r="O463" s="12">
        <f t="shared" si="715"/>
        <v>2.5432132022582516</v>
      </c>
      <c r="P463" s="12">
        <f t="shared" si="715"/>
        <v>33.186784827189534</v>
      </c>
      <c r="Q463" s="12">
        <f t="shared" si="715"/>
        <v>33.186784827189534</v>
      </c>
      <c r="R463" s="12">
        <f t="shared" si="715"/>
        <v>6.3294215306341792</v>
      </c>
      <c r="S463" s="12">
        <f t="shared" si="715"/>
        <v>1.5197412823574381</v>
      </c>
      <c r="T463" s="12">
        <f t="shared" si="715"/>
        <v>1.5197412823574381</v>
      </c>
      <c r="U463" s="12">
        <f t="shared" si="715"/>
        <v>1.2935470673236638</v>
      </c>
      <c r="V463" s="12">
        <f t="shared" si="715"/>
        <v>1.2935470673236638</v>
      </c>
      <c r="W463" s="12">
        <f t="shared" si="715"/>
        <v>1.2935470673236638</v>
      </c>
      <c r="X463" s="12">
        <f t="shared" si="715"/>
        <v>1.2935470673236638</v>
      </c>
      <c r="Y463" s="12">
        <f t="shared" si="715"/>
        <v>1.2935470673236638</v>
      </c>
      <c r="Z463" s="12">
        <f t="shared" si="715"/>
        <v>1.2935470673236638</v>
      </c>
      <c r="AA463" s="12">
        <f t="shared" si="715"/>
        <v>1.2935470673236638</v>
      </c>
      <c r="AB463" s="12">
        <f t="shared" si="715"/>
        <v>1.2935470673236638</v>
      </c>
      <c r="AC463" s="12">
        <f t="shared" si="715"/>
        <v>1.2935470673236638</v>
      </c>
      <c r="AD463" s="12">
        <f t="shared" si="715"/>
        <v>1.2935470673236638</v>
      </c>
      <c r="AE463" s="12">
        <f t="shared" si="715"/>
        <v>1.2935470673236638</v>
      </c>
      <c r="AF463" s="12">
        <f t="shared" si="715"/>
        <v>1.2935470673236638</v>
      </c>
      <c r="AG463" s="12">
        <f t="shared" si="715"/>
        <v>1.2935470673236638</v>
      </c>
      <c r="AH463" s="12">
        <f t="shared" si="715"/>
        <v>1.2935470673236638</v>
      </c>
      <c r="AI463" s="12">
        <f t="shared" si="715"/>
        <v>1.2935470673236638</v>
      </c>
      <c r="AJ463" s="12">
        <f t="shared" si="715"/>
        <v>1.2935470673236638</v>
      </c>
      <c r="AK463" s="12">
        <f t="shared" si="715"/>
        <v>1.2935470673236638</v>
      </c>
      <c r="AL463" s="12">
        <f t="shared" si="715"/>
        <v>1.2935470673236638</v>
      </c>
      <c r="AM463" s="12">
        <f t="shared" si="715"/>
        <v>1.2935470673236638</v>
      </c>
      <c r="AN463" s="12">
        <f t="shared" si="715"/>
        <v>1.2935470673236638</v>
      </c>
      <c r="AO463" s="12">
        <f t="shared" si="715"/>
        <v>1.2935470673236638</v>
      </c>
      <c r="AP463" s="12">
        <f t="shared" si="715"/>
        <v>1.2935470673236638</v>
      </c>
      <c r="AQ463" s="12">
        <f t="shared" si="715"/>
        <v>1.2935470673236638</v>
      </c>
      <c r="AR463" s="12">
        <f t="shared" si="715"/>
        <v>1.2935470673236638</v>
      </c>
      <c r="AS463" s="12">
        <f t="shared" si="715"/>
        <v>1.2935470673236638</v>
      </c>
      <c r="AT463" s="12">
        <f t="shared" si="715"/>
        <v>1.2935470673236638</v>
      </c>
      <c r="AU463" s="12">
        <f t="shared" si="715"/>
        <v>1.2935470673236638</v>
      </c>
      <c r="AV463" s="12">
        <f t="shared" si="715"/>
        <v>1.2935470673236638</v>
      </c>
      <c r="AW463" s="26"/>
      <c r="AX463" s="38"/>
    </row>
    <row r="464" spans="1:50" s="4" customFormat="1" ht="12.75" hidden="1" customHeight="1" outlineLevel="1">
      <c r="A464" s="297"/>
      <c r="B464" s="41"/>
      <c r="C464" s="20"/>
      <c r="D464" s="20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38"/>
    </row>
    <row r="465" spans="1:50" s="4" customFormat="1" ht="12.75" hidden="1" customHeight="1" outlineLevel="1">
      <c r="A465" s="297"/>
      <c r="B465" s="13" t="s">
        <v>241</v>
      </c>
      <c r="C465" s="268"/>
      <c r="D465" s="268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38"/>
    </row>
    <row r="466" spans="1:50" s="4" customFormat="1" ht="12.75" hidden="1" customHeight="1" outlineLevel="1">
      <c r="A466" s="297"/>
      <c r="C466" s="268"/>
      <c r="D466" s="268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38"/>
    </row>
    <row r="467" spans="1:50" s="4" customFormat="1" ht="12.75" hidden="1" customHeight="1" outlineLevel="1">
      <c r="A467" s="297"/>
      <c r="B467" s="68" t="s">
        <v>242</v>
      </c>
      <c r="C467" s="69"/>
      <c r="D467" s="268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38"/>
    </row>
    <row r="468" spans="1:50" s="4" customFormat="1" ht="12.75" hidden="1" customHeight="1" outlineLevel="1">
      <c r="A468" s="297"/>
      <c r="B468" s="70" t="s">
        <v>273</v>
      </c>
      <c r="C468" s="190" t="s">
        <v>42</v>
      </c>
      <c r="D468" s="301"/>
      <c r="E468" s="188"/>
      <c r="F468" s="188"/>
      <c r="G468" s="188"/>
      <c r="H468" s="188"/>
      <c r="I468" s="188"/>
      <c r="J468" s="188"/>
      <c r="K468" s="188"/>
      <c r="L468" s="188">
        <f t="shared" ref="L468:AV468" si="716">L269</f>
        <v>0</v>
      </c>
      <c r="M468" s="188">
        <f t="shared" si="716"/>
        <v>263.02263430940798</v>
      </c>
      <c r="N468" s="188">
        <f t="shared" si="716"/>
        <v>263.02263430940798</v>
      </c>
      <c r="O468" s="188">
        <f t="shared" si="716"/>
        <v>911.22659583007453</v>
      </c>
      <c r="P468" s="188">
        <f t="shared" si="716"/>
        <v>288.40836636647452</v>
      </c>
      <c r="Q468" s="188">
        <f t="shared" si="716"/>
        <v>270.01117040215081</v>
      </c>
      <c r="R468" s="188">
        <f t="shared" si="716"/>
        <v>848.72358292267086</v>
      </c>
      <c r="S468" s="188">
        <f t="shared" si="716"/>
        <v>1792.8780300092219</v>
      </c>
      <c r="T468" s="188">
        <f t="shared" si="716"/>
        <v>3607.1034733290876</v>
      </c>
      <c r="U468" s="188">
        <f t="shared" si="716"/>
        <v>4088.2285960402596</v>
      </c>
      <c r="V468" s="188">
        <f t="shared" si="716"/>
        <v>3527.5773079025184</v>
      </c>
      <c r="W468" s="188">
        <f t="shared" si="716"/>
        <v>3525.8418730767553</v>
      </c>
      <c r="X468" s="188">
        <f t="shared" si="716"/>
        <v>4081.5156186006025</v>
      </c>
      <c r="Y468" s="188">
        <f t="shared" si="716"/>
        <v>3522.1063496142997</v>
      </c>
      <c r="Z468" s="188">
        <f t="shared" si="716"/>
        <v>3521.3027565182301</v>
      </c>
      <c r="AA468" s="188">
        <f t="shared" si="716"/>
        <v>4077.9790436511375</v>
      </c>
      <c r="AB468" s="188">
        <f t="shared" si="716"/>
        <v>3519.6470333030875</v>
      </c>
      <c r="AC468" s="188">
        <f t="shared" si="716"/>
        <v>3518.7942538807938</v>
      </c>
      <c r="AD468" s="188">
        <f t="shared" si="716"/>
        <v>4075.4203709609528</v>
      </c>
      <c r="AE468" s="188">
        <f t="shared" si="716"/>
        <v>3517.0371871590996</v>
      </c>
      <c r="AF468" s="188">
        <f t="shared" si="716"/>
        <v>3516.1322108139257</v>
      </c>
      <c r="AG468" s="188">
        <f t="shared" si="716"/>
        <v>4072.7050870327475</v>
      </c>
      <c r="AH468" s="188">
        <f t="shared" si="716"/>
        <v>3514.2675975523298</v>
      </c>
      <c r="AI468" s="188">
        <f t="shared" si="716"/>
        <v>3513.3072294150206</v>
      </c>
      <c r="AJ468" s="188">
        <f t="shared" si="716"/>
        <v>4069.8236060058643</v>
      </c>
      <c r="AK468" s="188">
        <f t="shared" si="716"/>
        <v>3511.3284869049094</v>
      </c>
      <c r="AL468" s="188">
        <f t="shared" si="716"/>
        <v>3510.309336554652</v>
      </c>
      <c r="AM468" s="188">
        <f t="shared" si="716"/>
        <v>4066.7657552882879</v>
      </c>
      <c r="AN468" s="188">
        <f t="shared" si="716"/>
        <v>3508.209479172981</v>
      </c>
      <c r="AO468" s="188">
        <f t="shared" si="716"/>
        <v>3507.1279486680851</v>
      </c>
      <c r="AP468" s="188">
        <f t="shared" si="716"/>
        <v>4063.5207396439901</v>
      </c>
      <c r="AQ468" s="188">
        <f t="shared" si="716"/>
        <v>3504.8995632157967</v>
      </c>
      <c r="AR468" s="188">
        <f t="shared" si="716"/>
        <v>3503.7518343917573</v>
      </c>
      <c r="AS468" s="188">
        <f t="shared" si="716"/>
        <v>4060.0771030821356</v>
      </c>
      <c r="AT468" s="188">
        <f t="shared" si="716"/>
        <v>3501.3870539227055</v>
      </c>
      <c r="AU468" s="188">
        <f t="shared" si="716"/>
        <v>3500.1690749128043</v>
      </c>
      <c r="AV468" s="188">
        <f t="shared" si="716"/>
        <v>4056.4226884136037</v>
      </c>
      <c r="AW468" s="26"/>
      <c r="AX468" s="38"/>
    </row>
    <row r="469" spans="1:50" s="4" customFormat="1" ht="12.75" hidden="1" customHeight="1" outlineLevel="1">
      <c r="A469" s="297">
        <f>-B478</f>
        <v>0</v>
      </c>
      <c r="B469" s="68" t="s">
        <v>243</v>
      </c>
      <c r="C469" s="71" t="s">
        <v>42</v>
      </c>
      <c r="D469" s="71"/>
      <c r="E469" s="40"/>
      <c r="F469" s="40"/>
      <c r="G469" s="40"/>
      <c r="H469" s="40"/>
      <c r="I469" s="40"/>
      <c r="J469" s="40"/>
      <c r="K469" s="40"/>
      <c r="L469" s="40">
        <f>SUM(L468:L468)</f>
        <v>0</v>
      </c>
      <c r="M469" s="40">
        <f t="shared" ref="M469:O469" si="717">SUM(M468:M468)</f>
        <v>263.02263430940798</v>
      </c>
      <c r="N469" s="40">
        <f t="shared" si="717"/>
        <v>263.02263430940798</v>
      </c>
      <c r="O469" s="40">
        <f t="shared" si="717"/>
        <v>911.22659583007453</v>
      </c>
      <c r="P469" s="40">
        <f t="shared" ref="P469:AV469" si="718">SUM(P468:P468)</f>
        <v>288.40836636647452</v>
      </c>
      <c r="Q469" s="40">
        <f t="shared" si="718"/>
        <v>270.01117040215081</v>
      </c>
      <c r="R469" s="40">
        <f t="shared" si="718"/>
        <v>848.72358292267086</v>
      </c>
      <c r="S469" s="40">
        <f t="shared" si="718"/>
        <v>1792.8780300092219</v>
      </c>
      <c r="T469" s="40">
        <f t="shared" si="718"/>
        <v>3607.1034733290876</v>
      </c>
      <c r="U469" s="40">
        <f t="shared" si="718"/>
        <v>4088.2285960402596</v>
      </c>
      <c r="V469" s="40">
        <f t="shared" si="718"/>
        <v>3527.5773079025184</v>
      </c>
      <c r="W469" s="40">
        <f t="shared" si="718"/>
        <v>3525.8418730767553</v>
      </c>
      <c r="X469" s="40">
        <f t="shared" si="718"/>
        <v>4081.5156186006025</v>
      </c>
      <c r="Y469" s="40">
        <f t="shared" si="718"/>
        <v>3522.1063496142997</v>
      </c>
      <c r="Z469" s="40">
        <f t="shared" si="718"/>
        <v>3521.3027565182301</v>
      </c>
      <c r="AA469" s="40">
        <f t="shared" si="718"/>
        <v>4077.9790436511375</v>
      </c>
      <c r="AB469" s="40">
        <f t="shared" si="718"/>
        <v>3519.6470333030875</v>
      </c>
      <c r="AC469" s="40">
        <f t="shared" si="718"/>
        <v>3518.7942538807938</v>
      </c>
      <c r="AD469" s="40">
        <f t="shared" si="718"/>
        <v>4075.4203709609528</v>
      </c>
      <c r="AE469" s="40">
        <f t="shared" si="718"/>
        <v>3517.0371871590996</v>
      </c>
      <c r="AF469" s="40">
        <f t="shared" si="718"/>
        <v>3516.1322108139257</v>
      </c>
      <c r="AG469" s="40">
        <f t="shared" si="718"/>
        <v>4072.7050870327475</v>
      </c>
      <c r="AH469" s="40">
        <f t="shared" si="718"/>
        <v>3514.2675975523298</v>
      </c>
      <c r="AI469" s="40">
        <f t="shared" si="718"/>
        <v>3513.3072294150206</v>
      </c>
      <c r="AJ469" s="40">
        <f t="shared" si="718"/>
        <v>4069.8236060058643</v>
      </c>
      <c r="AK469" s="40">
        <f t="shared" si="718"/>
        <v>3511.3284869049094</v>
      </c>
      <c r="AL469" s="40">
        <f t="shared" si="718"/>
        <v>3510.309336554652</v>
      </c>
      <c r="AM469" s="40">
        <f t="shared" si="718"/>
        <v>4066.7657552882879</v>
      </c>
      <c r="AN469" s="40">
        <f t="shared" si="718"/>
        <v>3508.209479172981</v>
      </c>
      <c r="AO469" s="40">
        <f t="shared" si="718"/>
        <v>3507.1279486680851</v>
      </c>
      <c r="AP469" s="40">
        <f t="shared" si="718"/>
        <v>4063.5207396439901</v>
      </c>
      <c r="AQ469" s="40">
        <f t="shared" si="718"/>
        <v>3504.8995632157967</v>
      </c>
      <c r="AR469" s="40">
        <f t="shared" si="718"/>
        <v>3503.7518343917573</v>
      </c>
      <c r="AS469" s="40">
        <f t="shared" si="718"/>
        <v>4060.0771030821356</v>
      </c>
      <c r="AT469" s="40">
        <f t="shared" si="718"/>
        <v>3501.3870539227055</v>
      </c>
      <c r="AU469" s="40">
        <f t="shared" si="718"/>
        <v>3500.1690749128043</v>
      </c>
      <c r="AV469" s="40">
        <f t="shared" si="718"/>
        <v>4056.4226884136037</v>
      </c>
      <c r="AW469" s="26"/>
      <c r="AX469" s="38"/>
    </row>
    <row r="470" spans="1:50" s="4" customFormat="1" ht="12.75" hidden="1" customHeight="1" outlineLevel="1">
      <c r="A470" s="297"/>
      <c r="B470" s="41"/>
      <c r="C470" s="268"/>
      <c r="D470" s="268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38"/>
    </row>
    <row r="471" spans="1:50" s="4" customFormat="1" ht="12.75" hidden="1" customHeight="1" outlineLevel="1">
      <c r="A471" s="297"/>
      <c r="B471" s="68" t="s">
        <v>397</v>
      </c>
      <c r="C471" s="381"/>
      <c r="D471" s="381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38"/>
    </row>
    <row r="472" spans="1:50" s="4" customFormat="1" ht="12.75" hidden="1" customHeight="1" outlineLevel="1">
      <c r="A472" s="297"/>
      <c r="B472" s="70" t="s">
        <v>399</v>
      </c>
      <c r="C472" s="288" t="s">
        <v>42</v>
      </c>
      <c r="D472" s="288"/>
      <c r="E472" s="24"/>
      <c r="F472" s="24"/>
      <c r="G472" s="24"/>
      <c r="H472" s="24"/>
      <c r="I472" s="24"/>
      <c r="J472" s="24"/>
      <c r="K472" s="24">
        <f t="shared" ref="K472:Q472" si="719">K337/10^3</f>
        <v>0</v>
      </c>
      <c r="L472" s="24">
        <f t="shared" si="719"/>
        <v>0</v>
      </c>
      <c r="M472" s="24">
        <f t="shared" si="719"/>
        <v>0</v>
      </c>
      <c r="N472" s="24">
        <f t="shared" si="719"/>
        <v>0</v>
      </c>
      <c r="O472" s="24">
        <f t="shared" si="719"/>
        <v>0</v>
      </c>
      <c r="P472" s="24">
        <f t="shared" si="719"/>
        <v>0</v>
      </c>
      <c r="Q472" s="24">
        <f t="shared" si="719"/>
        <v>0</v>
      </c>
      <c r="R472" s="24">
        <f>R337/10^3</f>
        <v>0</v>
      </c>
      <c r="S472" s="24">
        <f t="shared" ref="S472:AV472" si="720">S337/10^3</f>
        <v>201.53127401923851</v>
      </c>
      <c r="T472" s="24">
        <f t="shared" si="720"/>
        <v>552.07787426810933</v>
      </c>
      <c r="U472" s="24">
        <f t="shared" si="720"/>
        <v>942.45288219456245</v>
      </c>
      <c r="V472" s="24">
        <f t="shared" si="720"/>
        <v>560.98293413745762</v>
      </c>
      <c r="W472" s="24">
        <f t="shared" si="720"/>
        <v>546.63719581030318</v>
      </c>
      <c r="X472" s="24">
        <f t="shared" si="720"/>
        <v>886.96095802906916</v>
      </c>
      <c r="Y472" s="24">
        <f t="shared" si="720"/>
        <v>573.06443784566977</v>
      </c>
      <c r="Z472" s="24">
        <f t="shared" si="720"/>
        <v>565.68355547634883</v>
      </c>
      <c r="AA472" s="24">
        <f t="shared" si="720"/>
        <v>953.02926375106165</v>
      </c>
      <c r="AB472" s="24">
        <f t="shared" si="720"/>
        <v>550.47598544259984</v>
      </c>
      <c r="AC472" s="24">
        <f t="shared" si="720"/>
        <v>542.64333402521743</v>
      </c>
      <c r="AD472" s="24">
        <f t="shared" si="720"/>
        <v>929.52823787090767</v>
      </c>
      <c r="AE472" s="24">
        <f t="shared" si="720"/>
        <v>526.50493904484256</v>
      </c>
      <c r="AF472" s="24">
        <f t="shared" si="720"/>
        <v>518.19286669950509</v>
      </c>
      <c r="AG472" s="24">
        <f t="shared" si="720"/>
        <v>904.58876119868103</v>
      </c>
      <c r="AH472" s="24">
        <f t="shared" si="720"/>
        <v>501.06667283917142</v>
      </c>
      <c r="AI472" s="24">
        <f t="shared" si="720"/>
        <v>492.24583516972035</v>
      </c>
      <c r="AJ472" s="24">
        <f t="shared" si="720"/>
        <v>878.12278903830031</v>
      </c>
      <c r="AK472" s="24">
        <f t="shared" si="720"/>
        <v>474.0713812355836</v>
      </c>
      <c r="AL472" s="24">
        <f t="shared" si="720"/>
        <v>464.71063773406075</v>
      </c>
      <c r="AM472" s="24">
        <f t="shared" si="720"/>
        <v>850.03688765392781</v>
      </c>
      <c r="AN472" s="24">
        <f t="shared" si="720"/>
        <v>445.42376182352319</v>
      </c>
      <c r="AO472" s="24">
        <f t="shared" si="720"/>
        <v>435.4900659337593</v>
      </c>
      <c r="AP472" s="24">
        <f t="shared" si="720"/>
        <v>820.23190441762017</v>
      </c>
      <c r="AQ472" s="24">
        <f t="shared" si="720"/>
        <v>415.0226789224896</v>
      </c>
      <c r="AR472" s="24">
        <f t="shared" si="720"/>
        <v>404.48096137470498</v>
      </c>
      <c r="AS472" s="24">
        <f t="shared" si="720"/>
        <v>788.60261776738491</v>
      </c>
      <c r="AT472" s="24">
        <f t="shared" si="720"/>
        <v>382.76080653924947</v>
      </c>
      <c r="AU472" s="24">
        <f t="shared" si="720"/>
        <v>371.57385154380006</v>
      </c>
      <c r="AV472" s="24">
        <f t="shared" si="720"/>
        <v>755.0373657398618</v>
      </c>
      <c r="AW472" s="26"/>
      <c r="AX472" s="38"/>
    </row>
    <row r="473" spans="1:50" s="4" customFormat="1" ht="12.75" hidden="1" customHeight="1" outlineLevel="1">
      <c r="A473" s="297"/>
      <c r="B473" s="68" t="s">
        <v>398</v>
      </c>
      <c r="C473" s="71" t="s">
        <v>42</v>
      </c>
      <c r="D473" s="71"/>
      <c r="E473" s="40"/>
      <c r="F473" s="40"/>
      <c r="G473" s="40"/>
      <c r="H473" s="40"/>
      <c r="I473" s="40"/>
      <c r="J473" s="40"/>
      <c r="K473" s="40"/>
      <c r="L473" s="40"/>
      <c r="M473" s="40"/>
      <c r="N473" s="40">
        <f t="shared" ref="N473:AV473" si="721">SUM(N472:N472)</f>
        <v>0</v>
      </c>
      <c r="O473" s="40">
        <f t="shared" si="721"/>
        <v>0</v>
      </c>
      <c r="P473" s="40">
        <f t="shared" si="721"/>
        <v>0</v>
      </c>
      <c r="Q473" s="40">
        <f>SUM(Q472:Q472)</f>
        <v>0</v>
      </c>
      <c r="R473" s="40">
        <f t="shared" si="721"/>
        <v>0</v>
      </c>
      <c r="S473" s="40">
        <f t="shared" si="721"/>
        <v>201.53127401923851</v>
      </c>
      <c r="T473" s="40">
        <f t="shared" si="721"/>
        <v>552.07787426810933</v>
      </c>
      <c r="U473" s="40">
        <f t="shared" si="721"/>
        <v>942.45288219456245</v>
      </c>
      <c r="V473" s="40">
        <f t="shared" si="721"/>
        <v>560.98293413745762</v>
      </c>
      <c r="W473" s="40">
        <f t="shared" si="721"/>
        <v>546.63719581030318</v>
      </c>
      <c r="X473" s="40">
        <f t="shared" si="721"/>
        <v>886.96095802906916</v>
      </c>
      <c r="Y473" s="40">
        <f t="shared" si="721"/>
        <v>573.06443784566977</v>
      </c>
      <c r="Z473" s="40">
        <f t="shared" si="721"/>
        <v>565.68355547634883</v>
      </c>
      <c r="AA473" s="40">
        <f t="shared" si="721"/>
        <v>953.02926375106165</v>
      </c>
      <c r="AB473" s="40">
        <f t="shared" si="721"/>
        <v>550.47598544259984</v>
      </c>
      <c r="AC473" s="40">
        <f t="shared" si="721"/>
        <v>542.64333402521743</v>
      </c>
      <c r="AD473" s="40">
        <f t="shared" si="721"/>
        <v>929.52823787090767</v>
      </c>
      <c r="AE473" s="40">
        <f t="shared" si="721"/>
        <v>526.50493904484256</v>
      </c>
      <c r="AF473" s="40">
        <f t="shared" si="721"/>
        <v>518.19286669950509</v>
      </c>
      <c r="AG473" s="40">
        <f t="shared" si="721"/>
        <v>904.58876119868103</v>
      </c>
      <c r="AH473" s="40">
        <f t="shared" si="721"/>
        <v>501.06667283917142</v>
      </c>
      <c r="AI473" s="40">
        <f t="shared" si="721"/>
        <v>492.24583516972035</v>
      </c>
      <c r="AJ473" s="40">
        <f t="shared" si="721"/>
        <v>878.12278903830031</v>
      </c>
      <c r="AK473" s="40">
        <f t="shared" si="721"/>
        <v>474.0713812355836</v>
      </c>
      <c r="AL473" s="40">
        <f t="shared" si="721"/>
        <v>464.71063773406075</v>
      </c>
      <c r="AM473" s="40">
        <f t="shared" si="721"/>
        <v>850.03688765392781</v>
      </c>
      <c r="AN473" s="40">
        <f t="shared" si="721"/>
        <v>445.42376182352319</v>
      </c>
      <c r="AO473" s="40">
        <f t="shared" si="721"/>
        <v>435.4900659337593</v>
      </c>
      <c r="AP473" s="40">
        <f t="shared" si="721"/>
        <v>820.23190441762017</v>
      </c>
      <c r="AQ473" s="40">
        <f t="shared" si="721"/>
        <v>415.0226789224896</v>
      </c>
      <c r="AR473" s="40">
        <f t="shared" si="721"/>
        <v>404.48096137470498</v>
      </c>
      <c r="AS473" s="40">
        <f t="shared" si="721"/>
        <v>788.60261776738491</v>
      </c>
      <c r="AT473" s="40">
        <f t="shared" si="721"/>
        <v>382.76080653924947</v>
      </c>
      <c r="AU473" s="40">
        <f t="shared" si="721"/>
        <v>371.57385154380006</v>
      </c>
      <c r="AV473" s="40">
        <f t="shared" si="721"/>
        <v>755.0373657398618</v>
      </c>
      <c r="AW473" s="26"/>
      <c r="AX473" s="38"/>
    </row>
    <row r="474" spans="1:50" s="4" customFormat="1" ht="12.75" hidden="1" customHeight="1" outlineLevel="1">
      <c r="A474" s="297"/>
      <c r="B474" s="41"/>
      <c r="C474" s="381"/>
      <c r="D474" s="381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38"/>
    </row>
    <row r="475" spans="1:50" s="4" customFormat="1" ht="12.75" hidden="1" customHeight="1" outlineLevel="1">
      <c r="A475" s="297"/>
      <c r="B475" s="68" t="s">
        <v>244</v>
      </c>
      <c r="C475" s="69"/>
      <c r="D475" s="268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38"/>
    </row>
    <row r="476" spans="1:50" s="4" customFormat="1" ht="12.75" hidden="1" customHeight="1" outlineLevel="1">
      <c r="A476" s="297"/>
      <c r="B476" s="70" t="s">
        <v>294</v>
      </c>
      <c r="C476" s="190" t="s">
        <v>42</v>
      </c>
      <c r="D476" s="318"/>
      <c r="E476" s="264"/>
      <c r="F476" s="264"/>
      <c r="G476" s="264"/>
      <c r="H476" s="264"/>
      <c r="I476" s="264"/>
      <c r="J476" s="264"/>
      <c r="K476" s="264"/>
      <c r="L476" s="264">
        <f t="shared" ref="L476:AV476" si="722">L372</f>
        <v>0</v>
      </c>
      <c r="M476" s="264">
        <f t="shared" si="722"/>
        <v>0</v>
      </c>
      <c r="N476" s="264">
        <f t="shared" si="722"/>
        <v>0</v>
      </c>
      <c r="O476" s="264">
        <f t="shared" si="722"/>
        <v>0</v>
      </c>
      <c r="P476" s="264">
        <f t="shared" si="722"/>
        <v>0</v>
      </c>
      <c r="Q476" s="264">
        <f t="shared" si="722"/>
        <v>2040</v>
      </c>
      <c r="R476" s="264">
        <f t="shared" si="722"/>
        <v>3366</v>
      </c>
      <c r="S476" s="264">
        <f t="shared" si="722"/>
        <v>4207.5</v>
      </c>
      <c r="T476" s="264">
        <f t="shared" si="722"/>
        <v>4838.625</v>
      </c>
      <c r="U476" s="264">
        <f t="shared" si="722"/>
        <v>5564.4187499999998</v>
      </c>
      <c r="V476" s="264">
        <f t="shared" si="722"/>
        <v>6120.8606250000012</v>
      </c>
      <c r="W476" s="264">
        <f t="shared" si="722"/>
        <v>6426.9036562500005</v>
      </c>
      <c r="X476" s="264">
        <f t="shared" si="722"/>
        <v>6748.2488390625012</v>
      </c>
      <c r="Y476" s="264">
        <f t="shared" si="722"/>
        <v>7085.6612810156257</v>
      </c>
      <c r="Z476" s="264">
        <f t="shared" si="722"/>
        <v>7227.3745066359388</v>
      </c>
      <c r="AA476" s="264">
        <f t="shared" si="722"/>
        <v>7371.9219967686577</v>
      </c>
      <c r="AB476" s="264">
        <f t="shared" si="722"/>
        <v>7519.3604367040316</v>
      </c>
      <c r="AC476" s="264">
        <f t="shared" si="722"/>
        <v>7669.7476454381112</v>
      </c>
      <c r="AD476" s="264">
        <f t="shared" si="722"/>
        <v>7823.1425983468744</v>
      </c>
      <c r="AE476" s="264">
        <f t="shared" si="722"/>
        <v>7979.6054503138112</v>
      </c>
      <c r="AF476" s="264">
        <f t="shared" si="722"/>
        <v>8139.1975593200887</v>
      </c>
      <c r="AG476" s="264">
        <f t="shared" si="722"/>
        <v>8301.9815105064899</v>
      </c>
      <c r="AH476" s="264">
        <f t="shared" si="722"/>
        <v>8468.0211407166189</v>
      </c>
      <c r="AI476" s="264">
        <f t="shared" si="722"/>
        <v>8637.3815635309529</v>
      </c>
      <c r="AJ476" s="264">
        <f t="shared" si="722"/>
        <v>8810.1291948015732</v>
      </c>
      <c r="AK476" s="264">
        <f t="shared" si="722"/>
        <v>8986.3317786976058</v>
      </c>
      <c r="AL476" s="264">
        <f t="shared" si="722"/>
        <v>9166.0584142715579</v>
      </c>
      <c r="AM476" s="264">
        <f t="shared" si="722"/>
        <v>9349.3795825569887</v>
      </c>
      <c r="AN476" s="264">
        <f t="shared" si="722"/>
        <v>9536.3671742081315</v>
      </c>
      <c r="AO476" s="264">
        <f t="shared" si="722"/>
        <v>9727.0945176922924</v>
      </c>
      <c r="AP476" s="264">
        <f t="shared" si="722"/>
        <v>9921.636408046139</v>
      </c>
      <c r="AQ476" s="264">
        <f t="shared" si="722"/>
        <v>10120.069136207063</v>
      </c>
      <c r="AR476" s="264">
        <f t="shared" si="722"/>
        <v>10322.470518931203</v>
      </c>
      <c r="AS476" s="264">
        <f t="shared" si="722"/>
        <v>10528.919929309828</v>
      </c>
      <c r="AT476" s="264">
        <f t="shared" si="722"/>
        <v>10739.498327896024</v>
      </c>
      <c r="AU476" s="264">
        <f t="shared" si="722"/>
        <v>10954.288294453945</v>
      </c>
      <c r="AV476" s="264">
        <f t="shared" si="722"/>
        <v>11173.374060343025</v>
      </c>
      <c r="AW476" s="26"/>
      <c r="AX476" s="38"/>
    </row>
    <row r="477" spans="1:50" s="4" customFormat="1" ht="12.75" hidden="1" customHeight="1" outlineLevel="1">
      <c r="A477" s="297"/>
      <c r="B477" s="68" t="s">
        <v>245</v>
      </c>
      <c r="C477" s="71" t="s">
        <v>42</v>
      </c>
      <c r="D477" s="71"/>
      <c r="E477" s="40"/>
      <c r="F477" s="40"/>
      <c r="G477" s="40"/>
      <c r="H477" s="40"/>
      <c r="I477" s="40"/>
      <c r="J477" s="40"/>
      <c r="K477" s="40"/>
      <c r="L477" s="40"/>
      <c r="M477" s="40">
        <f t="shared" ref="M477:AV477" si="723">SUM(M476:M476)</f>
        <v>0</v>
      </c>
      <c r="N477" s="40">
        <f t="shared" si="723"/>
        <v>0</v>
      </c>
      <c r="O477" s="40">
        <f t="shared" si="723"/>
        <v>0</v>
      </c>
      <c r="P477" s="40">
        <f t="shared" si="723"/>
        <v>0</v>
      </c>
      <c r="Q477" s="40">
        <f t="shared" si="723"/>
        <v>2040</v>
      </c>
      <c r="R477" s="40">
        <f t="shared" si="723"/>
        <v>3366</v>
      </c>
      <c r="S477" s="40">
        <f t="shared" si="723"/>
        <v>4207.5</v>
      </c>
      <c r="T477" s="40">
        <f t="shared" si="723"/>
        <v>4838.625</v>
      </c>
      <c r="U477" s="40">
        <f t="shared" si="723"/>
        <v>5564.4187499999998</v>
      </c>
      <c r="V477" s="40">
        <f t="shared" si="723"/>
        <v>6120.8606250000012</v>
      </c>
      <c r="W477" s="40">
        <f t="shared" si="723"/>
        <v>6426.9036562500005</v>
      </c>
      <c r="X477" s="40">
        <f t="shared" si="723"/>
        <v>6748.2488390625012</v>
      </c>
      <c r="Y477" s="40">
        <f t="shared" si="723"/>
        <v>7085.6612810156257</v>
      </c>
      <c r="Z477" s="40">
        <f t="shared" si="723"/>
        <v>7227.3745066359388</v>
      </c>
      <c r="AA477" s="40">
        <f t="shared" si="723"/>
        <v>7371.9219967686577</v>
      </c>
      <c r="AB477" s="40">
        <f t="shared" si="723"/>
        <v>7519.3604367040316</v>
      </c>
      <c r="AC477" s="40">
        <f t="shared" si="723"/>
        <v>7669.7476454381112</v>
      </c>
      <c r="AD477" s="40">
        <f t="shared" si="723"/>
        <v>7823.1425983468744</v>
      </c>
      <c r="AE477" s="40">
        <f t="shared" si="723"/>
        <v>7979.6054503138112</v>
      </c>
      <c r="AF477" s="40">
        <f t="shared" si="723"/>
        <v>8139.1975593200887</v>
      </c>
      <c r="AG477" s="40">
        <f t="shared" si="723"/>
        <v>8301.9815105064899</v>
      </c>
      <c r="AH477" s="40">
        <f t="shared" si="723"/>
        <v>8468.0211407166189</v>
      </c>
      <c r="AI477" s="40">
        <f t="shared" si="723"/>
        <v>8637.3815635309529</v>
      </c>
      <c r="AJ477" s="40">
        <f t="shared" si="723"/>
        <v>8810.1291948015732</v>
      </c>
      <c r="AK477" s="40">
        <f t="shared" si="723"/>
        <v>8986.3317786976058</v>
      </c>
      <c r="AL477" s="40">
        <f t="shared" si="723"/>
        <v>9166.0584142715579</v>
      </c>
      <c r="AM477" s="40">
        <f t="shared" si="723"/>
        <v>9349.3795825569887</v>
      </c>
      <c r="AN477" s="40">
        <f t="shared" si="723"/>
        <v>9536.3671742081315</v>
      </c>
      <c r="AO477" s="40">
        <f t="shared" si="723"/>
        <v>9727.0945176922924</v>
      </c>
      <c r="AP477" s="40">
        <f t="shared" si="723"/>
        <v>9921.636408046139</v>
      </c>
      <c r="AQ477" s="40">
        <f t="shared" si="723"/>
        <v>10120.069136207063</v>
      </c>
      <c r="AR477" s="40">
        <f t="shared" si="723"/>
        <v>10322.470518931203</v>
      </c>
      <c r="AS477" s="40">
        <f t="shared" si="723"/>
        <v>10528.919929309828</v>
      </c>
      <c r="AT477" s="40">
        <f t="shared" si="723"/>
        <v>10739.498327896024</v>
      </c>
      <c r="AU477" s="40">
        <f t="shared" si="723"/>
        <v>10954.288294453945</v>
      </c>
      <c r="AV477" s="40">
        <f t="shared" si="723"/>
        <v>11173.374060343025</v>
      </c>
      <c r="AW477" s="26"/>
      <c r="AX477" s="38"/>
    </row>
    <row r="478" spans="1:50" s="4" customFormat="1" ht="12.75" hidden="1" customHeight="1" outlineLevel="1">
      <c r="A478" s="297"/>
      <c r="B478" s="41"/>
      <c r="C478" s="268"/>
      <c r="D478" s="268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38"/>
    </row>
    <row r="479" spans="1:50" s="4" customFormat="1" ht="12.75" hidden="1" customHeight="1" outlineLevel="1">
      <c r="A479" s="297"/>
      <c r="B479" s="13" t="s">
        <v>238</v>
      </c>
      <c r="C479" s="71"/>
      <c r="D479" s="26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38"/>
    </row>
    <row r="480" spans="1:50" s="4" customFormat="1" ht="12.75" hidden="1" customHeight="1" outlineLevel="1">
      <c r="A480" s="297"/>
      <c r="B480" s="70" t="s">
        <v>156</v>
      </c>
      <c r="C480" s="190" t="s">
        <v>42</v>
      </c>
      <c r="D480" s="301"/>
      <c r="E480" s="24"/>
      <c r="F480" s="24"/>
      <c r="G480" s="24"/>
      <c r="H480" s="24"/>
      <c r="I480" s="24"/>
      <c r="J480" s="24"/>
      <c r="K480" s="24"/>
      <c r="L480" s="24">
        <f t="shared" ref="L480" si="724">L468+L476</f>
        <v>0</v>
      </c>
      <c r="M480" s="24">
        <f t="shared" ref="M480:P480" si="725">M468+M472+M476</f>
        <v>263.02263430940798</v>
      </c>
      <c r="N480" s="24">
        <f t="shared" si="725"/>
        <v>263.02263430940798</v>
      </c>
      <c r="O480" s="24">
        <f t="shared" si="725"/>
        <v>911.22659583007453</v>
      </c>
      <c r="P480" s="24">
        <f t="shared" si="725"/>
        <v>288.40836636647452</v>
      </c>
      <c r="Q480" s="24">
        <f>Q468+Q472+Q476</f>
        <v>2310.011170402151</v>
      </c>
      <c r="R480" s="24">
        <f t="shared" ref="R480:AV480" si="726">R468+R472+R476</f>
        <v>4214.7235829226711</v>
      </c>
      <c r="S480" s="24">
        <f t="shared" si="726"/>
        <v>6201.9093040284606</v>
      </c>
      <c r="T480" s="24">
        <f t="shared" si="726"/>
        <v>8997.8063475971976</v>
      </c>
      <c r="U480" s="24">
        <f t="shared" si="726"/>
        <v>10595.100228234822</v>
      </c>
      <c r="V480" s="24">
        <f t="shared" si="726"/>
        <v>10209.420867039977</v>
      </c>
      <c r="W480" s="24">
        <f t="shared" si="726"/>
        <v>10499.382725137059</v>
      </c>
      <c r="X480" s="24">
        <f t="shared" si="726"/>
        <v>11716.725415692174</v>
      </c>
      <c r="Y480" s="24">
        <f t="shared" si="726"/>
        <v>11180.832068475596</v>
      </c>
      <c r="Z480" s="24">
        <f t="shared" si="726"/>
        <v>11314.360818630517</v>
      </c>
      <c r="AA480" s="24">
        <f t="shared" si="726"/>
        <v>12402.930304170857</v>
      </c>
      <c r="AB480" s="24">
        <f t="shared" si="726"/>
        <v>11589.483455449719</v>
      </c>
      <c r="AC480" s="24">
        <f t="shared" si="726"/>
        <v>11731.185233344122</v>
      </c>
      <c r="AD480" s="24">
        <f t="shared" si="726"/>
        <v>12828.091207178735</v>
      </c>
      <c r="AE480" s="24">
        <f t="shared" si="726"/>
        <v>12023.147576517753</v>
      </c>
      <c r="AF480" s="24">
        <f t="shared" si="726"/>
        <v>12173.522636833519</v>
      </c>
      <c r="AG480" s="24">
        <f t="shared" si="726"/>
        <v>13279.275358737919</v>
      </c>
      <c r="AH480" s="24">
        <f t="shared" si="726"/>
        <v>12483.355411108121</v>
      </c>
      <c r="AI480" s="24">
        <f t="shared" si="726"/>
        <v>12642.934628115694</v>
      </c>
      <c r="AJ480" s="24">
        <f t="shared" si="726"/>
        <v>13758.075589845739</v>
      </c>
      <c r="AK480" s="24">
        <f t="shared" si="726"/>
        <v>12971.7316468381</v>
      </c>
      <c r="AL480" s="24">
        <f t="shared" si="726"/>
        <v>13141.07838856027</v>
      </c>
      <c r="AM480" s="24">
        <f t="shared" si="726"/>
        <v>14266.182225499204</v>
      </c>
      <c r="AN480" s="24">
        <f t="shared" si="726"/>
        <v>13490.000415204635</v>
      </c>
      <c r="AO480" s="24">
        <f t="shared" si="726"/>
        <v>13669.712532294136</v>
      </c>
      <c r="AP480" s="24">
        <f t="shared" si="726"/>
        <v>14805.389052107748</v>
      </c>
      <c r="AQ480" s="24">
        <f t="shared" si="726"/>
        <v>14039.991378345348</v>
      </c>
      <c r="AR480" s="24">
        <f t="shared" si="726"/>
        <v>14230.703314697665</v>
      </c>
      <c r="AS480" s="24">
        <f t="shared" si="726"/>
        <v>15377.599650159349</v>
      </c>
      <c r="AT480" s="24">
        <f t="shared" si="726"/>
        <v>14623.64618835798</v>
      </c>
      <c r="AU480" s="24">
        <f t="shared" si="726"/>
        <v>14826.03122091055</v>
      </c>
      <c r="AV480" s="24">
        <f t="shared" si="726"/>
        <v>15984.834114496491</v>
      </c>
      <c r="AW480" s="26"/>
      <c r="AX480" s="38"/>
    </row>
    <row r="481" spans="1:50" s="4" customFormat="1" ht="12.75" hidden="1" customHeight="1" outlineLevel="1">
      <c r="A481" s="297"/>
      <c r="B481" s="13" t="s">
        <v>47</v>
      </c>
      <c r="C481" s="190"/>
      <c r="D481" s="266"/>
      <c r="E481" s="40"/>
      <c r="F481" s="40"/>
      <c r="G481" s="40"/>
      <c r="H481" s="40"/>
      <c r="I481" s="40"/>
      <c r="J481" s="40"/>
      <c r="K481" s="40"/>
      <c r="L481" s="40">
        <f t="shared" ref="L481:AV481" si="727">SUM(L480:L480)</f>
        <v>0</v>
      </c>
      <c r="M481" s="40">
        <f t="shared" si="727"/>
        <v>263.02263430940798</v>
      </c>
      <c r="N481" s="40">
        <f t="shared" si="727"/>
        <v>263.02263430940798</v>
      </c>
      <c r="O481" s="40">
        <f t="shared" si="727"/>
        <v>911.22659583007453</v>
      </c>
      <c r="P481" s="40">
        <f t="shared" si="727"/>
        <v>288.40836636647452</v>
      </c>
      <c r="Q481" s="40">
        <f>SUM(Q480:Q480)</f>
        <v>2310.011170402151</v>
      </c>
      <c r="R481" s="40">
        <f t="shared" si="727"/>
        <v>4214.7235829226711</v>
      </c>
      <c r="S481" s="40">
        <f t="shared" si="727"/>
        <v>6201.9093040284606</v>
      </c>
      <c r="T481" s="40">
        <f t="shared" si="727"/>
        <v>8997.8063475971976</v>
      </c>
      <c r="U481" s="40">
        <f t="shared" si="727"/>
        <v>10595.100228234822</v>
      </c>
      <c r="V481" s="40">
        <f t="shared" si="727"/>
        <v>10209.420867039977</v>
      </c>
      <c r="W481" s="40">
        <f t="shared" si="727"/>
        <v>10499.382725137059</v>
      </c>
      <c r="X481" s="40">
        <f t="shared" si="727"/>
        <v>11716.725415692174</v>
      </c>
      <c r="Y481" s="40">
        <f t="shared" si="727"/>
        <v>11180.832068475596</v>
      </c>
      <c r="Z481" s="40">
        <f t="shared" si="727"/>
        <v>11314.360818630517</v>
      </c>
      <c r="AA481" s="40">
        <f t="shared" si="727"/>
        <v>12402.930304170857</v>
      </c>
      <c r="AB481" s="40">
        <f t="shared" si="727"/>
        <v>11589.483455449719</v>
      </c>
      <c r="AC481" s="40">
        <f t="shared" si="727"/>
        <v>11731.185233344122</v>
      </c>
      <c r="AD481" s="40">
        <f t="shared" si="727"/>
        <v>12828.091207178735</v>
      </c>
      <c r="AE481" s="40">
        <f t="shared" si="727"/>
        <v>12023.147576517753</v>
      </c>
      <c r="AF481" s="40">
        <f t="shared" si="727"/>
        <v>12173.522636833519</v>
      </c>
      <c r="AG481" s="40">
        <f t="shared" si="727"/>
        <v>13279.275358737919</v>
      </c>
      <c r="AH481" s="40">
        <f t="shared" si="727"/>
        <v>12483.355411108121</v>
      </c>
      <c r="AI481" s="40">
        <f t="shared" si="727"/>
        <v>12642.934628115694</v>
      </c>
      <c r="AJ481" s="40">
        <f t="shared" si="727"/>
        <v>13758.075589845739</v>
      </c>
      <c r="AK481" s="40">
        <f t="shared" si="727"/>
        <v>12971.7316468381</v>
      </c>
      <c r="AL481" s="40">
        <f t="shared" si="727"/>
        <v>13141.07838856027</v>
      </c>
      <c r="AM481" s="40">
        <f t="shared" si="727"/>
        <v>14266.182225499204</v>
      </c>
      <c r="AN481" s="40">
        <f t="shared" si="727"/>
        <v>13490.000415204635</v>
      </c>
      <c r="AO481" s="40">
        <f t="shared" si="727"/>
        <v>13669.712532294136</v>
      </c>
      <c r="AP481" s="40">
        <f t="shared" si="727"/>
        <v>14805.389052107748</v>
      </c>
      <c r="AQ481" s="40">
        <f t="shared" si="727"/>
        <v>14039.991378345348</v>
      </c>
      <c r="AR481" s="40">
        <f t="shared" si="727"/>
        <v>14230.703314697665</v>
      </c>
      <c r="AS481" s="40">
        <f t="shared" si="727"/>
        <v>15377.599650159349</v>
      </c>
      <c r="AT481" s="40">
        <f t="shared" si="727"/>
        <v>14623.64618835798</v>
      </c>
      <c r="AU481" s="40">
        <f t="shared" si="727"/>
        <v>14826.03122091055</v>
      </c>
      <c r="AV481" s="40">
        <f t="shared" si="727"/>
        <v>15984.834114496491</v>
      </c>
      <c r="AW481" s="26"/>
      <c r="AX481" s="38"/>
    </row>
    <row r="482" spans="1:50" s="4" customFormat="1" ht="12.75" hidden="1" customHeight="1" outlineLevel="1">
      <c r="A482" s="297"/>
      <c r="B482" s="41"/>
      <c r="C482" s="268"/>
      <c r="D482" s="268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38"/>
    </row>
    <row r="483" spans="1:50" s="4" customFormat="1" ht="12.75" hidden="1" customHeight="1" outlineLevel="1">
      <c r="A483" s="297"/>
      <c r="B483" s="41" t="s">
        <v>62</v>
      </c>
      <c r="C483" s="71" t="s">
        <v>42</v>
      </c>
      <c r="D483" s="26"/>
      <c r="E483" s="26"/>
      <c r="F483" s="26"/>
      <c r="G483" s="26"/>
      <c r="H483" s="26"/>
      <c r="I483" s="26"/>
      <c r="J483" s="26"/>
      <c r="K483" s="26"/>
      <c r="L483" s="26">
        <f t="shared" ref="L483:Q483" si="728">L469+L477</f>
        <v>0</v>
      </c>
      <c r="M483" s="26">
        <f t="shared" si="728"/>
        <v>263.02263430940798</v>
      </c>
      <c r="N483" s="26">
        <f t="shared" si="728"/>
        <v>263.02263430940798</v>
      </c>
      <c r="O483" s="26">
        <f t="shared" si="728"/>
        <v>911.22659583007453</v>
      </c>
      <c r="P483" s="26">
        <f t="shared" si="728"/>
        <v>288.40836636647452</v>
      </c>
      <c r="Q483" s="26">
        <f t="shared" si="728"/>
        <v>2310.011170402151</v>
      </c>
      <c r="R483" s="26">
        <f>R469+R477</f>
        <v>4214.7235829226711</v>
      </c>
      <c r="S483" s="26">
        <f t="shared" ref="S483:AV483" si="729">S469+S477</f>
        <v>6000.3780300092221</v>
      </c>
      <c r="T483" s="26">
        <f t="shared" si="729"/>
        <v>8445.7284733290871</v>
      </c>
      <c r="U483" s="26">
        <f t="shared" si="729"/>
        <v>9652.6473460402594</v>
      </c>
      <c r="V483" s="26">
        <f t="shared" si="729"/>
        <v>9648.4379329025196</v>
      </c>
      <c r="W483" s="26">
        <f t="shared" si="729"/>
        <v>9952.7455293267558</v>
      </c>
      <c r="X483" s="26">
        <f t="shared" si="729"/>
        <v>10829.764457663103</v>
      </c>
      <c r="Y483" s="26">
        <f t="shared" si="729"/>
        <v>10607.767630629925</v>
      </c>
      <c r="Z483" s="26">
        <f t="shared" si="729"/>
        <v>10748.677263154168</v>
      </c>
      <c r="AA483" s="26">
        <f t="shared" si="729"/>
        <v>11449.901040419794</v>
      </c>
      <c r="AB483" s="26">
        <f t="shared" si="729"/>
        <v>11039.00747000712</v>
      </c>
      <c r="AC483" s="26">
        <f t="shared" si="729"/>
        <v>11188.541899318905</v>
      </c>
      <c r="AD483" s="26">
        <f t="shared" si="729"/>
        <v>11898.562969307826</v>
      </c>
      <c r="AE483" s="26">
        <f t="shared" si="729"/>
        <v>11496.642637472911</v>
      </c>
      <c r="AF483" s="26">
        <f t="shared" si="729"/>
        <v>11655.329770134014</v>
      </c>
      <c r="AG483" s="26">
        <f t="shared" si="729"/>
        <v>12374.686597539237</v>
      </c>
      <c r="AH483" s="26">
        <f t="shared" si="729"/>
        <v>11982.288738268948</v>
      </c>
      <c r="AI483" s="26">
        <f t="shared" si="729"/>
        <v>12150.688792945974</v>
      </c>
      <c r="AJ483" s="26">
        <f t="shared" si="729"/>
        <v>12879.952800807438</v>
      </c>
      <c r="AK483" s="26">
        <f t="shared" si="729"/>
        <v>12497.660265602515</v>
      </c>
      <c r="AL483" s="26">
        <f t="shared" si="729"/>
        <v>12676.36775082621</v>
      </c>
      <c r="AM483" s="26">
        <f t="shared" si="729"/>
        <v>13416.145337845277</v>
      </c>
      <c r="AN483" s="26">
        <f t="shared" si="729"/>
        <v>13044.576653381113</v>
      </c>
      <c r="AO483" s="26">
        <f t="shared" si="729"/>
        <v>13234.222466360377</v>
      </c>
      <c r="AP483" s="26">
        <f t="shared" si="729"/>
        <v>13985.15714769013</v>
      </c>
      <c r="AQ483" s="26">
        <f t="shared" si="729"/>
        <v>13624.96869942286</v>
      </c>
      <c r="AR483" s="26">
        <f t="shared" si="729"/>
        <v>13826.222353322959</v>
      </c>
      <c r="AS483" s="26">
        <f t="shared" si="729"/>
        <v>14588.997032391964</v>
      </c>
      <c r="AT483" s="26">
        <f t="shared" si="729"/>
        <v>14240.885381818731</v>
      </c>
      <c r="AU483" s="26">
        <f t="shared" si="729"/>
        <v>14454.45736936675</v>
      </c>
      <c r="AV483" s="26">
        <f t="shared" si="729"/>
        <v>15229.796748756629</v>
      </c>
      <c r="AW483" s="26"/>
      <c r="AX483" s="38"/>
    </row>
    <row r="484" spans="1:50" s="4" customFormat="1" ht="12.75" hidden="1" customHeight="1" outlineLevel="1">
      <c r="A484" s="297"/>
      <c r="B484" s="41"/>
      <c r="C484" s="268"/>
      <c r="D484" s="268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38"/>
    </row>
    <row r="485" spans="1:50" s="4" customFormat="1" ht="12.75" hidden="1" customHeight="1" outlineLevel="1">
      <c r="A485" s="297"/>
      <c r="B485" s="68" t="s">
        <v>239</v>
      </c>
      <c r="C485" s="69"/>
      <c r="D485" s="69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38"/>
    </row>
    <row r="486" spans="1:50" s="4" customFormat="1" ht="12.75" hidden="1" customHeight="1" outlineLevel="1">
      <c r="A486" s="297"/>
      <c r="B486" s="70" t="s">
        <v>273</v>
      </c>
      <c r="C486" s="190" t="s">
        <v>42</v>
      </c>
      <c r="D486" s="288"/>
      <c r="E486" s="24"/>
      <c r="F486" s="24"/>
      <c r="G486" s="24"/>
      <c r="H486" s="24"/>
      <c r="I486" s="24"/>
      <c r="J486" s="24"/>
      <c r="K486" s="24">
        <f t="shared" ref="K486:AV486" si="730">K126+K190</f>
        <v>0</v>
      </c>
      <c r="L486" s="24">
        <f t="shared" si="730"/>
        <v>218.92404121473601</v>
      </c>
      <c r="M486" s="24">
        <f t="shared" si="730"/>
        <v>85.439811764736007</v>
      </c>
      <c r="N486" s="24">
        <f t="shared" si="730"/>
        <v>253.813745767108</v>
      </c>
      <c r="O486" s="24">
        <f t="shared" si="730"/>
        <v>93.632670427107954</v>
      </c>
      <c r="P486" s="24">
        <f t="shared" si="730"/>
        <v>88.187951265707838</v>
      </c>
      <c r="Q486" s="24">
        <f t="shared" si="730"/>
        <v>57.05141076710801</v>
      </c>
      <c r="R486" s="24">
        <f t="shared" si="730"/>
        <v>205.62573449127916</v>
      </c>
      <c r="S486" s="24">
        <f t="shared" si="730"/>
        <v>625.91524947278117</v>
      </c>
      <c r="T486" s="24">
        <f t="shared" si="730"/>
        <v>711.28239196719187</v>
      </c>
      <c r="U486" s="24">
        <f t="shared" si="730"/>
        <v>415.84765089126068</v>
      </c>
      <c r="V486" s="24">
        <f t="shared" si="730"/>
        <v>403.07827376611658</v>
      </c>
      <c r="W486" s="24">
        <f t="shared" si="730"/>
        <v>543.13616548230732</v>
      </c>
      <c r="X486" s="24">
        <f t="shared" si="730"/>
        <v>338.00751787370757</v>
      </c>
      <c r="Y486" s="24">
        <f t="shared" si="730"/>
        <v>335.79922615585701</v>
      </c>
      <c r="Z486" s="24">
        <f t="shared" si="730"/>
        <v>486.71172842233443</v>
      </c>
      <c r="AA486" s="24">
        <f t="shared" si="730"/>
        <v>290.61200914334142</v>
      </c>
      <c r="AB486" s="24">
        <f t="shared" si="730"/>
        <v>307.43368512164852</v>
      </c>
      <c r="AC486" s="24">
        <f t="shared" si="730"/>
        <v>457.77887656744178</v>
      </c>
      <c r="AD486" s="24">
        <f t="shared" si="730"/>
        <v>261.10050025135081</v>
      </c>
      <c r="AE486" s="24">
        <f t="shared" si="730"/>
        <v>277.33194605181814</v>
      </c>
      <c r="AF486" s="24">
        <f t="shared" si="730"/>
        <v>427.0751027162147</v>
      </c>
      <c r="AG486" s="24">
        <f t="shared" si="730"/>
        <v>229.78265092309928</v>
      </c>
      <c r="AH486" s="24">
        <f t="shared" si="730"/>
        <v>245.38773973700154</v>
      </c>
      <c r="AI486" s="24">
        <f t="shared" si="730"/>
        <v>394.49201227510173</v>
      </c>
      <c r="AJ486" s="24">
        <f t="shared" si="730"/>
        <v>196.54789867316413</v>
      </c>
      <c r="AK486" s="24">
        <f t="shared" si="730"/>
        <v>211.48829244206746</v>
      </c>
      <c r="AL486" s="24">
        <f t="shared" si="730"/>
        <v>359.9145760342692</v>
      </c>
      <c r="AM486" s="24">
        <f t="shared" si="730"/>
        <v>161.27891370751485</v>
      </c>
      <c r="AN486" s="24">
        <f t="shared" si="730"/>
        <v>175.51392777710527</v>
      </c>
      <c r="AO486" s="24">
        <f t="shared" si="730"/>
        <v>323.22072407600774</v>
      </c>
      <c r="AP486" s="24">
        <f t="shared" si="730"/>
        <v>123.85118471008809</v>
      </c>
      <c r="AQ486" s="24">
        <f t="shared" si="730"/>
        <v>137.33764419973011</v>
      </c>
      <c r="AR486" s="24">
        <f t="shared" si="730"/>
        <v>284.2809148270851</v>
      </c>
      <c r="AS486" s="24">
        <f t="shared" si="730"/>
        <v>84.132579276186931</v>
      </c>
      <c r="AT486" s="24">
        <f t="shared" si="730"/>
        <v>96.824666657150885</v>
      </c>
      <c r="AU486" s="24">
        <f t="shared" si="730"/>
        <v>242.95767773365426</v>
      </c>
      <c r="AV486" s="24">
        <f t="shared" si="730"/>
        <v>41.982877440887428</v>
      </c>
      <c r="AW486" s="26"/>
      <c r="AX486" s="38"/>
    </row>
    <row r="487" spans="1:50" s="4" customFormat="1" ht="12.75" hidden="1" customHeight="1" outlineLevel="1">
      <c r="A487" s="297"/>
      <c r="B487" s="68" t="s">
        <v>246</v>
      </c>
      <c r="C487" s="71" t="s">
        <v>42</v>
      </c>
      <c r="D487" s="71"/>
      <c r="E487" s="40"/>
      <c r="F487" s="40"/>
      <c r="G487" s="40"/>
      <c r="H487" s="40"/>
      <c r="I487" s="40"/>
      <c r="J487" s="40"/>
      <c r="K487" s="40"/>
      <c r="L487" s="40">
        <f t="shared" ref="L487:AV487" si="731">SUM(L486:L486)</f>
        <v>218.92404121473601</v>
      </c>
      <c r="M487" s="40">
        <f t="shared" si="731"/>
        <v>85.439811764736007</v>
      </c>
      <c r="N487" s="40">
        <f t="shared" si="731"/>
        <v>253.813745767108</v>
      </c>
      <c r="O487" s="40">
        <f t="shared" si="731"/>
        <v>93.632670427107954</v>
      </c>
      <c r="P487" s="40">
        <f t="shared" si="731"/>
        <v>88.187951265707838</v>
      </c>
      <c r="Q487" s="40">
        <f t="shared" si="731"/>
        <v>57.05141076710801</v>
      </c>
      <c r="R487" s="40">
        <f t="shared" si="731"/>
        <v>205.62573449127916</v>
      </c>
      <c r="S487" s="40">
        <f t="shared" si="731"/>
        <v>625.91524947278117</v>
      </c>
      <c r="T487" s="40">
        <f t="shared" si="731"/>
        <v>711.28239196719187</v>
      </c>
      <c r="U487" s="40">
        <f t="shared" si="731"/>
        <v>415.84765089126068</v>
      </c>
      <c r="V487" s="40">
        <f t="shared" si="731"/>
        <v>403.07827376611658</v>
      </c>
      <c r="W487" s="40">
        <f t="shared" si="731"/>
        <v>543.13616548230732</v>
      </c>
      <c r="X487" s="40">
        <f t="shared" si="731"/>
        <v>338.00751787370757</v>
      </c>
      <c r="Y487" s="40">
        <f t="shared" si="731"/>
        <v>335.79922615585701</v>
      </c>
      <c r="Z487" s="40">
        <f t="shared" si="731"/>
        <v>486.71172842233443</v>
      </c>
      <c r="AA487" s="40">
        <f t="shared" si="731"/>
        <v>290.61200914334142</v>
      </c>
      <c r="AB487" s="40">
        <f t="shared" si="731"/>
        <v>307.43368512164852</v>
      </c>
      <c r="AC487" s="40">
        <f t="shared" si="731"/>
        <v>457.77887656744178</v>
      </c>
      <c r="AD487" s="40">
        <f t="shared" si="731"/>
        <v>261.10050025135081</v>
      </c>
      <c r="AE487" s="40">
        <f t="shared" si="731"/>
        <v>277.33194605181814</v>
      </c>
      <c r="AF487" s="40">
        <f t="shared" si="731"/>
        <v>427.0751027162147</v>
      </c>
      <c r="AG487" s="40">
        <f t="shared" si="731"/>
        <v>229.78265092309928</v>
      </c>
      <c r="AH487" s="40">
        <f t="shared" si="731"/>
        <v>245.38773973700154</v>
      </c>
      <c r="AI487" s="40">
        <f t="shared" si="731"/>
        <v>394.49201227510173</v>
      </c>
      <c r="AJ487" s="40">
        <f t="shared" si="731"/>
        <v>196.54789867316413</v>
      </c>
      <c r="AK487" s="40">
        <f t="shared" si="731"/>
        <v>211.48829244206746</v>
      </c>
      <c r="AL487" s="40">
        <f t="shared" si="731"/>
        <v>359.9145760342692</v>
      </c>
      <c r="AM487" s="40">
        <f t="shared" si="731"/>
        <v>161.27891370751485</v>
      </c>
      <c r="AN487" s="40">
        <f t="shared" si="731"/>
        <v>175.51392777710527</v>
      </c>
      <c r="AO487" s="40">
        <f t="shared" si="731"/>
        <v>323.22072407600774</v>
      </c>
      <c r="AP487" s="40">
        <f t="shared" si="731"/>
        <v>123.85118471008809</v>
      </c>
      <c r="AQ487" s="40">
        <f t="shared" si="731"/>
        <v>137.33764419973011</v>
      </c>
      <c r="AR487" s="40">
        <f t="shared" si="731"/>
        <v>284.2809148270851</v>
      </c>
      <c r="AS487" s="40">
        <f t="shared" si="731"/>
        <v>84.132579276186931</v>
      </c>
      <c r="AT487" s="40">
        <f t="shared" si="731"/>
        <v>96.824666657150885</v>
      </c>
      <c r="AU487" s="40">
        <f t="shared" si="731"/>
        <v>242.95767773365426</v>
      </c>
      <c r="AV487" s="40">
        <f t="shared" si="731"/>
        <v>41.982877440887428</v>
      </c>
      <c r="AW487" s="26"/>
      <c r="AX487" s="38"/>
    </row>
    <row r="488" spans="1:50" s="4" customFormat="1" ht="12.75" hidden="1" customHeight="1" outlineLevel="1">
      <c r="A488" s="297"/>
      <c r="B488" s="70"/>
      <c r="C488" s="69"/>
      <c r="D488" s="69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6"/>
      <c r="AX488" s="38"/>
    </row>
    <row r="489" spans="1:50" s="4" customFormat="1" ht="12.75" hidden="1" customHeight="1" outlineLevel="1">
      <c r="A489" s="297"/>
      <c r="B489" s="68" t="s">
        <v>400</v>
      </c>
      <c r="C489" s="288"/>
      <c r="D489" s="288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6"/>
      <c r="AX489" s="38"/>
    </row>
    <row r="490" spans="1:50" s="4" customFormat="1" ht="12.75" hidden="1" customHeight="1" outlineLevel="1">
      <c r="A490" s="297"/>
      <c r="B490" s="70" t="s">
        <v>401</v>
      </c>
      <c r="C490" s="288" t="s">
        <v>42</v>
      </c>
      <c r="D490" s="288"/>
      <c r="E490" s="24" t="e">
        <f>#REF!+#REF!+(#REF!/10^3)/2</f>
        <v>#REF!</v>
      </c>
      <c r="F490" s="24" t="e">
        <f>#REF!+#REF!+(#REF!/10^3)/2</f>
        <v>#REF!</v>
      </c>
      <c r="G490" s="24" t="e">
        <f>#REF!+#REF!+(#REF!/10^3)/2</f>
        <v>#REF!</v>
      </c>
      <c r="H490" s="24" t="e">
        <f>#REF!+#REF!+(#REF!/10^3)/2</f>
        <v>#REF!</v>
      </c>
      <c r="I490" s="24" t="e">
        <f>#REF!+#REF!+(#REF!/10^3)/2</f>
        <v>#REF!</v>
      </c>
      <c r="J490" s="24" t="e">
        <f>#REF!+#REF!</f>
        <v>#REF!</v>
      </c>
      <c r="K490" s="24"/>
      <c r="L490" s="24">
        <f t="shared" ref="L490:P490" si="732">L320/10^3</f>
        <v>0</v>
      </c>
      <c r="M490" s="24">
        <f t="shared" si="732"/>
        <v>0</v>
      </c>
      <c r="N490" s="24">
        <f t="shared" si="732"/>
        <v>0</v>
      </c>
      <c r="O490" s="24">
        <f t="shared" si="732"/>
        <v>0</v>
      </c>
      <c r="P490" s="24">
        <f t="shared" si="732"/>
        <v>0</v>
      </c>
      <c r="Q490" s="24">
        <f>Q320/10^3</f>
        <v>0</v>
      </c>
      <c r="R490" s="24">
        <f t="shared" ref="R490:AV490" si="733">R320/10^3</f>
        <v>0</v>
      </c>
      <c r="S490" s="24">
        <f t="shared" si="733"/>
        <v>39.922874061022313</v>
      </c>
      <c r="T490" s="24">
        <f t="shared" si="733"/>
        <v>88.741274431971362</v>
      </c>
      <c r="U490" s="24">
        <f t="shared" si="733"/>
        <v>132.48111124218775</v>
      </c>
      <c r="V490" s="24">
        <f t="shared" si="733"/>
        <v>87.086606439963504</v>
      </c>
      <c r="W490" s="24">
        <f t="shared" si="733"/>
        <v>86.214812453319965</v>
      </c>
      <c r="X490" s="24">
        <f t="shared" si="733"/>
        <v>129.10885359385293</v>
      </c>
      <c r="Y490" s="24">
        <f t="shared" si="733"/>
        <v>91.402585628395926</v>
      </c>
      <c r="Z490" s="24">
        <f t="shared" si="733"/>
        <v>90.907915426011968</v>
      </c>
      <c r="AA490" s="24">
        <f t="shared" si="733"/>
        <v>139.08049051570109</v>
      </c>
      <c r="AB490" s="24">
        <f t="shared" si="733"/>
        <v>89.888696941020058</v>
      </c>
      <c r="AC490" s="24">
        <f t="shared" si="733"/>
        <v>89.363748964888586</v>
      </c>
      <c r="AD490" s="24">
        <f t="shared" si="733"/>
        <v>137.50544072535521</v>
      </c>
      <c r="AE490" s="24">
        <f t="shared" si="733"/>
        <v>88.282146154867263</v>
      </c>
      <c r="AF490" s="24">
        <f t="shared" si="733"/>
        <v>87.725067163012753</v>
      </c>
      <c r="AG490" s="24">
        <f t="shared" si="733"/>
        <v>135.83398528744186</v>
      </c>
      <c r="AH490" s="24">
        <f t="shared" si="733"/>
        <v>86.57726160819567</v>
      </c>
      <c r="AI490" s="24">
        <f t="shared" si="733"/>
        <v>85.98608492540771</v>
      </c>
      <c r="AJ490" s="24">
        <f t="shared" si="733"/>
        <v>134.06022340508471</v>
      </c>
      <c r="AK490" s="24">
        <f t="shared" si="733"/>
        <v>84.768024488191358</v>
      </c>
      <c r="AL490" s="24">
        <f t="shared" si="733"/>
        <v>84.831326508351751</v>
      </c>
      <c r="AM490" s="24">
        <f t="shared" si="733"/>
        <v>132.17789310543225</v>
      </c>
      <c r="AN490" s="24">
        <f t="shared" si="733"/>
        <v>85.638568409564854</v>
      </c>
      <c r="AO490" s="24">
        <f t="shared" si="733"/>
        <v>86.054337951159965</v>
      </c>
      <c r="AP490" s="24">
        <f t="shared" si="733"/>
        <v>130.18034913279863</v>
      </c>
      <c r="AQ490" s="24">
        <f t="shared" si="733"/>
        <v>86.910989514662518</v>
      </c>
      <c r="AR490" s="24">
        <f t="shared" si="733"/>
        <v>87.352207478359574</v>
      </c>
      <c r="AS490" s="24">
        <f t="shared" si="733"/>
        <v>128.06053948868811</v>
      </c>
      <c r="AT490" s="24">
        <f t="shared" si="733"/>
        <v>88.261292970760991</v>
      </c>
      <c r="AU490" s="24">
        <f t="shared" si="733"/>
        <v>88.72951700358</v>
      </c>
      <c r="AV490" s="24">
        <f t="shared" si="733"/>
        <v>125.81098053588083</v>
      </c>
      <c r="AW490" s="26"/>
      <c r="AX490" s="38"/>
    </row>
    <row r="491" spans="1:50" s="4" customFormat="1" ht="12.75" hidden="1" customHeight="1" outlineLevel="1">
      <c r="A491" s="297"/>
      <c r="B491" s="68" t="s">
        <v>402</v>
      </c>
      <c r="C491" s="71" t="s">
        <v>42</v>
      </c>
      <c r="D491" s="71"/>
      <c r="E491" s="40">
        <f t="shared" ref="E491:K491" si="734">SUM(E487:E488)</f>
        <v>0</v>
      </c>
      <c r="F491" s="40">
        <f t="shared" si="734"/>
        <v>0</v>
      </c>
      <c r="G491" s="40">
        <f t="shared" si="734"/>
        <v>0</v>
      </c>
      <c r="H491" s="40">
        <f t="shared" si="734"/>
        <v>0</v>
      </c>
      <c r="I491" s="40">
        <f t="shared" si="734"/>
        <v>0</v>
      </c>
      <c r="J491" s="40">
        <f t="shared" si="734"/>
        <v>0</v>
      </c>
      <c r="K491" s="40">
        <f t="shared" si="734"/>
        <v>0</v>
      </c>
      <c r="L491" s="40">
        <f t="shared" ref="L491:P491" si="735">SUM(L490)</f>
        <v>0</v>
      </c>
      <c r="M491" s="40">
        <f t="shared" si="735"/>
        <v>0</v>
      </c>
      <c r="N491" s="40">
        <f t="shared" si="735"/>
        <v>0</v>
      </c>
      <c r="O491" s="40">
        <f t="shared" si="735"/>
        <v>0</v>
      </c>
      <c r="P491" s="40">
        <f t="shared" si="735"/>
        <v>0</v>
      </c>
      <c r="Q491" s="40">
        <f>SUM(Q490)</f>
        <v>0</v>
      </c>
      <c r="R491" s="40">
        <f t="shared" ref="R491:AV491" si="736">SUM(R490)</f>
        <v>0</v>
      </c>
      <c r="S491" s="40">
        <f t="shared" si="736"/>
        <v>39.922874061022313</v>
      </c>
      <c r="T491" s="40">
        <f t="shared" si="736"/>
        <v>88.741274431971362</v>
      </c>
      <c r="U491" s="40">
        <f t="shared" si="736"/>
        <v>132.48111124218775</v>
      </c>
      <c r="V491" s="40">
        <f t="shared" si="736"/>
        <v>87.086606439963504</v>
      </c>
      <c r="W491" s="40">
        <f t="shared" si="736"/>
        <v>86.214812453319965</v>
      </c>
      <c r="X491" s="40">
        <f t="shared" si="736"/>
        <v>129.10885359385293</v>
      </c>
      <c r="Y491" s="40">
        <f t="shared" si="736"/>
        <v>91.402585628395926</v>
      </c>
      <c r="Z491" s="40">
        <f t="shared" si="736"/>
        <v>90.907915426011968</v>
      </c>
      <c r="AA491" s="40">
        <f t="shared" si="736"/>
        <v>139.08049051570109</v>
      </c>
      <c r="AB491" s="40">
        <f t="shared" si="736"/>
        <v>89.888696941020058</v>
      </c>
      <c r="AC491" s="40">
        <f t="shared" si="736"/>
        <v>89.363748964888586</v>
      </c>
      <c r="AD491" s="40">
        <f t="shared" si="736"/>
        <v>137.50544072535521</v>
      </c>
      <c r="AE491" s="40">
        <f t="shared" si="736"/>
        <v>88.282146154867263</v>
      </c>
      <c r="AF491" s="40">
        <f t="shared" si="736"/>
        <v>87.725067163012753</v>
      </c>
      <c r="AG491" s="40">
        <f t="shared" si="736"/>
        <v>135.83398528744186</v>
      </c>
      <c r="AH491" s="40">
        <f t="shared" si="736"/>
        <v>86.57726160819567</v>
      </c>
      <c r="AI491" s="40">
        <f t="shared" si="736"/>
        <v>85.98608492540771</v>
      </c>
      <c r="AJ491" s="40">
        <f t="shared" si="736"/>
        <v>134.06022340508471</v>
      </c>
      <c r="AK491" s="40">
        <f t="shared" si="736"/>
        <v>84.768024488191358</v>
      </c>
      <c r="AL491" s="40">
        <f t="shared" si="736"/>
        <v>84.831326508351751</v>
      </c>
      <c r="AM491" s="40">
        <f t="shared" si="736"/>
        <v>132.17789310543225</v>
      </c>
      <c r="AN491" s="40">
        <f t="shared" si="736"/>
        <v>85.638568409564854</v>
      </c>
      <c r="AO491" s="40">
        <f t="shared" si="736"/>
        <v>86.054337951159965</v>
      </c>
      <c r="AP491" s="40">
        <f t="shared" si="736"/>
        <v>130.18034913279863</v>
      </c>
      <c r="AQ491" s="40">
        <f t="shared" si="736"/>
        <v>86.910989514662518</v>
      </c>
      <c r="AR491" s="40">
        <f t="shared" si="736"/>
        <v>87.352207478359574</v>
      </c>
      <c r="AS491" s="40">
        <f t="shared" si="736"/>
        <v>128.06053948868811</v>
      </c>
      <c r="AT491" s="40">
        <f t="shared" si="736"/>
        <v>88.261292970760991</v>
      </c>
      <c r="AU491" s="40">
        <f t="shared" si="736"/>
        <v>88.72951700358</v>
      </c>
      <c r="AV491" s="40">
        <f t="shared" si="736"/>
        <v>125.81098053588083</v>
      </c>
      <c r="AW491" s="26"/>
      <c r="AX491" s="38"/>
    </row>
    <row r="492" spans="1:50" s="4" customFormat="1" ht="12.75" hidden="1" customHeight="1" outlineLevel="1">
      <c r="A492" s="297"/>
      <c r="B492" s="70"/>
      <c r="C492" s="288"/>
      <c r="D492" s="288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6"/>
      <c r="AX492" s="38"/>
    </row>
    <row r="493" spans="1:50" s="4" customFormat="1" ht="12.75" hidden="1" customHeight="1" outlineLevel="1">
      <c r="A493" s="297"/>
      <c r="B493" s="68" t="s">
        <v>240</v>
      </c>
      <c r="C493" s="69"/>
      <c r="D493" s="69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6"/>
      <c r="AX493" s="38"/>
    </row>
    <row r="494" spans="1:50" s="4" customFormat="1" ht="12.75" hidden="1" customHeight="1" outlineLevel="1">
      <c r="A494" s="297"/>
      <c r="B494" s="70" t="s">
        <v>294</v>
      </c>
      <c r="C494" s="288" t="s">
        <v>42</v>
      </c>
      <c r="D494" s="288"/>
      <c r="E494" s="24"/>
      <c r="F494" s="24"/>
      <c r="G494" s="24"/>
      <c r="H494" s="24"/>
      <c r="I494" s="24"/>
      <c r="J494" s="24"/>
      <c r="K494" s="24"/>
      <c r="L494" s="24"/>
      <c r="M494" s="24"/>
      <c r="N494" s="24">
        <f t="shared" ref="N494:AV494" si="737">N384/10^3</f>
        <v>0</v>
      </c>
      <c r="O494" s="24">
        <f t="shared" si="737"/>
        <v>0</v>
      </c>
      <c r="P494" s="24">
        <f t="shared" si="737"/>
        <v>0</v>
      </c>
      <c r="Q494" s="24">
        <f t="shared" si="737"/>
        <v>1224</v>
      </c>
      <c r="R494" s="24">
        <f t="shared" si="737"/>
        <v>1851.3</v>
      </c>
      <c r="S494" s="24">
        <f t="shared" si="737"/>
        <v>2314.125</v>
      </c>
      <c r="T494" s="24">
        <f t="shared" si="737"/>
        <v>2419.3125</v>
      </c>
      <c r="U494" s="24">
        <f t="shared" si="737"/>
        <v>2670.9209999999998</v>
      </c>
      <c r="V494" s="24">
        <f t="shared" si="737"/>
        <v>2938.0131000000006</v>
      </c>
      <c r="W494" s="24">
        <f t="shared" si="737"/>
        <v>3084.9137550000005</v>
      </c>
      <c r="X494" s="24">
        <f t="shared" si="737"/>
        <v>3239.1594427500008</v>
      </c>
      <c r="Y494" s="24">
        <f t="shared" si="737"/>
        <v>3401.1174148875007</v>
      </c>
      <c r="Z494" s="24">
        <f t="shared" si="737"/>
        <v>3469.1397631852506</v>
      </c>
      <c r="AA494" s="24">
        <f t="shared" si="737"/>
        <v>3538.5225584489558</v>
      </c>
      <c r="AB494" s="24">
        <f t="shared" si="737"/>
        <v>3609.2930096179348</v>
      </c>
      <c r="AC494" s="24">
        <f t="shared" si="737"/>
        <v>3681.4788698102934</v>
      </c>
      <c r="AD494" s="24">
        <f t="shared" si="737"/>
        <v>3755.1084472064995</v>
      </c>
      <c r="AE494" s="24">
        <f t="shared" si="737"/>
        <v>3830.2106161506294</v>
      </c>
      <c r="AF494" s="24">
        <f t="shared" si="737"/>
        <v>3906.8148284736426</v>
      </c>
      <c r="AG494" s="24">
        <f t="shared" si="737"/>
        <v>3984.9511250431156</v>
      </c>
      <c r="AH494" s="24">
        <f t="shared" si="737"/>
        <v>4064.6501475439768</v>
      </c>
      <c r="AI494" s="24">
        <f t="shared" si="737"/>
        <v>4145.9431504948579</v>
      </c>
      <c r="AJ494" s="24">
        <f t="shared" si="737"/>
        <v>4228.8620135047549</v>
      </c>
      <c r="AK494" s="24">
        <f t="shared" si="737"/>
        <v>4313.4392537748508</v>
      </c>
      <c r="AL494" s="24">
        <f t="shared" si="737"/>
        <v>4399.7080388503473</v>
      </c>
      <c r="AM494" s="24">
        <f t="shared" si="737"/>
        <v>4487.7021996273552</v>
      </c>
      <c r="AN494" s="24">
        <f t="shared" si="737"/>
        <v>4577.456243619903</v>
      </c>
      <c r="AO494" s="24">
        <f t="shared" si="737"/>
        <v>4669.0053684922996</v>
      </c>
      <c r="AP494" s="24">
        <f t="shared" si="737"/>
        <v>4762.3854758621464</v>
      </c>
      <c r="AQ494" s="24">
        <f t="shared" si="737"/>
        <v>4857.6331853793899</v>
      </c>
      <c r="AR494" s="24">
        <f t="shared" si="737"/>
        <v>4954.7858490869767</v>
      </c>
      <c r="AS494" s="24">
        <f t="shared" si="737"/>
        <v>5053.8815660687169</v>
      </c>
      <c r="AT494" s="24">
        <f t="shared" si="737"/>
        <v>5154.9591973900915</v>
      </c>
      <c r="AU494" s="24">
        <f t="shared" si="737"/>
        <v>5258.0583813378935</v>
      </c>
      <c r="AV494" s="24">
        <f t="shared" si="737"/>
        <v>5363.2195489646519</v>
      </c>
      <c r="AW494" s="26"/>
      <c r="AX494" s="38"/>
    </row>
    <row r="495" spans="1:50" s="4" customFormat="1" ht="12.75" hidden="1" customHeight="1" outlineLevel="1">
      <c r="A495" s="297"/>
      <c r="B495" s="68" t="s">
        <v>246</v>
      </c>
      <c r="C495" s="71" t="s">
        <v>42</v>
      </c>
      <c r="D495" s="71"/>
      <c r="E495" s="40"/>
      <c r="F495" s="40"/>
      <c r="G495" s="40"/>
      <c r="H495" s="40"/>
      <c r="I495" s="40"/>
      <c r="J495" s="40"/>
      <c r="K495" s="40"/>
      <c r="L495" s="40"/>
      <c r="M495" s="40"/>
      <c r="N495" s="40">
        <f t="shared" ref="N495:AV495" si="738">SUM(N494:N494)</f>
        <v>0</v>
      </c>
      <c r="O495" s="40">
        <f t="shared" si="738"/>
        <v>0</v>
      </c>
      <c r="P495" s="40">
        <f t="shared" si="738"/>
        <v>0</v>
      </c>
      <c r="Q495" s="40">
        <f t="shared" si="738"/>
        <v>1224</v>
      </c>
      <c r="R495" s="40">
        <f t="shared" si="738"/>
        <v>1851.3</v>
      </c>
      <c r="S495" s="40">
        <f t="shared" si="738"/>
        <v>2314.125</v>
      </c>
      <c r="T495" s="40">
        <f t="shared" si="738"/>
        <v>2419.3125</v>
      </c>
      <c r="U495" s="40">
        <f t="shared" si="738"/>
        <v>2670.9209999999998</v>
      </c>
      <c r="V495" s="40">
        <f t="shared" si="738"/>
        <v>2938.0131000000006</v>
      </c>
      <c r="W495" s="40">
        <f t="shared" si="738"/>
        <v>3084.9137550000005</v>
      </c>
      <c r="X495" s="40">
        <f t="shared" si="738"/>
        <v>3239.1594427500008</v>
      </c>
      <c r="Y495" s="40">
        <f t="shared" si="738"/>
        <v>3401.1174148875007</v>
      </c>
      <c r="Z495" s="40">
        <f t="shared" si="738"/>
        <v>3469.1397631852506</v>
      </c>
      <c r="AA495" s="40">
        <f t="shared" si="738"/>
        <v>3538.5225584489558</v>
      </c>
      <c r="AB495" s="40">
        <f t="shared" si="738"/>
        <v>3609.2930096179348</v>
      </c>
      <c r="AC495" s="40">
        <f t="shared" si="738"/>
        <v>3681.4788698102934</v>
      </c>
      <c r="AD495" s="40">
        <f t="shared" si="738"/>
        <v>3755.1084472064995</v>
      </c>
      <c r="AE495" s="40">
        <f t="shared" si="738"/>
        <v>3830.2106161506294</v>
      </c>
      <c r="AF495" s="40">
        <f t="shared" si="738"/>
        <v>3906.8148284736426</v>
      </c>
      <c r="AG495" s="40">
        <f t="shared" si="738"/>
        <v>3984.9511250431156</v>
      </c>
      <c r="AH495" s="40">
        <f t="shared" si="738"/>
        <v>4064.6501475439768</v>
      </c>
      <c r="AI495" s="40">
        <f t="shared" si="738"/>
        <v>4145.9431504948579</v>
      </c>
      <c r="AJ495" s="40">
        <f t="shared" si="738"/>
        <v>4228.8620135047549</v>
      </c>
      <c r="AK495" s="40">
        <f t="shared" si="738"/>
        <v>4313.4392537748508</v>
      </c>
      <c r="AL495" s="40">
        <f t="shared" si="738"/>
        <v>4399.7080388503473</v>
      </c>
      <c r="AM495" s="40">
        <f t="shared" si="738"/>
        <v>4487.7021996273552</v>
      </c>
      <c r="AN495" s="40">
        <f t="shared" si="738"/>
        <v>4577.456243619903</v>
      </c>
      <c r="AO495" s="40">
        <f t="shared" si="738"/>
        <v>4669.0053684922996</v>
      </c>
      <c r="AP495" s="40">
        <f t="shared" si="738"/>
        <v>4762.3854758621464</v>
      </c>
      <c r="AQ495" s="40">
        <f t="shared" si="738"/>
        <v>4857.6331853793899</v>
      </c>
      <c r="AR495" s="40">
        <f t="shared" si="738"/>
        <v>4954.7858490869767</v>
      </c>
      <c r="AS495" s="40">
        <f t="shared" si="738"/>
        <v>5053.8815660687169</v>
      </c>
      <c r="AT495" s="40">
        <f t="shared" si="738"/>
        <v>5154.9591973900915</v>
      </c>
      <c r="AU495" s="40">
        <f t="shared" si="738"/>
        <v>5258.0583813378935</v>
      </c>
      <c r="AV495" s="40">
        <f t="shared" si="738"/>
        <v>5363.2195489646519</v>
      </c>
      <c r="AW495" s="26"/>
      <c r="AX495" s="38"/>
    </row>
    <row r="496" spans="1:50" s="4" customFormat="1" ht="12.75" hidden="1" customHeight="1" outlineLevel="1">
      <c r="A496" s="297"/>
      <c r="B496" s="70"/>
      <c r="C496" s="69"/>
      <c r="D496" s="69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6"/>
      <c r="AX496" s="38"/>
    </row>
    <row r="497" spans="1:50" s="4" customFormat="1" ht="12.75" hidden="1" customHeight="1" outlineLevel="1">
      <c r="A497" s="297"/>
      <c r="B497" s="68" t="s">
        <v>135</v>
      </c>
      <c r="C497" s="69"/>
      <c r="D497" s="69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6"/>
      <c r="AX497" s="38"/>
    </row>
    <row r="498" spans="1:50" s="4" customFormat="1" ht="12.75" hidden="1" customHeight="1" outlineLevel="1">
      <c r="A498" s="297"/>
      <c r="B498" s="70" t="s">
        <v>273</v>
      </c>
      <c r="C498" s="288" t="s">
        <v>42</v>
      </c>
      <c r="D498" s="288"/>
      <c r="E498" s="24"/>
      <c r="F498" s="24"/>
      <c r="G498" s="24">
        <f>G151</f>
        <v>0</v>
      </c>
      <c r="H498" s="24">
        <f>H151</f>
        <v>0</v>
      </c>
      <c r="I498" s="24">
        <f>I151</f>
        <v>0</v>
      </c>
      <c r="J498" s="24">
        <f>J151</f>
        <v>0</v>
      </c>
      <c r="K498" s="24">
        <f t="shared" ref="K498:AV498" si="739">K151+K213</f>
        <v>0</v>
      </c>
      <c r="L498" s="24">
        <f t="shared" si="739"/>
        <v>36.462474734400004</v>
      </c>
      <c r="M498" s="24">
        <f t="shared" si="739"/>
        <v>36.462474734400004</v>
      </c>
      <c r="N498" s="24">
        <f t="shared" si="739"/>
        <v>113.0850195112603</v>
      </c>
      <c r="O498" s="24">
        <f t="shared" si="739"/>
        <v>39.958876421260278</v>
      </c>
      <c r="P498" s="24">
        <f t="shared" si="739"/>
        <v>39.958876421260278</v>
      </c>
      <c r="Q498" s="24">
        <f t="shared" si="739"/>
        <v>113.0850195112603</v>
      </c>
      <c r="R498" s="24">
        <f t="shared" si="739"/>
        <v>206.03795654712323</v>
      </c>
      <c r="S498" s="24">
        <f t="shared" si="739"/>
        <v>412.07591309424646</v>
      </c>
      <c r="T498" s="24">
        <f t="shared" si="739"/>
        <v>485.20205618424649</v>
      </c>
      <c r="U498" s="24">
        <f t="shared" si="739"/>
        <v>299.08735627808221</v>
      </c>
      <c r="V498" s="24">
        <f t="shared" si="739"/>
        <v>299.08735627808221</v>
      </c>
      <c r="W498" s="24">
        <f t="shared" si="739"/>
        <v>372.21349936808224</v>
      </c>
      <c r="X498" s="24">
        <f t="shared" si="739"/>
        <v>299.08735627808221</v>
      </c>
      <c r="Y498" s="24">
        <f t="shared" si="739"/>
        <v>299.08735627808221</v>
      </c>
      <c r="Z498" s="24">
        <f t="shared" si="739"/>
        <v>372.21349936808224</v>
      </c>
      <c r="AA498" s="24">
        <f t="shared" si="739"/>
        <v>299.08735627808221</v>
      </c>
      <c r="AB498" s="24">
        <f t="shared" si="739"/>
        <v>299.08735627808221</v>
      </c>
      <c r="AC498" s="24">
        <f t="shared" si="739"/>
        <v>372.21349936808224</v>
      </c>
      <c r="AD498" s="24">
        <f t="shared" si="739"/>
        <v>299.08735627808221</v>
      </c>
      <c r="AE498" s="24">
        <f t="shared" si="739"/>
        <v>299.08735627808221</v>
      </c>
      <c r="AF498" s="24">
        <f t="shared" si="739"/>
        <v>372.21349936808224</v>
      </c>
      <c r="AG498" s="24">
        <f t="shared" si="739"/>
        <v>299.08735627808221</v>
      </c>
      <c r="AH498" s="24">
        <f t="shared" si="739"/>
        <v>299.08735627808221</v>
      </c>
      <c r="AI498" s="24">
        <f t="shared" si="739"/>
        <v>372.21349936808224</v>
      </c>
      <c r="AJ498" s="24">
        <f t="shared" si="739"/>
        <v>299.08735627808221</v>
      </c>
      <c r="AK498" s="24">
        <f t="shared" si="739"/>
        <v>299.08735627808221</v>
      </c>
      <c r="AL498" s="24">
        <f t="shared" si="739"/>
        <v>372.21349936808224</v>
      </c>
      <c r="AM498" s="24">
        <f t="shared" si="739"/>
        <v>299.08735627808221</v>
      </c>
      <c r="AN498" s="24">
        <f t="shared" si="739"/>
        <v>299.08735627808221</v>
      </c>
      <c r="AO498" s="24">
        <f t="shared" si="739"/>
        <v>372.21349936808224</v>
      </c>
      <c r="AP498" s="24">
        <f t="shared" si="739"/>
        <v>299.08735627808221</v>
      </c>
      <c r="AQ498" s="24">
        <f t="shared" si="739"/>
        <v>299.08735627808221</v>
      </c>
      <c r="AR498" s="24">
        <f t="shared" si="739"/>
        <v>372.21349936808224</v>
      </c>
      <c r="AS498" s="24">
        <f t="shared" si="739"/>
        <v>299.08735627808221</v>
      </c>
      <c r="AT498" s="24">
        <f t="shared" si="739"/>
        <v>299.08735627808221</v>
      </c>
      <c r="AU498" s="24">
        <f t="shared" si="739"/>
        <v>372.21349936808224</v>
      </c>
      <c r="AV498" s="24">
        <f t="shared" si="739"/>
        <v>299.08735627808221</v>
      </c>
      <c r="AW498" s="26"/>
      <c r="AX498" s="38"/>
    </row>
    <row r="499" spans="1:50" s="4" customFormat="1" ht="12.75" hidden="1" customHeight="1" outlineLevel="1">
      <c r="A499" s="297"/>
      <c r="B499" s="70" t="s">
        <v>403</v>
      </c>
      <c r="C499" s="288" t="s">
        <v>42</v>
      </c>
      <c r="D499" s="288"/>
      <c r="E499" s="24"/>
      <c r="F499" s="24"/>
      <c r="G499" s="24"/>
      <c r="H499" s="24"/>
      <c r="I499" s="24"/>
      <c r="J499" s="24"/>
      <c r="K499" s="24"/>
      <c r="L499" s="24">
        <f t="shared" ref="L499:P499" si="740">L349/10^3</f>
        <v>0</v>
      </c>
      <c r="M499" s="24">
        <f t="shared" si="740"/>
        <v>0</v>
      </c>
      <c r="N499" s="24">
        <f t="shared" si="740"/>
        <v>0</v>
      </c>
      <c r="O499" s="24">
        <f t="shared" si="740"/>
        <v>0</v>
      </c>
      <c r="P499" s="24">
        <f t="shared" si="740"/>
        <v>0</v>
      </c>
      <c r="Q499" s="24">
        <f>Q349/10^3</f>
        <v>0</v>
      </c>
      <c r="R499" s="24">
        <f t="shared" ref="R499:AV499" si="741">R349/10^3</f>
        <v>0</v>
      </c>
      <c r="S499" s="24">
        <f t="shared" si="741"/>
        <v>21.2</v>
      </c>
      <c r="T499" s="24">
        <f t="shared" si="741"/>
        <v>58.3</v>
      </c>
      <c r="U499" s="24">
        <f t="shared" si="741"/>
        <v>99.8</v>
      </c>
      <c r="V499" s="24">
        <f t="shared" si="741"/>
        <v>59.4</v>
      </c>
      <c r="W499" s="24">
        <f t="shared" si="741"/>
        <v>57.9</v>
      </c>
      <c r="X499" s="24">
        <f t="shared" si="741"/>
        <v>93.8</v>
      </c>
      <c r="Y499" s="24">
        <f t="shared" si="741"/>
        <v>60.7</v>
      </c>
      <c r="Z499" s="24">
        <f t="shared" si="741"/>
        <v>59.8</v>
      </c>
      <c r="AA499" s="24">
        <f t="shared" si="741"/>
        <v>100.9</v>
      </c>
      <c r="AB499" s="24">
        <f t="shared" si="741"/>
        <v>58.2</v>
      </c>
      <c r="AC499" s="24">
        <f t="shared" si="741"/>
        <v>57.5</v>
      </c>
      <c r="AD499" s="24">
        <f t="shared" si="741"/>
        <v>98.4</v>
      </c>
      <c r="AE499" s="24">
        <f t="shared" si="741"/>
        <v>55.7</v>
      </c>
      <c r="AF499" s="24">
        <f t="shared" si="741"/>
        <v>54.8</v>
      </c>
      <c r="AG499" s="24">
        <f t="shared" si="741"/>
        <v>95.8</v>
      </c>
      <c r="AH499" s="24">
        <f t="shared" si="741"/>
        <v>53.1</v>
      </c>
      <c r="AI499" s="24">
        <f t="shared" si="741"/>
        <v>52.1</v>
      </c>
      <c r="AJ499" s="24">
        <f t="shared" si="741"/>
        <v>92.9</v>
      </c>
      <c r="AK499" s="24">
        <f t="shared" si="741"/>
        <v>50.1</v>
      </c>
      <c r="AL499" s="24">
        <f t="shared" si="741"/>
        <v>49.2</v>
      </c>
      <c r="AM499" s="24">
        <f t="shared" si="741"/>
        <v>89.8</v>
      </c>
      <c r="AN499" s="24">
        <f t="shared" si="741"/>
        <v>47.1</v>
      </c>
      <c r="AO499" s="24">
        <f t="shared" si="741"/>
        <v>46.1</v>
      </c>
      <c r="AP499" s="24">
        <f t="shared" si="741"/>
        <v>86.7</v>
      </c>
      <c r="AQ499" s="24">
        <f t="shared" si="741"/>
        <v>43.8</v>
      </c>
      <c r="AR499" s="24">
        <f t="shared" si="741"/>
        <v>42.8</v>
      </c>
      <c r="AS499" s="24">
        <f t="shared" si="741"/>
        <v>83.4</v>
      </c>
      <c r="AT499" s="24">
        <f t="shared" si="741"/>
        <v>40.4</v>
      </c>
      <c r="AU499" s="24">
        <f t="shared" si="741"/>
        <v>39.1</v>
      </c>
      <c r="AV499" s="24">
        <f t="shared" si="741"/>
        <v>79.8</v>
      </c>
      <c r="AW499" s="26"/>
      <c r="AX499" s="38"/>
    </row>
    <row r="500" spans="1:50" s="4" customFormat="1" ht="12.75" hidden="1" customHeight="1" outlineLevel="1">
      <c r="A500" s="297"/>
      <c r="B500" s="70" t="s">
        <v>294</v>
      </c>
      <c r="C500" s="288" t="s">
        <v>42</v>
      </c>
      <c r="D500" s="288"/>
      <c r="E500" s="24"/>
      <c r="F500" s="24"/>
      <c r="G500" s="24"/>
      <c r="H500" s="24"/>
      <c r="I500" s="24"/>
      <c r="J500" s="24"/>
      <c r="K500" s="24"/>
      <c r="L500" s="24"/>
      <c r="M500" s="24">
        <f>M556</f>
        <v>0</v>
      </c>
      <c r="N500" s="24">
        <f t="shared" ref="N500:AV500" si="742">N213</f>
        <v>39.958876421260278</v>
      </c>
      <c r="O500" s="24">
        <f t="shared" si="742"/>
        <v>39.958876421260278</v>
      </c>
      <c r="P500" s="24">
        <f t="shared" si="742"/>
        <v>39.958876421260278</v>
      </c>
      <c r="Q500" s="24">
        <f t="shared" si="742"/>
        <v>39.958876421260278</v>
      </c>
      <c r="R500" s="24">
        <f t="shared" si="742"/>
        <v>206.03795654712323</v>
      </c>
      <c r="S500" s="24">
        <f t="shared" si="742"/>
        <v>412.07591309424646</v>
      </c>
      <c r="T500" s="24">
        <f t="shared" si="742"/>
        <v>412.07591309424646</v>
      </c>
      <c r="U500" s="24">
        <f t="shared" si="742"/>
        <v>299.08735627808221</v>
      </c>
      <c r="V500" s="24">
        <f t="shared" si="742"/>
        <v>299.08735627808221</v>
      </c>
      <c r="W500" s="24">
        <f t="shared" si="742"/>
        <v>299.08735627808221</v>
      </c>
      <c r="X500" s="24">
        <f t="shared" si="742"/>
        <v>299.08735627808221</v>
      </c>
      <c r="Y500" s="24">
        <f t="shared" si="742"/>
        <v>299.08735627808221</v>
      </c>
      <c r="Z500" s="24">
        <f t="shared" si="742"/>
        <v>299.08735627808221</v>
      </c>
      <c r="AA500" s="24">
        <f t="shared" si="742"/>
        <v>299.08735627808221</v>
      </c>
      <c r="AB500" s="24">
        <f t="shared" si="742"/>
        <v>299.08735627808221</v>
      </c>
      <c r="AC500" s="24">
        <f t="shared" si="742"/>
        <v>299.08735627808221</v>
      </c>
      <c r="AD500" s="24">
        <f t="shared" si="742"/>
        <v>299.08735627808221</v>
      </c>
      <c r="AE500" s="24">
        <f t="shared" si="742"/>
        <v>299.08735627808221</v>
      </c>
      <c r="AF500" s="24">
        <f t="shared" si="742"/>
        <v>299.08735627808221</v>
      </c>
      <c r="AG500" s="24">
        <f t="shared" si="742"/>
        <v>299.08735627808221</v>
      </c>
      <c r="AH500" s="24">
        <f t="shared" si="742"/>
        <v>299.08735627808221</v>
      </c>
      <c r="AI500" s="24">
        <f t="shared" si="742"/>
        <v>299.08735627808221</v>
      </c>
      <c r="AJ500" s="24">
        <f t="shared" si="742"/>
        <v>299.08735627808221</v>
      </c>
      <c r="AK500" s="24">
        <f t="shared" si="742"/>
        <v>299.08735627808221</v>
      </c>
      <c r="AL500" s="24">
        <f t="shared" si="742"/>
        <v>299.08735627808221</v>
      </c>
      <c r="AM500" s="24">
        <f t="shared" si="742"/>
        <v>299.08735627808221</v>
      </c>
      <c r="AN500" s="24">
        <f t="shared" si="742"/>
        <v>299.08735627808221</v>
      </c>
      <c r="AO500" s="24">
        <f t="shared" si="742"/>
        <v>299.08735627808221</v>
      </c>
      <c r="AP500" s="24">
        <f t="shared" si="742"/>
        <v>299.08735627808221</v>
      </c>
      <c r="AQ500" s="24">
        <f t="shared" si="742"/>
        <v>299.08735627808221</v>
      </c>
      <c r="AR500" s="24">
        <f t="shared" si="742"/>
        <v>299.08735627808221</v>
      </c>
      <c r="AS500" s="24">
        <f t="shared" si="742"/>
        <v>299.08735627808221</v>
      </c>
      <c r="AT500" s="24">
        <f t="shared" si="742"/>
        <v>299.08735627808221</v>
      </c>
      <c r="AU500" s="24">
        <f t="shared" si="742"/>
        <v>299.08735627808221</v>
      </c>
      <c r="AV500" s="24">
        <f t="shared" si="742"/>
        <v>299.08735627808221</v>
      </c>
      <c r="AW500" s="26"/>
      <c r="AX500" s="38"/>
    </row>
    <row r="501" spans="1:50" s="4" customFormat="1" ht="12.75" hidden="1" customHeight="1" outlineLevel="1">
      <c r="A501" s="297"/>
      <c r="B501" s="319"/>
      <c r="C501" s="320"/>
      <c r="D501" s="288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6"/>
      <c r="AX501" s="38"/>
    </row>
    <row r="502" spans="1:50" s="4" customFormat="1" ht="12.75" hidden="1" customHeight="1" outlineLevel="1">
      <c r="A502" s="297"/>
      <c r="B502" s="321" t="s">
        <v>3</v>
      </c>
      <c r="C502" s="322"/>
      <c r="D502" s="71"/>
      <c r="E502" s="40">
        <f t="shared" ref="E502:AV502" si="743">SUM(E498:E500)</f>
        <v>0</v>
      </c>
      <c r="F502" s="40">
        <f t="shared" si="743"/>
        <v>0</v>
      </c>
      <c r="G502" s="40">
        <f t="shared" si="743"/>
        <v>0</v>
      </c>
      <c r="H502" s="40">
        <f t="shared" si="743"/>
        <v>0</v>
      </c>
      <c r="I502" s="40">
        <f t="shared" si="743"/>
        <v>0</v>
      </c>
      <c r="J502" s="40">
        <f t="shared" si="743"/>
        <v>0</v>
      </c>
      <c r="K502" s="40">
        <f t="shared" si="743"/>
        <v>0</v>
      </c>
      <c r="L502" s="40">
        <f t="shared" si="743"/>
        <v>36.462474734400004</v>
      </c>
      <c r="M502" s="40">
        <f t="shared" si="743"/>
        <v>36.462474734400004</v>
      </c>
      <c r="N502" s="40">
        <f t="shared" si="743"/>
        <v>153.04389593252057</v>
      </c>
      <c r="O502" s="40">
        <f t="shared" si="743"/>
        <v>79.917752842520557</v>
      </c>
      <c r="P502" s="40">
        <f t="shared" si="743"/>
        <v>79.917752842520557</v>
      </c>
      <c r="Q502" s="40">
        <f>SUM(Q498:Q500)</f>
        <v>153.04389593252057</v>
      </c>
      <c r="R502" s="40">
        <f t="shared" si="743"/>
        <v>412.07591309424646</v>
      </c>
      <c r="S502" s="40">
        <f t="shared" si="743"/>
        <v>845.35182618849285</v>
      </c>
      <c r="T502" s="40">
        <f t="shared" si="743"/>
        <v>955.5779692784929</v>
      </c>
      <c r="U502" s="40">
        <f t="shared" si="743"/>
        <v>697.97471255616438</v>
      </c>
      <c r="V502" s="40">
        <f t="shared" si="743"/>
        <v>657.5747125561644</v>
      </c>
      <c r="W502" s="40">
        <f t="shared" si="743"/>
        <v>729.20085564616443</v>
      </c>
      <c r="X502" s="40">
        <f t="shared" si="743"/>
        <v>691.97471255616438</v>
      </c>
      <c r="Y502" s="40">
        <f t="shared" si="743"/>
        <v>658.87471255616447</v>
      </c>
      <c r="Z502" s="40">
        <f t="shared" si="743"/>
        <v>731.10085564616452</v>
      </c>
      <c r="AA502" s="40">
        <f t="shared" si="743"/>
        <v>699.0747125561644</v>
      </c>
      <c r="AB502" s="40">
        <f t="shared" si="743"/>
        <v>656.37471255616447</v>
      </c>
      <c r="AC502" s="40">
        <f t="shared" si="743"/>
        <v>728.80085564616445</v>
      </c>
      <c r="AD502" s="40">
        <f t="shared" si="743"/>
        <v>696.5747125561644</v>
      </c>
      <c r="AE502" s="40">
        <f t="shared" si="743"/>
        <v>653.87471255616447</v>
      </c>
      <c r="AF502" s="40">
        <f t="shared" si="743"/>
        <v>726.10085564616452</v>
      </c>
      <c r="AG502" s="40">
        <f t="shared" si="743"/>
        <v>693.97471255616438</v>
      </c>
      <c r="AH502" s="40">
        <f t="shared" si="743"/>
        <v>651.27471255616445</v>
      </c>
      <c r="AI502" s="40">
        <f t="shared" si="743"/>
        <v>723.40085564616447</v>
      </c>
      <c r="AJ502" s="40">
        <f t="shared" si="743"/>
        <v>691.0747125561644</v>
      </c>
      <c r="AK502" s="40">
        <f t="shared" si="743"/>
        <v>648.27471255616445</v>
      </c>
      <c r="AL502" s="40">
        <f t="shared" si="743"/>
        <v>720.50085564616438</v>
      </c>
      <c r="AM502" s="40">
        <f t="shared" si="743"/>
        <v>687.97471255616438</v>
      </c>
      <c r="AN502" s="40">
        <f t="shared" si="743"/>
        <v>645.27471255616445</v>
      </c>
      <c r="AO502" s="40">
        <f t="shared" si="743"/>
        <v>717.40085564616447</v>
      </c>
      <c r="AP502" s="40">
        <f t="shared" si="743"/>
        <v>684.87471255616447</v>
      </c>
      <c r="AQ502" s="40">
        <f t="shared" si="743"/>
        <v>641.97471255616438</v>
      </c>
      <c r="AR502" s="40">
        <f t="shared" si="743"/>
        <v>714.10085564616452</v>
      </c>
      <c r="AS502" s="40">
        <f t="shared" si="743"/>
        <v>681.5747125561644</v>
      </c>
      <c r="AT502" s="40">
        <f t="shared" si="743"/>
        <v>638.5747125561644</v>
      </c>
      <c r="AU502" s="40">
        <f t="shared" si="743"/>
        <v>710.40085564616447</v>
      </c>
      <c r="AV502" s="40">
        <f t="shared" si="743"/>
        <v>677.97471255616438</v>
      </c>
      <c r="AW502" s="26"/>
      <c r="AX502" s="38"/>
    </row>
    <row r="503" spans="1:50" s="4" customFormat="1" ht="12.6" hidden="1" customHeight="1" outlineLevel="1">
      <c r="A503" s="297"/>
      <c r="B503" s="70"/>
      <c r="C503" s="69"/>
      <c r="D503" s="69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6"/>
      <c r="AX503" s="38"/>
    </row>
    <row r="504" spans="1:50" s="4" customFormat="1" ht="12.75" hidden="1" customHeight="1" outlineLevel="1">
      <c r="A504" s="297"/>
      <c r="B504" s="68" t="s">
        <v>60</v>
      </c>
      <c r="C504" s="71" t="s">
        <v>42</v>
      </c>
      <c r="D504" s="71"/>
      <c r="E504" s="40">
        <f t="shared" ref="E504:K504" si="744">E487+E495</f>
        <v>0</v>
      </c>
      <c r="F504" s="40">
        <f t="shared" si="744"/>
        <v>0</v>
      </c>
      <c r="G504" s="40">
        <f t="shared" si="744"/>
        <v>0</v>
      </c>
      <c r="H504" s="40">
        <f t="shared" si="744"/>
        <v>0</v>
      </c>
      <c r="I504" s="40">
        <f t="shared" si="744"/>
        <v>0</v>
      </c>
      <c r="J504" s="40">
        <f t="shared" si="744"/>
        <v>0</v>
      </c>
      <c r="K504" s="40">
        <f t="shared" si="744"/>
        <v>0</v>
      </c>
      <c r="L504" s="40">
        <f t="shared" ref="L504:P504" si="745">L487+L491+L495</f>
        <v>218.92404121473601</v>
      </c>
      <c r="M504" s="40">
        <f t="shared" si="745"/>
        <v>85.439811764736007</v>
      </c>
      <c r="N504" s="40">
        <f t="shared" si="745"/>
        <v>253.813745767108</v>
      </c>
      <c r="O504" s="40">
        <f t="shared" si="745"/>
        <v>93.632670427107954</v>
      </c>
      <c r="P504" s="40">
        <f t="shared" si="745"/>
        <v>88.187951265707838</v>
      </c>
      <c r="Q504" s="40">
        <f>Q487+Q491+Q495</f>
        <v>1281.0514107671081</v>
      </c>
      <c r="R504" s="40">
        <f t="shared" ref="R504:AV504" si="746">R487+R491+R495</f>
        <v>2056.9257344912789</v>
      </c>
      <c r="S504" s="40">
        <f t="shared" si="746"/>
        <v>2979.9631235338034</v>
      </c>
      <c r="T504" s="40">
        <f t="shared" si="746"/>
        <v>3219.3361663991632</v>
      </c>
      <c r="U504" s="40">
        <f t="shared" si="746"/>
        <v>3219.2497621334483</v>
      </c>
      <c r="V504" s="40">
        <f t="shared" si="746"/>
        <v>3428.1779802060805</v>
      </c>
      <c r="W504" s="40">
        <f t="shared" si="746"/>
        <v>3714.2647329356278</v>
      </c>
      <c r="X504" s="40">
        <f t="shared" si="746"/>
        <v>3706.2758142175612</v>
      </c>
      <c r="Y504" s="40">
        <f t="shared" si="746"/>
        <v>3828.3192266717538</v>
      </c>
      <c r="Z504" s="40">
        <f t="shared" si="746"/>
        <v>4046.7594070335972</v>
      </c>
      <c r="AA504" s="40">
        <f t="shared" si="746"/>
        <v>3968.2150581079982</v>
      </c>
      <c r="AB504" s="40">
        <f t="shared" si="746"/>
        <v>4006.6153916806034</v>
      </c>
      <c r="AC504" s="40">
        <f t="shared" si="746"/>
        <v>4228.6214953426243</v>
      </c>
      <c r="AD504" s="40">
        <f t="shared" si="746"/>
        <v>4153.7143881832053</v>
      </c>
      <c r="AE504" s="40">
        <f t="shared" si="746"/>
        <v>4195.8247083573151</v>
      </c>
      <c r="AF504" s="40">
        <f t="shared" si="746"/>
        <v>4421.6149983528703</v>
      </c>
      <c r="AG504" s="40">
        <f t="shared" si="746"/>
        <v>4350.5677612536565</v>
      </c>
      <c r="AH504" s="40">
        <f t="shared" si="746"/>
        <v>4396.6151488891737</v>
      </c>
      <c r="AI504" s="40">
        <f t="shared" si="746"/>
        <v>4626.4212476953671</v>
      </c>
      <c r="AJ504" s="40">
        <f t="shared" si="746"/>
        <v>4559.4701355830039</v>
      </c>
      <c r="AK504" s="40">
        <f t="shared" si="746"/>
        <v>4609.6955707051093</v>
      </c>
      <c r="AL504" s="40">
        <f t="shared" si="746"/>
        <v>4844.4539413929679</v>
      </c>
      <c r="AM504" s="40">
        <f t="shared" si="746"/>
        <v>4781.1590064403026</v>
      </c>
      <c r="AN504" s="40">
        <f t="shared" si="746"/>
        <v>4838.6087398065729</v>
      </c>
      <c r="AO504" s="40">
        <f t="shared" si="746"/>
        <v>5078.2804305194677</v>
      </c>
      <c r="AP504" s="40">
        <f t="shared" si="746"/>
        <v>5016.4170097050328</v>
      </c>
      <c r="AQ504" s="40">
        <f t="shared" si="746"/>
        <v>5081.8818190937827</v>
      </c>
      <c r="AR504" s="40">
        <f t="shared" si="746"/>
        <v>5326.4189713924216</v>
      </c>
      <c r="AS504" s="40">
        <f t="shared" si="746"/>
        <v>5266.0746848335921</v>
      </c>
      <c r="AT504" s="40">
        <f t="shared" si="746"/>
        <v>5340.045157018003</v>
      </c>
      <c r="AU504" s="40">
        <f t="shared" si="746"/>
        <v>5589.7455760751282</v>
      </c>
      <c r="AV504" s="40">
        <f t="shared" si="746"/>
        <v>5531.0134069414198</v>
      </c>
      <c r="AW504" s="26"/>
      <c r="AX504" s="38"/>
    </row>
    <row r="505" spans="1:50" s="4" customFormat="1" ht="12.75" hidden="1" customHeight="1" outlineLevel="1">
      <c r="A505" s="297"/>
      <c r="B505" s="72" t="s">
        <v>192</v>
      </c>
      <c r="C505" s="190" t="s">
        <v>42</v>
      </c>
      <c r="D505" s="269"/>
      <c r="E505" s="224">
        <f t="shared" ref="E505:Q505" si="747">E504*2%</f>
        <v>0</v>
      </c>
      <c r="F505" s="224">
        <f t="shared" si="747"/>
        <v>0</v>
      </c>
      <c r="G505" s="224">
        <f t="shared" si="747"/>
        <v>0</v>
      </c>
      <c r="H505" s="224">
        <f t="shared" si="747"/>
        <v>0</v>
      </c>
      <c r="I505" s="224">
        <f t="shared" si="747"/>
        <v>0</v>
      </c>
      <c r="J505" s="224">
        <f t="shared" si="747"/>
        <v>0</v>
      </c>
      <c r="K505" s="224">
        <f t="shared" si="747"/>
        <v>0</v>
      </c>
      <c r="L505" s="224">
        <f t="shared" si="747"/>
        <v>4.3784808242947202</v>
      </c>
      <c r="M505" s="224">
        <f t="shared" si="747"/>
        <v>1.7087962352947201</v>
      </c>
      <c r="N505" s="224">
        <f t="shared" si="747"/>
        <v>5.07627491534216</v>
      </c>
      <c r="O505" s="224">
        <f t="shared" si="747"/>
        <v>1.8726534085421591</v>
      </c>
      <c r="P505" s="224">
        <f t="shared" si="747"/>
        <v>1.7637590253141568</v>
      </c>
      <c r="Q505" s="224">
        <f t="shared" si="747"/>
        <v>25.621028215342164</v>
      </c>
      <c r="R505" s="224">
        <f t="shared" ref="R505:AV505" si="748">R504*2%</f>
        <v>41.138514689825577</v>
      </c>
      <c r="S505" s="224">
        <f t="shared" si="748"/>
        <v>59.599262470676067</v>
      </c>
      <c r="T505" s="224">
        <f t="shared" si="748"/>
        <v>64.386723327983262</v>
      </c>
      <c r="U505" s="224">
        <f t="shared" si="748"/>
        <v>64.384995242668964</v>
      </c>
      <c r="V505" s="224">
        <f t="shared" si="748"/>
        <v>68.563559604121608</v>
      </c>
      <c r="W505" s="224">
        <f t="shared" si="748"/>
        <v>74.285294658712559</v>
      </c>
      <c r="X505" s="224">
        <f t="shared" si="748"/>
        <v>74.125516284351221</v>
      </c>
      <c r="Y505" s="224">
        <f t="shared" si="748"/>
        <v>76.566384533435084</v>
      </c>
      <c r="Z505" s="224">
        <f t="shared" si="748"/>
        <v>80.93518814067194</v>
      </c>
      <c r="AA505" s="224">
        <f t="shared" si="748"/>
        <v>79.364301162159961</v>
      </c>
      <c r="AB505" s="224">
        <f t="shared" si="748"/>
        <v>80.132307833612074</v>
      </c>
      <c r="AC505" s="224">
        <f t="shared" si="748"/>
        <v>84.572429906852491</v>
      </c>
      <c r="AD505" s="224">
        <f t="shared" si="748"/>
        <v>83.074287763664103</v>
      </c>
      <c r="AE505" s="224">
        <f t="shared" si="748"/>
        <v>83.916494167146297</v>
      </c>
      <c r="AF505" s="224">
        <f t="shared" si="748"/>
        <v>88.432299967057403</v>
      </c>
      <c r="AG505" s="224">
        <f t="shared" si="748"/>
        <v>87.011355225073132</v>
      </c>
      <c r="AH505" s="224">
        <f t="shared" si="748"/>
        <v>87.932302977783479</v>
      </c>
      <c r="AI505" s="224">
        <f t="shared" si="748"/>
        <v>92.528424953907347</v>
      </c>
      <c r="AJ505" s="224">
        <f t="shared" si="748"/>
        <v>91.18940271166008</v>
      </c>
      <c r="AK505" s="224">
        <f t="shared" si="748"/>
        <v>92.193911414102189</v>
      </c>
      <c r="AL505" s="224">
        <f t="shared" si="748"/>
        <v>96.889078827859365</v>
      </c>
      <c r="AM505" s="224">
        <f t="shared" si="748"/>
        <v>95.623180128806055</v>
      </c>
      <c r="AN505" s="224">
        <f t="shared" si="748"/>
        <v>96.772174796131466</v>
      </c>
      <c r="AO505" s="224">
        <f t="shared" si="748"/>
        <v>101.56560861038936</v>
      </c>
      <c r="AP505" s="224">
        <f t="shared" si="748"/>
        <v>100.32834019410066</v>
      </c>
      <c r="AQ505" s="224">
        <f t="shared" si="748"/>
        <v>101.63763638187565</v>
      </c>
      <c r="AR505" s="224">
        <f t="shared" si="748"/>
        <v>106.52837942784844</v>
      </c>
      <c r="AS505" s="224">
        <f t="shared" si="748"/>
        <v>105.32149369667184</v>
      </c>
      <c r="AT505" s="224">
        <f t="shared" si="748"/>
        <v>106.80090314036006</v>
      </c>
      <c r="AU505" s="224">
        <f t="shared" si="748"/>
        <v>111.79491152150257</v>
      </c>
      <c r="AV505" s="224">
        <f t="shared" si="748"/>
        <v>110.62026813882839</v>
      </c>
      <c r="AW505" s="26"/>
      <c r="AX505" s="38"/>
    </row>
    <row r="506" spans="1:50" s="4" customFormat="1" ht="12.75" hidden="1" customHeight="1" outlineLevel="1">
      <c r="A506" s="297"/>
      <c r="B506" s="41" t="s">
        <v>61</v>
      </c>
      <c r="C506" s="71" t="s">
        <v>42</v>
      </c>
      <c r="D506" s="267"/>
      <c r="E506" s="40">
        <f t="shared" ref="E506:P506" si="749">SUM(E504:E505)</f>
        <v>0</v>
      </c>
      <c r="F506" s="40">
        <f t="shared" si="749"/>
        <v>0</v>
      </c>
      <c r="G506" s="40">
        <f t="shared" si="749"/>
        <v>0</v>
      </c>
      <c r="H506" s="40">
        <f t="shared" si="749"/>
        <v>0</v>
      </c>
      <c r="I506" s="40">
        <f t="shared" si="749"/>
        <v>0</v>
      </c>
      <c r="J506" s="40">
        <f t="shared" si="749"/>
        <v>0</v>
      </c>
      <c r="K506" s="40">
        <f t="shared" si="749"/>
        <v>0</v>
      </c>
      <c r="L506" s="40">
        <f t="shared" si="749"/>
        <v>223.30252203903072</v>
      </c>
      <c r="M506" s="40">
        <f t="shared" si="749"/>
        <v>87.14860800003072</v>
      </c>
      <c r="N506" s="40">
        <f>SUM(N504:N505)</f>
        <v>258.89002068245014</v>
      </c>
      <c r="O506" s="40">
        <f t="shared" si="749"/>
        <v>95.505323835650117</v>
      </c>
      <c r="P506" s="40">
        <f t="shared" si="749"/>
        <v>89.951710291021996</v>
      </c>
      <c r="Q506" s="40">
        <f>SUM(Q504:Q505)</f>
        <v>1306.6724389824503</v>
      </c>
      <c r="R506" s="40">
        <f t="shared" ref="R506:AV506" si="750">SUM(R504:R505)</f>
        <v>2098.0642491811045</v>
      </c>
      <c r="S506" s="40">
        <f t="shared" si="750"/>
        <v>3039.5623860044793</v>
      </c>
      <c r="T506" s="40">
        <f t="shared" si="750"/>
        <v>3283.7228897271466</v>
      </c>
      <c r="U506" s="40">
        <f t="shared" si="750"/>
        <v>3283.6347573761172</v>
      </c>
      <c r="V506" s="40">
        <f t="shared" si="750"/>
        <v>3496.7415398102021</v>
      </c>
      <c r="W506" s="40">
        <f t="shared" si="750"/>
        <v>3788.5500275943405</v>
      </c>
      <c r="X506" s="40">
        <f t="shared" si="750"/>
        <v>3780.4013305019125</v>
      </c>
      <c r="Y506" s="40">
        <f t="shared" si="750"/>
        <v>3904.885611205189</v>
      </c>
      <c r="Z506" s="40">
        <f t="shared" si="750"/>
        <v>4127.6945951742691</v>
      </c>
      <c r="AA506" s="40">
        <f t="shared" si="750"/>
        <v>4047.579359270158</v>
      </c>
      <c r="AB506" s="40">
        <f t="shared" si="750"/>
        <v>4086.7476995142156</v>
      </c>
      <c r="AC506" s="40">
        <f t="shared" si="750"/>
        <v>4313.1939252494767</v>
      </c>
      <c r="AD506" s="40">
        <f t="shared" si="750"/>
        <v>4236.7886759468693</v>
      </c>
      <c r="AE506" s="40">
        <f t="shared" si="750"/>
        <v>4279.7412025244612</v>
      </c>
      <c r="AF506" s="40">
        <f t="shared" si="750"/>
        <v>4510.0472983199279</v>
      </c>
      <c r="AG506" s="40">
        <f t="shared" si="750"/>
        <v>4437.5791164787297</v>
      </c>
      <c r="AH506" s="40">
        <f t="shared" si="750"/>
        <v>4484.5474518669571</v>
      </c>
      <c r="AI506" s="40">
        <f t="shared" si="750"/>
        <v>4718.9496726492744</v>
      </c>
      <c r="AJ506" s="40">
        <f t="shared" si="750"/>
        <v>4650.6595382946643</v>
      </c>
      <c r="AK506" s="40">
        <f t="shared" si="750"/>
        <v>4701.8894821192116</v>
      </c>
      <c r="AL506" s="40">
        <f t="shared" si="750"/>
        <v>4941.3430202208274</v>
      </c>
      <c r="AM506" s="40">
        <f t="shared" si="750"/>
        <v>4876.7821865691085</v>
      </c>
      <c r="AN506" s="40">
        <f t="shared" si="750"/>
        <v>4935.3809146027043</v>
      </c>
      <c r="AO506" s="40">
        <f t="shared" si="750"/>
        <v>5179.8460391298568</v>
      </c>
      <c r="AP506" s="40">
        <f t="shared" si="750"/>
        <v>5116.7453498991335</v>
      </c>
      <c r="AQ506" s="40">
        <f t="shared" si="750"/>
        <v>5183.5194554756581</v>
      </c>
      <c r="AR506" s="40">
        <f t="shared" si="750"/>
        <v>5432.94735082027</v>
      </c>
      <c r="AS506" s="40">
        <f t="shared" si="750"/>
        <v>5371.3961785302636</v>
      </c>
      <c r="AT506" s="40">
        <f t="shared" si="750"/>
        <v>5446.8460601583629</v>
      </c>
      <c r="AU506" s="40">
        <f t="shared" si="750"/>
        <v>5701.5404875966306</v>
      </c>
      <c r="AV506" s="40">
        <f t="shared" si="750"/>
        <v>5641.6336750802484</v>
      </c>
      <c r="AW506" s="26"/>
      <c r="AX506" s="38"/>
    </row>
    <row r="507" spans="1:50" s="4" customFormat="1" ht="12.6" hidden="1" customHeight="1" outlineLevel="1">
      <c r="A507" s="297"/>
      <c r="B507" s="41"/>
      <c r="C507" s="20"/>
      <c r="D507" s="20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38"/>
    </row>
    <row r="508" spans="1:50" s="4" customFormat="1" ht="12.6" hidden="1" customHeight="1" outlineLevel="1">
      <c r="A508" s="297"/>
      <c r="B508" s="41" t="s">
        <v>131</v>
      </c>
      <c r="C508" s="268"/>
      <c r="D508" s="268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38"/>
    </row>
    <row r="509" spans="1:50" s="4" customFormat="1" ht="12.6" hidden="1" customHeight="1" outlineLevel="1">
      <c r="A509" s="297"/>
      <c r="B509" s="70" t="s">
        <v>273</v>
      </c>
      <c r="C509" s="288" t="s">
        <v>42</v>
      </c>
      <c r="D509" s="301"/>
      <c r="E509" s="26"/>
      <c r="F509" s="26"/>
      <c r="G509" s="26"/>
      <c r="H509" s="26"/>
      <c r="I509" s="24"/>
      <c r="J509" s="24"/>
      <c r="K509" s="24">
        <f>K468-K486-K498</f>
        <v>0</v>
      </c>
      <c r="L509" s="24"/>
      <c r="M509" s="24">
        <f t="shared" ref="M509:AV509" si="751">M468-M486-M498</f>
        <v>141.12034781027194</v>
      </c>
      <c r="N509" s="24">
        <f>N468-N486-N498</f>
        <v>-103.87613096896033</v>
      </c>
      <c r="O509" s="24">
        <f t="shared" si="751"/>
        <v>777.63504898170629</v>
      </c>
      <c r="P509" s="24">
        <f t="shared" si="751"/>
        <v>160.2615386795064</v>
      </c>
      <c r="Q509" s="24">
        <f t="shared" si="751"/>
        <v>99.874740123782516</v>
      </c>
      <c r="R509" s="24">
        <f t="shared" si="751"/>
        <v>437.05989188426838</v>
      </c>
      <c r="S509" s="24">
        <f t="shared" si="751"/>
        <v>754.88686744219422</v>
      </c>
      <c r="T509" s="24">
        <f t="shared" si="751"/>
        <v>2410.6190251776493</v>
      </c>
      <c r="U509" s="24">
        <f t="shared" si="751"/>
        <v>3373.2935888709167</v>
      </c>
      <c r="V509" s="24">
        <f t="shared" si="751"/>
        <v>2825.4116778583198</v>
      </c>
      <c r="W509" s="24">
        <f t="shared" si="751"/>
        <v>2610.4922082263656</v>
      </c>
      <c r="X509" s="24">
        <f t="shared" si="751"/>
        <v>3444.4207444488129</v>
      </c>
      <c r="Y509" s="24">
        <f t="shared" si="751"/>
        <v>2887.2197671803606</v>
      </c>
      <c r="Z509" s="24">
        <f t="shared" si="751"/>
        <v>2662.3775287278131</v>
      </c>
      <c r="AA509" s="24">
        <f t="shared" si="751"/>
        <v>3488.2796782297141</v>
      </c>
      <c r="AB509" s="24">
        <f t="shared" si="751"/>
        <v>2913.1259919033569</v>
      </c>
      <c r="AC509" s="24">
        <f t="shared" si="751"/>
        <v>2688.8018779452696</v>
      </c>
      <c r="AD509" s="24">
        <f t="shared" si="751"/>
        <v>3515.23251443152</v>
      </c>
      <c r="AE509" s="24">
        <f t="shared" si="751"/>
        <v>2940.6178848291993</v>
      </c>
      <c r="AF509" s="24">
        <f t="shared" si="751"/>
        <v>2716.8436087296286</v>
      </c>
      <c r="AG509" s="24">
        <f t="shared" si="751"/>
        <v>3543.835079831566</v>
      </c>
      <c r="AH509" s="24">
        <f t="shared" si="751"/>
        <v>2969.7925015372462</v>
      </c>
      <c r="AI509" s="24">
        <f t="shared" si="751"/>
        <v>2746.6017177718368</v>
      </c>
      <c r="AJ509" s="24">
        <f t="shared" si="751"/>
        <v>3574.1883510546181</v>
      </c>
      <c r="AK509" s="24">
        <f t="shared" si="751"/>
        <v>3000.7528381847596</v>
      </c>
      <c r="AL509" s="24">
        <f t="shared" si="751"/>
        <v>2778.181261152301</v>
      </c>
      <c r="AM509" s="24">
        <f t="shared" si="751"/>
        <v>3606.3994853026911</v>
      </c>
      <c r="AN509" s="24">
        <f t="shared" si="751"/>
        <v>3033.6081951177935</v>
      </c>
      <c r="AO509" s="24">
        <f t="shared" si="751"/>
        <v>2811.693725223995</v>
      </c>
      <c r="AP509" s="24">
        <f t="shared" si="751"/>
        <v>3640.5821986558199</v>
      </c>
      <c r="AQ509" s="24">
        <f t="shared" si="751"/>
        <v>3068.4745627379843</v>
      </c>
      <c r="AR509" s="24">
        <f t="shared" si="751"/>
        <v>2847.2574201965899</v>
      </c>
      <c r="AS509" s="24">
        <f t="shared" si="751"/>
        <v>3676.8571675278667</v>
      </c>
      <c r="AT509" s="24">
        <f t="shared" si="751"/>
        <v>3105.4750309874726</v>
      </c>
      <c r="AU509" s="24">
        <f t="shared" si="751"/>
        <v>2884.9978978110676</v>
      </c>
      <c r="AV509" s="24">
        <f t="shared" si="751"/>
        <v>3715.3524546946342</v>
      </c>
      <c r="AW509" s="26"/>
      <c r="AX509" s="38"/>
    </row>
    <row r="510" spans="1:50" s="4" customFormat="1" ht="12.6" hidden="1" customHeight="1" outlineLevel="1">
      <c r="A510" s="297"/>
      <c r="B510" s="70" t="s">
        <v>403</v>
      </c>
      <c r="C510" s="288" t="s">
        <v>42</v>
      </c>
      <c r="D510" s="419"/>
      <c r="E510" s="26"/>
      <c r="F510" s="26"/>
      <c r="G510" s="26"/>
      <c r="H510" s="26"/>
      <c r="I510" s="24"/>
      <c r="J510" s="24"/>
      <c r="K510" s="24"/>
      <c r="L510" s="24"/>
      <c r="M510" s="24"/>
      <c r="N510" s="24">
        <f>N472-N490-N499</f>
        <v>0</v>
      </c>
      <c r="O510" s="24">
        <f t="shared" ref="O510:AV510" si="752">O472-O490-O499</f>
        <v>0</v>
      </c>
      <c r="P510" s="24">
        <f t="shared" si="752"/>
        <v>0</v>
      </c>
      <c r="Q510" s="24">
        <f t="shared" si="752"/>
        <v>0</v>
      </c>
      <c r="R510" s="24">
        <f t="shared" si="752"/>
        <v>0</v>
      </c>
      <c r="S510" s="24">
        <f t="shared" si="752"/>
        <v>140.40839995821619</v>
      </c>
      <c r="T510" s="24">
        <f t="shared" si="752"/>
        <v>405.03659983613795</v>
      </c>
      <c r="U510" s="24">
        <f t="shared" si="752"/>
        <v>710.1717709523748</v>
      </c>
      <c r="V510" s="24">
        <f t="shared" si="752"/>
        <v>414.49632769749417</v>
      </c>
      <c r="W510" s="24">
        <f t="shared" si="752"/>
        <v>402.52238335698325</v>
      </c>
      <c r="X510" s="24">
        <f t="shared" si="752"/>
        <v>664.05210443521628</v>
      </c>
      <c r="Y510" s="24">
        <f t="shared" si="752"/>
        <v>420.96185221727387</v>
      </c>
      <c r="Z510" s="24">
        <f t="shared" si="752"/>
        <v>414.97564005033684</v>
      </c>
      <c r="AA510" s="24">
        <f t="shared" si="752"/>
        <v>713.04877323536061</v>
      </c>
      <c r="AB510" s="24">
        <f t="shared" si="752"/>
        <v>402.3872885015798</v>
      </c>
      <c r="AC510" s="24">
        <f t="shared" si="752"/>
        <v>395.77958506032883</v>
      </c>
      <c r="AD510" s="24">
        <f t="shared" si="752"/>
        <v>693.62279714555245</v>
      </c>
      <c r="AE510" s="24">
        <f t="shared" si="752"/>
        <v>382.52279288997528</v>
      </c>
      <c r="AF510" s="24">
        <f t="shared" si="752"/>
        <v>375.66779953649234</v>
      </c>
      <c r="AG510" s="24">
        <f t="shared" si="752"/>
        <v>672.95477591123927</v>
      </c>
      <c r="AH510" s="24">
        <f t="shared" si="752"/>
        <v>361.38941123097572</v>
      </c>
      <c r="AI510" s="24">
        <f t="shared" si="752"/>
        <v>354.15975024431259</v>
      </c>
      <c r="AJ510" s="24">
        <f t="shared" si="752"/>
        <v>651.16256563321565</v>
      </c>
      <c r="AK510" s="24">
        <f t="shared" si="752"/>
        <v>339.20335674739221</v>
      </c>
      <c r="AL510" s="24">
        <f t="shared" si="752"/>
        <v>330.679311225709</v>
      </c>
      <c r="AM510" s="24">
        <f t="shared" si="752"/>
        <v>628.05899454849555</v>
      </c>
      <c r="AN510" s="24">
        <f t="shared" si="752"/>
        <v>312.6851934139583</v>
      </c>
      <c r="AO510" s="24">
        <f t="shared" si="752"/>
        <v>303.33572798259934</v>
      </c>
      <c r="AP510" s="24">
        <f t="shared" si="752"/>
        <v>603.35155528482153</v>
      </c>
      <c r="AQ510" s="24">
        <f t="shared" si="752"/>
        <v>284.31168940782709</v>
      </c>
      <c r="AR510" s="24">
        <f t="shared" si="752"/>
        <v>274.3287538963454</v>
      </c>
      <c r="AS510" s="24">
        <f t="shared" si="752"/>
        <v>577.14207827869689</v>
      </c>
      <c r="AT510" s="24">
        <f t="shared" si="752"/>
        <v>254.0995135684885</v>
      </c>
      <c r="AU510" s="24">
        <f t="shared" si="752"/>
        <v>243.74433454022008</v>
      </c>
      <c r="AV510" s="24">
        <f t="shared" si="752"/>
        <v>549.426385203981</v>
      </c>
      <c r="AW510" s="26"/>
      <c r="AX510" s="38"/>
    </row>
    <row r="511" spans="1:50" s="4" customFormat="1" ht="12.6" hidden="1" customHeight="1" outlineLevel="1">
      <c r="A511" s="297"/>
      <c r="B511" s="70" t="s">
        <v>294</v>
      </c>
      <c r="C511" s="288" t="s">
        <v>42</v>
      </c>
      <c r="D511" s="318"/>
      <c r="E511" s="26"/>
      <c r="F511" s="26"/>
      <c r="G511" s="26"/>
      <c r="H511" s="26"/>
      <c r="I511" s="24">
        <f t="shared" ref="I511:AV511" si="753">I476-I494-I500</f>
        <v>0</v>
      </c>
      <c r="J511" s="24">
        <f t="shared" si="753"/>
        <v>0</v>
      </c>
      <c r="K511" s="24">
        <f t="shared" si="753"/>
        <v>0</v>
      </c>
      <c r="L511" s="24">
        <f t="shared" si="753"/>
        <v>0</v>
      </c>
      <c r="M511" s="24">
        <f t="shared" si="753"/>
        <v>0</v>
      </c>
      <c r="N511" s="24">
        <f t="shared" si="753"/>
        <v>-39.958876421260278</v>
      </c>
      <c r="O511" s="24">
        <f t="shared" si="753"/>
        <v>-39.958876421260278</v>
      </c>
      <c r="P511" s="24">
        <f t="shared" si="753"/>
        <v>-39.958876421260278</v>
      </c>
      <c r="Q511" s="24">
        <f t="shared" si="753"/>
        <v>776.04112357873976</v>
      </c>
      <c r="R511" s="24">
        <f t="shared" si="753"/>
        <v>1308.6620434528768</v>
      </c>
      <c r="S511" s="24">
        <f t="shared" si="753"/>
        <v>1481.2990869057535</v>
      </c>
      <c r="T511" s="24">
        <f t="shared" si="753"/>
        <v>2007.2365869057535</v>
      </c>
      <c r="U511" s="24">
        <f t="shared" si="753"/>
        <v>2594.4103937219179</v>
      </c>
      <c r="V511" s="24">
        <f t="shared" si="753"/>
        <v>2883.7601687219185</v>
      </c>
      <c r="W511" s="24">
        <f t="shared" si="753"/>
        <v>3042.9025449719179</v>
      </c>
      <c r="X511" s="24">
        <f t="shared" si="753"/>
        <v>3210.0020400344183</v>
      </c>
      <c r="Y511" s="24">
        <f t="shared" si="753"/>
        <v>3385.4565098500429</v>
      </c>
      <c r="Z511" s="24">
        <f t="shared" si="753"/>
        <v>3459.1473871726062</v>
      </c>
      <c r="AA511" s="24">
        <f t="shared" si="753"/>
        <v>3534.3120820416198</v>
      </c>
      <c r="AB511" s="24">
        <f t="shared" si="753"/>
        <v>3610.9800708080147</v>
      </c>
      <c r="AC511" s="24">
        <f t="shared" si="753"/>
        <v>3689.1814193497357</v>
      </c>
      <c r="AD511" s="24">
        <f t="shared" si="753"/>
        <v>3768.9467948622928</v>
      </c>
      <c r="AE511" s="24">
        <f t="shared" si="753"/>
        <v>3850.3074778851001</v>
      </c>
      <c r="AF511" s="24">
        <f t="shared" si="753"/>
        <v>3933.295374568364</v>
      </c>
      <c r="AG511" s="24">
        <f t="shared" si="753"/>
        <v>4017.9430291852927</v>
      </c>
      <c r="AH511" s="24">
        <f t="shared" si="753"/>
        <v>4104.28363689456</v>
      </c>
      <c r="AI511" s="24">
        <f t="shared" si="753"/>
        <v>4192.3510567580124</v>
      </c>
      <c r="AJ511" s="24">
        <f t="shared" si="753"/>
        <v>4282.1798250187358</v>
      </c>
      <c r="AK511" s="24">
        <f t="shared" si="753"/>
        <v>4373.8051686446724</v>
      </c>
      <c r="AL511" s="24">
        <f t="shared" si="753"/>
        <v>4467.2630191431281</v>
      </c>
      <c r="AM511" s="24">
        <f t="shared" si="753"/>
        <v>4562.5900266515509</v>
      </c>
      <c r="AN511" s="24">
        <f t="shared" si="753"/>
        <v>4659.8235743101459</v>
      </c>
      <c r="AO511" s="24">
        <f t="shared" si="753"/>
        <v>4759.0017929219102</v>
      </c>
      <c r="AP511" s="24">
        <f t="shared" si="753"/>
        <v>4860.16357590591</v>
      </c>
      <c r="AQ511" s="24">
        <f t="shared" si="753"/>
        <v>4963.3485945495904</v>
      </c>
      <c r="AR511" s="24">
        <f t="shared" si="753"/>
        <v>5068.5973135661434</v>
      </c>
      <c r="AS511" s="24">
        <f t="shared" si="753"/>
        <v>5175.9510069630287</v>
      </c>
      <c r="AT511" s="24">
        <f t="shared" si="753"/>
        <v>5285.4517742278504</v>
      </c>
      <c r="AU511" s="24">
        <f t="shared" si="753"/>
        <v>5397.1425568379691</v>
      </c>
      <c r="AV511" s="24">
        <f t="shared" si="753"/>
        <v>5511.0671551002906</v>
      </c>
      <c r="AW511" s="26"/>
      <c r="AX511" s="38"/>
    </row>
    <row r="512" spans="1:50" s="4" customFormat="1" ht="12.6" hidden="1" customHeight="1" outlineLevel="1">
      <c r="A512" s="297"/>
      <c r="B512" s="41"/>
      <c r="C512" s="20"/>
      <c r="D512" s="20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38"/>
    </row>
    <row r="513" spans="1:50" ht="12.75" hidden="1" customHeight="1" outlineLevel="1">
      <c r="A513" s="296"/>
      <c r="B513" s="32"/>
      <c r="C513" s="23"/>
      <c r="D513" s="23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6"/>
      <c r="AX513" s="27"/>
    </row>
    <row r="514" spans="1:50">
      <c r="A514" s="296" t="s">
        <v>138</v>
      </c>
      <c r="B514" s="21" t="s">
        <v>27</v>
      </c>
      <c r="C514" s="22"/>
      <c r="D514" s="147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0"/>
      <c r="AX514" s="27"/>
    </row>
    <row r="515" spans="1:50" outlineLevel="1">
      <c r="A515" s="296"/>
      <c r="B515" s="28"/>
      <c r="C515" s="69"/>
      <c r="D515" s="23"/>
      <c r="E515" s="24"/>
      <c r="F515" s="24"/>
      <c r="G515" s="24"/>
      <c r="H515" s="24"/>
      <c r="I515" s="3"/>
      <c r="J515" s="3"/>
      <c r="K515" s="3"/>
      <c r="L515" s="24"/>
      <c r="M515" s="24"/>
      <c r="N515" s="49"/>
      <c r="O515" s="161" t="s">
        <v>250</v>
      </c>
      <c r="P515" s="24"/>
      <c r="Q515" s="270">
        <v>200</v>
      </c>
      <c r="R515" s="24"/>
      <c r="S515" s="24"/>
      <c r="T515" s="24"/>
      <c r="U515" s="24"/>
      <c r="V515" s="24"/>
      <c r="W515" s="3"/>
      <c r="X515" s="3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6"/>
      <c r="AX515" s="27"/>
    </row>
    <row r="516" spans="1:50" ht="12.75" customHeight="1" outlineLevel="1">
      <c r="A516" s="296"/>
      <c r="B516" s="13" t="s">
        <v>28</v>
      </c>
      <c r="C516" s="23"/>
      <c r="D516" s="23"/>
      <c r="E516" s="162"/>
      <c r="F516" s="162"/>
      <c r="G516" s="162"/>
      <c r="H516" s="162"/>
      <c r="I516" s="162"/>
      <c r="J516" s="162"/>
      <c r="K516" s="162"/>
      <c r="L516" s="162"/>
      <c r="M516" s="25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6"/>
      <c r="AX516" s="27"/>
    </row>
    <row r="517" spans="1:50" outlineLevel="1">
      <c r="A517" s="296"/>
      <c r="B517" s="28" t="s">
        <v>28</v>
      </c>
      <c r="C517" s="69" t="s">
        <v>42</v>
      </c>
      <c r="D517" s="23"/>
      <c r="E517" s="24"/>
      <c r="F517" s="24"/>
      <c r="G517" s="24"/>
      <c r="H517" s="24">
        <f t="shared" ref="H517:N517" si="754">H483</f>
        <v>0</v>
      </c>
      <c r="I517" s="24">
        <f t="shared" si="754"/>
        <v>0</v>
      </c>
      <c r="J517" s="24">
        <f t="shared" si="754"/>
        <v>0</v>
      </c>
      <c r="K517" s="24">
        <f t="shared" si="754"/>
        <v>0</v>
      </c>
      <c r="L517" s="24">
        <f t="shared" si="754"/>
        <v>0</v>
      </c>
      <c r="M517" s="24">
        <f t="shared" si="754"/>
        <v>263.02263430940798</v>
      </c>
      <c r="N517" s="24">
        <f t="shared" si="754"/>
        <v>263.02263430940798</v>
      </c>
      <c r="O517" s="24">
        <f t="shared" ref="O517:AF517" si="755">O483</f>
        <v>911.22659583007453</v>
      </c>
      <c r="P517" s="24">
        <f t="shared" si="755"/>
        <v>288.40836636647452</v>
      </c>
      <c r="Q517" s="24">
        <f t="shared" si="755"/>
        <v>2310.011170402151</v>
      </c>
      <c r="R517" s="24">
        <f t="shared" si="755"/>
        <v>4214.7235829226711</v>
      </c>
      <c r="S517" s="24">
        <f t="shared" si="755"/>
        <v>6000.3780300092221</v>
      </c>
      <c r="T517" s="24">
        <f t="shared" si="755"/>
        <v>8445.7284733290871</v>
      </c>
      <c r="U517" s="24">
        <f t="shared" si="755"/>
        <v>9652.6473460402594</v>
      </c>
      <c r="V517" s="24">
        <f t="shared" si="755"/>
        <v>9648.4379329025196</v>
      </c>
      <c r="W517" s="24">
        <f t="shared" si="755"/>
        <v>9952.7455293267558</v>
      </c>
      <c r="X517" s="24">
        <f t="shared" si="755"/>
        <v>10829.764457663103</v>
      </c>
      <c r="Y517" s="24">
        <f t="shared" si="755"/>
        <v>10607.767630629925</v>
      </c>
      <c r="Z517" s="24">
        <f t="shared" si="755"/>
        <v>10748.677263154168</v>
      </c>
      <c r="AA517" s="24">
        <f t="shared" si="755"/>
        <v>11449.901040419794</v>
      </c>
      <c r="AB517" s="24">
        <f t="shared" si="755"/>
        <v>11039.00747000712</v>
      </c>
      <c r="AC517" s="24">
        <f t="shared" si="755"/>
        <v>11188.541899318905</v>
      </c>
      <c r="AD517" s="24">
        <f t="shared" si="755"/>
        <v>11898.562969307826</v>
      </c>
      <c r="AE517" s="24">
        <f t="shared" si="755"/>
        <v>11496.642637472911</v>
      </c>
      <c r="AF517" s="24">
        <f t="shared" si="755"/>
        <v>11655.329770134014</v>
      </c>
      <c r="AG517" s="24">
        <f t="shared" ref="AG517:AV517" si="756">AG483</f>
        <v>12374.686597539237</v>
      </c>
      <c r="AH517" s="24">
        <f t="shared" si="756"/>
        <v>11982.288738268948</v>
      </c>
      <c r="AI517" s="24">
        <f t="shared" si="756"/>
        <v>12150.688792945974</v>
      </c>
      <c r="AJ517" s="24">
        <f t="shared" si="756"/>
        <v>12879.952800807438</v>
      </c>
      <c r="AK517" s="24">
        <f t="shared" si="756"/>
        <v>12497.660265602515</v>
      </c>
      <c r="AL517" s="24">
        <f t="shared" si="756"/>
        <v>12676.36775082621</v>
      </c>
      <c r="AM517" s="24">
        <f t="shared" si="756"/>
        <v>13416.145337845277</v>
      </c>
      <c r="AN517" s="24">
        <f t="shared" si="756"/>
        <v>13044.576653381113</v>
      </c>
      <c r="AO517" s="24">
        <f t="shared" si="756"/>
        <v>13234.222466360377</v>
      </c>
      <c r="AP517" s="24">
        <f t="shared" si="756"/>
        <v>13985.15714769013</v>
      </c>
      <c r="AQ517" s="24">
        <f t="shared" si="756"/>
        <v>13624.96869942286</v>
      </c>
      <c r="AR517" s="24">
        <f t="shared" si="756"/>
        <v>13826.222353322959</v>
      </c>
      <c r="AS517" s="24">
        <f t="shared" si="756"/>
        <v>14588.997032391964</v>
      </c>
      <c r="AT517" s="24">
        <f t="shared" si="756"/>
        <v>14240.885381818731</v>
      </c>
      <c r="AU517" s="24">
        <f t="shared" si="756"/>
        <v>14454.45736936675</v>
      </c>
      <c r="AV517" s="24">
        <f t="shared" si="756"/>
        <v>15229.796748756629</v>
      </c>
      <c r="AW517" s="26"/>
      <c r="AX517" s="27"/>
    </row>
    <row r="518" spans="1:50" outlineLevel="1">
      <c r="A518" s="296"/>
      <c r="B518" s="41" t="s">
        <v>110</v>
      </c>
      <c r="C518" s="71" t="s">
        <v>42</v>
      </c>
      <c r="E518" s="209"/>
      <c r="F518" s="209"/>
      <c r="G518" s="209"/>
      <c r="H518" s="209">
        <f t="shared" ref="H518:N518" si="757">H517</f>
        <v>0</v>
      </c>
      <c r="I518" s="209">
        <f t="shared" si="757"/>
        <v>0</v>
      </c>
      <c r="J518" s="209">
        <f t="shared" si="757"/>
        <v>0</v>
      </c>
      <c r="K518" s="209">
        <f t="shared" si="757"/>
        <v>0</v>
      </c>
      <c r="L518" s="209">
        <f t="shared" si="757"/>
        <v>0</v>
      </c>
      <c r="M518" s="209">
        <f t="shared" si="757"/>
        <v>263.02263430940798</v>
      </c>
      <c r="N518" s="209">
        <f t="shared" si="757"/>
        <v>263.02263430940798</v>
      </c>
      <c r="O518" s="209">
        <f t="shared" ref="O518:AF518" si="758">O517</f>
        <v>911.22659583007453</v>
      </c>
      <c r="P518" s="209">
        <f t="shared" si="758"/>
        <v>288.40836636647452</v>
      </c>
      <c r="Q518" s="209">
        <f t="shared" si="758"/>
        <v>2310.011170402151</v>
      </c>
      <c r="R518" s="209">
        <f t="shared" si="758"/>
        <v>4214.7235829226711</v>
      </c>
      <c r="S518" s="209">
        <f t="shared" si="758"/>
        <v>6000.3780300092221</v>
      </c>
      <c r="T518" s="209">
        <f t="shared" si="758"/>
        <v>8445.7284733290871</v>
      </c>
      <c r="U518" s="209">
        <f t="shared" si="758"/>
        <v>9652.6473460402594</v>
      </c>
      <c r="V518" s="209">
        <f t="shared" si="758"/>
        <v>9648.4379329025196</v>
      </c>
      <c r="W518" s="209">
        <f t="shared" si="758"/>
        <v>9952.7455293267558</v>
      </c>
      <c r="X518" s="209">
        <f t="shared" si="758"/>
        <v>10829.764457663103</v>
      </c>
      <c r="Y518" s="209">
        <f t="shared" si="758"/>
        <v>10607.767630629925</v>
      </c>
      <c r="Z518" s="209">
        <f t="shared" si="758"/>
        <v>10748.677263154168</v>
      </c>
      <c r="AA518" s="209">
        <f t="shared" si="758"/>
        <v>11449.901040419794</v>
      </c>
      <c r="AB518" s="209">
        <f t="shared" si="758"/>
        <v>11039.00747000712</v>
      </c>
      <c r="AC518" s="209">
        <f t="shared" si="758"/>
        <v>11188.541899318905</v>
      </c>
      <c r="AD518" s="209">
        <f t="shared" si="758"/>
        <v>11898.562969307826</v>
      </c>
      <c r="AE518" s="209">
        <f t="shared" si="758"/>
        <v>11496.642637472911</v>
      </c>
      <c r="AF518" s="209">
        <f t="shared" si="758"/>
        <v>11655.329770134014</v>
      </c>
      <c r="AG518" s="209">
        <f t="shared" ref="AG518:AV518" si="759">AG517</f>
        <v>12374.686597539237</v>
      </c>
      <c r="AH518" s="209">
        <f t="shared" si="759"/>
        <v>11982.288738268948</v>
      </c>
      <c r="AI518" s="209">
        <f t="shared" si="759"/>
        <v>12150.688792945974</v>
      </c>
      <c r="AJ518" s="209">
        <f t="shared" si="759"/>
        <v>12879.952800807438</v>
      </c>
      <c r="AK518" s="209">
        <f t="shared" si="759"/>
        <v>12497.660265602515</v>
      </c>
      <c r="AL518" s="209">
        <f t="shared" si="759"/>
        <v>12676.36775082621</v>
      </c>
      <c r="AM518" s="209">
        <f t="shared" si="759"/>
        <v>13416.145337845277</v>
      </c>
      <c r="AN518" s="209">
        <f t="shared" si="759"/>
        <v>13044.576653381113</v>
      </c>
      <c r="AO518" s="209">
        <f t="shared" si="759"/>
        <v>13234.222466360377</v>
      </c>
      <c r="AP518" s="209">
        <f t="shared" si="759"/>
        <v>13985.15714769013</v>
      </c>
      <c r="AQ518" s="209">
        <f t="shared" si="759"/>
        <v>13624.96869942286</v>
      </c>
      <c r="AR518" s="209">
        <f t="shared" si="759"/>
        <v>13826.222353322959</v>
      </c>
      <c r="AS518" s="209">
        <f t="shared" si="759"/>
        <v>14588.997032391964</v>
      </c>
      <c r="AT518" s="209">
        <f t="shared" si="759"/>
        <v>14240.885381818731</v>
      </c>
      <c r="AU518" s="209">
        <f t="shared" si="759"/>
        <v>14454.45736936675</v>
      </c>
      <c r="AV518" s="209">
        <f t="shared" si="759"/>
        <v>15229.796748756629</v>
      </c>
    </row>
    <row r="519" spans="1:50" outlineLevel="1">
      <c r="A519" s="296"/>
      <c r="B519" s="28" t="s">
        <v>135</v>
      </c>
      <c r="C519" s="69" t="s">
        <v>42</v>
      </c>
      <c r="D519" s="23"/>
      <c r="E519" s="24"/>
      <c r="F519" s="24"/>
      <c r="G519" s="24"/>
      <c r="H519" s="24">
        <f t="shared" ref="H519:N519" si="760">H487+H495</f>
        <v>0</v>
      </c>
      <c r="I519" s="24">
        <f t="shared" si="760"/>
        <v>0</v>
      </c>
      <c r="J519" s="24">
        <f t="shared" si="760"/>
        <v>0</v>
      </c>
      <c r="K519" s="24">
        <f t="shared" si="760"/>
        <v>0</v>
      </c>
      <c r="L519" s="24">
        <f t="shared" si="760"/>
        <v>218.92404121473601</v>
      </c>
      <c r="M519" s="24">
        <f t="shared" si="760"/>
        <v>85.439811764736007</v>
      </c>
      <c r="N519" s="24">
        <f t="shared" si="760"/>
        <v>253.813745767108</v>
      </c>
      <c r="O519" s="24">
        <f>O487+O495</f>
        <v>93.632670427107954</v>
      </c>
      <c r="P519" s="24">
        <f t="shared" ref="P519:AF519" si="761">P487+P495</f>
        <v>88.187951265707838</v>
      </c>
      <c r="Q519" s="24">
        <f t="shared" si="761"/>
        <v>1281.0514107671081</v>
      </c>
      <c r="R519" s="24">
        <f t="shared" si="761"/>
        <v>2056.9257344912789</v>
      </c>
      <c r="S519" s="24">
        <f t="shared" si="761"/>
        <v>2940.0402494727814</v>
      </c>
      <c r="T519" s="24">
        <f t="shared" si="761"/>
        <v>3130.5948919671919</v>
      </c>
      <c r="U519" s="24">
        <f t="shared" si="761"/>
        <v>3086.7686508912607</v>
      </c>
      <c r="V519" s="24">
        <f t="shared" si="761"/>
        <v>3341.0913737661172</v>
      </c>
      <c r="W519" s="24">
        <f t="shared" si="761"/>
        <v>3628.0499204823077</v>
      </c>
      <c r="X519" s="24">
        <f t="shared" si="761"/>
        <v>3577.1669606237083</v>
      </c>
      <c r="Y519" s="24">
        <f t="shared" si="761"/>
        <v>3736.9166410433577</v>
      </c>
      <c r="Z519" s="24">
        <f t="shared" si="761"/>
        <v>3955.8514916075851</v>
      </c>
      <c r="AA519" s="24">
        <f t="shared" si="761"/>
        <v>3829.1345675922971</v>
      </c>
      <c r="AB519" s="24">
        <f t="shared" si="761"/>
        <v>3916.7266947395833</v>
      </c>
      <c r="AC519" s="24">
        <f t="shared" si="761"/>
        <v>4139.2577463777352</v>
      </c>
      <c r="AD519" s="24">
        <f t="shared" si="761"/>
        <v>4016.2089474578502</v>
      </c>
      <c r="AE519" s="24">
        <f t="shared" si="761"/>
        <v>4107.5425622024477</v>
      </c>
      <c r="AF519" s="24">
        <f t="shared" si="761"/>
        <v>4333.8899311898576</v>
      </c>
      <c r="AG519" s="24">
        <f t="shared" ref="AG519:AV519" si="762">AG487+AG495</f>
        <v>4214.733775966215</v>
      </c>
      <c r="AH519" s="24">
        <f t="shared" si="762"/>
        <v>4310.0378872809779</v>
      </c>
      <c r="AI519" s="24">
        <f t="shared" si="762"/>
        <v>4540.4351627699598</v>
      </c>
      <c r="AJ519" s="24">
        <f t="shared" si="762"/>
        <v>4425.4099121779191</v>
      </c>
      <c r="AK519" s="24">
        <f t="shared" si="762"/>
        <v>4524.927546216918</v>
      </c>
      <c r="AL519" s="24">
        <f t="shared" si="762"/>
        <v>4759.6226148846163</v>
      </c>
      <c r="AM519" s="24">
        <f t="shared" si="762"/>
        <v>4648.9811133348703</v>
      </c>
      <c r="AN519" s="24">
        <f t="shared" si="762"/>
        <v>4752.970171397008</v>
      </c>
      <c r="AO519" s="24">
        <f t="shared" si="762"/>
        <v>4992.2260925683076</v>
      </c>
      <c r="AP519" s="24">
        <f t="shared" si="762"/>
        <v>4886.2366605722345</v>
      </c>
      <c r="AQ519" s="24">
        <f t="shared" si="762"/>
        <v>4994.9708295791197</v>
      </c>
      <c r="AR519" s="24">
        <f t="shared" si="762"/>
        <v>5239.066763914062</v>
      </c>
      <c r="AS519" s="24">
        <f t="shared" si="762"/>
        <v>5138.0141453449041</v>
      </c>
      <c r="AT519" s="24">
        <f t="shared" si="762"/>
        <v>5251.7838640472428</v>
      </c>
      <c r="AU519" s="24">
        <f t="shared" si="762"/>
        <v>5501.0160590715477</v>
      </c>
      <c r="AV519" s="24">
        <f t="shared" si="762"/>
        <v>5405.202426405539</v>
      </c>
      <c r="AW519" s="26"/>
      <c r="AX519" s="27"/>
    </row>
    <row r="520" spans="1:50" outlineLevel="1">
      <c r="A520" s="296"/>
      <c r="B520" s="13" t="s">
        <v>29</v>
      </c>
      <c r="C520" s="71" t="s">
        <v>42</v>
      </c>
      <c r="D520" s="20"/>
      <c r="E520" s="39"/>
      <c r="F520" s="39"/>
      <c r="G520" s="39"/>
      <c r="H520" s="39">
        <f t="shared" ref="H520:N520" si="763">H518-H519</f>
        <v>0</v>
      </c>
      <c r="I520" s="39">
        <f t="shared" si="763"/>
        <v>0</v>
      </c>
      <c r="J520" s="39">
        <f t="shared" si="763"/>
        <v>0</v>
      </c>
      <c r="K520" s="39">
        <f t="shared" si="763"/>
        <v>0</v>
      </c>
      <c r="L520" s="39">
        <f t="shared" si="763"/>
        <v>-218.92404121473601</v>
      </c>
      <c r="M520" s="39">
        <f t="shared" si="763"/>
        <v>177.58282254467196</v>
      </c>
      <c r="N520" s="39">
        <f t="shared" si="763"/>
        <v>9.2088885422999738</v>
      </c>
      <c r="O520" s="39">
        <f t="shared" ref="O520:AF520" si="764">O518-O519</f>
        <v>817.59392540296653</v>
      </c>
      <c r="P520" s="39">
        <f t="shared" si="764"/>
        <v>200.22041510076667</v>
      </c>
      <c r="Q520" s="39">
        <f t="shared" si="764"/>
        <v>1028.9597596350429</v>
      </c>
      <c r="R520" s="39">
        <f t="shared" si="764"/>
        <v>2157.7978484313921</v>
      </c>
      <c r="S520" s="39">
        <f t="shared" si="764"/>
        <v>3060.3377805364407</v>
      </c>
      <c r="T520" s="39">
        <f t="shared" si="764"/>
        <v>5315.1335813618953</v>
      </c>
      <c r="U520" s="39">
        <f t="shared" si="764"/>
        <v>6565.8786951489983</v>
      </c>
      <c r="V520" s="39">
        <f t="shared" si="764"/>
        <v>6307.346559136402</v>
      </c>
      <c r="W520" s="39">
        <f t="shared" si="764"/>
        <v>6324.6956088444476</v>
      </c>
      <c r="X520" s="39">
        <f t="shared" si="764"/>
        <v>7252.5974970393945</v>
      </c>
      <c r="Y520" s="39">
        <f t="shared" si="764"/>
        <v>6870.8509895865682</v>
      </c>
      <c r="Z520" s="39">
        <f t="shared" si="764"/>
        <v>6792.8257715465825</v>
      </c>
      <c r="AA520" s="39">
        <f t="shared" si="764"/>
        <v>7620.7664728274976</v>
      </c>
      <c r="AB520" s="39">
        <f t="shared" si="764"/>
        <v>7122.2807752675362</v>
      </c>
      <c r="AC520" s="39">
        <f t="shared" si="764"/>
        <v>7049.2841529411699</v>
      </c>
      <c r="AD520" s="39">
        <f t="shared" si="764"/>
        <v>7882.3540218499766</v>
      </c>
      <c r="AE520" s="39">
        <f t="shared" si="764"/>
        <v>7389.1000752704631</v>
      </c>
      <c r="AF520" s="39">
        <f t="shared" si="764"/>
        <v>7321.4398389441567</v>
      </c>
      <c r="AG520" s="39">
        <f t="shared" ref="AG520:AV520" si="765">AG518-AG519</f>
        <v>8159.9528215730224</v>
      </c>
      <c r="AH520" s="39">
        <f t="shared" si="765"/>
        <v>7672.2508509879699</v>
      </c>
      <c r="AI520" s="39">
        <f t="shared" si="765"/>
        <v>7610.2536301760138</v>
      </c>
      <c r="AJ520" s="39">
        <f t="shared" si="765"/>
        <v>8454.5428886295194</v>
      </c>
      <c r="AK520" s="39">
        <f t="shared" si="765"/>
        <v>7972.7327193855972</v>
      </c>
      <c r="AL520" s="39">
        <f t="shared" si="765"/>
        <v>7916.7451359415936</v>
      </c>
      <c r="AM520" s="39">
        <f t="shared" si="765"/>
        <v>8767.1642245104067</v>
      </c>
      <c r="AN520" s="39">
        <f t="shared" si="765"/>
        <v>8291.6064819841049</v>
      </c>
      <c r="AO520" s="39">
        <f t="shared" si="765"/>
        <v>8241.9963737920698</v>
      </c>
      <c r="AP520" s="39">
        <f t="shared" si="765"/>
        <v>9098.9204871178954</v>
      </c>
      <c r="AQ520" s="39">
        <f t="shared" si="765"/>
        <v>8629.9978698437408</v>
      </c>
      <c r="AR520" s="39">
        <f t="shared" si="765"/>
        <v>8587.155589408896</v>
      </c>
      <c r="AS520" s="39">
        <f t="shared" si="765"/>
        <v>9450.9828870470592</v>
      </c>
      <c r="AT520" s="39">
        <f t="shared" si="765"/>
        <v>8989.1015177714871</v>
      </c>
      <c r="AU520" s="39">
        <f t="shared" si="765"/>
        <v>8953.4413102952021</v>
      </c>
      <c r="AV520" s="39">
        <f t="shared" si="765"/>
        <v>9824.5943223510913</v>
      </c>
      <c r="AW520" s="26"/>
      <c r="AX520" s="27"/>
    </row>
    <row r="521" spans="1:50" ht="12.75" customHeight="1" outlineLevel="1">
      <c r="A521" s="296"/>
      <c r="B521" s="180" t="s">
        <v>8</v>
      </c>
      <c r="C521" s="69" t="s">
        <v>42</v>
      </c>
      <c r="D521" s="23"/>
      <c r="E521" s="49"/>
      <c r="F521" s="49"/>
      <c r="G521" s="53"/>
      <c r="H521" s="53"/>
      <c r="I521" s="24">
        <f t="shared" ref="I521:K521" si="766">IF(I483&gt;0,H521,0)</f>
        <v>0</v>
      </c>
      <c r="J521" s="24">
        <f t="shared" si="766"/>
        <v>0</v>
      </c>
      <c r="K521" s="24">
        <f t="shared" si="766"/>
        <v>0</v>
      </c>
      <c r="L521" s="53">
        <v>50</v>
      </c>
      <c r="M521" s="24">
        <f>L521</f>
        <v>50</v>
      </c>
      <c r="N521" s="24">
        <f>M521</f>
        <v>50</v>
      </c>
      <c r="O521" s="53">
        <v>75</v>
      </c>
      <c r="P521" s="24">
        <f>IF(P483&gt;0,O521,0)</f>
        <v>75</v>
      </c>
      <c r="Q521" s="53">
        <v>100</v>
      </c>
      <c r="R521" s="24">
        <f t="shared" ref="R521:AV521" si="767">IF(R483&gt;0,Q521,0)</f>
        <v>100</v>
      </c>
      <c r="S521" s="24">
        <f t="shared" si="767"/>
        <v>100</v>
      </c>
      <c r="T521" s="24">
        <f t="shared" si="767"/>
        <v>100</v>
      </c>
      <c r="U521" s="24">
        <f t="shared" si="767"/>
        <v>100</v>
      </c>
      <c r="V521" s="24">
        <f t="shared" si="767"/>
        <v>100</v>
      </c>
      <c r="W521" s="24">
        <f t="shared" si="767"/>
        <v>100</v>
      </c>
      <c r="X521" s="24">
        <f t="shared" si="767"/>
        <v>100</v>
      </c>
      <c r="Y521" s="24">
        <f t="shared" si="767"/>
        <v>100</v>
      </c>
      <c r="Z521" s="24">
        <f t="shared" si="767"/>
        <v>100</v>
      </c>
      <c r="AA521" s="24">
        <f t="shared" si="767"/>
        <v>100</v>
      </c>
      <c r="AB521" s="24">
        <f t="shared" si="767"/>
        <v>100</v>
      </c>
      <c r="AC521" s="24">
        <f t="shared" si="767"/>
        <v>100</v>
      </c>
      <c r="AD521" s="24">
        <f t="shared" si="767"/>
        <v>100</v>
      </c>
      <c r="AE521" s="24">
        <f t="shared" si="767"/>
        <v>100</v>
      </c>
      <c r="AF521" s="24">
        <f t="shared" si="767"/>
        <v>100</v>
      </c>
      <c r="AG521" s="24">
        <f t="shared" si="767"/>
        <v>100</v>
      </c>
      <c r="AH521" s="24">
        <f t="shared" si="767"/>
        <v>100</v>
      </c>
      <c r="AI521" s="24">
        <f t="shared" si="767"/>
        <v>100</v>
      </c>
      <c r="AJ521" s="24">
        <f t="shared" si="767"/>
        <v>100</v>
      </c>
      <c r="AK521" s="24">
        <f t="shared" si="767"/>
        <v>100</v>
      </c>
      <c r="AL521" s="24">
        <f t="shared" si="767"/>
        <v>100</v>
      </c>
      <c r="AM521" s="24">
        <f t="shared" si="767"/>
        <v>100</v>
      </c>
      <c r="AN521" s="24">
        <f t="shared" si="767"/>
        <v>100</v>
      </c>
      <c r="AO521" s="24">
        <f t="shared" si="767"/>
        <v>100</v>
      </c>
      <c r="AP521" s="24">
        <f t="shared" si="767"/>
        <v>100</v>
      </c>
      <c r="AQ521" s="24">
        <f t="shared" si="767"/>
        <v>100</v>
      </c>
      <c r="AR521" s="24">
        <f t="shared" si="767"/>
        <v>100</v>
      </c>
      <c r="AS521" s="24">
        <f t="shared" si="767"/>
        <v>100</v>
      </c>
      <c r="AT521" s="24">
        <f t="shared" si="767"/>
        <v>100</v>
      </c>
      <c r="AU521" s="24">
        <f t="shared" si="767"/>
        <v>100</v>
      </c>
      <c r="AV521" s="24">
        <f t="shared" si="767"/>
        <v>100</v>
      </c>
      <c r="AW521" s="26"/>
      <c r="AX521" s="27"/>
    </row>
    <row r="522" spans="1:50" ht="12.75" customHeight="1" outlineLevel="1">
      <c r="A522" s="296"/>
      <c r="B522" s="28" t="s">
        <v>249</v>
      </c>
      <c r="C522" s="69" t="s">
        <v>42</v>
      </c>
      <c r="D522" s="23"/>
      <c r="E522" s="49"/>
      <c r="F522" s="49"/>
      <c r="G522" s="53"/>
      <c r="H522" s="53"/>
      <c r="I522" s="260">
        <f>SUM(I498:I498)</f>
        <v>0</v>
      </c>
      <c r="J522" s="260">
        <f>SUM(J498:J498)</f>
        <v>0</v>
      </c>
      <c r="K522" s="260">
        <f>SUM(K498:K498)</f>
        <v>0</v>
      </c>
      <c r="L522" s="260">
        <f>SUM(L498:L498)</f>
        <v>36.462474734400004</v>
      </c>
      <c r="M522" s="260">
        <f>SUM(M498:M498)</f>
        <v>36.462474734400004</v>
      </c>
      <c r="N522" s="260">
        <f t="shared" ref="N522:AF522" si="768">SUM(N498:N498)</f>
        <v>113.0850195112603</v>
      </c>
      <c r="O522" s="260">
        <f t="shared" si="768"/>
        <v>39.958876421260278</v>
      </c>
      <c r="P522" s="260">
        <f t="shared" si="768"/>
        <v>39.958876421260278</v>
      </c>
      <c r="Q522" s="260">
        <f t="shared" si="768"/>
        <v>113.0850195112603</v>
      </c>
      <c r="R522" s="260">
        <f t="shared" si="768"/>
        <v>206.03795654712323</v>
      </c>
      <c r="S522" s="260">
        <f t="shared" si="768"/>
        <v>412.07591309424646</v>
      </c>
      <c r="T522" s="260">
        <f t="shared" si="768"/>
        <v>485.20205618424649</v>
      </c>
      <c r="U522" s="260">
        <f t="shared" si="768"/>
        <v>299.08735627808221</v>
      </c>
      <c r="V522" s="260">
        <f t="shared" si="768"/>
        <v>299.08735627808221</v>
      </c>
      <c r="W522" s="260">
        <f t="shared" si="768"/>
        <v>372.21349936808224</v>
      </c>
      <c r="X522" s="260">
        <f t="shared" si="768"/>
        <v>299.08735627808221</v>
      </c>
      <c r="Y522" s="260">
        <f t="shared" si="768"/>
        <v>299.08735627808221</v>
      </c>
      <c r="Z522" s="260">
        <f t="shared" si="768"/>
        <v>372.21349936808224</v>
      </c>
      <c r="AA522" s="260">
        <f t="shared" si="768"/>
        <v>299.08735627808221</v>
      </c>
      <c r="AB522" s="260">
        <f t="shared" si="768"/>
        <v>299.08735627808221</v>
      </c>
      <c r="AC522" s="260">
        <f t="shared" si="768"/>
        <v>372.21349936808224</v>
      </c>
      <c r="AD522" s="260">
        <f t="shared" si="768"/>
        <v>299.08735627808221</v>
      </c>
      <c r="AE522" s="260">
        <f t="shared" si="768"/>
        <v>299.08735627808221</v>
      </c>
      <c r="AF522" s="260">
        <f t="shared" si="768"/>
        <v>372.21349936808224</v>
      </c>
      <c r="AG522" s="260">
        <f t="shared" ref="AG522:AV522" si="769">SUM(AG498:AG498)</f>
        <v>299.08735627808221</v>
      </c>
      <c r="AH522" s="260">
        <f t="shared" si="769"/>
        <v>299.08735627808221</v>
      </c>
      <c r="AI522" s="260">
        <f t="shared" si="769"/>
        <v>372.21349936808224</v>
      </c>
      <c r="AJ522" s="260">
        <f t="shared" si="769"/>
        <v>299.08735627808221</v>
      </c>
      <c r="AK522" s="260">
        <f t="shared" si="769"/>
        <v>299.08735627808221</v>
      </c>
      <c r="AL522" s="260">
        <f t="shared" si="769"/>
        <v>372.21349936808224</v>
      </c>
      <c r="AM522" s="260">
        <f t="shared" si="769"/>
        <v>299.08735627808221</v>
      </c>
      <c r="AN522" s="260">
        <f t="shared" si="769"/>
        <v>299.08735627808221</v>
      </c>
      <c r="AO522" s="260">
        <f t="shared" si="769"/>
        <v>372.21349936808224</v>
      </c>
      <c r="AP522" s="260">
        <f t="shared" si="769"/>
        <v>299.08735627808221</v>
      </c>
      <c r="AQ522" s="260">
        <f t="shared" si="769"/>
        <v>299.08735627808221</v>
      </c>
      <c r="AR522" s="260">
        <f t="shared" si="769"/>
        <v>372.21349936808224</v>
      </c>
      <c r="AS522" s="260">
        <f t="shared" si="769"/>
        <v>299.08735627808221</v>
      </c>
      <c r="AT522" s="260">
        <f t="shared" si="769"/>
        <v>299.08735627808221</v>
      </c>
      <c r="AU522" s="260">
        <f t="shared" si="769"/>
        <v>372.21349936808224</v>
      </c>
      <c r="AV522" s="260">
        <f t="shared" si="769"/>
        <v>299.08735627808221</v>
      </c>
      <c r="AW522" s="26"/>
      <c r="AX522" s="27"/>
    </row>
    <row r="523" spans="1:50" ht="12.75" customHeight="1" outlineLevel="1">
      <c r="A523" s="296"/>
      <c r="B523" s="28" t="s">
        <v>404</v>
      </c>
      <c r="C523" s="288" t="s">
        <v>42</v>
      </c>
      <c r="D523" s="23"/>
      <c r="E523" s="49"/>
      <c r="F523" s="49"/>
      <c r="G523" s="53"/>
      <c r="H523" s="53"/>
      <c r="I523" s="260"/>
      <c r="J523" s="260"/>
      <c r="K523" s="260"/>
      <c r="L523" s="260">
        <f t="shared" ref="L523:N523" si="770">L499</f>
        <v>0</v>
      </c>
      <c r="M523" s="260">
        <f t="shared" si="770"/>
        <v>0</v>
      </c>
      <c r="N523" s="260">
        <f t="shared" si="770"/>
        <v>0</v>
      </c>
      <c r="O523" s="260">
        <f>O499</f>
        <v>0</v>
      </c>
      <c r="P523" s="260">
        <f t="shared" ref="P523:AV523" si="771">P499</f>
        <v>0</v>
      </c>
      <c r="Q523" s="260">
        <f t="shared" si="771"/>
        <v>0</v>
      </c>
      <c r="R523" s="260">
        <f t="shared" si="771"/>
        <v>0</v>
      </c>
      <c r="S523" s="260">
        <f t="shared" si="771"/>
        <v>21.2</v>
      </c>
      <c r="T523" s="260">
        <f t="shared" si="771"/>
        <v>58.3</v>
      </c>
      <c r="U523" s="260">
        <f t="shared" si="771"/>
        <v>99.8</v>
      </c>
      <c r="V523" s="260">
        <f t="shared" si="771"/>
        <v>59.4</v>
      </c>
      <c r="W523" s="260">
        <f t="shared" si="771"/>
        <v>57.9</v>
      </c>
      <c r="X523" s="260">
        <f t="shared" si="771"/>
        <v>93.8</v>
      </c>
      <c r="Y523" s="260">
        <f t="shared" si="771"/>
        <v>60.7</v>
      </c>
      <c r="Z523" s="260">
        <f t="shared" si="771"/>
        <v>59.8</v>
      </c>
      <c r="AA523" s="260">
        <f t="shared" si="771"/>
        <v>100.9</v>
      </c>
      <c r="AB523" s="260">
        <f t="shared" si="771"/>
        <v>58.2</v>
      </c>
      <c r="AC523" s="260">
        <f t="shared" si="771"/>
        <v>57.5</v>
      </c>
      <c r="AD523" s="260">
        <f t="shared" si="771"/>
        <v>98.4</v>
      </c>
      <c r="AE523" s="260">
        <f t="shared" si="771"/>
        <v>55.7</v>
      </c>
      <c r="AF523" s="260">
        <f t="shared" si="771"/>
        <v>54.8</v>
      </c>
      <c r="AG523" s="260">
        <f t="shared" si="771"/>
        <v>95.8</v>
      </c>
      <c r="AH523" s="260">
        <f t="shared" si="771"/>
        <v>53.1</v>
      </c>
      <c r="AI523" s="260">
        <f t="shared" si="771"/>
        <v>52.1</v>
      </c>
      <c r="AJ523" s="260">
        <f t="shared" si="771"/>
        <v>92.9</v>
      </c>
      <c r="AK523" s="260">
        <f t="shared" si="771"/>
        <v>50.1</v>
      </c>
      <c r="AL523" s="260">
        <f t="shared" si="771"/>
        <v>49.2</v>
      </c>
      <c r="AM523" s="260">
        <f t="shared" si="771"/>
        <v>89.8</v>
      </c>
      <c r="AN523" s="260">
        <f t="shared" si="771"/>
        <v>47.1</v>
      </c>
      <c r="AO523" s="260">
        <f t="shared" si="771"/>
        <v>46.1</v>
      </c>
      <c r="AP523" s="260">
        <f t="shared" si="771"/>
        <v>86.7</v>
      </c>
      <c r="AQ523" s="260">
        <f t="shared" si="771"/>
        <v>43.8</v>
      </c>
      <c r="AR523" s="260">
        <f t="shared" si="771"/>
        <v>42.8</v>
      </c>
      <c r="AS523" s="260">
        <f t="shared" si="771"/>
        <v>83.4</v>
      </c>
      <c r="AT523" s="260">
        <f t="shared" si="771"/>
        <v>40.4</v>
      </c>
      <c r="AU523" s="260">
        <f t="shared" si="771"/>
        <v>39.1</v>
      </c>
      <c r="AV523" s="260">
        <f t="shared" si="771"/>
        <v>79.8</v>
      </c>
      <c r="AW523" s="26"/>
      <c r="AX523" s="27"/>
    </row>
    <row r="524" spans="1:50" ht="12.75" customHeight="1" outlineLevel="1">
      <c r="A524" s="296"/>
      <c r="B524" s="28" t="s">
        <v>255</v>
      </c>
      <c r="C524" s="288" t="s">
        <v>42</v>
      </c>
      <c r="D524" s="23"/>
      <c r="E524" s="49"/>
      <c r="F524" s="49"/>
      <c r="G524" s="53"/>
      <c r="H524" s="53"/>
      <c r="I524" s="260">
        <f t="shared" ref="I524:K524" si="772">SUM(I500:I500)</f>
        <v>0</v>
      </c>
      <c r="J524" s="260">
        <f t="shared" si="772"/>
        <v>0</v>
      </c>
      <c r="K524" s="260">
        <f t="shared" si="772"/>
        <v>0</v>
      </c>
      <c r="L524" s="260">
        <f t="shared" ref="L524:M524" si="773">L395/10^3</f>
        <v>0</v>
      </c>
      <c r="M524" s="260">
        <f t="shared" si="773"/>
        <v>0</v>
      </c>
      <c r="N524" s="260">
        <f>N395/10^3</f>
        <v>0</v>
      </c>
      <c r="O524" s="260">
        <f t="shared" ref="O524:AV524" si="774">O395/10^3</f>
        <v>0</v>
      </c>
      <c r="P524" s="260">
        <f t="shared" si="774"/>
        <v>0</v>
      </c>
      <c r="Q524" s="260">
        <f t="shared" si="774"/>
        <v>575.20000000000005</v>
      </c>
      <c r="R524" s="260">
        <f t="shared" si="774"/>
        <v>948.9</v>
      </c>
      <c r="S524" s="260">
        <f t="shared" si="774"/>
        <v>1186</v>
      </c>
      <c r="T524" s="260">
        <f t="shared" si="774"/>
        <v>1208.8</v>
      </c>
      <c r="U524" s="260">
        <f t="shared" si="774"/>
        <v>1296.7</v>
      </c>
      <c r="V524" s="260">
        <f t="shared" si="774"/>
        <v>1380.8</v>
      </c>
      <c r="W524" s="260">
        <f t="shared" si="774"/>
        <v>1427.1</v>
      </c>
      <c r="X524" s="260">
        <f t="shared" si="774"/>
        <v>1475.6</v>
      </c>
      <c r="Y524" s="260">
        <f t="shared" si="774"/>
        <v>1526.7</v>
      </c>
      <c r="Z524" s="260">
        <f t="shared" si="774"/>
        <v>1548.1</v>
      </c>
      <c r="AA524" s="260">
        <f t="shared" si="774"/>
        <v>1570</v>
      </c>
      <c r="AB524" s="260">
        <f t="shared" si="774"/>
        <v>1592.3</v>
      </c>
      <c r="AC524" s="260">
        <f t="shared" si="774"/>
        <v>1615</v>
      </c>
      <c r="AD524" s="260">
        <f t="shared" si="774"/>
        <v>1638.3</v>
      </c>
      <c r="AE524" s="260">
        <f t="shared" si="774"/>
        <v>1662</v>
      </c>
      <c r="AF524" s="260">
        <f t="shared" si="774"/>
        <v>1686.1</v>
      </c>
      <c r="AG524" s="260">
        <f t="shared" si="774"/>
        <v>1710.6</v>
      </c>
      <c r="AH524" s="260">
        <f t="shared" si="774"/>
        <v>1735.8</v>
      </c>
      <c r="AI524" s="260">
        <f t="shared" si="774"/>
        <v>1761.4</v>
      </c>
      <c r="AJ524" s="260">
        <f t="shared" si="774"/>
        <v>1787.6</v>
      </c>
      <c r="AK524" s="260">
        <f t="shared" si="774"/>
        <v>1814.2</v>
      </c>
      <c r="AL524" s="260">
        <f t="shared" si="774"/>
        <v>1841.4</v>
      </c>
      <c r="AM524" s="260">
        <f t="shared" si="774"/>
        <v>1869.1</v>
      </c>
      <c r="AN524" s="260">
        <f t="shared" si="774"/>
        <v>1897.3</v>
      </c>
      <c r="AO524" s="260">
        <f t="shared" si="774"/>
        <v>1926.2</v>
      </c>
      <c r="AP524" s="260">
        <f t="shared" si="774"/>
        <v>1955.6</v>
      </c>
      <c r="AQ524" s="260">
        <f t="shared" si="774"/>
        <v>1985.7</v>
      </c>
      <c r="AR524" s="260">
        <f t="shared" si="774"/>
        <v>2016.3</v>
      </c>
      <c r="AS524" s="260">
        <f t="shared" si="774"/>
        <v>2047.5</v>
      </c>
      <c r="AT524" s="260">
        <f t="shared" si="774"/>
        <v>2079.3000000000002</v>
      </c>
      <c r="AU524" s="260">
        <f t="shared" si="774"/>
        <v>2111.9</v>
      </c>
      <c r="AV524" s="260">
        <f t="shared" si="774"/>
        <v>2145</v>
      </c>
      <c r="AW524" s="26"/>
      <c r="AX524" s="27"/>
    </row>
    <row r="525" spans="1:50" ht="12.75" customHeight="1" outlineLevel="1">
      <c r="A525" s="296"/>
      <c r="B525" s="28" t="s">
        <v>248</v>
      </c>
      <c r="C525" s="69" t="s">
        <v>42</v>
      </c>
      <c r="D525" s="23"/>
      <c r="E525" s="49"/>
      <c r="F525" s="49"/>
      <c r="G525" s="53"/>
      <c r="H525" s="53"/>
      <c r="I525" s="260">
        <f t="shared" ref="I525:M525" si="775">I505</f>
        <v>0</v>
      </c>
      <c r="J525" s="260">
        <f t="shared" si="775"/>
        <v>0</v>
      </c>
      <c r="K525" s="260">
        <f t="shared" si="775"/>
        <v>0</v>
      </c>
      <c r="L525" s="260">
        <f t="shared" si="775"/>
        <v>4.3784808242947202</v>
      </c>
      <c r="M525" s="260">
        <f t="shared" si="775"/>
        <v>1.7087962352947201</v>
      </c>
      <c r="N525" s="260">
        <f t="shared" ref="N525:AF525" si="776">N505</f>
        <v>5.07627491534216</v>
      </c>
      <c r="O525" s="260">
        <f t="shared" si="776"/>
        <v>1.8726534085421591</v>
      </c>
      <c r="P525" s="260">
        <f t="shared" si="776"/>
        <v>1.7637590253141568</v>
      </c>
      <c r="Q525" s="260">
        <f t="shared" si="776"/>
        <v>25.621028215342164</v>
      </c>
      <c r="R525" s="260">
        <f t="shared" si="776"/>
        <v>41.138514689825577</v>
      </c>
      <c r="S525" s="260">
        <f t="shared" si="776"/>
        <v>59.599262470676067</v>
      </c>
      <c r="T525" s="260">
        <f t="shared" si="776"/>
        <v>64.386723327983262</v>
      </c>
      <c r="U525" s="260">
        <f t="shared" si="776"/>
        <v>64.384995242668964</v>
      </c>
      <c r="V525" s="260">
        <f t="shared" si="776"/>
        <v>68.563559604121608</v>
      </c>
      <c r="W525" s="260">
        <f t="shared" si="776"/>
        <v>74.285294658712559</v>
      </c>
      <c r="X525" s="260">
        <f t="shared" si="776"/>
        <v>74.125516284351221</v>
      </c>
      <c r="Y525" s="260">
        <f t="shared" si="776"/>
        <v>76.566384533435084</v>
      </c>
      <c r="Z525" s="260">
        <f t="shared" si="776"/>
        <v>80.93518814067194</v>
      </c>
      <c r="AA525" s="260">
        <f t="shared" si="776"/>
        <v>79.364301162159961</v>
      </c>
      <c r="AB525" s="260">
        <f t="shared" si="776"/>
        <v>80.132307833612074</v>
      </c>
      <c r="AC525" s="260">
        <f t="shared" si="776"/>
        <v>84.572429906852491</v>
      </c>
      <c r="AD525" s="260">
        <f t="shared" si="776"/>
        <v>83.074287763664103</v>
      </c>
      <c r="AE525" s="260">
        <f t="shared" si="776"/>
        <v>83.916494167146297</v>
      </c>
      <c r="AF525" s="260">
        <f t="shared" si="776"/>
        <v>88.432299967057403</v>
      </c>
      <c r="AG525" s="260">
        <f t="shared" ref="AG525:AV525" si="777">AG505</f>
        <v>87.011355225073132</v>
      </c>
      <c r="AH525" s="260">
        <f t="shared" si="777"/>
        <v>87.932302977783479</v>
      </c>
      <c r="AI525" s="260">
        <f t="shared" si="777"/>
        <v>92.528424953907347</v>
      </c>
      <c r="AJ525" s="260">
        <f t="shared" si="777"/>
        <v>91.18940271166008</v>
      </c>
      <c r="AK525" s="260">
        <f t="shared" si="777"/>
        <v>92.193911414102189</v>
      </c>
      <c r="AL525" s="260">
        <f t="shared" si="777"/>
        <v>96.889078827859365</v>
      </c>
      <c r="AM525" s="260">
        <f t="shared" si="777"/>
        <v>95.623180128806055</v>
      </c>
      <c r="AN525" s="260">
        <f t="shared" si="777"/>
        <v>96.772174796131466</v>
      </c>
      <c r="AO525" s="260">
        <f t="shared" si="777"/>
        <v>101.56560861038936</v>
      </c>
      <c r="AP525" s="260">
        <f t="shared" si="777"/>
        <v>100.32834019410066</v>
      </c>
      <c r="AQ525" s="260">
        <f t="shared" si="777"/>
        <v>101.63763638187565</v>
      </c>
      <c r="AR525" s="260">
        <f t="shared" si="777"/>
        <v>106.52837942784844</v>
      </c>
      <c r="AS525" s="260">
        <f t="shared" si="777"/>
        <v>105.32149369667184</v>
      </c>
      <c r="AT525" s="260">
        <f t="shared" si="777"/>
        <v>106.80090314036006</v>
      </c>
      <c r="AU525" s="260">
        <f t="shared" si="777"/>
        <v>111.79491152150257</v>
      </c>
      <c r="AV525" s="260">
        <f t="shared" si="777"/>
        <v>110.62026813882839</v>
      </c>
      <c r="AW525" s="26"/>
      <c r="AX525" s="27"/>
    </row>
    <row r="526" spans="1:50" ht="12.75" customHeight="1" outlineLevel="1">
      <c r="A526" s="296"/>
      <c r="B526" s="30" t="s">
        <v>295</v>
      </c>
      <c r="C526" s="288" t="s">
        <v>42</v>
      </c>
      <c r="D526" s="23"/>
      <c r="E526" s="49"/>
      <c r="F526" s="49"/>
      <c r="G526" s="53"/>
      <c r="H526" s="53"/>
      <c r="I526" s="260"/>
      <c r="J526" s="260"/>
      <c r="K526" s="260"/>
      <c r="L526" s="260"/>
      <c r="M526" s="260"/>
      <c r="N526" s="53"/>
      <c r="O526" s="53"/>
      <c r="P526" s="53">
        <f>$Q$515*2</f>
        <v>400</v>
      </c>
      <c r="Q526" s="260"/>
      <c r="R526" s="260"/>
      <c r="S526" s="260"/>
      <c r="T526" s="260"/>
      <c r="U526" s="260"/>
      <c r="V526" s="260"/>
      <c r="W526" s="260"/>
      <c r="X526" s="260"/>
      <c r="Y526" s="260"/>
      <c r="Z526" s="260"/>
      <c r="AA526" s="260"/>
      <c r="AB526" s="260"/>
      <c r="AC526" s="260"/>
      <c r="AD526" s="260"/>
      <c r="AE526" s="260"/>
      <c r="AF526" s="260"/>
      <c r="AG526" s="260"/>
      <c r="AH526" s="260"/>
      <c r="AI526" s="260"/>
      <c r="AJ526" s="260"/>
      <c r="AK526" s="260"/>
      <c r="AL526" s="260"/>
      <c r="AM526" s="260"/>
      <c r="AN526" s="260"/>
      <c r="AO526" s="260"/>
      <c r="AP526" s="260"/>
      <c r="AQ526" s="260"/>
      <c r="AR526" s="260"/>
      <c r="AS526" s="260"/>
      <c r="AT526" s="260"/>
      <c r="AU526" s="260"/>
      <c r="AV526" s="260"/>
      <c r="AW526" s="26"/>
      <c r="AX526" s="27"/>
    </row>
    <row r="527" spans="1:50" ht="12.75" customHeight="1" outlineLevel="1">
      <c r="A527" s="296"/>
      <c r="B527" s="13" t="s">
        <v>9</v>
      </c>
      <c r="C527" s="71" t="s">
        <v>42</v>
      </c>
      <c r="D527" s="20"/>
      <c r="E527" s="39">
        <f t="shared" ref="E527:AV527" si="778">E520-SUM(E521:E526)</f>
        <v>0</v>
      </c>
      <c r="F527" s="39">
        <f t="shared" si="778"/>
        <v>0</v>
      </c>
      <c r="G527" s="39">
        <f t="shared" si="778"/>
        <v>0</v>
      </c>
      <c r="H527" s="39">
        <f t="shared" si="778"/>
        <v>0</v>
      </c>
      <c r="I527" s="39">
        <f t="shared" si="778"/>
        <v>0</v>
      </c>
      <c r="J527" s="39">
        <f t="shared" si="778"/>
        <v>0</v>
      </c>
      <c r="K527" s="39">
        <f t="shared" si="778"/>
        <v>0</v>
      </c>
      <c r="L527" s="39">
        <f t="shared" si="778"/>
        <v>-309.76499677343077</v>
      </c>
      <c r="M527" s="39">
        <f t="shared" si="778"/>
        <v>89.411551574977238</v>
      </c>
      <c r="N527" s="39">
        <f t="shared" si="778"/>
        <v>-158.95240588430249</v>
      </c>
      <c r="O527" s="39">
        <f t="shared" si="778"/>
        <v>700.7623955731641</v>
      </c>
      <c r="P527" s="39">
        <f t="shared" si="778"/>
        <v>-316.50222034580781</v>
      </c>
      <c r="Q527" s="39">
        <f t="shared" si="778"/>
        <v>215.05371190844039</v>
      </c>
      <c r="R527" s="39">
        <f t="shared" si="778"/>
        <v>861.72137719444345</v>
      </c>
      <c r="S527" s="39">
        <f t="shared" si="778"/>
        <v>1281.4626049715182</v>
      </c>
      <c r="T527" s="39">
        <f t="shared" si="778"/>
        <v>3398.444801849666</v>
      </c>
      <c r="U527" s="39">
        <f t="shared" si="778"/>
        <v>4705.9063436282468</v>
      </c>
      <c r="V527" s="39">
        <f t="shared" si="778"/>
        <v>4399.4956432541985</v>
      </c>
      <c r="W527" s="39">
        <f t="shared" si="778"/>
        <v>4293.1968148176529</v>
      </c>
      <c r="X527" s="39">
        <f t="shared" si="778"/>
        <v>5209.9846244769615</v>
      </c>
      <c r="Y527" s="39">
        <f t="shared" si="778"/>
        <v>4807.7972487750503</v>
      </c>
      <c r="Z527" s="39">
        <f t="shared" si="778"/>
        <v>4631.7770840378289</v>
      </c>
      <c r="AA527" s="39">
        <f t="shared" si="778"/>
        <v>5471.4148153872557</v>
      </c>
      <c r="AB527" s="39">
        <f t="shared" si="778"/>
        <v>4992.5611111558419</v>
      </c>
      <c r="AC527" s="39">
        <f t="shared" si="778"/>
        <v>4819.9982236662354</v>
      </c>
      <c r="AD527" s="39">
        <f t="shared" si="778"/>
        <v>5663.4923778082302</v>
      </c>
      <c r="AE527" s="39">
        <f t="shared" si="778"/>
        <v>5188.3962248252346</v>
      </c>
      <c r="AF527" s="39">
        <f t="shared" si="778"/>
        <v>5019.8940396090165</v>
      </c>
      <c r="AG527" s="39">
        <f t="shared" si="778"/>
        <v>5867.4541100698671</v>
      </c>
      <c r="AH527" s="39">
        <f t="shared" si="778"/>
        <v>5396.3311917321043</v>
      </c>
      <c r="AI527" s="39">
        <f t="shared" si="778"/>
        <v>5232.0117058540236</v>
      </c>
      <c r="AJ527" s="39">
        <f t="shared" si="778"/>
        <v>6083.7661296397773</v>
      </c>
      <c r="AK527" s="39">
        <f t="shared" si="778"/>
        <v>5617.151451693413</v>
      </c>
      <c r="AL527" s="39">
        <f t="shared" si="778"/>
        <v>5457.0425577456517</v>
      </c>
      <c r="AM527" s="39">
        <f t="shared" si="778"/>
        <v>6313.5536881035187</v>
      </c>
      <c r="AN527" s="39">
        <f t="shared" si="778"/>
        <v>5851.3469509098913</v>
      </c>
      <c r="AO527" s="39">
        <f t="shared" si="778"/>
        <v>5695.9172658135976</v>
      </c>
      <c r="AP527" s="39">
        <f t="shared" si="778"/>
        <v>6557.2047906457119</v>
      </c>
      <c r="AQ527" s="39">
        <f t="shared" si="778"/>
        <v>6099.7728771837828</v>
      </c>
      <c r="AR527" s="39">
        <f t="shared" si="778"/>
        <v>5949.3137106129652</v>
      </c>
      <c r="AS527" s="39">
        <f t="shared" si="778"/>
        <v>6815.6740370723055</v>
      </c>
      <c r="AT527" s="39">
        <f t="shared" si="778"/>
        <v>6363.5132583530449</v>
      </c>
      <c r="AU527" s="39">
        <f t="shared" si="778"/>
        <v>6218.4328994056177</v>
      </c>
      <c r="AV527" s="39">
        <f t="shared" si="778"/>
        <v>7090.0866979341808</v>
      </c>
      <c r="AW527" s="26"/>
      <c r="AX527" s="27"/>
    </row>
    <row r="528" spans="1:50" outlineLevel="1">
      <c r="A528" s="296"/>
      <c r="B528" s="28" t="s">
        <v>26</v>
      </c>
      <c r="C528" s="69" t="s">
        <v>42</v>
      </c>
      <c r="D528" s="23"/>
      <c r="E528" s="24">
        <f t="shared" ref="E528:AF528" si="779">E590</f>
        <v>0</v>
      </c>
      <c r="F528" s="24">
        <f t="shared" si="779"/>
        <v>0</v>
      </c>
      <c r="G528" s="24">
        <f t="shared" si="779"/>
        <v>0</v>
      </c>
      <c r="H528" s="24">
        <f t="shared" si="779"/>
        <v>0</v>
      </c>
      <c r="I528" s="24">
        <f t="shared" si="779"/>
        <v>0</v>
      </c>
      <c r="J528" s="24">
        <f t="shared" si="779"/>
        <v>0</v>
      </c>
      <c r="K528" s="24">
        <f t="shared" si="779"/>
        <v>0</v>
      </c>
      <c r="L528" s="24">
        <f t="shared" si="779"/>
        <v>34.569444444444443</v>
      </c>
      <c r="M528" s="24">
        <f t="shared" si="779"/>
        <v>34.826620370370371</v>
      </c>
      <c r="N528" s="24">
        <f t="shared" si="779"/>
        <v>35.079510030864199</v>
      </c>
      <c r="O528" s="24">
        <f t="shared" si="779"/>
        <v>47.828184863683134</v>
      </c>
      <c r="P528" s="24">
        <f t="shared" si="779"/>
        <v>93.697715115955077</v>
      </c>
      <c r="Q528" s="24">
        <f t="shared" si="779"/>
        <v>129.63608653068917</v>
      </c>
      <c r="R528" s="24">
        <f t="shared" si="779"/>
        <v>164.97548508851102</v>
      </c>
      <c r="S528" s="24">
        <f t="shared" si="779"/>
        <v>163.89256033703583</v>
      </c>
      <c r="T528" s="24">
        <f t="shared" si="779"/>
        <v>162.82768433141857</v>
      </c>
      <c r="U528" s="24">
        <f t="shared" si="779"/>
        <v>161.78055625922823</v>
      </c>
      <c r="V528" s="24">
        <f t="shared" si="779"/>
        <v>160.75088032157444</v>
      </c>
      <c r="W528" s="24">
        <f t="shared" si="779"/>
        <v>159.7383656495482</v>
      </c>
      <c r="X528" s="24">
        <f t="shared" si="779"/>
        <v>158.74272622205572</v>
      </c>
      <c r="Y528" s="24">
        <f t="shared" si="779"/>
        <v>157.76368078502148</v>
      </c>
      <c r="Z528" s="24">
        <f t="shared" si="779"/>
        <v>156.80095277193777</v>
      </c>
      <c r="AA528" s="24">
        <f t="shared" si="779"/>
        <v>155.85427022573882</v>
      </c>
      <c r="AB528" s="24">
        <f t="shared" si="779"/>
        <v>154.9233657219765</v>
      </c>
      <c r="AC528" s="24">
        <f t="shared" si="779"/>
        <v>154.0079762932769</v>
      </c>
      <c r="AD528" s="24">
        <f t="shared" si="779"/>
        <v>153.10784335505562</v>
      </c>
      <c r="AE528" s="24">
        <f t="shared" si="779"/>
        <v>152.22271263247134</v>
      </c>
      <c r="AF528" s="24">
        <f t="shared" si="779"/>
        <v>151.35233408859682</v>
      </c>
      <c r="AG528" s="24">
        <f t="shared" ref="AG528:AV528" si="780">AG590</f>
        <v>150.49646185378685</v>
      </c>
      <c r="AH528" s="24">
        <f t="shared" si="780"/>
        <v>149.65485415622376</v>
      </c>
      <c r="AI528" s="24">
        <f t="shared" si="780"/>
        <v>148.82727325362004</v>
      </c>
      <c r="AJ528" s="24">
        <f t="shared" si="780"/>
        <v>148.01348536605968</v>
      </c>
      <c r="AK528" s="24">
        <f t="shared" si="780"/>
        <v>147.2132606099587</v>
      </c>
      <c r="AL528" s="24">
        <f t="shared" si="780"/>
        <v>146.42637293312606</v>
      </c>
      <c r="AM528" s="24">
        <f t="shared" si="780"/>
        <v>145.65260005090727</v>
      </c>
      <c r="AN528" s="24">
        <f t="shared" si="780"/>
        <v>144.89172338339216</v>
      </c>
      <c r="AO528" s="24">
        <f t="shared" si="780"/>
        <v>144.14352799366895</v>
      </c>
      <c r="AP528" s="24">
        <f t="shared" si="780"/>
        <v>143.40780252710783</v>
      </c>
      <c r="AQ528" s="24">
        <f t="shared" si="780"/>
        <v>142.68433915165602</v>
      </c>
      <c r="AR528" s="24">
        <f t="shared" si="780"/>
        <v>141.9729334991284</v>
      </c>
      <c r="AS528" s="24">
        <f t="shared" si="780"/>
        <v>141.27338460747629</v>
      </c>
      <c r="AT528" s="24">
        <f t="shared" si="780"/>
        <v>140.58549486401836</v>
      </c>
      <c r="AU528" s="24">
        <f t="shared" si="780"/>
        <v>139.90906994961804</v>
      </c>
      <c r="AV528" s="24">
        <f t="shared" si="780"/>
        <v>139.24391878379106</v>
      </c>
      <c r="AW528" s="26"/>
      <c r="AX528" s="27"/>
    </row>
    <row r="529" spans="1:50" ht="12.75" customHeight="1" outlineLevel="1">
      <c r="A529" s="296"/>
      <c r="B529" s="28" t="s">
        <v>193</v>
      </c>
      <c r="C529" s="69" t="s">
        <v>42</v>
      </c>
      <c r="D529" s="23"/>
      <c r="E529" s="24">
        <v>0</v>
      </c>
      <c r="F529" s="24">
        <v>0</v>
      </c>
      <c r="G529" s="24">
        <v>0</v>
      </c>
      <c r="H529" s="24">
        <v>0</v>
      </c>
      <c r="I529" s="24">
        <v>0</v>
      </c>
      <c r="J529" s="24">
        <v>0</v>
      </c>
      <c r="K529" s="24">
        <v>0</v>
      </c>
      <c r="L529" s="24">
        <v>0</v>
      </c>
      <c r="M529" s="24">
        <v>0</v>
      </c>
      <c r="N529" s="24">
        <v>0</v>
      </c>
      <c r="O529" s="24">
        <v>0</v>
      </c>
      <c r="P529" s="24">
        <v>0</v>
      </c>
      <c r="Q529" s="24">
        <v>0</v>
      </c>
      <c r="R529" s="24">
        <v>0</v>
      </c>
      <c r="S529" s="24">
        <v>0</v>
      </c>
      <c r="T529" s="24">
        <v>0</v>
      </c>
      <c r="U529" s="24">
        <v>0</v>
      </c>
      <c r="V529" s="24">
        <v>0</v>
      </c>
      <c r="W529" s="24">
        <v>0</v>
      </c>
      <c r="X529" s="24">
        <v>0</v>
      </c>
      <c r="Y529" s="24">
        <v>0</v>
      </c>
      <c r="Z529" s="24">
        <v>0</v>
      </c>
      <c r="AA529" s="24">
        <v>0</v>
      </c>
      <c r="AB529" s="24">
        <v>0</v>
      </c>
      <c r="AC529" s="24">
        <v>0</v>
      </c>
      <c r="AD529" s="24">
        <v>0</v>
      </c>
      <c r="AE529" s="24">
        <v>0</v>
      </c>
      <c r="AF529" s="24">
        <v>0</v>
      </c>
      <c r="AG529" s="24">
        <v>0</v>
      </c>
      <c r="AH529" s="24">
        <v>0</v>
      </c>
      <c r="AI529" s="24">
        <v>0</v>
      </c>
      <c r="AJ529" s="24">
        <v>0</v>
      </c>
      <c r="AK529" s="24">
        <v>0</v>
      </c>
      <c r="AL529" s="24">
        <v>0</v>
      </c>
      <c r="AM529" s="24">
        <v>0</v>
      </c>
      <c r="AN529" s="24">
        <v>0</v>
      </c>
      <c r="AO529" s="24">
        <v>0</v>
      </c>
      <c r="AP529" s="24">
        <v>0</v>
      </c>
      <c r="AQ529" s="24">
        <v>0</v>
      </c>
      <c r="AR529" s="24">
        <v>0</v>
      </c>
      <c r="AS529" s="24">
        <v>0</v>
      </c>
      <c r="AT529" s="24">
        <v>0</v>
      </c>
      <c r="AU529" s="24">
        <v>0</v>
      </c>
      <c r="AV529" s="24">
        <v>0</v>
      </c>
      <c r="AW529" s="26"/>
      <c r="AX529" s="27"/>
    </row>
    <row r="530" spans="1:50" ht="12.75" customHeight="1" outlineLevel="1">
      <c r="A530" s="296"/>
      <c r="B530" s="13" t="s">
        <v>30</v>
      </c>
      <c r="C530" s="71" t="s">
        <v>42</v>
      </c>
      <c r="D530" s="20"/>
      <c r="E530" s="26">
        <f t="shared" ref="E530:AV530" si="781">E527-SUM(E528:E529)</f>
        <v>0</v>
      </c>
      <c r="F530" s="26">
        <f t="shared" si="781"/>
        <v>0</v>
      </c>
      <c r="G530" s="26">
        <f t="shared" si="781"/>
        <v>0</v>
      </c>
      <c r="H530" s="26">
        <f t="shared" si="781"/>
        <v>0</v>
      </c>
      <c r="I530" s="26">
        <f t="shared" si="781"/>
        <v>0</v>
      </c>
      <c r="J530" s="26">
        <f t="shared" si="781"/>
        <v>0</v>
      </c>
      <c r="K530" s="26">
        <f t="shared" si="781"/>
        <v>0</v>
      </c>
      <c r="L530" s="26">
        <f t="shared" si="781"/>
        <v>-344.33444121787522</v>
      </c>
      <c r="M530" s="26">
        <f t="shared" si="781"/>
        <v>54.584931204606868</v>
      </c>
      <c r="N530" s="26">
        <f t="shared" si="781"/>
        <v>-194.03191591516668</v>
      </c>
      <c r="O530" s="26">
        <f t="shared" si="781"/>
        <v>652.93421070948102</v>
      </c>
      <c r="P530" s="26">
        <f t="shared" si="781"/>
        <v>-410.19993546176289</v>
      </c>
      <c r="Q530" s="26">
        <f t="shared" si="781"/>
        <v>85.417625377751222</v>
      </c>
      <c r="R530" s="26">
        <f t="shared" si="781"/>
        <v>696.7458921059324</v>
      </c>
      <c r="S530" s="26">
        <f t="shared" si="781"/>
        <v>1117.5700446344824</v>
      </c>
      <c r="T530" s="26">
        <f t="shared" si="781"/>
        <v>3235.6171175182476</v>
      </c>
      <c r="U530" s="26">
        <f t="shared" si="781"/>
        <v>4544.1257873690183</v>
      </c>
      <c r="V530" s="26">
        <f t="shared" si="781"/>
        <v>4238.7447629326243</v>
      </c>
      <c r="W530" s="26">
        <f t="shared" si="781"/>
        <v>4133.4584491681044</v>
      </c>
      <c r="X530" s="26">
        <f t="shared" si="781"/>
        <v>5051.2418982549061</v>
      </c>
      <c r="Y530" s="26">
        <f t="shared" si="781"/>
        <v>4650.033567990029</v>
      </c>
      <c r="Z530" s="26">
        <f t="shared" si="781"/>
        <v>4474.9761312658911</v>
      </c>
      <c r="AA530" s="26">
        <f t="shared" si="781"/>
        <v>5315.5605451615165</v>
      </c>
      <c r="AB530" s="26">
        <f t="shared" si="781"/>
        <v>4837.6377454338653</v>
      </c>
      <c r="AC530" s="26">
        <f t="shared" si="781"/>
        <v>4665.990247372958</v>
      </c>
      <c r="AD530" s="26">
        <f t="shared" si="781"/>
        <v>5510.3845344531746</v>
      </c>
      <c r="AE530" s="26">
        <f t="shared" si="781"/>
        <v>5036.1735121927632</v>
      </c>
      <c r="AF530" s="26">
        <f t="shared" si="781"/>
        <v>4868.5417055204198</v>
      </c>
      <c r="AG530" s="26">
        <f t="shared" si="781"/>
        <v>5716.9576482160801</v>
      </c>
      <c r="AH530" s="26">
        <f t="shared" si="781"/>
        <v>5246.676337575881</v>
      </c>
      <c r="AI530" s="26">
        <f t="shared" si="781"/>
        <v>5083.1844326004039</v>
      </c>
      <c r="AJ530" s="26">
        <f t="shared" si="781"/>
        <v>5935.752644273718</v>
      </c>
      <c r="AK530" s="26">
        <f t="shared" si="781"/>
        <v>5469.9381910834545</v>
      </c>
      <c r="AL530" s="26">
        <f t="shared" si="781"/>
        <v>5310.6161848125257</v>
      </c>
      <c r="AM530" s="26">
        <f t="shared" si="781"/>
        <v>6167.9010880526112</v>
      </c>
      <c r="AN530" s="26">
        <f t="shared" si="781"/>
        <v>5706.4552275264996</v>
      </c>
      <c r="AO530" s="26">
        <f t="shared" si="781"/>
        <v>5551.773737819929</v>
      </c>
      <c r="AP530" s="26">
        <f t="shared" si="781"/>
        <v>6413.7969881186036</v>
      </c>
      <c r="AQ530" s="26">
        <f t="shared" si="781"/>
        <v>5957.088538032127</v>
      </c>
      <c r="AR530" s="26">
        <f t="shared" si="781"/>
        <v>5807.3407771138372</v>
      </c>
      <c r="AS530" s="26">
        <f t="shared" si="781"/>
        <v>6674.4006524648294</v>
      </c>
      <c r="AT530" s="26">
        <f t="shared" si="781"/>
        <v>6222.9277634890268</v>
      </c>
      <c r="AU530" s="26">
        <f t="shared" si="781"/>
        <v>6078.5238294559995</v>
      </c>
      <c r="AV530" s="26">
        <f t="shared" si="781"/>
        <v>6950.84277915039</v>
      </c>
      <c r="AW530" s="26"/>
      <c r="AX530" s="27"/>
    </row>
    <row r="531" spans="1:50" ht="12.75" customHeight="1" outlineLevel="1">
      <c r="A531" s="296"/>
      <c r="B531" s="32"/>
      <c r="C531" s="23"/>
      <c r="D531" s="23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6"/>
      <c r="AX531" s="27"/>
    </row>
    <row r="532" spans="1:50" ht="12.75" customHeight="1" outlineLevel="1">
      <c r="A532" s="296"/>
      <c r="B532" s="28" t="s">
        <v>21</v>
      </c>
      <c r="C532" s="69" t="s">
        <v>42</v>
      </c>
      <c r="D532" s="23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6"/>
      <c r="AX532" s="27"/>
    </row>
    <row r="533" spans="1:50" ht="12.75" customHeight="1" outlineLevel="1">
      <c r="A533" s="296"/>
      <c r="B533" s="13" t="s">
        <v>31</v>
      </c>
      <c r="C533" s="71" t="s">
        <v>42</v>
      </c>
      <c r="D533" s="20"/>
      <c r="E533" s="39">
        <f t="shared" ref="E533:AV533" si="782">E530-SUM(E532:E532)</f>
        <v>0</v>
      </c>
      <c r="F533" s="39">
        <f t="shared" si="782"/>
        <v>0</v>
      </c>
      <c r="G533" s="39">
        <f t="shared" si="782"/>
        <v>0</v>
      </c>
      <c r="H533" s="39">
        <f t="shared" si="782"/>
        <v>0</v>
      </c>
      <c r="I533" s="39"/>
      <c r="J533" s="39">
        <f>J530-SUM(J532:J532)</f>
        <v>0</v>
      </c>
      <c r="K533" s="39">
        <f t="shared" si="782"/>
        <v>0</v>
      </c>
      <c r="L533" s="39">
        <f t="shared" si="782"/>
        <v>-344.33444121787522</v>
      </c>
      <c r="M533" s="39">
        <f t="shared" si="782"/>
        <v>54.584931204606868</v>
      </c>
      <c r="N533" s="39">
        <f t="shared" si="782"/>
        <v>-194.03191591516668</v>
      </c>
      <c r="O533" s="39">
        <f t="shared" si="782"/>
        <v>652.93421070948102</v>
      </c>
      <c r="P533" s="39">
        <f t="shared" si="782"/>
        <v>-410.19993546176289</v>
      </c>
      <c r="Q533" s="39">
        <f t="shared" si="782"/>
        <v>85.417625377751222</v>
      </c>
      <c r="R533" s="39">
        <f t="shared" si="782"/>
        <v>696.7458921059324</v>
      </c>
      <c r="S533" s="39">
        <f t="shared" si="782"/>
        <v>1117.5700446344824</v>
      </c>
      <c r="T533" s="39">
        <f t="shared" si="782"/>
        <v>3235.6171175182476</v>
      </c>
      <c r="U533" s="39">
        <f t="shared" si="782"/>
        <v>4544.1257873690183</v>
      </c>
      <c r="V533" s="39">
        <f t="shared" si="782"/>
        <v>4238.7447629326243</v>
      </c>
      <c r="W533" s="39">
        <f t="shared" si="782"/>
        <v>4133.4584491681044</v>
      </c>
      <c r="X533" s="39">
        <f t="shared" si="782"/>
        <v>5051.2418982549061</v>
      </c>
      <c r="Y533" s="39">
        <f t="shared" si="782"/>
        <v>4650.033567990029</v>
      </c>
      <c r="Z533" s="39">
        <f t="shared" si="782"/>
        <v>4474.9761312658911</v>
      </c>
      <c r="AA533" s="39">
        <f t="shared" si="782"/>
        <v>5315.5605451615165</v>
      </c>
      <c r="AB533" s="39">
        <f t="shared" si="782"/>
        <v>4837.6377454338653</v>
      </c>
      <c r="AC533" s="39">
        <f t="shared" si="782"/>
        <v>4665.990247372958</v>
      </c>
      <c r="AD533" s="39">
        <f t="shared" si="782"/>
        <v>5510.3845344531746</v>
      </c>
      <c r="AE533" s="39">
        <f t="shared" si="782"/>
        <v>5036.1735121927632</v>
      </c>
      <c r="AF533" s="39">
        <f t="shared" si="782"/>
        <v>4868.5417055204198</v>
      </c>
      <c r="AG533" s="39">
        <f t="shared" si="782"/>
        <v>5716.9576482160801</v>
      </c>
      <c r="AH533" s="39">
        <f t="shared" si="782"/>
        <v>5246.676337575881</v>
      </c>
      <c r="AI533" s="39">
        <f t="shared" si="782"/>
        <v>5083.1844326004039</v>
      </c>
      <c r="AJ533" s="39">
        <f t="shared" si="782"/>
        <v>5935.752644273718</v>
      </c>
      <c r="AK533" s="39">
        <f t="shared" si="782"/>
        <v>5469.9381910834545</v>
      </c>
      <c r="AL533" s="39">
        <f t="shared" si="782"/>
        <v>5310.6161848125257</v>
      </c>
      <c r="AM533" s="39">
        <f t="shared" si="782"/>
        <v>6167.9010880526112</v>
      </c>
      <c r="AN533" s="39">
        <f t="shared" si="782"/>
        <v>5706.4552275264996</v>
      </c>
      <c r="AO533" s="39">
        <f t="shared" si="782"/>
        <v>5551.773737819929</v>
      </c>
      <c r="AP533" s="39">
        <f t="shared" si="782"/>
        <v>6413.7969881186036</v>
      </c>
      <c r="AQ533" s="39">
        <f t="shared" si="782"/>
        <v>5957.088538032127</v>
      </c>
      <c r="AR533" s="39">
        <f t="shared" si="782"/>
        <v>5807.3407771138372</v>
      </c>
      <c r="AS533" s="39">
        <f t="shared" si="782"/>
        <v>6674.4006524648294</v>
      </c>
      <c r="AT533" s="39">
        <f t="shared" si="782"/>
        <v>6222.9277634890268</v>
      </c>
      <c r="AU533" s="39">
        <f t="shared" si="782"/>
        <v>6078.5238294559995</v>
      </c>
      <c r="AV533" s="39">
        <f t="shared" si="782"/>
        <v>6950.84277915039</v>
      </c>
      <c r="AW533" s="26"/>
      <c r="AX533" s="27"/>
    </row>
    <row r="534" spans="1:50" ht="12.75" customHeight="1" outlineLevel="1">
      <c r="A534" s="296"/>
      <c r="B534" s="32"/>
      <c r="C534" s="23"/>
      <c r="D534" s="23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6"/>
      <c r="AX534" s="27"/>
    </row>
    <row r="535" spans="1:50" ht="12.75" customHeight="1" outlineLevel="1">
      <c r="A535" s="296"/>
      <c r="B535" s="28" t="s">
        <v>15</v>
      </c>
      <c r="C535" s="69" t="s">
        <v>42</v>
      </c>
      <c r="D535" s="23"/>
      <c r="E535" s="323">
        <f t="shared" ref="E535:T535" si="783">IF(E520&gt;0,E520*22%,0)</f>
        <v>0</v>
      </c>
      <c r="F535" s="323">
        <f t="shared" si="783"/>
        <v>0</v>
      </c>
      <c r="G535" s="323">
        <f t="shared" si="783"/>
        <v>0</v>
      </c>
      <c r="H535" s="323">
        <f t="shared" si="783"/>
        <v>0</v>
      </c>
      <c r="I535" s="323">
        <f t="shared" si="783"/>
        <v>0</v>
      </c>
      <c r="J535" s="323">
        <f t="shared" si="783"/>
        <v>0</v>
      </c>
      <c r="K535" s="323">
        <f t="shared" si="783"/>
        <v>0</v>
      </c>
      <c r="L535" s="323">
        <f t="shared" si="783"/>
        <v>0</v>
      </c>
      <c r="M535" s="323">
        <f t="shared" si="783"/>
        <v>39.068220959827833</v>
      </c>
      <c r="N535" s="323">
        <f t="shared" si="783"/>
        <v>2.0259554793059942</v>
      </c>
      <c r="O535" s="323">
        <f t="shared" si="783"/>
        <v>179.87066358865263</v>
      </c>
      <c r="P535" s="323">
        <f t="shared" si="783"/>
        <v>44.048491322168665</v>
      </c>
      <c r="Q535" s="323">
        <f t="shared" si="783"/>
        <v>226.37114711970943</v>
      </c>
      <c r="R535" s="323">
        <f t="shared" si="783"/>
        <v>474.71552665490628</v>
      </c>
      <c r="S535" s="323">
        <f t="shared" si="783"/>
        <v>673.27431171801697</v>
      </c>
      <c r="T535" s="323">
        <f t="shared" si="783"/>
        <v>1169.3293878996169</v>
      </c>
      <c r="U535" s="323">
        <f t="shared" ref="U535:AV535" si="784">IF(U520&gt;0,(U520-U521-U524-U525)*20%,0)</f>
        <v>1020.9587399812659</v>
      </c>
      <c r="V535" s="323">
        <f t="shared" si="784"/>
        <v>951.59659990645605</v>
      </c>
      <c r="W535" s="323">
        <f t="shared" si="784"/>
        <v>944.662062837147</v>
      </c>
      <c r="X535" s="323">
        <f t="shared" si="784"/>
        <v>1120.5743961510086</v>
      </c>
      <c r="Y535" s="323">
        <f t="shared" si="784"/>
        <v>1033.5169210106267</v>
      </c>
      <c r="Z535" s="323">
        <f t="shared" si="784"/>
        <v>1012.7581166811821</v>
      </c>
      <c r="AA535" s="323">
        <f t="shared" si="784"/>
        <v>1174.2804343330677</v>
      </c>
      <c r="AB535" s="323">
        <f t="shared" si="784"/>
        <v>1069.969693486785</v>
      </c>
      <c r="AC535" s="323">
        <f t="shared" si="784"/>
        <v>1049.9423446068636</v>
      </c>
      <c r="AD535" s="323">
        <f t="shared" si="784"/>
        <v>1212.1959468172624</v>
      </c>
      <c r="AE535" s="323">
        <f t="shared" si="784"/>
        <v>1108.6367162206634</v>
      </c>
      <c r="AF535" s="323">
        <f t="shared" si="784"/>
        <v>1089.38150779542</v>
      </c>
      <c r="AG535" s="323">
        <f t="shared" si="784"/>
        <v>1252.4682932695898</v>
      </c>
      <c r="AH535" s="323">
        <f t="shared" si="784"/>
        <v>1149.7037096020374</v>
      </c>
      <c r="AI535" s="323">
        <f t="shared" si="784"/>
        <v>1131.2650410444214</v>
      </c>
      <c r="AJ535" s="323">
        <f t="shared" si="784"/>
        <v>1295.1506971835718</v>
      </c>
      <c r="AK535" s="323">
        <f t="shared" si="784"/>
        <v>1193.2677615942991</v>
      </c>
      <c r="AL535" s="323">
        <f t="shared" si="784"/>
        <v>1175.6912114227468</v>
      </c>
      <c r="AM535" s="323">
        <f t="shared" si="784"/>
        <v>1340.4882088763202</v>
      </c>
      <c r="AN535" s="323">
        <f t="shared" si="784"/>
        <v>1239.5068614375948</v>
      </c>
      <c r="AO535" s="323">
        <f t="shared" si="784"/>
        <v>1222.8461530363363</v>
      </c>
      <c r="AP535" s="323">
        <f t="shared" si="784"/>
        <v>1388.5984293847589</v>
      </c>
      <c r="AQ535" s="323">
        <f t="shared" si="784"/>
        <v>1288.5320466923731</v>
      </c>
      <c r="AR535" s="323">
        <f t="shared" si="784"/>
        <v>1272.8654419962095</v>
      </c>
      <c r="AS535" s="323">
        <f t="shared" si="784"/>
        <v>1439.6322786700775</v>
      </c>
      <c r="AT535" s="323">
        <f t="shared" si="784"/>
        <v>1340.6001229262256</v>
      </c>
      <c r="AU535" s="323">
        <f t="shared" si="784"/>
        <v>1325.94927975474</v>
      </c>
      <c r="AV535" s="323">
        <f t="shared" si="784"/>
        <v>1493.7948108424525</v>
      </c>
      <c r="AW535" s="26"/>
      <c r="AX535" s="27"/>
    </row>
    <row r="536" spans="1:50" ht="12.75" customHeight="1" outlineLevel="1">
      <c r="A536" s="296"/>
      <c r="B536" s="28" t="s">
        <v>16</v>
      </c>
      <c r="C536" s="69" t="s">
        <v>42</v>
      </c>
      <c r="D536" s="23"/>
      <c r="E536" s="233">
        <f>0</f>
        <v>0</v>
      </c>
      <c r="F536" s="233">
        <f>0</f>
        <v>0</v>
      </c>
      <c r="G536" s="233">
        <f>0</f>
        <v>0</v>
      </c>
      <c r="H536" s="233">
        <f>0</f>
        <v>0</v>
      </c>
      <c r="I536" s="233"/>
      <c r="J536" s="233">
        <f>0</f>
        <v>0</v>
      </c>
      <c r="K536" s="233">
        <f>0</f>
        <v>0</v>
      </c>
      <c r="L536" s="233">
        <f>0</f>
        <v>0</v>
      </c>
      <c r="M536" s="233">
        <f>0</f>
        <v>0</v>
      </c>
      <c r="N536" s="233">
        <f>0</f>
        <v>0</v>
      </c>
      <c r="O536" s="233">
        <f>0</f>
        <v>0</v>
      </c>
      <c r="P536" s="233">
        <f>0</f>
        <v>0</v>
      </c>
      <c r="Q536" s="233">
        <f>0</f>
        <v>0</v>
      </c>
      <c r="R536" s="233">
        <f>0</f>
        <v>0</v>
      </c>
      <c r="S536" s="233">
        <f>0</f>
        <v>0</v>
      </c>
      <c r="T536" s="233">
        <f>0</f>
        <v>0</v>
      </c>
      <c r="U536" s="233">
        <f>0</f>
        <v>0</v>
      </c>
      <c r="V536" s="233">
        <f>0</f>
        <v>0</v>
      </c>
      <c r="W536" s="233">
        <f>0</f>
        <v>0</v>
      </c>
      <c r="X536" s="233">
        <f>0</f>
        <v>0</v>
      </c>
      <c r="Y536" s="233">
        <f>0</f>
        <v>0</v>
      </c>
      <c r="Z536" s="233">
        <f>0</f>
        <v>0</v>
      </c>
      <c r="AA536" s="233">
        <f>0</f>
        <v>0</v>
      </c>
      <c r="AB536" s="233">
        <f>0</f>
        <v>0</v>
      </c>
      <c r="AC536" s="233">
        <f>0</f>
        <v>0</v>
      </c>
      <c r="AD536" s="233">
        <f>0</f>
        <v>0</v>
      </c>
      <c r="AE536" s="233">
        <f>0</f>
        <v>0</v>
      </c>
      <c r="AF536" s="233">
        <f>0</f>
        <v>0</v>
      </c>
      <c r="AG536" s="233">
        <f>0</f>
        <v>0</v>
      </c>
      <c r="AH536" s="233">
        <f>0</f>
        <v>0</v>
      </c>
      <c r="AI536" s="233">
        <f>0</f>
        <v>0</v>
      </c>
      <c r="AJ536" s="233">
        <f>0</f>
        <v>0</v>
      </c>
      <c r="AK536" s="233">
        <f>0</f>
        <v>0</v>
      </c>
      <c r="AL536" s="233">
        <f>0</f>
        <v>0</v>
      </c>
      <c r="AM536" s="233">
        <f>0</f>
        <v>0</v>
      </c>
      <c r="AN536" s="233">
        <f>0</f>
        <v>0</v>
      </c>
      <c r="AO536" s="233">
        <f>0</f>
        <v>0</v>
      </c>
      <c r="AP536" s="233">
        <f>0</f>
        <v>0</v>
      </c>
      <c r="AQ536" s="233">
        <f>0</f>
        <v>0</v>
      </c>
      <c r="AR536" s="233">
        <f>0</f>
        <v>0</v>
      </c>
      <c r="AS536" s="233">
        <f>0</f>
        <v>0</v>
      </c>
      <c r="AT536" s="233">
        <f>0</f>
        <v>0</v>
      </c>
      <c r="AU536" s="233">
        <f>0</f>
        <v>0</v>
      </c>
      <c r="AV536" s="233">
        <f>0</f>
        <v>0</v>
      </c>
      <c r="AW536" s="26"/>
      <c r="AX536" s="27"/>
    </row>
    <row r="537" spans="1:50" ht="12.75" customHeight="1" outlineLevel="1">
      <c r="A537" s="296" t="s">
        <v>138</v>
      </c>
      <c r="B537" s="13" t="s">
        <v>4</v>
      </c>
      <c r="C537" s="71" t="s">
        <v>42</v>
      </c>
      <c r="D537" s="20"/>
      <c r="E537" s="40">
        <f>E533-SUM(E535:E536)</f>
        <v>0</v>
      </c>
      <c r="F537" s="40">
        <f t="shared" ref="F537:AA537" si="785">F533-SUM(F535:F536)</f>
        <v>0</v>
      </c>
      <c r="G537" s="40">
        <f t="shared" si="785"/>
        <v>0</v>
      </c>
      <c r="H537" s="40">
        <f t="shared" si="785"/>
        <v>0</v>
      </c>
      <c r="I537" s="40"/>
      <c r="J537" s="40">
        <f>J533-SUM(J535:J536)</f>
        <v>0</v>
      </c>
      <c r="K537" s="40">
        <f>K533-SUM(K535:K536)</f>
        <v>0</v>
      </c>
      <c r="L537" s="40">
        <f>L533-SUM(L535:L536)</f>
        <v>-344.33444121787522</v>
      </c>
      <c r="M537" s="40">
        <f>M533-SUM(M535:M536)</f>
        <v>15.516710244779034</v>
      </c>
      <c r="N537" s="40">
        <f t="shared" si="785"/>
        <v>-196.05787139447267</v>
      </c>
      <c r="O537" s="40">
        <f t="shared" si="785"/>
        <v>473.06354712082839</v>
      </c>
      <c r="P537" s="40">
        <f>P533-SUM(P535:P536)</f>
        <v>-454.24842678393156</v>
      </c>
      <c r="Q537" s="40">
        <f t="shared" si="785"/>
        <v>-140.95352174195821</v>
      </c>
      <c r="R537" s="40">
        <f t="shared" si="785"/>
        <v>222.03036545102611</v>
      </c>
      <c r="S537" s="40">
        <f t="shared" si="785"/>
        <v>444.29573291646545</v>
      </c>
      <c r="T537" s="40">
        <f t="shared" si="785"/>
        <v>2066.2877296186307</v>
      </c>
      <c r="U537" s="40">
        <f t="shared" si="785"/>
        <v>3523.1670473877525</v>
      </c>
      <c r="V537" s="40">
        <f t="shared" si="785"/>
        <v>3287.1481630261683</v>
      </c>
      <c r="W537" s="40">
        <f t="shared" si="785"/>
        <v>3188.7963863309574</v>
      </c>
      <c r="X537" s="40">
        <f t="shared" si="785"/>
        <v>3930.6675021038973</v>
      </c>
      <c r="Y537" s="40">
        <f t="shared" si="785"/>
        <v>3616.5166469794021</v>
      </c>
      <c r="Z537" s="40">
        <f t="shared" si="785"/>
        <v>3462.2180145847092</v>
      </c>
      <c r="AA537" s="40">
        <f t="shared" si="785"/>
        <v>4141.2801108284493</v>
      </c>
      <c r="AB537" s="40">
        <f t="shared" ref="AB537:AR537" si="786">AB533-SUM(AB535:AB536)</f>
        <v>3767.6680519470801</v>
      </c>
      <c r="AC537" s="40">
        <f t="shared" si="786"/>
        <v>3616.0479027660945</v>
      </c>
      <c r="AD537" s="40">
        <f t="shared" si="786"/>
        <v>4298.188587635912</v>
      </c>
      <c r="AE537" s="40">
        <f t="shared" si="786"/>
        <v>3927.5367959720998</v>
      </c>
      <c r="AF537" s="40">
        <f t="shared" si="786"/>
        <v>3779.1601977249998</v>
      </c>
      <c r="AG537" s="40">
        <f t="shared" si="786"/>
        <v>4464.4893549464905</v>
      </c>
      <c r="AH537" s="40">
        <f t="shared" si="786"/>
        <v>4096.9726279738434</v>
      </c>
      <c r="AI537" s="40">
        <f t="shared" si="786"/>
        <v>3951.9193915559827</v>
      </c>
      <c r="AJ537" s="40">
        <f t="shared" si="786"/>
        <v>4640.6019470901465</v>
      </c>
      <c r="AK537" s="40">
        <f t="shared" si="786"/>
        <v>4276.6704294891551</v>
      </c>
      <c r="AL537" s="40">
        <f t="shared" si="786"/>
        <v>4134.9249733897786</v>
      </c>
      <c r="AM537" s="40">
        <f t="shared" si="786"/>
        <v>4827.4128791762905</v>
      </c>
      <c r="AN537" s="40">
        <f t="shared" si="786"/>
        <v>4466.9483660889045</v>
      </c>
      <c r="AO537" s="40">
        <f t="shared" si="786"/>
        <v>4328.9275847835925</v>
      </c>
      <c r="AP537" s="40">
        <f t="shared" si="786"/>
        <v>5025.1985587338449</v>
      </c>
      <c r="AQ537" s="40">
        <f t="shared" si="786"/>
        <v>4668.5564913397538</v>
      </c>
      <c r="AR537" s="40">
        <f t="shared" si="786"/>
        <v>4534.4753351176278</v>
      </c>
      <c r="AS537" s="40">
        <f>AS533-SUM(AS535:AS536)</f>
        <v>5234.7683737947518</v>
      </c>
      <c r="AT537" s="40">
        <f>AT533-SUM(AT535:AT536)</f>
        <v>4882.3276405628012</v>
      </c>
      <c r="AU537" s="40">
        <f>AU533-SUM(AU535:AU536)</f>
        <v>4752.5745497012595</v>
      </c>
      <c r="AV537" s="40">
        <f>AV533-SUM(AV535:AV536)</f>
        <v>5457.0479683079375</v>
      </c>
      <c r="AW537" s="26"/>
      <c r="AX537" s="27"/>
    </row>
    <row r="538" spans="1:50" ht="12.75" customHeight="1" outlineLevel="1">
      <c r="A538" s="296"/>
      <c r="B538" s="32"/>
      <c r="C538" s="23"/>
      <c r="D538" s="23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6"/>
      <c r="AX538" s="27"/>
    </row>
    <row r="539" spans="1:50" ht="12.75" customHeight="1" outlineLevel="1">
      <c r="A539" s="296"/>
      <c r="B539" s="178" t="s">
        <v>6</v>
      </c>
      <c r="C539" s="71" t="s">
        <v>42</v>
      </c>
      <c r="D539" s="20"/>
      <c r="E539" s="26"/>
      <c r="F539" s="26"/>
      <c r="G539" s="26"/>
      <c r="H539" s="26"/>
      <c r="I539" s="26"/>
      <c r="J539" s="26">
        <f t="shared" ref="J539:AV539" si="787">J537-SUM(J529:J529)</f>
        <v>0</v>
      </c>
      <c r="K539" s="26">
        <f t="shared" si="787"/>
        <v>0</v>
      </c>
      <c r="L539" s="26">
        <f t="shared" si="787"/>
        <v>-344.33444121787522</v>
      </c>
      <c r="M539" s="26">
        <f t="shared" si="787"/>
        <v>15.516710244779034</v>
      </c>
      <c r="N539" s="26">
        <f t="shared" si="787"/>
        <v>-196.05787139447267</v>
      </c>
      <c r="O539" s="26">
        <f t="shared" si="787"/>
        <v>473.06354712082839</v>
      </c>
      <c r="P539" s="26">
        <f t="shared" si="787"/>
        <v>-454.24842678393156</v>
      </c>
      <c r="Q539" s="26">
        <f t="shared" si="787"/>
        <v>-140.95352174195821</v>
      </c>
      <c r="R539" s="26">
        <f t="shared" si="787"/>
        <v>222.03036545102611</v>
      </c>
      <c r="S539" s="26">
        <f t="shared" si="787"/>
        <v>444.29573291646545</v>
      </c>
      <c r="T539" s="26">
        <f t="shared" si="787"/>
        <v>2066.2877296186307</v>
      </c>
      <c r="U539" s="26">
        <f t="shared" si="787"/>
        <v>3523.1670473877525</v>
      </c>
      <c r="V539" s="26">
        <f t="shared" si="787"/>
        <v>3287.1481630261683</v>
      </c>
      <c r="W539" s="26">
        <f t="shared" si="787"/>
        <v>3188.7963863309574</v>
      </c>
      <c r="X539" s="26">
        <f t="shared" si="787"/>
        <v>3930.6675021038973</v>
      </c>
      <c r="Y539" s="26">
        <f t="shared" si="787"/>
        <v>3616.5166469794021</v>
      </c>
      <c r="Z539" s="26">
        <f t="shared" si="787"/>
        <v>3462.2180145847092</v>
      </c>
      <c r="AA539" s="26">
        <f t="shared" si="787"/>
        <v>4141.2801108284493</v>
      </c>
      <c r="AB539" s="26">
        <f t="shared" si="787"/>
        <v>3767.6680519470801</v>
      </c>
      <c r="AC539" s="26">
        <f t="shared" si="787"/>
        <v>3616.0479027660945</v>
      </c>
      <c r="AD539" s="26">
        <f t="shared" si="787"/>
        <v>4298.188587635912</v>
      </c>
      <c r="AE539" s="26">
        <f t="shared" si="787"/>
        <v>3927.5367959720998</v>
      </c>
      <c r="AF539" s="26">
        <f t="shared" si="787"/>
        <v>3779.1601977249998</v>
      </c>
      <c r="AG539" s="26">
        <f t="shared" si="787"/>
        <v>4464.4893549464905</v>
      </c>
      <c r="AH539" s="26">
        <f t="shared" si="787"/>
        <v>4096.9726279738434</v>
      </c>
      <c r="AI539" s="26">
        <f t="shared" si="787"/>
        <v>3951.9193915559827</v>
      </c>
      <c r="AJ539" s="26">
        <f t="shared" si="787"/>
        <v>4640.6019470901465</v>
      </c>
      <c r="AK539" s="26">
        <f t="shared" si="787"/>
        <v>4276.6704294891551</v>
      </c>
      <c r="AL539" s="26">
        <f t="shared" si="787"/>
        <v>4134.9249733897786</v>
      </c>
      <c r="AM539" s="26">
        <f t="shared" si="787"/>
        <v>4827.4128791762905</v>
      </c>
      <c r="AN539" s="26">
        <f t="shared" si="787"/>
        <v>4466.9483660889045</v>
      </c>
      <c r="AO539" s="26">
        <f t="shared" si="787"/>
        <v>4328.9275847835925</v>
      </c>
      <c r="AP539" s="26">
        <f t="shared" si="787"/>
        <v>5025.1985587338449</v>
      </c>
      <c r="AQ539" s="26">
        <f t="shared" si="787"/>
        <v>4668.5564913397538</v>
      </c>
      <c r="AR539" s="26">
        <f t="shared" si="787"/>
        <v>4534.4753351176278</v>
      </c>
      <c r="AS539" s="26">
        <f t="shared" si="787"/>
        <v>5234.7683737947518</v>
      </c>
      <c r="AT539" s="26">
        <f t="shared" si="787"/>
        <v>4882.3276405628012</v>
      </c>
      <c r="AU539" s="26">
        <f t="shared" si="787"/>
        <v>4752.5745497012595</v>
      </c>
      <c r="AV539" s="26">
        <f t="shared" si="787"/>
        <v>5457.0479683079375</v>
      </c>
      <c r="AW539" s="26"/>
      <c r="AX539" s="27"/>
    </row>
    <row r="540" spans="1:50" ht="12.75" customHeight="1" outlineLevel="1">
      <c r="A540" s="296"/>
      <c r="B540" s="13"/>
      <c r="C540" s="20"/>
      <c r="D540" s="20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7"/>
    </row>
    <row r="541" spans="1:50" ht="12.75" customHeight="1" outlineLevel="1">
      <c r="A541" s="296"/>
      <c r="B541" s="13" t="s">
        <v>131</v>
      </c>
      <c r="C541" s="71" t="s">
        <v>42</v>
      </c>
      <c r="D541" s="20"/>
      <c r="E541" s="159">
        <f t="shared" ref="E541:AV541" si="788">E527</f>
        <v>0</v>
      </c>
      <c r="F541" s="159">
        <f t="shared" si="788"/>
        <v>0</v>
      </c>
      <c r="G541" s="159">
        <f t="shared" si="788"/>
        <v>0</v>
      </c>
      <c r="H541" s="159">
        <f t="shared" si="788"/>
        <v>0</v>
      </c>
      <c r="I541" s="159">
        <f t="shared" si="788"/>
        <v>0</v>
      </c>
      <c r="J541" s="159">
        <f t="shared" si="788"/>
        <v>0</v>
      </c>
      <c r="K541" s="159">
        <f t="shared" si="788"/>
        <v>0</v>
      </c>
      <c r="L541" s="159">
        <f t="shared" si="788"/>
        <v>-309.76499677343077</v>
      </c>
      <c r="M541" s="159">
        <f t="shared" si="788"/>
        <v>89.411551574977238</v>
      </c>
      <c r="N541" s="159">
        <f t="shared" si="788"/>
        <v>-158.95240588430249</v>
      </c>
      <c r="O541" s="159">
        <f t="shared" si="788"/>
        <v>700.7623955731641</v>
      </c>
      <c r="P541" s="159">
        <f t="shared" si="788"/>
        <v>-316.50222034580781</v>
      </c>
      <c r="Q541" s="159">
        <f t="shared" si="788"/>
        <v>215.05371190844039</v>
      </c>
      <c r="R541" s="159">
        <f t="shared" si="788"/>
        <v>861.72137719444345</v>
      </c>
      <c r="S541" s="159">
        <f t="shared" si="788"/>
        <v>1281.4626049715182</v>
      </c>
      <c r="T541" s="159">
        <f t="shared" si="788"/>
        <v>3398.444801849666</v>
      </c>
      <c r="U541" s="159">
        <f t="shared" si="788"/>
        <v>4705.9063436282468</v>
      </c>
      <c r="V541" s="159">
        <f t="shared" si="788"/>
        <v>4399.4956432541985</v>
      </c>
      <c r="W541" s="159">
        <f t="shared" si="788"/>
        <v>4293.1968148176529</v>
      </c>
      <c r="X541" s="159">
        <f t="shared" si="788"/>
        <v>5209.9846244769615</v>
      </c>
      <c r="Y541" s="159">
        <f t="shared" si="788"/>
        <v>4807.7972487750503</v>
      </c>
      <c r="Z541" s="159">
        <f t="shared" si="788"/>
        <v>4631.7770840378289</v>
      </c>
      <c r="AA541" s="159">
        <f t="shared" si="788"/>
        <v>5471.4148153872557</v>
      </c>
      <c r="AB541" s="159">
        <f t="shared" si="788"/>
        <v>4992.5611111558419</v>
      </c>
      <c r="AC541" s="159">
        <f t="shared" si="788"/>
        <v>4819.9982236662354</v>
      </c>
      <c r="AD541" s="159">
        <f t="shared" si="788"/>
        <v>5663.4923778082302</v>
      </c>
      <c r="AE541" s="159">
        <f t="shared" si="788"/>
        <v>5188.3962248252346</v>
      </c>
      <c r="AF541" s="159">
        <f t="shared" si="788"/>
        <v>5019.8940396090165</v>
      </c>
      <c r="AG541" s="159">
        <f t="shared" si="788"/>
        <v>5867.4541100698671</v>
      </c>
      <c r="AH541" s="159">
        <f t="shared" si="788"/>
        <v>5396.3311917321043</v>
      </c>
      <c r="AI541" s="159">
        <f t="shared" si="788"/>
        <v>5232.0117058540236</v>
      </c>
      <c r="AJ541" s="159">
        <f t="shared" si="788"/>
        <v>6083.7661296397773</v>
      </c>
      <c r="AK541" s="159">
        <f t="shared" si="788"/>
        <v>5617.151451693413</v>
      </c>
      <c r="AL541" s="159">
        <f t="shared" si="788"/>
        <v>5457.0425577456517</v>
      </c>
      <c r="AM541" s="159">
        <f t="shared" si="788"/>
        <v>6313.5536881035187</v>
      </c>
      <c r="AN541" s="159">
        <f t="shared" si="788"/>
        <v>5851.3469509098913</v>
      </c>
      <c r="AO541" s="159">
        <f t="shared" si="788"/>
        <v>5695.9172658135976</v>
      </c>
      <c r="AP541" s="159">
        <f t="shared" si="788"/>
        <v>6557.2047906457119</v>
      </c>
      <c r="AQ541" s="159">
        <f t="shared" si="788"/>
        <v>6099.7728771837828</v>
      </c>
      <c r="AR541" s="159">
        <f t="shared" si="788"/>
        <v>5949.3137106129652</v>
      </c>
      <c r="AS541" s="159">
        <f t="shared" si="788"/>
        <v>6815.6740370723055</v>
      </c>
      <c r="AT541" s="159">
        <f t="shared" si="788"/>
        <v>6363.5132583530449</v>
      </c>
      <c r="AU541" s="159">
        <f t="shared" si="788"/>
        <v>6218.4328994056177</v>
      </c>
      <c r="AV541" s="159">
        <f t="shared" si="788"/>
        <v>7090.0866979341808</v>
      </c>
      <c r="AW541" s="26"/>
      <c r="AX541" s="27"/>
    </row>
    <row r="542" spans="1:50" ht="12.75" customHeight="1" outlineLevel="1">
      <c r="A542" s="296"/>
      <c r="B542" s="13"/>
      <c r="C542" s="71"/>
      <c r="D542" s="20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7"/>
    </row>
    <row r="543" spans="1:50">
      <c r="A543" s="296" t="s">
        <v>138</v>
      </c>
      <c r="B543" s="21" t="s">
        <v>32</v>
      </c>
      <c r="C543" s="22"/>
      <c r="D543" s="147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0"/>
      <c r="AX543" s="27"/>
    </row>
    <row r="544" spans="1:50" ht="12.75" customHeight="1" outlineLevel="1">
      <c r="A544" s="296"/>
      <c r="B544" s="13" t="s">
        <v>22</v>
      </c>
      <c r="C544" s="23"/>
      <c r="D544" s="23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6"/>
      <c r="AX544" s="27"/>
    </row>
    <row r="545" spans="1:50" ht="12.75" customHeight="1" outlineLevel="1">
      <c r="A545" s="296"/>
      <c r="B545" s="28" t="s">
        <v>9</v>
      </c>
      <c r="C545" s="69" t="s">
        <v>42</v>
      </c>
      <c r="D545" s="23"/>
      <c r="E545" s="24">
        <f>E537</f>
        <v>0</v>
      </c>
      <c r="F545" s="24">
        <f>F537</f>
        <v>0</v>
      </c>
      <c r="G545" s="24">
        <f>G537</f>
        <v>0</v>
      </c>
      <c r="H545" s="24"/>
      <c r="I545" s="24">
        <f t="shared" ref="I545:AV545" si="789">I537</f>
        <v>0</v>
      </c>
      <c r="J545" s="24">
        <f t="shared" si="789"/>
        <v>0</v>
      </c>
      <c r="K545" s="24">
        <f t="shared" si="789"/>
        <v>0</v>
      </c>
      <c r="L545" s="24">
        <f t="shared" si="789"/>
        <v>-344.33444121787522</v>
      </c>
      <c r="M545" s="24">
        <f t="shared" si="789"/>
        <v>15.516710244779034</v>
      </c>
      <c r="N545" s="24">
        <f t="shared" si="789"/>
        <v>-196.05787139447267</v>
      </c>
      <c r="O545" s="24">
        <f t="shared" si="789"/>
        <v>473.06354712082839</v>
      </c>
      <c r="P545" s="24">
        <f t="shared" si="789"/>
        <v>-454.24842678393156</v>
      </c>
      <c r="Q545" s="24">
        <f t="shared" si="789"/>
        <v>-140.95352174195821</v>
      </c>
      <c r="R545" s="24">
        <f t="shared" si="789"/>
        <v>222.03036545102611</v>
      </c>
      <c r="S545" s="24">
        <f t="shared" si="789"/>
        <v>444.29573291646545</v>
      </c>
      <c r="T545" s="24">
        <f t="shared" si="789"/>
        <v>2066.2877296186307</v>
      </c>
      <c r="U545" s="24">
        <f t="shared" si="789"/>
        <v>3523.1670473877525</v>
      </c>
      <c r="V545" s="24">
        <f t="shared" si="789"/>
        <v>3287.1481630261683</v>
      </c>
      <c r="W545" s="24">
        <f t="shared" si="789"/>
        <v>3188.7963863309574</v>
      </c>
      <c r="X545" s="24">
        <f t="shared" si="789"/>
        <v>3930.6675021038973</v>
      </c>
      <c r="Y545" s="24">
        <f t="shared" si="789"/>
        <v>3616.5166469794021</v>
      </c>
      <c r="Z545" s="24">
        <f t="shared" si="789"/>
        <v>3462.2180145847092</v>
      </c>
      <c r="AA545" s="24">
        <f t="shared" si="789"/>
        <v>4141.2801108284493</v>
      </c>
      <c r="AB545" s="24">
        <f t="shared" si="789"/>
        <v>3767.6680519470801</v>
      </c>
      <c r="AC545" s="24">
        <f t="shared" si="789"/>
        <v>3616.0479027660945</v>
      </c>
      <c r="AD545" s="24">
        <f t="shared" si="789"/>
        <v>4298.188587635912</v>
      </c>
      <c r="AE545" s="24">
        <f t="shared" si="789"/>
        <v>3927.5367959720998</v>
      </c>
      <c r="AF545" s="24">
        <f t="shared" si="789"/>
        <v>3779.1601977249998</v>
      </c>
      <c r="AG545" s="24">
        <f t="shared" si="789"/>
        <v>4464.4893549464905</v>
      </c>
      <c r="AH545" s="24">
        <f t="shared" si="789"/>
        <v>4096.9726279738434</v>
      </c>
      <c r="AI545" s="24">
        <f t="shared" si="789"/>
        <v>3951.9193915559827</v>
      </c>
      <c r="AJ545" s="24">
        <f t="shared" si="789"/>
        <v>4640.6019470901465</v>
      </c>
      <c r="AK545" s="24">
        <f t="shared" si="789"/>
        <v>4276.6704294891551</v>
      </c>
      <c r="AL545" s="24">
        <f t="shared" si="789"/>
        <v>4134.9249733897786</v>
      </c>
      <c r="AM545" s="24">
        <f t="shared" si="789"/>
        <v>4827.4128791762905</v>
      </c>
      <c r="AN545" s="24">
        <f t="shared" si="789"/>
        <v>4466.9483660889045</v>
      </c>
      <c r="AO545" s="24">
        <f t="shared" si="789"/>
        <v>4328.9275847835925</v>
      </c>
      <c r="AP545" s="24">
        <f t="shared" si="789"/>
        <v>5025.1985587338449</v>
      </c>
      <c r="AQ545" s="24">
        <f t="shared" si="789"/>
        <v>4668.5564913397538</v>
      </c>
      <c r="AR545" s="24">
        <f t="shared" si="789"/>
        <v>4534.4753351176278</v>
      </c>
      <c r="AS545" s="24">
        <f t="shared" si="789"/>
        <v>5234.7683737947518</v>
      </c>
      <c r="AT545" s="24">
        <f t="shared" si="789"/>
        <v>4882.3276405628012</v>
      </c>
      <c r="AU545" s="24">
        <f t="shared" si="789"/>
        <v>4752.5745497012595</v>
      </c>
      <c r="AV545" s="24">
        <f t="shared" si="789"/>
        <v>5457.0479683079375</v>
      </c>
      <c r="AW545" s="26"/>
      <c r="AX545" s="27"/>
    </row>
    <row r="546" spans="1:50" ht="12.75" customHeight="1" outlineLevel="1">
      <c r="A546" s="296"/>
      <c r="B546" s="30" t="s">
        <v>26</v>
      </c>
      <c r="C546" s="69" t="s">
        <v>42</v>
      </c>
      <c r="D546" s="23"/>
      <c r="E546" s="24">
        <f>E528</f>
        <v>0</v>
      </c>
      <c r="F546" s="24">
        <f>F528</f>
        <v>0</v>
      </c>
      <c r="G546" s="24">
        <f>G528</f>
        <v>0</v>
      </c>
      <c r="H546" s="24"/>
      <c r="I546" s="24">
        <f t="shared" ref="I546:AV546" si="790">I528</f>
        <v>0</v>
      </c>
      <c r="J546" s="24">
        <f t="shared" si="790"/>
        <v>0</v>
      </c>
      <c r="K546" s="24">
        <f t="shared" si="790"/>
        <v>0</v>
      </c>
      <c r="L546" s="24">
        <f t="shared" si="790"/>
        <v>34.569444444444443</v>
      </c>
      <c r="M546" s="24">
        <f t="shared" si="790"/>
        <v>34.826620370370371</v>
      </c>
      <c r="N546" s="24">
        <f t="shared" si="790"/>
        <v>35.079510030864199</v>
      </c>
      <c r="O546" s="24">
        <f t="shared" si="790"/>
        <v>47.828184863683134</v>
      </c>
      <c r="P546" s="24">
        <f t="shared" si="790"/>
        <v>93.697715115955077</v>
      </c>
      <c r="Q546" s="24">
        <f t="shared" si="790"/>
        <v>129.63608653068917</v>
      </c>
      <c r="R546" s="24">
        <f t="shared" si="790"/>
        <v>164.97548508851102</v>
      </c>
      <c r="S546" s="24">
        <f t="shared" si="790"/>
        <v>163.89256033703583</v>
      </c>
      <c r="T546" s="24">
        <f t="shared" si="790"/>
        <v>162.82768433141857</v>
      </c>
      <c r="U546" s="24">
        <f t="shared" si="790"/>
        <v>161.78055625922823</v>
      </c>
      <c r="V546" s="24">
        <f t="shared" si="790"/>
        <v>160.75088032157444</v>
      </c>
      <c r="W546" s="24">
        <f t="shared" si="790"/>
        <v>159.7383656495482</v>
      </c>
      <c r="X546" s="24">
        <f t="shared" si="790"/>
        <v>158.74272622205572</v>
      </c>
      <c r="Y546" s="24">
        <f t="shared" si="790"/>
        <v>157.76368078502148</v>
      </c>
      <c r="Z546" s="24">
        <f t="shared" si="790"/>
        <v>156.80095277193777</v>
      </c>
      <c r="AA546" s="24">
        <f t="shared" si="790"/>
        <v>155.85427022573882</v>
      </c>
      <c r="AB546" s="24">
        <f t="shared" si="790"/>
        <v>154.9233657219765</v>
      </c>
      <c r="AC546" s="24">
        <f t="shared" si="790"/>
        <v>154.0079762932769</v>
      </c>
      <c r="AD546" s="24">
        <f t="shared" si="790"/>
        <v>153.10784335505562</v>
      </c>
      <c r="AE546" s="24">
        <f t="shared" si="790"/>
        <v>152.22271263247134</v>
      </c>
      <c r="AF546" s="24">
        <f t="shared" si="790"/>
        <v>151.35233408859682</v>
      </c>
      <c r="AG546" s="24">
        <f t="shared" si="790"/>
        <v>150.49646185378685</v>
      </c>
      <c r="AH546" s="24">
        <f t="shared" si="790"/>
        <v>149.65485415622376</v>
      </c>
      <c r="AI546" s="24">
        <f t="shared" si="790"/>
        <v>148.82727325362004</v>
      </c>
      <c r="AJ546" s="24">
        <f t="shared" si="790"/>
        <v>148.01348536605968</v>
      </c>
      <c r="AK546" s="24">
        <f t="shared" si="790"/>
        <v>147.2132606099587</v>
      </c>
      <c r="AL546" s="24">
        <f t="shared" si="790"/>
        <v>146.42637293312606</v>
      </c>
      <c r="AM546" s="24">
        <f t="shared" si="790"/>
        <v>145.65260005090727</v>
      </c>
      <c r="AN546" s="24">
        <f t="shared" si="790"/>
        <v>144.89172338339216</v>
      </c>
      <c r="AO546" s="24">
        <f t="shared" si="790"/>
        <v>144.14352799366895</v>
      </c>
      <c r="AP546" s="24">
        <f t="shared" si="790"/>
        <v>143.40780252710783</v>
      </c>
      <c r="AQ546" s="24">
        <f t="shared" si="790"/>
        <v>142.68433915165602</v>
      </c>
      <c r="AR546" s="24">
        <f t="shared" si="790"/>
        <v>141.9729334991284</v>
      </c>
      <c r="AS546" s="24">
        <f t="shared" si="790"/>
        <v>141.27338460747629</v>
      </c>
      <c r="AT546" s="24">
        <f t="shared" si="790"/>
        <v>140.58549486401836</v>
      </c>
      <c r="AU546" s="24">
        <f t="shared" si="790"/>
        <v>139.90906994961804</v>
      </c>
      <c r="AV546" s="24">
        <f t="shared" si="790"/>
        <v>139.24391878379106</v>
      </c>
      <c r="AW546" s="26"/>
      <c r="AX546" s="27"/>
    </row>
    <row r="547" spans="1:50" ht="12.75" customHeight="1" outlineLevel="1">
      <c r="A547" s="296"/>
      <c r="B547" s="41" t="s">
        <v>19</v>
      </c>
      <c r="C547" s="71" t="s">
        <v>42</v>
      </c>
      <c r="D547" s="20"/>
      <c r="E547" s="39">
        <f>SUM(E545:E546)</f>
        <v>0</v>
      </c>
      <c r="F547" s="39">
        <f>SUM(F545:F546)</f>
        <v>0</v>
      </c>
      <c r="G547" s="39">
        <f>SUM(G545:G546)</f>
        <v>0</v>
      </c>
      <c r="H547" s="39"/>
      <c r="I547" s="39">
        <f t="shared" ref="I547:AV547" si="791">SUM(I545:I546)</f>
        <v>0</v>
      </c>
      <c r="J547" s="39">
        <f t="shared" si="791"/>
        <v>0</v>
      </c>
      <c r="K547" s="39">
        <f t="shared" si="791"/>
        <v>0</v>
      </c>
      <c r="L547" s="39">
        <f t="shared" si="791"/>
        <v>-309.76499677343077</v>
      </c>
      <c r="M547" s="39">
        <f t="shared" si="791"/>
        <v>50.343330615149405</v>
      </c>
      <c r="N547" s="39">
        <f t="shared" si="791"/>
        <v>-160.97836136360849</v>
      </c>
      <c r="O547" s="39">
        <f t="shared" si="791"/>
        <v>520.89173198451158</v>
      </c>
      <c r="P547" s="39">
        <f t="shared" si="791"/>
        <v>-360.55071166797649</v>
      </c>
      <c r="Q547" s="39">
        <f t="shared" si="791"/>
        <v>-11.317435211269043</v>
      </c>
      <c r="R547" s="39">
        <f t="shared" si="791"/>
        <v>387.00585053953716</v>
      </c>
      <c r="S547" s="39">
        <f t="shared" si="791"/>
        <v>608.18829325350134</v>
      </c>
      <c r="T547" s="39">
        <f t="shared" si="791"/>
        <v>2229.1154139500491</v>
      </c>
      <c r="U547" s="39">
        <f t="shared" si="791"/>
        <v>3684.947603646981</v>
      </c>
      <c r="V547" s="39">
        <f t="shared" si="791"/>
        <v>3447.8990433477429</v>
      </c>
      <c r="W547" s="39">
        <f t="shared" si="791"/>
        <v>3348.5347519805055</v>
      </c>
      <c r="X547" s="39">
        <f t="shared" si="791"/>
        <v>4089.4102283259531</v>
      </c>
      <c r="Y547" s="39">
        <f t="shared" si="791"/>
        <v>3774.2803277644234</v>
      </c>
      <c r="Z547" s="39">
        <f t="shared" si="791"/>
        <v>3619.018967356647</v>
      </c>
      <c r="AA547" s="39">
        <f t="shared" si="791"/>
        <v>4297.1343810541885</v>
      </c>
      <c r="AB547" s="39">
        <f t="shared" si="791"/>
        <v>3922.5914176690567</v>
      </c>
      <c r="AC547" s="39">
        <f t="shared" si="791"/>
        <v>3770.0558790593714</v>
      </c>
      <c r="AD547" s="39">
        <f t="shared" si="791"/>
        <v>4451.2964309909676</v>
      </c>
      <c r="AE547" s="39">
        <f t="shared" si="791"/>
        <v>4079.7595086045712</v>
      </c>
      <c r="AF547" s="39">
        <f t="shared" si="791"/>
        <v>3930.5125318135965</v>
      </c>
      <c r="AG547" s="39">
        <f t="shared" si="791"/>
        <v>4614.9858168002775</v>
      </c>
      <c r="AH547" s="39">
        <f t="shared" si="791"/>
        <v>4246.6274821300667</v>
      </c>
      <c r="AI547" s="39">
        <f t="shared" si="791"/>
        <v>4100.7466648096024</v>
      </c>
      <c r="AJ547" s="39">
        <f t="shared" si="791"/>
        <v>4788.6154324562058</v>
      </c>
      <c r="AK547" s="39">
        <f t="shared" si="791"/>
        <v>4423.8836900991137</v>
      </c>
      <c r="AL547" s="39">
        <f t="shared" si="791"/>
        <v>4281.3513463229046</v>
      </c>
      <c r="AM547" s="39">
        <f t="shared" si="791"/>
        <v>4973.065479227198</v>
      </c>
      <c r="AN547" s="39">
        <f t="shared" si="791"/>
        <v>4611.8400894722963</v>
      </c>
      <c r="AO547" s="39">
        <f t="shared" si="791"/>
        <v>4473.0711127772611</v>
      </c>
      <c r="AP547" s="39">
        <f t="shared" si="791"/>
        <v>5168.6063612609523</v>
      </c>
      <c r="AQ547" s="39">
        <f t="shared" si="791"/>
        <v>4811.2408304914097</v>
      </c>
      <c r="AR547" s="39">
        <f t="shared" si="791"/>
        <v>4676.4482686167557</v>
      </c>
      <c r="AS547" s="39">
        <f t="shared" si="791"/>
        <v>5376.041758402228</v>
      </c>
      <c r="AT547" s="39">
        <f t="shared" si="791"/>
        <v>5022.9131354268193</v>
      </c>
      <c r="AU547" s="39">
        <f t="shared" si="791"/>
        <v>4892.4836196508777</v>
      </c>
      <c r="AV547" s="39">
        <f t="shared" si="791"/>
        <v>5596.2918870917283</v>
      </c>
      <c r="AW547" s="27"/>
      <c r="AX547" s="27"/>
    </row>
    <row r="548" spans="1:50" ht="12.75" customHeight="1" outlineLevel="1">
      <c r="A548" s="296"/>
      <c r="B548" s="28" t="s">
        <v>313</v>
      </c>
      <c r="C548" s="69" t="s">
        <v>42</v>
      </c>
      <c r="D548" s="23"/>
      <c r="E548" s="177">
        <v>0</v>
      </c>
      <c r="F548" s="177">
        <v>0</v>
      </c>
      <c r="G548" s="177">
        <v>0</v>
      </c>
      <c r="H548" s="177"/>
      <c r="I548" s="24">
        <f>H548</f>
        <v>0</v>
      </c>
      <c r="J548" s="24">
        <f>I548</f>
        <v>0</v>
      </c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7"/>
      <c r="AX548" s="27"/>
    </row>
    <row r="549" spans="1:50" ht="12.75" customHeight="1" outlineLevel="1">
      <c r="A549" s="296"/>
      <c r="B549" s="13" t="s">
        <v>38</v>
      </c>
      <c r="C549" s="71" t="s">
        <v>42</v>
      </c>
      <c r="D549" s="20"/>
      <c r="E549" s="39">
        <f t="shared" ref="E549:AV549" si="792">SUM(E547:E548)</f>
        <v>0</v>
      </c>
      <c r="F549" s="39">
        <f t="shared" si="792"/>
        <v>0</v>
      </c>
      <c r="G549" s="39">
        <f t="shared" si="792"/>
        <v>0</v>
      </c>
      <c r="H549" s="39">
        <f t="shared" si="792"/>
        <v>0</v>
      </c>
      <c r="I549" s="39">
        <f t="shared" si="792"/>
        <v>0</v>
      </c>
      <c r="J549" s="39">
        <f t="shared" si="792"/>
        <v>0</v>
      </c>
      <c r="K549" s="39">
        <f t="shared" si="792"/>
        <v>0</v>
      </c>
      <c r="L549" s="39">
        <f t="shared" si="792"/>
        <v>-309.76499677343077</v>
      </c>
      <c r="M549" s="39">
        <f t="shared" si="792"/>
        <v>50.343330615149405</v>
      </c>
      <c r="N549" s="39">
        <f t="shared" si="792"/>
        <v>-160.97836136360849</v>
      </c>
      <c r="O549" s="39">
        <f t="shared" si="792"/>
        <v>520.89173198451158</v>
      </c>
      <c r="P549" s="39">
        <f t="shared" si="792"/>
        <v>-360.55071166797649</v>
      </c>
      <c r="Q549" s="39">
        <f t="shared" si="792"/>
        <v>-11.317435211269043</v>
      </c>
      <c r="R549" s="39">
        <f t="shared" si="792"/>
        <v>387.00585053953716</v>
      </c>
      <c r="S549" s="39">
        <f t="shared" si="792"/>
        <v>608.18829325350134</v>
      </c>
      <c r="T549" s="39">
        <f t="shared" si="792"/>
        <v>2229.1154139500491</v>
      </c>
      <c r="U549" s="39">
        <f t="shared" si="792"/>
        <v>3684.947603646981</v>
      </c>
      <c r="V549" s="39">
        <f t="shared" si="792"/>
        <v>3447.8990433477429</v>
      </c>
      <c r="W549" s="39">
        <f t="shared" si="792"/>
        <v>3348.5347519805055</v>
      </c>
      <c r="X549" s="39">
        <f t="shared" si="792"/>
        <v>4089.4102283259531</v>
      </c>
      <c r="Y549" s="39">
        <f t="shared" si="792"/>
        <v>3774.2803277644234</v>
      </c>
      <c r="Z549" s="39">
        <f t="shared" si="792"/>
        <v>3619.018967356647</v>
      </c>
      <c r="AA549" s="39">
        <f t="shared" si="792"/>
        <v>4297.1343810541885</v>
      </c>
      <c r="AB549" s="39">
        <f t="shared" si="792"/>
        <v>3922.5914176690567</v>
      </c>
      <c r="AC549" s="39">
        <f t="shared" si="792"/>
        <v>3770.0558790593714</v>
      </c>
      <c r="AD549" s="39">
        <f t="shared" si="792"/>
        <v>4451.2964309909676</v>
      </c>
      <c r="AE549" s="39">
        <f t="shared" si="792"/>
        <v>4079.7595086045712</v>
      </c>
      <c r="AF549" s="39">
        <f t="shared" si="792"/>
        <v>3930.5125318135965</v>
      </c>
      <c r="AG549" s="39">
        <f t="shared" si="792"/>
        <v>4614.9858168002775</v>
      </c>
      <c r="AH549" s="39">
        <f t="shared" si="792"/>
        <v>4246.6274821300667</v>
      </c>
      <c r="AI549" s="39">
        <f t="shared" si="792"/>
        <v>4100.7466648096024</v>
      </c>
      <c r="AJ549" s="39">
        <f t="shared" si="792"/>
        <v>4788.6154324562058</v>
      </c>
      <c r="AK549" s="39">
        <f t="shared" si="792"/>
        <v>4423.8836900991137</v>
      </c>
      <c r="AL549" s="39">
        <f t="shared" si="792"/>
        <v>4281.3513463229046</v>
      </c>
      <c r="AM549" s="39">
        <f t="shared" si="792"/>
        <v>4973.065479227198</v>
      </c>
      <c r="AN549" s="39">
        <f t="shared" si="792"/>
        <v>4611.8400894722963</v>
      </c>
      <c r="AO549" s="39">
        <f t="shared" si="792"/>
        <v>4473.0711127772611</v>
      </c>
      <c r="AP549" s="39">
        <f t="shared" si="792"/>
        <v>5168.6063612609523</v>
      </c>
      <c r="AQ549" s="39">
        <f t="shared" si="792"/>
        <v>4811.2408304914097</v>
      </c>
      <c r="AR549" s="39">
        <f t="shared" si="792"/>
        <v>4676.4482686167557</v>
      </c>
      <c r="AS549" s="39">
        <f t="shared" si="792"/>
        <v>5376.041758402228</v>
      </c>
      <c r="AT549" s="39">
        <f t="shared" si="792"/>
        <v>5022.9131354268193</v>
      </c>
      <c r="AU549" s="39">
        <f t="shared" si="792"/>
        <v>4892.4836196508777</v>
      </c>
      <c r="AV549" s="39">
        <f t="shared" si="792"/>
        <v>5596.2918870917283</v>
      </c>
      <c r="AW549" s="27"/>
      <c r="AX549" s="27"/>
    </row>
    <row r="550" spans="1:50" ht="12.75" customHeight="1" outlineLevel="1">
      <c r="A550" s="296"/>
      <c r="B550" s="13"/>
      <c r="C550" s="20"/>
      <c r="D550" s="20"/>
      <c r="E550" s="26"/>
      <c r="F550" s="267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7"/>
      <c r="AX550" s="27"/>
    </row>
    <row r="551" spans="1:50" ht="12.75" customHeight="1" outlineLevel="1">
      <c r="A551" s="296"/>
      <c r="B551" s="32"/>
      <c r="C551" s="23"/>
      <c r="D551" s="23"/>
      <c r="E551" s="3"/>
      <c r="F551" s="3"/>
      <c r="G551" s="24"/>
      <c r="H551" s="24"/>
      <c r="I551" s="3"/>
      <c r="J551" s="3"/>
      <c r="K551" s="3"/>
      <c r="L551" s="24"/>
      <c r="M551" s="24" t="s">
        <v>219</v>
      </c>
      <c r="N551" s="24"/>
      <c r="O551" s="24"/>
      <c r="P551" s="223">
        <v>100</v>
      </c>
      <c r="Q551" s="24"/>
      <c r="R551" s="24"/>
      <c r="S551" s="24"/>
      <c r="T551" s="24"/>
      <c r="U551" s="24"/>
      <c r="V551" s="24" t="s">
        <v>202</v>
      </c>
      <c r="W551" s="24"/>
      <c r="X551" s="223">
        <v>300</v>
      </c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7"/>
      <c r="AX551" s="27"/>
    </row>
    <row r="552" spans="1:50" s="183" customFormat="1" ht="12.75" customHeight="1" outlineLevel="1">
      <c r="A552" s="296"/>
      <c r="C552" s="20"/>
      <c r="D552" s="20"/>
      <c r="G552" s="181"/>
      <c r="H552" s="181"/>
      <c r="L552" s="181"/>
      <c r="M552" s="181" t="s">
        <v>218</v>
      </c>
      <c r="N552" s="181"/>
      <c r="O552" s="181"/>
      <c r="P552" s="223">
        <v>25</v>
      </c>
      <c r="Q552" s="332"/>
      <c r="R552" s="181" t="s">
        <v>218</v>
      </c>
      <c r="S552" s="181"/>
      <c r="T552" s="223">
        <v>20</v>
      </c>
      <c r="V552" s="24" t="s">
        <v>203</v>
      </c>
      <c r="W552" s="181"/>
      <c r="X552" s="223">
        <v>200</v>
      </c>
      <c r="Y552" s="181"/>
      <c r="Z552" s="181"/>
      <c r="AA552" s="181"/>
      <c r="AB552" s="181"/>
      <c r="AC552" s="181"/>
      <c r="AD552" s="181"/>
      <c r="AE552" s="181"/>
      <c r="AF552" s="181"/>
      <c r="AG552" s="181"/>
      <c r="AH552" s="181"/>
      <c r="AI552" s="181"/>
      <c r="AJ552" s="181"/>
      <c r="AK552" s="181"/>
      <c r="AL552" s="181"/>
      <c r="AM552" s="181"/>
      <c r="AN552" s="181"/>
      <c r="AO552" s="181"/>
      <c r="AP552" s="181"/>
      <c r="AQ552" s="181"/>
      <c r="AR552" s="181"/>
      <c r="AS552" s="181"/>
      <c r="AT552" s="181"/>
      <c r="AU552" s="181"/>
      <c r="AV552" s="181"/>
      <c r="AW552" s="182"/>
      <c r="AX552" s="182"/>
    </row>
    <row r="553" spans="1:50" s="183" customFormat="1" ht="12.75" customHeight="1" outlineLevel="1">
      <c r="A553" s="296"/>
      <c r="B553" s="13" t="s">
        <v>36</v>
      </c>
      <c r="C553" s="268"/>
      <c r="D553" s="268"/>
      <c r="G553" s="181"/>
      <c r="H553" s="181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181"/>
      <c r="AR553" s="181"/>
      <c r="AS553" s="181"/>
      <c r="AT553" s="181"/>
      <c r="AU553" s="181"/>
      <c r="AV553" s="181"/>
      <c r="AW553" s="182"/>
      <c r="AX553" s="182"/>
    </row>
    <row r="554" spans="1:50" s="183" customFormat="1" ht="12.6" customHeight="1" outlineLevel="1">
      <c r="A554" s="296"/>
      <c r="B554" s="28" t="s">
        <v>321</v>
      </c>
      <c r="C554" s="288" t="s">
        <v>42</v>
      </c>
      <c r="D554" s="23"/>
      <c r="E554" s="177"/>
      <c r="F554" s="177"/>
      <c r="G554" s="177"/>
      <c r="H554" s="177"/>
      <c r="I554" s="254"/>
      <c r="J554" s="177">
        <f t="shared" ref="J554:L554" si="793">-$P$551/2</f>
        <v>-50</v>
      </c>
      <c r="K554" s="177">
        <f t="shared" si="793"/>
        <v>-50</v>
      </c>
      <c r="L554" s="177">
        <f t="shared" si="793"/>
        <v>-50</v>
      </c>
      <c r="M554" s="177">
        <f>-$P$551/2</f>
        <v>-50</v>
      </c>
      <c r="N554" s="177">
        <f>-$P$551/2</f>
        <v>-50</v>
      </c>
      <c r="O554" s="177">
        <f>-$P$551/2</f>
        <v>-50</v>
      </c>
      <c r="P554" s="247">
        <f t="shared" ref="P554:Q554" si="794">+(((-22000*300)/10^3)/3)</f>
        <v>-2200</v>
      </c>
      <c r="Q554" s="247">
        <f t="shared" si="794"/>
        <v>-2200</v>
      </c>
      <c r="R554" s="247">
        <f>+(((-22000*300)/10^3)/3)</f>
        <v>-2200</v>
      </c>
      <c r="S554" s="177">
        <f t="shared" ref="S554:AV554" si="795">-$P$551/2</f>
        <v>-50</v>
      </c>
      <c r="T554" s="177">
        <f t="shared" si="795"/>
        <v>-50</v>
      </c>
      <c r="U554" s="177">
        <f t="shared" si="795"/>
        <v>-50</v>
      </c>
      <c r="V554" s="177">
        <f t="shared" si="795"/>
        <v>-50</v>
      </c>
      <c r="W554" s="177">
        <f t="shared" si="795"/>
        <v>-50</v>
      </c>
      <c r="X554" s="177">
        <f t="shared" si="795"/>
        <v>-50</v>
      </c>
      <c r="Y554" s="177">
        <f t="shared" si="795"/>
        <v>-50</v>
      </c>
      <c r="Z554" s="177">
        <f t="shared" si="795"/>
        <v>-50</v>
      </c>
      <c r="AA554" s="177">
        <f t="shared" si="795"/>
        <v>-50</v>
      </c>
      <c r="AB554" s="177">
        <f t="shared" si="795"/>
        <v>-50</v>
      </c>
      <c r="AC554" s="177">
        <f t="shared" si="795"/>
        <v>-50</v>
      </c>
      <c r="AD554" s="177">
        <f t="shared" si="795"/>
        <v>-50</v>
      </c>
      <c r="AE554" s="177">
        <f t="shared" si="795"/>
        <v>-50</v>
      </c>
      <c r="AF554" s="177">
        <f t="shared" si="795"/>
        <v>-50</v>
      </c>
      <c r="AG554" s="177">
        <f t="shared" si="795"/>
        <v>-50</v>
      </c>
      <c r="AH554" s="177">
        <f t="shared" si="795"/>
        <v>-50</v>
      </c>
      <c r="AI554" s="177">
        <f t="shared" si="795"/>
        <v>-50</v>
      </c>
      <c r="AJ554" s="177">
        <f t="shared" si="795"/>
        <v>-50</v>
      </c>
      <c r="AK554" s="177">
        <f t="shared" si="795"/>
        <v>-50</v>
      </c>
      <c r="AL554" s="177">
        <f t="shared" si="795"/>
        <v>-50</v>
      </c>
      <c r="AM554" s="177">
        <f t="shared" si="795"/>
        <v>-50</v>
      </c>
      <c r="AN554" s="177">
        <f t="shared" si="795"/>
        <v>-50</v>
      </c>
      <c r="AO554" s="177">
        <f t="shared" si="795"/>
        <v>-50</v>
      </c>
      <c r="AP554" s="177">
        <f t="shared" si="795"/>
        <v>-50</v>
      </c>
      <c r="AQ554" s="177">
        <f t="shared" si="795"/>
        <v>-50</v>
      </c>
      <c r="AR554" s="177">
        <f t="shared" si="795"/>
        <v>-50</v>
      </c>
      <c r="AS554" s="177">
        <f t="shared" si="795"/>
        <v>-50</v>
      </c>
      <c r="AT554" s="177">
        <f t="shared" si="795"/>
        <v>-50</v>
      </c>
      <c r="AU554" s="177">
        <f t="shared" si="795"/>
        <v>-50</v>
      </c>
      <c r="AV554" s="177">
        <f t="shared" si="795"/>
        <v>-50</v>
      </c>
      <c r="AW554" s="182"/>
      <c r="AX554" s="182"/>
    </row>
    <row r="555" spans="1:50" s="183" customFormat="1" ht="12.6" customHeight="1" outlineLevel="1">
      <c r="A555" s="296"/>
      <c r="B555" s="28" t="s">
        <v>405</v>
      </c>
      <c r="C555" s="288"/>
      <c r="D555" s="23"/>
      <c r="E555" s="177"/>
      <c r="F555" s="177"/>
      <c r="G555" s="177"/>
      <c r="H555" s="177"/>
      <c r="I555" s="254"/>
      <c r="J555" s="177"/>
      <c r="K555" s="177"/>
      <c r="L555" s="177"/>
      <c r="M555" s="177"/>
      <c r="N555" s="177"/>
      <c r="O555" s="177"/>
      <c r="P555" s="177"/>
      <c r="Q555" s="247">
        <f>-583/2</f>
        <v>-291.5</v>
      </c>
      <c r="R555" s="247">
        <f>-583/2</f>
        <v>-291.5</v>
      </c>
      <c r="S555" s="254"/>
      <c r="T555" s="254"/>
      <c r="U555" s="177"/>
      <c r="V555" s="177"/>
      <c r="W555" s="177"/>
      <c r="X555" s="177"/>
      <c r="Y555" s="177"/>
      <c r="Z555" s="177"/>
      <c r="AA555" s="177"/>
      <c r="AB555" s="177"/>
      <c r="AC555" s="177"/>
      <c r="AD555" s="177"/>
      <c r="AE555" s="177"/>
      <c r="AF555" s="177"/>
      <c r="AG555" s="177"/>
      <c r="AH555" s="177"/>
      <c r="AI555" s="177"/>
      <c r="AJ555" s="177"/>
      <c r="AK555" s="177"/>
      <c r="AL555" s="177"/>
      <c r="AM555" s="177"/>
      <c r="AN555" s="177"/>
      <c r="AO555" s="177"/>
      <c r="AP555" s="177"/>
      <c r="AQ555" s="177"/>
      <c r="AR555" s="177"/>
      <c r="AS555" s="177"/>
      <c r="AT555" s="177"/>
      <c r="AU555" s="177"/>
      <c r="AV555" s="177"/>
      <c r="AW555" s="182"/>
      <c r="AX555" s="182"/>
    </row>
    <row r="556" spans="1:50" s="183" customFormat="1" ht="12.75" customHeight="1" outlineLevel="1">
      <c r="A556" s="296"/>
      <c r="B556" s="28" t="s">
        <v>322</v>
      </c>
      <c r="C556" s="288" t="s">
        <v>42</v>
      </c>
      <c r="D556" s="23"/>
      <c r="E556" s="177"/>
      <c r="F556" s="177"/>
      <c r="G556" s="177"/>
      <c r="H556" s="177"/>
      <c r="I556" s="177"/>
      <c r="J556" s="254"/>
      <c r="K556" s="254"/>
      <c r="L556" s="254"/>
      <c r="M556" s="254"/>
      <c r="N556" s="254"/>
      <c r="O556" s="247">
        <f>+(((-3000*$X$552)/10^3)/2)</f>
        <v>-300</v>
      </c>
      <c r="P556" s="247">
        <f>+(((-3000*$X$552)/10^3)/2)</f>
        <v>-300</v>
      </c>
      <c r="Q556" s="177">
        <f t="shared" ref="Q556:AD557" si="796">-$P$552*1</f>
        <v>-25</v>
      </c>
      <c r="R556" s="177">
        <f t="shared" ref="R556:AV557" si="797">-$P$552*1</f>
        <v>-25</v>
      </c>
      <c r="S556" s="177">
        <f t="shared" si="797"/>
        <v>-25</v>
      </c>
      <c r="T556" s="177">
        <f t="shared" si="797"/>
        <v>-25</v>
      </c>
      <c r="U556" s="177">
        <f t="shared" si="797"/>
        <v>-25</v>
      </c>
      <c r="V556" s="177">
        <f t="shared" si="797"/>
        <v>-25</v>
      </c>
      <c r="W556" s="177">
        <f t="shared" si="797"/>
        <v>-25</v>
      </c>
      <c r="X556" s="177">
        <f t="shared" si="797"/>
        <v>-25</v>
      </c>
      <c r="Y556" s="177">
        <f t="shared" si="797"/>
        <v>-25</v>
      </c>
      <c r="Z556" s="177">
        <f t="shared" si="797"/>
        <v>-25</v>
      </c>
      <c r="AA556" s="177">
        <f t="shared" si="797"/>
        <v>-25</v>
      </c>
      <c r="AB556" s="177">
        <f t="shared" si="797"/>
        <v>-25</v>
      </c>
      <c r="AC556" s="177">
        <f t="shared" si="797"/>
        <v>-25</v>
      </c>
      <c r="AD556" s="177">
        <f t="shared" si="797"/>
        <v>-25</v>
      </c>
      <c r="AE556" s="177">
        <f t="shared" si="797"/>
        <v>-25</v>
      </c>
      <c r="AF556" s="177">
        <f t="shared" si="797"/>
        <v>-25</v>
      </c>
      <c r="AG556" s="177">
        <f t="shared" si="797"/>
        <v>-25</v>
      </c>
      <c r="AH556" s="177">
        <f t="shared" si="797"/>
        <v>-25</v>
      </c>
      <c r="AI556" s="177">
        <f t="shared" si="797"/>
        <v>-25</v>
      </c>
      <c r="AJ556" s="177">
        <f t="shared" si="797"/>
        <v>-25</v>
      </c>
      <c r="AK556" s="177">
        <f t="shared" si="797"/>
        <v>-25</v>
      </c>
      <c r="AL556" s="177">
        <f t="shared" si="797"/>
        <v>-25</v>
      </c>
      <c r="AM556" s="177">
        <f t="shared" si="797"/>
        <v>-25</v>
      </c>
      <c r="AN556" s="177">
        <f t="shared" si="797"/>
        <v>-25</v>
      </c>
      <c r="AO556" s="177">
        <f t="shared" si="797"/>
        <v>-25</v>
      </c>
      <c r="AP556" s="177">
        <f t="shared" si="797"/>
        <v>-25</v>
      </c>
      <c r="AQ556" s="177">
        <f t="shared" si="797"/>
        <v>-25</v>
      </c>
      <c r="AR556" s="177">
        <f t="shared" si="797"/>
        <v>-25</v>
      </c>
      <c r="AS556" s="177">
        <f t="shared" si="797"/>
        <v>-25</v>
      </c>
      <c r="AT556" s="177">
        <f t="shared" si="797"/>
        <v>-25</v>
      </c>
      <c r="AU556" s="177">
        <f t="shared" si="797"/>
        <v>-25</v>
      </c>
      <c r="AV556" s="177">
        <f t="shared" si="797"/>
        <v>-25</v>
      </c>
      <c r="AW556" s="182"/>
      <c r="AX556" s="182"/>
    </row>
    <row r="557" spans="1:50" s="330" customFormat="1" ht="12.75" customHeight="1" outlineLevel="1">
      <c r="A557" s="296"/>
      <c r="B557" s="28" t="s">
        <v>323</v>
      </c>
      <c r="C557" s="288" t="s">
        <v>42</v>
      </c>
      <c r="D557" s="23"/>
      <c r="E557" s="356"/>
      <c r="F557" s="356"/>
      <c r="G557" s="356"/>
      <c r="H557" s="356"/>
      <c r="I557" s="356"/>
      <c r="J557" s="357"/>
      <c r="K557" s="357"/>
      <c r="L557" s="357"/>
      <c r="M557" s="357"/>
      <c r="N557" s="254"/>
      <c r="O557" s="247">
        <f>+(((-3000*$X$552)/10^3)/2)</f>
        <v>-300</v>
      </c>
      <c r="P557" s="247">
        <f>+(((-3000*$X$552)/10^3)/2)</f>
        <v>-300</v>
      </c>
      <c r="Q557" s="177">
        <f t="shared" si="796"/>
        <v>-25</v>
      </c>
      <c r="R557" s="177">
        <f t="shared" si="796"/>
        <v>-25</v>
      </c>
      <c r="S557" s="177">
        <f t="shared" si="796"/>
        <v>-25</v>
      </c>
      <c r="T557" s="177">
        <f t="shared" si="796"/>
        <v>-25</v>
      </c>
      <c r="U557" s="177">
        <f t="shared" si="796"/>
        <v>-25</v>
      </c>
      <c r="V557" s="177">
        <f t="shared" si="796"/>
        <v>-25</v>
      </c>
      <c r="W557" s="177">
        <f t="shared" si="796"/>
        <v>-25</v>
      </c>
      <c r="X557" s="177">
        <f t="shared" si="796"/>
        <v>-25</v>
      </c>
      <c r="Y557" s="177">
        <f t="shared" si="796"/>
        <v>-25</v>
      </c>
      <c r="Z557" s="177">
        <f t="shared" si="796"/>
        <v>-25</v>
      </c>
      <c r="AA557" s="177">
        <f t="shared" si="796"/>
        <v>-25</v>
      </c>
      <c r="AB557" s="177">
        <f t="shared" si="796"/>
        <v>-25</v>
      </c>
      <c r="AC557" s="177">
        <f t="shared" si="796"/>
        <v>-25</v>
      </c>
      <c r="AD557" s="177">
        <f t="shared" si="796"/>
        <v>-25</v>
      </c>
      <c r="AE557" s="177">
        <f t="shared" si="797"/>
        <v>-25</v>
      </c>
      <c r="AF557" s="177">
        <f t="shared" si="797"/>
        <v>-25</v>
      </c>
      <c r="AG557" s="177">
        <f t="shared" si="797"/>
        <v>-25</v>
      </c>
      <c r="AH557" s="177">
        <f t="shared" si="797"/>
        <v>-25</v>
      </c>
      <c r="AI557" s="177">
        <f t="shared" si="797"/>
        <v>-25</v>
      </c>
      <c r="AJ557" s="177">
        <f t="shared" si="797"/>
        <v>-25</v>
      </c>
      <c r="AK557" s="177">
        <f t="shared" si="797"/>
        <v>-25</v>
      </c>
      <c r="AL557" s="177">
        <f t="shared" si="797"/>
        <v>-25</v>
      </c>
      <c r="AM557" s="177">
        <f t="shared" si="797"/>
        <v>-25</v>
      </c>
      <c r="AN557" s="177">
        <f t="shared" si="797"/>
        <v>-25</v>
      </c>
      <c r="AO557" s="177">
        <f t="shared" si="797"/>
        <v>-25</v>
      </c>
      <c r="AP557" s="177">
        <f t="shared" si="797"/>
        <v>-25</v>
      </c>
      <c r="AQ557" s="177">
        <f t="shared" si="797"/>
        <v>-25</v>
      </c>
      <c r="AR557" s="177">
        <f t="shared" si="797"/>
        <v>-25</v>
      </c>
      <c r="AS557" s="177">
        <f t="shared" si="797"/>
        <v>-25</v>
      </c>
      <c r="AT557" s="177">
        <f t="shared" si="797"/>
        <v>-25</v>
      </c>
      <c r="AU557" s="177">
        <f t="shared" si="797"/>
        <v>-25</v>
      </c>
      <c r="AV557" s="177">
        <f t="shared" si="797"/>
        <v>-25</v>
      </c>
      <c r="AW557" s="358"/>
      <c r="AX557" s="358"/>
    </row>
    <row r="558" spans="1:50" ht="12.75" customHeight="1" outlineLevel="1">
      <c r="A558" s="296"/>
      <c r="B558" s="30" t="s">
        <v>324</v>
      </c>
      <c r="C558" s="288" t="s">
        <v>42</v>
      </c>
      <c r="D558" s="23"/>
      <c r="E558" s="49"/>
      <c r="F558" s="49"/>
      <c r="G558" s="53"/>
      <c r="H558" s="53"/>
      <c r="I558" s="260"/>
      <c r="J558" s="260"/>
      <c r="K558" s="260"/>
      <c r="L558" s="260"/>
      <c r="M558" s="53"/>
      <c r="N558" s="53"/>
      <c r="O558" s="53">
        <v>-150</v>
      </c>
      <c r="P558" s="53"/>
      <c r="Q558" s="53"/>
      <c r="R558" s="53"/>
      <c r="S558" s="53"/>
      <c r="T558" s="53"/>
      <c r="U558" s="260"/>
      <c r="V558" s="53"/>
      <c r="W558" s="260"/>
      <c r="X558" s="260"/>
      <c r="Y558" s="260"/>
      <c r="Z558" s="260"/>
      <c r="AA558" s="260"/>
      <c r="AB558" s="260"/>
      <c r="AC558" s="260"/>
      <c r="AD558" s="260"/>
      <c r="AE558" s="260"/>
      <c r="AF558" s="260"/>
      <c r="AG558" s="260"/>
      <c r="AH558" s="260"/>
      <c r="AI558" s="260"/>
      <c r="AJ558" s="260"/>
      <c r="AK558" s="260"/>
      <c r="AL558" s="260"/>
      <c r="AM558" s="260"/>
      <c r="AN558" s="260"/>
      <c r="AO558" s="260"/>
      <c r="AP558" s="260"/>
      <c r="AQ558" s="260"/>
      <c r="AR558" s="260"/>
      <c r="AS558" s="260"/>
      <c r="AT558" s="260"/>
      <c r="AU558" s="260"/>
      <c r="AV558" s="260"/>
      <c r="AW558" s="26"/>
      <c r="AX558" s="27"/>
    </row>
    <row r="559" spans="1:50" ht="12.75" customHeight="1" outlineLevel="1">
      <c r="A559" s="296"/>
      <c r="B559" s="13" t="s">
        <v>39</v>
      </c>
      <c r="C559" s="71" t="s">
        <v>42</v>
      </c>
      <c r="D559" s="20"/>
      <c r="E559" s="39">
        <f t="shared" ref="E559:AV559" si="798">SUM(E554:E556)</f>
        <v>0</v>
      </c>
      <c r="F559" s="39">
        <f t="shared" si="798"/>
        <v>0</v>
      </c>
      <c r="G559" s="39">
        <f t="shared" si="798"/>
        <v>0</v>
      </c>
      <c r="H559" s="39">
        <f t="shared" si="798"/>
        <v>0</v>
      </c>
      <c r="I559" s="39">
        <f t="shared" si="798"/>
        <v>0</v>
      </c>
      <c r="J559" s="39">
        <f t="shared" si="798"/>
        <v>-50</v>
      </c>
      <c r="K559" s="39">
        <f t="shared" si="798"/>
        <v>-50</v>
      </c>
      <c r="L559" s="39">
        <f t="shared" si="798"/>
        <v>-50</v>
      </c>
      <c r="M559" s="39">
        <f t="shared" si="798"/>
        <v>-50</v>
      </c>
      <c r="N559" s="39">
        <f t="shared" si="798"/>
        <v>-50</v>
      </c>
      <c r="O559" s="39">
        <f t="shared" si="798"/>
        <v>-350</v>
      </c>
      <c r="P559" s="39">
        <f t="shared" si="798"/>
        <v>-2500</v>
      </c>
      <c r="Q559" s="39">
        <f t="shared" si="798"/>
        <v>-2516.5</v>
      </c>
      <c r="R559" s="39">
        <f t="shared" si="798"/>
        <v>-2516.5</v>
      </c>
      <c r="S559" s="39">
        <f t="shared" si="798"/>
        <v>-75</v>
      </c>
      <c r="T559" s="39">
        <f t="shared" si="798"/>
        <v>-75</v>
      </c>
      <c r="U559" s="39">
        <f t="shared" si="798"/>
        <v>-75</v>
      </c>
      <c r="V559" s="39">
        <f t="shared" si="798"/>
        <v>-75</v>
      </c>
      <c r="W559" s="39">
        <f t="shared" si="798"/>
        <v>-75</v>
      </c>
      <c r="X559" s="39">
        <f t="shared" si="798"/>
        <v>-75</v>
      </c>
      <c r="Y559" s="39">
        <f t="shared" si="798"/>
        <v>-75</v>
      </c>
      <c r="Z559" s="39">
        <f t="shared" si="798"/>
        <v>-75</v>
      </c>
      <c r="AA559" s="39">
        <f t="shared" si="798"/>
        <v>-75</v>
      </c>
      <c r="AB559" s="39">
        <f t="shared" si="798"/>
        <v>-75</v>
      </c>
      <c r="AC559" s="39">
        <f t="shared" si="798"/>
        <v>-75</v>
      </c>
      <c r="AD559" s="39">
        <f t="shared" si="798"/>
        <v>-75</v>
      </c>
      <c r="AE559" s="39">
        <f t="shared" si="798"/>
        <v>-75</v>
      </c>
      <c r="AF559" s="39">
        <f t="shared" si="798"/>
        <v>-75</v>
      </c>
      <c r="AG559" s="39">
        <f t="shared" si="798"/>
        <v>-75</v>
      </c>
      <c r="AH559" s="39">
        <f t="shared" si="798"/>
        <v>-75</v>
      </c>
      <c r="AI559" s="39">
        <f t="shared" si="798"/>
        <v>-75</v>
      </c>
      <c r="AJ559" s="39">
        <f t="shared" si="798"/>
        <v>-75</v>
      </c>
      <c r="AK559" s="39">
        <f t="shared" si="798"/>
        <v>-75</v>
      </c>
      <c r="AL559" s="39">
        <f t="shared" si="798"/>
        <v>-75</v>
      </c>
      <c r="AM559" s="39">
        <f t="shared" si="798"/>
        <v>-75</v>
      </c>
      <c r="AN559" s="39">
        <f t="shared" si="798"/>
        <v>-75</v>
      </c>
      <c r="AO559" s="39">
        <f t="shared" si="798"/>
        <v>-75</v>
      </c>
      <c r="AP559" s="39">
        <f t="shared" si="798"/>
        <v>-75</v>
      </c>
      <c r="AQ559" s="39">
        <f t="shared" si="798"/>
        <v>-75</v>
      </c>
      <c r="AR559" s="39">
        <f t="shared" si="798"/>
        <v>-75</v>
      </c>
      <c r="AS559" s="39">
        <f t="shared" si="798"/>
        <v>-75</v>
      </c>
      <c r="AT559" s="39">
        <f t="shared" si="798"/>
        <v>-75</v>
      </c>
      <c r="AU559" s="39">
        <f t="shared" si="798"/>
        <v>-75</v>
      </c>
      <c r="AV559" s="39">
        <f t="shared" si="798"/>
        <v>-75</v>
      </c>
      <c r="AW559" s="26"/>
      <c r="AX559" s="27"/>
    </row>
    <row r="560" spans="1:50" ht="12.75" customHeight="1" outlineLevel="1">
      <c r="A560" s="296"/>
      <c r="B560" s="13"/>
      <c r="C560" s="20"/>
      <c r="D560" s="20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6"/>
      <c r="AX560" s="27"/>
    </row>
    <row r="561" spans="1:50" ht="12.75" customHeight="1" outlineLevel="1">
      <c r="A561" s="296"/>
      <c r="B561" s="13" t="s">
        <v>37</v>
      </c>
      <c r="C561" s="20"/>
      <c r="D561" s="20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7"/>
      <c r="AX561" s="27"/>
    </row>
    <row r="562" spans="1:50" ht="12.75" customHeight="1" outlineLevel="1">
      <c r="A562" s="296"/>
      <c r="B562" s="28" t="s">
        <v>327</v>
      </c>
      <c r="C562" s="69" t="s">
        <v>42</v>
      </c>
      <c r="D562" s="23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53">
        <v>8000</v>
      </c>
      <c r="P562" s="53"/>
      <c r="Q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7"/>
      <c r="AX562" s="27"/>
    </row>
    <row r="563" spans="1:50" ht="12.75" customHeight="1" outlineLevel="1">
      <c r="A563" s="296"/>
      <c r="B563" s="28"/>
      <c r="C563" s="69"/>
      <c r="D563" s="23"/>
      <c r="E563" s="24"/>
      <c r="F563" s="24"/>
      <c r="G563" s="24"/>
      <c r="H563" s="24"/>
      <c r="I563" s="256"/>
      <c r="J563" s="255"/>
      <c r="K563" s="255"/>
      <c r="L563" s="255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7"/>
      <c r="AX563" s="27"/>
    </row>
    <row r="564" spans="1:50" ht="12.75" customHeight="1" outlineLevel="1">
      <c r="A564" s="296"/>
      <c r="B564" s="13" t="s">
        <v>40</v>
      </c>
      <c r="C564" s="71" t="s">
        <v>42</v>
      </c>
      <c r="D564" s="20"/>
      <c r="E564" s="39">
        <f t="shared" ref="E564:AV564" si="799">SUM(E562:E563)</f>
        <v>0</v>
      </c>
      <c r="F564" s="39">
        <f t="shared" si="799"/>
        <v>0</v>
      </c>
      <c r="G564" s="39">
        <f t="shared" si="799"/>
        <v>0</v>
      </c>
      <c r="H564" s="39">
        <f t="shared" si="799"/>
        <v>0</v>
      </c>
      <c r="I564" s="39">
        <f t="shared" si="799"/>
        <v>0</v>
      </c>
      <c r="J564" s="39">
        <f t="shared" si="799"/>
        <v>0</v>
      </c>
      <c r="K564" s="39">
        <f t="shared" si="799"/>
        <v>0</v>
      </c>
      <c r="L564" s="39">
        <f t="shared" si="799"/>
        <v>0</v>
      </c>
      <c r="M564" s="39">
        <f t="shared" si="799"/>
        <v>0</v>
      </c>
      <c r="N564" s="39">
        <f t="shared" si="799"/>
        <v>0</v>
      </c>
      <c r="O564" s="39">
        <f t="shared" si="799"/>
        <v>8000</v>
      </c>
      <c r="P564" s="39">
        <f t="shared" si="799"/>
        <v>0</v>
      </c>
      <c r="Q564" s="39">
        <f t="shared" si="799"/>
        <v>0</v>
      </c>
      <c r="R564" s="39">
        <f>SUM(R562:R563)</f>
        <v>0</v>
      </c>
      <c r="S564" s="39">
        <f>SUM(S562:S563)</f>
        <v>0</v>
      </c>
      <c r="T564" s="39">
        <f>SUM(T562:T563)</f>
        <v>0</v>
      </c>
      <c r="U564" s="39">
        <f t="shared" si="799"/>
        <v>0</v>
      </c>
      <c r="V564" s="39">
        <f t="shared" si="799"/>
        <v>0</v>
      </c>
      <c r="W564" s="39">
        <f t="shared" si="799"/>
        <v>0</v>
      </c>
      <c r="X564" s="39">
        <f t="shared" si="799"/>
        <v>0</v>
      </c>
      <c r="Y564" s="39">
        <f t="shared" si="799"/>
        <v>0</v>
      </c>
      <c r="Z564" s="39">
        <f t="shared" si="799"/>
        <v>0</v>
      </c>
      <c r="AA564" s="39">
        <f t="shared" si="799"/>
        <v>0</v>
      </c>
      <c r="AB564" s="39">
        <f t="shared" si="799"/>
        <v>0</v>
      </c>
      <c r="AC564" s="39">
        <f t="shared" si="799"/>
        <v>0</v>
      </c>
      <c r="AD564" s="39">
        <f t="shared" si="799"/>
        <v>0</v>
      </c>
      <c r="AE564" s="39">
        <f t="shared" si="799"/>
        <v>0</v>
      </c>
      <c r="AF564" s="39">
        <f t="shared" si="799"/>
        <v>0</v>
      </c>
      <c r="AG564" s="39">
        <f t="shared" si="799"/>
        <v>0</v>
      </c>
      <c r="AH564" s="39">
        <f t="shared" si="799"/>
        <v>0</v>
      </c>
      <c r="AI564" s="39">
        <f t="shared" si="799"/>
        <v>0</v>
      </c>
      <c r="AJ564" s="39">
        <f t="shared" si="799"/>
        <v>0</v>
      </c>
      <c r="AK564" s="39">
        <f t="shared" si="799"/>
        <v>0</v>
      </c>
      <c r="AL564" s="39">
        <f t="shared" si="799"/>
        <v>0</v>
      </c>
      <c r="AM564" s="39">
        <f t="shared" si="799"/>
        <v>0</v>
      </c>
      <c r="AN564" s="39">
        <f t="shared" si="799"/>
        <v>0</v>
      </c>
      <c r="AO564" s="39">
        <f t="shared" si="799"/>
        <v>0</v>
      </c>
      <c r="AP564" s="39">
        <f t="shared" si="799"/>
        <v>0</v>
      </c>
      <c r="AQ564" s="39">
        <f t="shared" si="799"/>
        <v>0</v>
      </c>
      <c r="AR564" s="39">
        <f t="shared" si="799"/>
        <v>0</v>
      </c>
      <c r="AS564" s="39">
        <f t="shared" si="799"/>
        <v>0</v>
      </c>
      <c r="AT564" s="39">
        <f t="shared" si="799"/>
        <v>0</v>
      </c>
      <c r="AU564" s="39">
        <f t="shared" si="799"/>
        <v>0</v>
      </c>
      <c r="AV564" s="39">
        <f t="shared" si="799"/>
        <v>0</v>
      </c>
      <c r="AW564" s="27"/>
      <c r="AX564" s="27"/>
    </row>
    <row r="565" spans="1:50" ht="12.75" customHeight="1" outlineLevel="1">
      <c r="A565" s="296"/>
      <c r="B565" s="32"/>
      <c r="C565" s="23"/>
      <c r="D565" s="23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67"/>
      <c r="S565" s="267"/>
      <c r="T565" s="267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7"/>
      <c r="AX565" s="27"/>
    </row>
    <row r="566" spans="1:50" ht="12.75" customHeight="1" outlineLevel="1">
      <c r="A566" s="296"/>
      <c r="B566" s="13" t="s">
        <v>41</v>
      </c>
      <c r="C566" s="71" t="s">
        <v>42</v>
      </c>
      <c r="D566" s="20"/>
      <c r="E566" s="26"/>
      <c r="F566" s="26"/>
      <c r="G566" s="26"/>
      <c r="H566" s="26"/>
      <c r="I566" s="26"/>
      <c r="J566" s="26"/>
      <c r="K566" s="26">
        <f t="shared" ref="K566:L566" si="800">K549+K564+K559</f>
        <v>-50</v>
      </c>
      <c r="L566" s="26">
        <f t="shared" si="800"/>
        <v>-359.76499677343077</v>
      </c>
      <c r="M566" s="26">
        <f>M549+M564+M559</f>
        <v>0.34333061514940511</v>
      </c>
      <c r="N566" s="26">
        <f>N549+N564+N559</f>
        <v>-210.97836136360849</v>
      </c>
      <c r="O566" s="26">
        <f t="shared" ref="O566:AV566" si="801">O549+O564+O559</f>
        <v>8170.8917319845114</v>
      </c>
      <c r="P566" s="26">
        <f t="shared" si="801"/>
        <v>-2860.5507116679764</v>
      </c>
      <c r="Q566" s="26">
        <f t="shared" si="801"/>
        <v>-2527.8174352112692</v>
      </c>
      <c r="R566" s="26">
        <f>R549+R565+R559</f>
        <v>-2129.4941494604627</v>
      </c>
      <c r="S566" s="26">
        <f>S549+S565+S559</f>
        <v>533.18829325350134</v>
      </c>
      <c r="T566" s="26">
        <f>T549+T565+T559</f>
        <v>2154.1154139500491</v>
      </c>
      <c r="U566" s="26">
        <f t="shared" si="801"/>
        <v>3609.947603646981</v>
      </c>
      <c r="V566" s="26">
        <f t="shared" si="801"/>
        <v>3372.8990433477429</v>
      </c>
      <c r="W566" s="26">
        <f t="shared" si="801"/>
        <v>3273.5347519805055</v>
      </c>
      <c r="X566" s="26">
        <f t="shared" si="801"/>
        <v>4014.4102283259531</v>
      </c>
      <c r="Y566" s="26">
        <f t="shared" si="801"/>
        <v>3699.2803277644234</v>
      </c>
      <c r="Z566" s="26">
        <f t="shared" si="801"/>
        <v>3544.018967356647</v>
      </c>
      <c r="AA566" s="26">
        <f t="shared" si="801"/>
        <v>4222.1343810541885</v>
      </c>
      <c r="AB566" s="26">
        <f t="shared" si="801"/>
        <v>3847.5914176690567</v>
      </c>
      <c r="AC566" s="26">
        <f t="shared" si="801"/>
        <v>3695.0558790593714</v>
      </c>
      <c r="AD566" s="26">
        <f t="shared" si="801"/>
        <v>4376.2964309909676</v>
      </c>
      <c r="AE566" s="26">
        <f t="shared" si="801"/>
        <v>4004.7595086045712</v>
      </c>
      <c r="AF566" s="26">
        <f t="shared" si="801"/>
        <v>3855.5125318135965</v>
      </c>
      <c r="AG566" s="26">
        <f t="shared" si="801"/>
        <v>4539.9858168002775</v>
      </c>
      <c r="AH566" s="26">
        <f t="shared" si="801"/>
        <v>4171.6274821300667</v>
      </c>
      <c r="AI566" s="26">
        <f t="shared" si="801"/>
        <v>4025.7466648096024</v>
      </c>
      <c r="AJ566" s="26">
        <f t="shared" si="801"/>
        <v>4713.6154324562058</v>
      </c>
      <c r="AK566" s="26">
        <f t="shared" si="801"/>
        <v>4348.8836900991137</v>
      </c>
      <c r="AL566" s="26">
        <f t="shared" si="801"/>
        <v>4206.3513463229046</v>
      </c>
      <c r="AM566" s="26">
        <f t="shared" si="801"/>
        <v>4898.065479227198</v>
      </c>
      <c r="AN566" s="26">
        <f t="shared" si="801"/>
        <v>4536.8400894722963</v>
      </c>
      <c r="AO566" s="26">
        <f t="shared" si="801"/>
        <v>4398.0711127772611</v>
      </c>
      <c r="AP566" s="26">
        <f t="shared" si="801"/>
        <v>5093.6063612609523</v>
      </c>
      <c r="AQ566" s="26">
        <f t="shared" si="801"/>
        <v>4736.2408304914097</v>
      </c>
      <c r="AR566" s="26">
        <f t="shared" si="801"/>
        <v>4601.4482686167557</v>
      </c>
      <c r="AS566" s="26">
        <f t="shared" si="801"/>
        <v>5301.041758402228</v>
      </c>
      <c r="AT566" s="26">
        <f t="shared" si="801"/>
        <v>4947.9131354268193</v>
      </c>
      <c r="AU566" s="26">
        <f t="shared" si="801"/>
        <v>4817.4836196508777</v>
      </c>
      <c r="AV566" s="26">
        <f t="shared" si="801"/>
        <v>5521.2918870917283</v>
      </c>
      <c r="AW566" s="26"/>
      <c r="AX566" s="27"/>
    </row>
    <row r="567" spans="1:50" ht="12.75" customHeight="1" outlineLevel="1">
      <c r="A567" s="296"/>
      <c r="B567" s="32"/>
      <c r="C567" s="23"/>
      <c r="D567" s="23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6"/>
      <c r="AX567" s="27"/>
    </row>
    <row r="568" spans="1:50" ht="12.75" customHeight="1" outlineLevel="1">
      <c r="A568" s="296"/>
      <c r="B568" s="13" t="s">
        <v>34</v>
      </c>
      <c r="C568" s="71" t="s">
        <v>42</v>
      </c>
      <c r="D568" s="20"/>
      <c r="E568" s="26"/>
      <c r="F568" s="26"/>
      <c r="G568" s="26"/>
      <c r="H568" s="26"/>
      <c r="I568" s="26"/>
      <c r="J568" s="26"/>
      <c r="K568" s="26">
        <f t="shared" ref="K568:L568" si="802">J569</f>
        <v>0</v>
      </c>
      <c r="L568" s="26">
        <f t="shared" si="802"/>
        <v>-50</v>
      </c>
      <c r="M568" s="26">
        <f>L569</f>
        <v>-409.76499677343077</v>
      </c>
      <c r="N568" s="26">
        <f t="shared" ref="N568:AA568" si="803">M569</f>
        <v>-409.42166615828137</v>
      </c>
      <c r="O568" s="26">
        <f t="shared" si="803"/>
        <v>-620.4000275218898</v>
      </c>
      <c r="P568" s="26">
        <f t="shared" si="803"/>
        <v>7550.4917044626218</v>
      </c>
      <c r="Q568" s="26">
        <f t="shared" si="803"/>
        <v>4689.9409927946454</v>
      </c>
      <c r="R568" s="26">
        <f t="shared" si="803"/>
        <v>2162.1235575833762</v>
      </c>
      <c r="S568" s="26">
        <f t="shared" si="803"/>
        <v>32.629408122913446</v>
      </c>
      <c r="T568" s="26">
        <f t="shared" si="803"/>
        <v>565.81770137641479</v>
      </c>
      <c r="U568" s="26">
        <f t="shared" si="803"/>
        <v>2719.9331153264638</v>
      </c>
      <c r="V568" s="26">
        <f t="shared" si="803"/>
        <v>6329.8807189734453</v>
      </c>
      <c r="W568" s="26">
        <f t="shared" si="803"/>
        <v>9702.7797623211882</v>
      </c>
      <c r="X568" s="26">
        <f t="shared" si="803"/>
        <v>12976.314514301694</v>
      </c>
      <c r="Y568" s="26">
        <f t="shared" si="803"/>
        <v>16990.724742627648</v>
      </c>
      <c r="Z568" s="26">
        <f t="shared" si="803"/>
        <v>20690.005070392072</v>
      </c>
      <c r="AA568" s="26">
        <f t="shared" si="803"/>
        <v>24234.024037748717</v>
      </c>
      <c r="AB568" s="26">
        <f t="shared" ref="AB568:AR568" si="804">AA569</f>
        <v>28456.158418802905</v>
      </c>
      <c r="AC568" s="26">
        <f t="shared" si="804"/>
        <v>32303.749836471961</v>
      </c>
      <c r="AD568" s="26">
        <f t="shared" si="804"/>
        <v>35998.805715531329</v>
      </c>
      <c r="AE568" s="26">
        <f t="shared" si="804"/>
        <v>40375.102146522295</v>
      </c>
      <c r="AF568" s="26">
        <f t="shared" si="804"/>
        <v>44379.861655126864</v>
      </c>
      <c r="AG568" s="26">
        <f t="shared" si="804"/>
        <v>48235.374186940462</v>
      </c>
      <c r="AH568" s="26">
        <f t="shared" si="804"/>
        <v>52775.360003740738</v>
      </c>
      <c r="AI568" s="26">
        <f t="shared" si="804"/>
        <v>56946.987485870806</v>
      </c>
      <c r="AJ568" s="26">
        <f t="shared" si="804"/>
        <v>60972.734150680408</v>
      </c>
      <c r="AK568" s="26">
        <f t="shared" si="804"/>
        <v>65686.349583136616</v>
      </c>
      <c r="AL568" s="26">
        <f t="shared" si="804"/>
        <v>70035.233273235732</v>
      </c>
      <c r="AM568" s="26">
        <f t="shared" si="804"/>
        <v>74241.584619558635</v>
      </c>
      <c r="AN568" s="26">
        <f t="shared" si="804"/>
        <v>79139.650098785831</v>
      </c>
      <c r="AO568" s="26">
        <f t="shared" si="804"/>
        <v>83676.490188258133</v>
      </c>
      <c r="AP568" s="26">
        <f t="shared" si="804"/>
        <v>88074.561301035399</v>
      </c>
      <c r="AQ568" s="26">
        <f t="shared" si="804"/>
        <v>93168.167662296357</v>
      </c>
      <c r="AR568" s="26">
        <f t="shared" si="804"/>
        <v>97904.40849278777</v>
      </c>
      <c r="AS568" s="26">
        <f>AR569</f>
        <v>102505.85676140453</v>
      </c>
      <c r="AT568" s="26">
        <f>AS569</f>
        <v>107806.89851980675</v>
      </c>
      <c r="AU568" s="26">
        <f>AT569</f>
        <v>112754.81165523357</v>
      </c>
      <c r="AV568" s="26">
        <f>AU569</f>
        <v>117572.29527488445</v>
      </c>
      <c r="AW568" s="26"/>
      <c r="AX568" s="27"/>
    </row>
    <row r="569" spans="1:50" ht="12.75" customHeight="1" outlineLevel="1">
      <c r="A569" s="296"/>
      <c r="B569" s="13" t="s">
        <v>35</v>
      </c>
      <c r="C569" s="71" t="s">
        <v>42</v>
      </c>
      <c r="D569" s="20"/>
      <c r="E569" s="50"/>
      <c r="F569" s="50"/>
      <c r="G569" s="26"/>
      <c r="H569" s="26"/>
      <c r="I569" s="26"/>
      <c r="J569" s="26"/>
      <c r="K569" s="26">
        <f t="shared" ref="K569:L569" si="805">K568+K566</f>
        <v>-50</v>
      </c>
      <c r="L569" s="26">
        <f t="shared" si="805"/>
        <v>-409.76499677343077</v>
      </c>
      <c r="M569" s="26">
        <f t="shared" ref="M569:AA569" si="806">M568+M566</f>
        <v>-409.42166615828137</v>
      </c>
      <c r="N569" s="26">
        <f t="shared" si="806"/>
        <v>-620.4000275218898</v>
      </c>
      <c r="O569" s="26">
        <f>O568+O566</f>
        <v>7550.4917044626218</v>
      </c>
      <c r="P569" s="26">
        <f t="shared" si="806"/>
        <v>4689.9409927946454</v>
      </c>
      <c r="Q569" s="26">
        <f t="shared" si="806"/>
        <v>2162.1235575833762</v>
      </c>
      <c r="R569" s="26">
        <f t="shared" si="806"/>
        <v>32.629408122913446</v>
      </c>
      <c r="S569" s="26">
        <f t="shared" si="806"/>
        <v>565.81770137641479</v>
      </c>
      <c r="T569" s="26">
        <f t="shared" si="806"/>
        <v>2719.9331153264638</v>
      </c>
      <c r="U569" s="26">
        <f t="shared" si="806"/>
        <v>6329.8807189734453</v>
      </c>
      <c r="V569" s="26">
        <f t="shared" si="806"/>
        <v>9702.7797623211882</v>
      </c>
      <c r="W569" s="26">
        <f t="shared" si="806"/>
        <v>12976.314514301694</v>
      </c>
      <c r="X569" s="26">
        <f t="shared" si="806"/>
        <v>16990.724742627648</v>
      </c>
      <c r="Y569" s="26">
        <f t="shared" si="806"/>
        <v>20690.005070392072</v>
      </c>
      <c r="Z569" s="26">
        <f t="shared" si="806"/>
        <v>24234.024037748717</v>
      </c>
      <c r="AA569" s="26">
        <f t="shared" si="806"/>
        <v>28456.158418802905</v>
      </c>
      <c r="AB569" s="26">
        <f t="shared" ref="AB569:AR569" si="807">AB568+AB566</f>
        <v>32303.749836471961</v>
      </c>
      <c r="AC569" s="26">
        <f t="shared" si="807"/>
        <v>35998.805715531329</v>
      </c>
      <c r="AD569" s="26">
        <f t="shared" si="807"/>
        <v>40375.102146522295</v>
      </c>
      <c r="AE569" s="26">
        <f t="shared" si="807"/>
        <v>44379.861655126864</v>
      </c>
      <c r="AF569" s="26">
        <f t="shared" si="807"/>
        <v>48235.374186940462</v>
      </c>
      <c r="AG569" s="26">
        <f t="shared" si="807"/>
        <v>52775.360003740738</v>
      </c>
      <c r="AH569" s="26">
        <f t="shared" si="807"/>
        <v>56946.987485870806</v>
      </c>
      <c r="AI569" s="26">
        <f t="shared" si="807"/>
        <v>60972.734150680408</v>
      </c>
      <c r="AJ569" s="26">
        <f t="shared" si="807"/>
        <v>65686.349583136616</v>
      </c>
      <c r="AK569" s="26">
        <f t="shared" si="807"/>
        <v>70035.233273235732</v>
      </c>
      <c r="AL569" s="26">
        <f t="shared" si="807"/>
        <v>74241.584619558635</v>
      </c>
      <c r="AM569" s="26">
        <f t="shared" si="807"/>
        <v>79139.650098785831</v>
      </c>
      <c r="AN569" s="26">
        <f t="shared" si="807"/>
        <v>83676.490188258133</v>
      </c>
      <c r="AO569" s="26">
        <f t="shared" si="807"/>
        <v>88074.561301035399</v>
      </c>
      <c r="AP569" s="26">
        <f t="shared" si="807"/>
        <v>93168.167662296357</v>
      </c>
      <c r="AQ569" s="26">
        <f t="shared" si="807"/>
        <v>97904.40849278777</v>
      </c>
      <c r="AR569" s="26">
        <f t="shared" si="807"/>
        <v>102505.85676140453</v>
      </c>
      <c r="AS569" s="26">
        <f>AS568+AS566</f>
        <v>107806.89851980675</v>
      </c>
      <c r="AT569" s="26">
        <f>AT568+AT566</f>
        <v>112754.81165523357</v>
      </c>
      <c r="AU569" s="26">
        <f>AU568+AU566</f>
        <v>117572.29527488445</v>
      </c>
      <c r="AV569" s="26">
        <f>AV568+AV566</f>
        <v>123093.58716197619</v>
      </c>
      <c r="AW569" s="26"/>
      <c r="AX569" s="27"/>
    </row>
    <row r="570" spans="1:50" ht="12.75" customHeight="1" outlineLevel="1">
      <c r="A570" s="296"/>
      <c r="B570" s="32"/>
      <c r="C570" s="23"/>
      <c r="D570" s="23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6"/>
      <c r="AX570" s="27"/>
    </row>
    <row r="571" spans="1:50" ht="12.75" customHeight="1" outlineLevel="1">
      <c r="A571" s="296"/>
      <c r="B571" s="13" t="s">
        <v>45</v>
      </c>
      <c r="C571" s="71" t="s">
        <v>42</v>
      </c>
      <c r="D571" s="20"/>
      <c r="E571" s="26"/>
      <c r="F571" s="26"/>
      <c r="G571" s="26"/>
      <c r="H571" s="26"/>
      <c r="I571" s="26"/>
      <c r="J571" s="26"/>
      <c r="K571" s="26">
        <f t="shared" ref="K571:L571" si="808">K547</f>
        <v>0</v>
      </c>
      <c r="L571" s="26">
        <f t="shared" si="808"/>
        <v>-309.76499677343077</v>
      </c>
      <c r="M571" s="26">
        <f t="shared" ref="M571:AV571" si="809">M547</f>
        <v>50.343330615149405</v>
      </c>
      <c r="N571" s="26">
        <f t="shared" si="809"/>
        <v>-160.97836136360849</v>
      </c>
      <c r="O571" s="26">
        <f t="shared" si="809"/>
        <v>520.89173198451158</v>
      </c>
      <c r="P571" s="26">
        <f t="shared" si="809"/>
        <v>-360.55071166797649</v>
      </c>
      <c r="Q571" s="26">
        <f t="shared" si="809"/>
        <v>-11.317435211269043</v>
      </c>
      <c r="R571" s="26">
        <f t="shared" si="809"/>
        <v>387.00585053953716</v>
      </c>
      <c r="S571" s="26">
        <f t="shared" si="809"/>
        <v>608.18829325350134</v>
      </c>
      <c r="T571" s="26">
        <f t="shared" si="809"/>
        <v>2229.1154139500491</v>
      </c>
      <c r="U571" s="26">
        <f t="shared" si="809"/>
        <v>3684.947603646981</v>
      </c>
      <c r="V571" s="26">
        <f t="shared" si="809"/>
        <v>3447.8990433477429</v>
      </c>
      <c r="W571" s="26">
        <f t="shared" si="809"/>
        <v>3348.5347519805055</v>
      </c>
      <c r="X571" s="26">
        <f t="shared" si="809"/>
        <v>4089.4102283259531</v>
      </c>
      <c r="Y571" s="26">
        <f t="shared" si="809"/>
        <v>3774.2803277644234</v>
      </c>
      <c r="Z571" s="26">
        <f t="shared" si="809"/>
        <v>3619.018967356647</v>
      </c>
      <c r="AA571" s="26">
        <f t="shared" si="809"/>
        <v>4297.1343810541885</v>
      </c>
      <c r="AB571" s="26">
        <f t="shared" si="809"/>
        <v>3922.5914176690567</v>
      </c>
      <c r="AC571" s="26">
        <f t="shared" si="809"/>
        <v>3770.0558790593714</v>
      </c>
      <c r="AD571" s="26">
        <f t="shared" si="809"/>
        <v>4451.2964309909676</v>
      </c>
      <c r="AE571" s="26">
        <f t="shared" si="809"/>
        <v>4079.7595086045712</v>
      </c>
      <c r="AF571" s="26">
        <f t="shared" si="809"/>
        <v>3930.5125318135965</v>
      </c>
      <c r="AG571" s="26">
        <f t="shared" si="809"/>
        <v>4614.9858168002775</v>
      </c>
      <c r="AH571" s="26">
        <f t="shared" si="809"/>
        <v>4246.6274821300667</v>
      </c>
      <c r="AI571" s="26">
        <f t="shared" si="809"/>
        <v>4100.7466648096024</v>
      </c>
      <c r="AJ571" s="26">
        <f t="shared" si="809"/>
        <v>4788.6154324562058</v>
      </c>
      <c r="AK571" s="26">
        <f t="shared" si="809"/>
        <v>4423.8836900991137</v>
      </c>
      <c r="AL571" s="26">
        <f t="shared" si="809"/>
        <v>4281.3513463229046</v>
      </c>
      <c r="AM571" s="26">
        <f t="shared" si="809"/>
        <v>4973.065479227198</v>
      </c>
      <c r="AN571" s="26">
        <f t="shared" si="809"/>
        <v>4611.8400894722963</v>
      </c>
      <c r="AO571" s="26">
        <f t="shared" si="809"/>
        <v>4473.0711127772611</v>
      </c>
      <c r="AP571" s="26">
        <f t="shared" si="809"/>
        <v>5168.6063612609523</v>
      </c>
      <c r="AQ571" s="26">
        <f t="shared" si="809"/>
        <v>4811.2408304914097</v>
      </c>
      <c r="AR571" s="26">
        <f t="shared" si="809"/>
        <v>4676.4482686167557</v>
      </c>
      <c r="AS571" s="26">
        <f t="shared" si="809"/>
        <v>5376.041758402228</v>
      </c>
      <c r="AT571" s="26">
        <f t="shared" si="809"/>
        <v>5022.9131354268193</v>
      </c>
      <c r="AU571" s="26">
        <f t="shared" si="809"/>
        <v>4892.4836196508777</v>
      </c>
      <c r="AV571" s="26">
        <f t="shared" si="809"/>
        <v>5596.2918870917283</v>
      </c>
      <c r="AW571" s="26"/>
      <c r="AX571" s="27"/>
    </row>
    <row r="572" spans="1:50" ht="12.75" customHeight="1" outlineLevel="1">
      <c r="A572" s="296"/>
      <c r="B572" s="13"/>
      <c r="C572" s="20"/>
      <c r="D572" s="20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27"/>
    </row>
    <row r="573" spans="1:50" ht="12.75" customHeight="1" outlineLevel="1">
      <c r="A573" s="296"/>
      <c r="B573" s="178" t="s">
        <v>92</v>
      </c>
      <c r="C573" s="71" t="s">
        <v>42</v>
      </c>
      <c r="D573" s="20"/>
      <c r="E573" s="26"/>
      <c r="F573" s="26"/>
      <c r="G573" s="26"/>
      <c r="H573" s="26"/>
      <c r="I573" s="26"/>
      <c r="J573" s="26"/>
      <c r="K573" s="26">
        <f t="shared" ref="K573:L573" si="810">K549+K559</f>
        <v>-50</v>
      </c>
      <c r="L573" s="26">
        <f t="shared" si="810"/>
        <v>-359.76499677343077</v>
      </c>
      <c r="M573" s="26">
        <f t="shared" ref="M573:AV573" si="811">M549+M559</f>
        <v>0.34333061514940511</v>
      </c>
      <c r="N573" s="26">
        <f t="shared" si="811"/>
        <v>-210.97836136360849</v>
      </c>
      <c r="O573" s="26">
        <f t="shared" si="811"/>
        <v>170.89173198451158</v>
      </c>
      <c r="P573" s="26">
        <f t="shared" si="811"/>
        <v>-2860.5507116679764</v>
      </c>
      <c r="Q573" s="26">
        <f t="shared" si="811"/>
        <v>-2527.8174352112692</v>
      </c>
      <c r="R573" s="26">
        <f t="shared" si="811"/>
        <v>-2129.4941494604627</v>
      </c>
      <c r="S573" s="26">
        <f t="shared" si="811"/>
        <v>533.18829325350134</v>
      </c>
      <c r="T573" s="26">
        <f t="shared" si="811"/>
        <v>2154.1154139500491</v>
      </c>
      <c r="U573" s="26">
        <f t="shared" si="811"/>
        <v>3609.947603646981</v>
      </c>
      <c r="V573" s="26">
        <f t="shared" si="811"/>
        <v>3372.8990433477429</v>
      </c>
      <c r="W573" s="26">
        <f t="shared" si="811"/>
        <v>3273.5347519805055</v>
      </c>
      <c r="X573" s="26">
        <f t="shared" si="811"/>
        <v>4014.4102283259531</v>
      </c>
      <c r="Y573" s="26">
        <f t="shared" si="811"/>
        <v>3699.2803277644234</v>
      </c>
      <c r="Z573" s="26">
        <f t="shared" si="811"/>
        <v>3544.018967356647</v>
      </c>
      <c r="AA573" s="26">
        <f t="shared" si="811"/>
        <v>4222.1343810541885</v>
      </c>
      <c r="AB573" s="26">
        <f t="shared" si="811"/>
        <v>3847.5914176690567</v>
      </c>
      <c r="AC573" s="26">
        <f t="shared" si="811"/>
        <v>3695.0558790593714</v>
      </c>
      <c r="AD573" s="26">
        <f t="shared" si="811"/>
        <v>4376.2964309909676</v>
      </c>
      <c r="AE573" s="26">
        <f t="shared" si="811"/>
        <v>4004.7595086045712</v>
      </c>
      <c r="AF573" s="26">
        <f t="shared" si="811"/>
        <v>3855.5125318135965</v>
      </c>
      <c r="AG573" s="26">
        <f t="shared" si="811"/>
        <v>4539.9858168002775</v>
      </c>
      <c r="AH573" s="26">
        <f t="shared" si="811"/>
        <v>4171.6274821300667</v>
      </c>
      <c r="AI573" s="26">
        <f t="shared" si="811"/>
        <v>4025.7466648096024</v>
      </c>
      <c r="AJ573" s="26">
        <f t="shared" si="811"/>
        <v>4713.6154324562058</v>
      </c>
      <c r="AK573" s="26">
        <f t="shared" si="811"/>
        <v>4348.8836900991137</v>
      </c>
      <c r="AL573" s="26">
        <f t="shared" si="811"/>
        <v>4206.3513463229046</v>
      </c>
      <c r="AM573" s="26">
        <f t="shared" si="811"/>
        <v>4898.065479227198</v>
      </c>
      <c r="AN573" s="26">
        <f t="shared" si="811"/>
        <v>4536.8400894722963</v>
      </c>
      <c r="AO573" s="26">
        <f t="shared" si="811"/>
        <v>4398.0711127772611</v>
      </c>
      <c r="AP573" s="26">
        <f t="shared" si="811"/>
        <v>5093.6063612609523</v>
      </c>
      <c r="AQ573" s="26">
        <f t="shared" si="811"/>
        <v>4736.2408304914097</v>
      </c>
      <c r="AR573" s="26">
        <f t="shared" si="811"/>
        <v>4601.4482686167557</v>
      </c>
      <c r="AS573" s="26">
        <f t="shared" si="811"/>
        <v>5301.041758402228</v>
      </c>
      <c r="AT573" s="26">
        <f t="shared" si="811"/>
        <v>4947.9131354268193</v>
      </c>
      <c r="AU573" s="26">
        <f t="shared" si="811"/>
        <v>4817.4836196508777</v>
      </c>
      <c r="AV573" s="26">
        <f t="shared" si="811"/>
        <v>5521.2918870917283</v>
      </c>
      <c r="AW573" s="26"/>
      <c r="AX573" s="27"/>
    </row>
    <row r="574" spans="1:50" ht="12.75" customHeight="1" outlineLevel="1">
      <c r="A574" s="296"/>
      <c r="B574" s="179"/>
      <c r="C574" s="23"/>
      <c r="D574" s="23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6"/>
      <c r="AX574" s="27"/>
    </row>
    <row r="575" spans="1:50">
      <c r="A575" s="171" t="s">
        <v>138</v>
      </c>
      <c r="B575" s="21" t="s">
        <v>43</v>
      </c>
      <c r="C575" s="22"/>
      <c r="D575" s="147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0"/>
      <c r="AX575" s="27"/>
    </row>
    <row r="576" spans="1:50" ht="12.6" customHeight="1" outlineLevel="1">
      <c r="B576" s="13" t="s">
        <v>296</v>
      </c>
      <c r="C576" s="23"/>
      <c r="D576" s="23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6"/>
      <c r="AX576" s="27"/>
    </row>
    <row r="577" spans="2:50" ht="12.75" customHeight="1" outlineLevel="1">
      <c r="B577" s="30" t="s">
        <v>17</v>
      </c>
      <c r="C577" s="288" t="s">
        <v>42</v>
      </c>
      <c r="D577" s="23"/>
      <c r="E577" s="24">
        <v>0</v>
      </c>
      <c r="F577" s="24">
        <f t="shared" ref="F577:K577" si="812">E581</f>
        <v>0</v>
      </c>
      <c r="G577" s="24">
        <f t="shared" si="812"/>
        <v>0</v>
      </c>
      <c r="H577" s="24">
        <f t="shared" si="812"/>
        <v>0</v>
      </c>
      <c r="I577" s="24">
        <f>H581</f>
        <v>0</v>
      </c>
      <c r="J577" s="24">
        <f t="shared" si="812"/>
        <v>0</v>
      </c>
      <c r="K577" s="24">
        <f t="shared" si="812"/>
        <v>1500</v>
      </c>
      <c r="L577" s="24">
        <f>K581</f>
        <v>1524.1666666666667</v>
      </c>
      <c r="M577" s="24">
        <f>L581</f>
        <v>1547.9305555555557</v>
      </c>
      <c r="N577" s="24">
        <f t="shared" ref="N577:AV577" si="813">M581</f>
        <v>1571.2983796296298</v>
      </c>
      <c r="O577" s="24">
        <f t="shared" si="813"/>
        <v>1594.2767399691361</v>
      </c>
      <c r="P577" s="24">
        <f t="shared" si="813"/>
        <v>1616.8721276363171</v>
      </c>
      <c r="Q577" s="24">
        <f t="shared" si="813"/>
        <v>3753.257592175712</v>
      </c>
      <c r="R577" s="24">
        <f t="shared" si="813"/>
        <v>5854.0366323061171</v>
      </c>
      <c r="S577" s="24">
        <f t="shared" si="813"/>
        <v>7919.8026884343481</v>
      </c>
      <c r="T577" s="24">
        <f t="shared" si="813"/>
        <v>7836.9726436271085</v>
      </c>
      <c r="U577" s="24">
        <f t="shared" si="813"/>
        <v>7755.523099566657</v>
      </c>
      <c r="V577" s="24">
        <f t="shared" si="813"/>
        <v>7675.4310479072128</v>
      </c>
      <c r="W577" s="24">
        <f t="shared" si="813"/>
        <v>7596.6738637754261</v>
      </c>
      <c r="X577" s="24">
        <f t="shared" si="813"/>
        <v>7519.2292993791689</v>
      </c>
      <c r="Y577" s="24">
        <f t="shared" si="813"/>
        <v>7443.0754777228494</v>
      </c>
      <c r="Z577" s="24">
        <f t="shared" si="813"/>
        <v>7368.1908864274683</v>
      </c>
      <c r="AA577" s="24">
        <f t="shared" si="813"/>
        <v>7294.5543716536768</v>
      </c>
      <c r="AB577" s="24">
        <f t="shared" si="813"/>
        <v>7222.1451321261156</v>
      </c>
      <c r="AC577" s="24">
        <f t="shared" si="813"/>
        <v>7150.9427132573474</v>
      </c>
      <c r="AD577" s="24">
        <f t="shared" si="813"/>
        <v>7080.9270013697251</v>
      </c>
      <c r="AE577" s="24">
        <f t="shared" si="813"/>
        <v>7012.0782180135629</v>
      </c>
      <c r="AF577" s="24">
        <f t="shared" si="813"/>
        <v>6944.3769143800037</v>
      </c>
      <c r="AG577" s="24">
        <f t="shared" si="813"/>
        <v>6877.8039658070038</v>
      </c>
      <c r="AH577" s="24">
        <f t="shared" si="813"/>
        <v>6812.3405663768872</v>
      </c>
      <c r="AI577" s="24">
        <f t="shared" si="813"/>
        <v>6747.9682236039389</v>
      </c>
      <c r="AJ577" s="24">
        <f t="shared" si="813"/>
        <v>6684.6687532105398</v>
      </c>
      <c r="AK577" s="24">
        <f t="shared" si="813"/>
        <v>6622.4242739903639</v>
      </c>
      <c r="AL577" s="24">
        <f t="shared" si="813"/>
        <v>6561.2172027571914</v>
      </c>
      <c r="AM577" s="24">
        <f t="shared" si="813"/>
        <v>6501.0302493779045</v>
      </c>
      <c r="AN577" s="24">
        <f t="shared" si="813"/>
        <v>6441.846411888273</v>
      </c>
      <c r="AO577" s="24">
        <f t="shared" si="813"/>
        <v>6383.6489716901351</v>
      </c>
      <c r="AP577" s="24">
        <f t="shared" si="813"/>
        <v>6326.4214888286333</v>
      </c>
      <c r="AQ577" s="24">
        <f t="shared" si="813"/>
        <v>6270.147797348156</v>
      </c>
      <c r="AR577" s="24">
        <f t="shared" si="813"/>
        <v>6214.8120007256866</v>
      </c>
      <c r="AS577" s="24">
        <f t="shared" si="813"/>
        <v>6160.3984673802588</v>
      </c>
      <c r="AT577" s="24">
        <f t="shared" si="813"/>
        <v>6106.8918262572543</v>
      </c>
      <c r="AU577" s="24">
        <f t="shared" si="813"/>
        <v>6054.2769624863004</v>
      </c>
      <c r="AV577" s="24">
        <f t="shared" si="813"/>
        <v>6002.5390131115291</v>
      </c>
      <c r="AW577" s="26"/>
      <c r="AX577" s="27"/>
    </row>
    <row r="578" spans="2:50" ht="12.75" customHeight="1" outlineLevel="1">
      <c r="B578" s="44" t="s">
        <v>10</v>
      </c>
      <c r="C578" s="288" t="s">
        <v>42</v>
      </c>
      <c r="D578" s="23"/>
      <c r="E578" s="24">
        <f t="shared" ref="E578:AV578" si="814">-E554</f>
        <v>0</v>
      </c>
      <c r="F578" s="24">
        <f t="shared" si="814"/>
        <v>0</v>
      </c>
      <c r="G578" s="24">
        <f t="shared" si="814"/>
        <v>0</v>
      </c>
      <c r="H578" s="24">
        <f t="shared" si="814"/>
        <v>0</v>
      </c>
      <c r="I578" s="24">
        <f t="shared" si="814"/>
        <v>0</v>
      </c>
      <c r="J578" s="24">
        <f t="shared" si="814"/>
        <v>50</v>
      </c>
      <c r="K578" s="24">
        <f t="shared" si="814"/>
        <v>50</v>
      </c>
      <c r="L578" s="24">
        <f t="shared" si="814"/>
        <v>50</v>
      </c>
      <c r="M578" s="24">
        <f t="shared" si="814"/>
        <v>50</v>
      </c>
      <c r="N578" s="24">
        <f t="shared" si="814"/>
        <v>50</v>
      </c>
      <c r="O578" s="24">
        <f t="shared" si="814"/>
        <v>50</v>
      </c>
      <c r="P578" s="24">
        <f t="shared" si="814"/>
        <v>2200</v>
      </c>
      <c r="Q578" s="24">
        <f t="shared" si="814"/>
        <v>2200</v>
      </c>
      <c r="R578" s="24">
        <f t="shared" si="814"/>
        <v>2200</v>
      </c>
      <c r="S578" s="24">
        <f t="shared" si="814"/>
        <v>50</v>
      </c>
      <c r="T578" s="24">
        <f t="shared" si="814"/>
        <v>50</v>
      </c>
      <c r="U578" s="24">
        <f t="shared" si="814"/>
        <v>50</v>
      </c>
      <c r="V578" s="24">
        <f t="shared" si="814"/>
        <v>50</v>
      </c>
      <c r="W578" s="24">
        <f t="shared" si="814"/>
        <v>50</v>
      </c>
      <c r="X578" s="24">
        <f t="shared" si="814"/>
        <v>50</v>
      </c>
      <c r="Y578" s="24">
        <f t="shared" si="814"/>
        <v>50</v>
      </c>
      <c r="Z578" s="24">
        <f t="shared" si="814"/>
        <v>50</v>
      </c>
      <c r="AA578" s="24">
        <f t="shared" si="814"/>
        <v>50</v>
      </c>
      <c r="AB578" s="24">
        <f t="shared" si="814"/>
        <v>50</v>
      </c>
      <c r="AC578" s="24">
        <f t="shared" si="814"/>
        <v>50</v>
      </c>
      <c r="AD578" s="24">
        <f t="shared" si="814"/>
        <v>50</v>
      </c>
      <c r="AE578" s="24">
        <f t="shared" si="814"/>
        <v>50</v>
      </c>
      <c r="AF578" s="24">
        <f t="shared" si="814"/>
        <v>50</v>
      </c>
      <c r="AG578" s="24">
        <f t="shared" si="814"/>
        <v>50</v>
      </c>
      <c r="AH578" s="24">
        <f t="shared" si="814"/>
        <v>50</v>
      </c>
      <c r="AI578" s="24">
        <f t="shared" si="814"/>
        <v>50</v>
      </c>
      <c r="AJ578" s="24">
        <f t="shared" si="814"/>
        <v>50</v>
      </c>
      <c r="AK578" s="24">
        <f t="shared" si="814"/>
        <v>50</v>
      </c>
      <c r="AL578" s="24">
        <f t="shared" si="814"/>
        <v>50</v>
      </c>
      <c r="AM578" s="24">
        <f t="shared" si="814"/>
        <v>50</v>
      </c>
      <c r="AN578" s="24">
        <f t="shared" si="814"/>
        <v>50</v>
      </c>
      <c r="AO578" s="24">
        <f t="shared" si="814"/>
        <v>50</v>
      </c>
      <c r="AP578" s="24">
        <f t="shared" si="814"/>
        <v>50</v>
      </c>
      <c r="AQ578" s="24">
        <f t="shared" si="814"/>
        <v>50</v>
      </c>
      <c r="AR578" s="24">
        <f t="shared" si="814"/>
        <v>50</v>
      </c>
      <c r="AS578" s="24">
        <f t="shared" si="814"/>
        <v>50</v>
      </c>
      <c r="AT578" s="24">
        <f t="shared" si="814"/>
        <v>50</v>
      </c>
      <c r="AU578" s="24">
        <f t="shared" si="814"/>
        <v>50</v>
      </c>
      <c r="AV578" s="24">
        <f t="shared" si="814"/>
        <v>50</v>
      </c>
      <c r="AW578" s="26"/>
      <c r="AX578" s="27"/>
    </row>
    <row r="579" spans="2:50" ht="12.75" customHeight="1" outlineLevel="1">
      <c r="B579" s="44" t="s">
        <v>2</v>
      </c>
      <c r="C579" s="288" t="s">
        <v>42</v>
      </c>
      <c r="D579" s="23"/>
      <c r="E579" s="24">
        <f>0</f>
        <v>0</v>
      </c>
      <c r="F579" s="24">
        <f>0</f>
        <v>0</v>
      </c>
      <c r="G579" s="24">
        <f>0</f>
        <v>0</v>
      </c>
      <c r="H579" s="24">
        <f>0</f>
        <v>0</v>
      </c>
      <c r="I579" s="24">
        <f>0</f>
        <v>0</v>
      </c>
      <c r="J579" s="24">
        <f>0</f>
        <v>0</v>
      </c>
      <c r="K579" s="24">
        <f>0</f>
        <v>0</v>
      </c>
      <c r="L579" s="24">
        <f>0</f>
        <v>0</v>
      </c>
      <c r="M579" s="24">
        <f>0</f>
        <v>0</v>
      </c>
      <c r="N579" s="24">
        <f>0</f>
        <v>0</v>
      </c>
      <c r="O579" s="24">
        <f>0</f>
        <v>0</v>
      </c>
      <c r="P579" s="24">
        <f>0</f>
        <v>0</v>
      </c>
      <c r="Q579" s="24">
        <f>0</f>
        <v>0</v>
      </c>
      <c r="R579" s="24">
        <f>0</f>
        <v>0</v>
      </c>
      <c r="S579" s="24">
        <f>0</f>
        <v>0</v>
      </c>
      <c r="T579" s="24">
        <f>0</f>
        <v>0</v>
      </c>
      <c r="U579" s="24">
        <f>0</f>
        <v>0</v>
      </c>
      <c r="V579" s="24">
        <f>0</f>
        <v>0</v>
      </c>
      <c r="W579" s="24">
        <f>0</f>
        <v>0</v>
      </c>
      <c r="X579" s="24">
        <f>0</f>
        <v>0</v>
      </c>
      <c r="Y579" s="24">
        <f>0</f>
        <v>0</v>
      </c>
      <c r="Z579" s="24">
        <f>0</f>
        <v>0</v>
      </c>
      <c r="AA579" s="24">
        <f>0</f>
        <v>0</v>
      </c>
      <c r="AB579" s="24">
        <f>0</f>
        <v>0</v>
      </c>
      <c r="AC579" s="24">
        <f>0</f>
        <v>0</v>
      </c>
      <c r="AD579" s="24">
        <f>0</f>
        <v>0</v>
      </c>
      <c r="AE579" s="24">
        <f>0</f>
        <v>0</v>
      </c>
      <c r="AF579" s="24">
        <f>0</f>
        <v>0</v>
      </c>
      <c r="AG579" s="24">
        <f>0</f>
        <v>0</v>
      </c>
      <c r="AH579" s="24">
        <f>0</f>
        <v>0</v>
      </c>
      <c r="AI579" s="24">
        <f>0</f>
        <v>0</v>
      </c>
      <c r="AJ579" s="24">
        <f>0</f>
        <v>0</v>
      </c>
      <c r="AK579" s="24">
        <f>0</f>
        <v>0</v>
      </c>
      <c r="AL579" s="24">
        <f>0</f>
        <v>0</v>
      </c>
      <c r="AM579" s="24">
        <f>0</f>
        <v>0</v>
      </c>
      <c r="AN579" s="24">
        <f>0</f>
        <v>0</v>
      </c>
      <c r="AO579" s="24">
        <f>0</f>
        <v>0</v>
      </c>
      <c r="AP579" s="24">
        <f>0</f>
        <v>0</v>
      </c>
      <c r="AQ579" s="24">
        <f>0</f>
        <v>0</v>
      </c>
      <c r="AR579" s="24">
        <f>0</f>
        <v>0</v>
      </c>
      <c r="AS579" s="24">
        <f>0</f>
        <v>0</v>
      </c>
      <c r="AT579" s="24">
        <f>0</f>
        <v>0</v>
      </c>
      <c r="AU579" s="24">
        <f>0</f>
        <v>0</v>
      </c>
      <c r="AV579" s="24">
        <f>0</f>
        <v>0</v>
      </c>
      <c r="AW579" s="26"/>
      <c r="AX579" s="27"/>
    </row>
    <row r="580" spans="2:50" ht="12.75" customHeight="1" outlineLevel="1">
      <c r="B580" s="44" t="s">
        <v>26</v>
      </c>
      <c r="C580" s="288" t="s">
        <v>42</v>
      </c>
      <c r="D580" s="23"/>
      <c r="E580" s="63">
        <v>0</v>
      </c>
      <c r="F580" s="63">
        <f t="shared" ref="F580:AV580" si="815">(F577+F578)/60</f>
        <v>0</v>
      </c>
      <c r="G580" s="63">
        <f t="shared" si="815"/>
        <v>0</v>
      </c>
      <c r="H580" s="63">
        <f t="shared" si="815"/>
        <v>0</v>
      </c>
      <c r="I580" s="63">
        <f t="shared" si="815"/>
        <v>0</v>
      </c>
      <c r="J580" s="63">
        <f t="shared" si="815"/>
        <v>0.83333333333333337</v>
      </c>
      <c r="K580" s="63">
        <f t="shared" si="815"/>
        <v>25.833333333333332</v>
      </c>
      <c r="L580" s="63">
        <f t="shared" si="815"/>
        <v>26.236111111111111</v>
      </c>
      <c r="M580" s="63">
        <f t="shared" si="815"/>
        <v>26.632175925925928</v>
      </c>
      <c r="N580" s="63">
        <f t="shared" si="815"/>
        <v>27.021639660493829</v>
      </c>
      <c r="O580" s="63">
        <f t="shared" si="815"/>
        <v>27.404612332818935</v>
      </c>
      <c r="P580" s="63">
        <f t="shared" si="815"/>
        <v>63.614535460605289</v>
      </c>
      <c r="Q580" s="63">
        <f t="shared" si="815"/>
        <v>99.220959869595205</v>
      </c>
      <c r="R580" s="63">
        <f t="shared" si="815"/>
        <v>134.23394387176862</v>
      </c>
      <c r="S580" s="63">
        <f t="shared" si="815"/>
        <v>132.83004480723915</v>
      </c>
      <c r="T580" s="63">
        <f t="shared" si="815"/>
        <v>131.44954406045181</v>
      </c>
      <c r="U580" s="63">
        <f t="shared" si="815"/>
        <v>130.09205165944428</v>
      </c>
      <c r="V580" s="63">
        <f t="shared" si="815"/>
        <v>128.75718413178689</v>
      </c>
      <c r="W580" s="63">
        <f t="shared" si="815"/>
        <v>127.44456439625711</v>
      </c>
      <c r="X580" s="63">
        <f t="shared" si="815"/>
        <v>126.15382165631948</v>
      </c>
      <c r="Y580" s="63">
        <f t="shared" si="815"/>
        <v>124.88459129538083</v>
      </c>
      <c r="Z580" s="63">
        <f t="shared" si="815"/>
        <v>123.63651477379113</v>
      </c>
      <c r="AA580" s="63">
        <f t="shared" si="815"/>
        <v>122.40923952756128</v>
      </c>
      <c r="AB580" s="63">
        <f t="shared" si="815"/>
        <v>121.20241886876859</v>
      </c>
      <c r="AC580" s="63">
        <f t="shared" si="815"/>
        <v>120.01571188762246</v>
      </c>
      <c r="AD580" s="63">
        <f t="shared" si="815"/>
        <v>118.84878335616209</v>
      </c>
      <c r="AE580" s="63">
        <f t="shared" si="815"/>
        <v>117.70130363355938</v>
      </c>
      <c r="AF580" s="63">
        <f t="shared" si="815"/>
        <v>116.57294857300006</v>
      </c>
      <c r="AG580" s="63">
        <f t="shared" si="815"/>
        <v>115.46339943011672</v>
      </c>
      <c r="AH580" s="63">
        <f t="shared" si="815"/>
        <v>114.37234277294812</v>
      </c>
      <c r="AI580" s="63">
        <f t="shared" si="815"/>
        <v>113.29947039339898</v>
      </c>
      <c r="AJ580" s="63">
        <f t="shared" si="815"/>
        <v>112.24447922017566</v>
      </c>
      <c r="AK580" s="63">
        <f t="shared" si="815"/>
        <v>111.20707123317273</v>
      </c>
      <c r="AL580" s="63">
        <f t="shared" si="815"/>
        <v>110.18695337928652</v>
      </c>
      <c r="AM580" s="63">
        <f t="shared" si="815"/>
        <v>109.18383748963174</v>
      </c>
      <c r="AN580" s="63">
        <f t="shared" si="815"/>
        <v>108.19744019813788</v>
      </c>
      <c r="AO580" s="63">
        <f t="shared" si="815"/>
        <v>107.22748286150225</v>
      </c>
      <c r="AP580" s="63">
        <f t="shared" si="815"/>
        <v>106.27369148047723</v>
      </c>
      <c r="AQ580" s="63">
        <f t="shared" si="815"/>
        <v>105.33579662246926</v>
      </c>
      <c r="AR580" s="63">
        <f t="shared" si="815"/>
        <v>104.41353334542811</v>
      </c>
      <c r="AS580" s="63">
        <f t="shared" si="815"/>
        <v>103.50664112300431</v>
      </c>
      <c r="AT580" s="63">
        <f t="shared" si="815"/>
        <v>102.61486377095424</v>
      </c>
      <c r="AU580" s="63">
        <f t="shared" si="815"/>
        <v>101.73794937477167</v>
      </c>
      <c r="AV580" s="63">
        <f t="shared" si="815"/>
        <v>100.87565021852548</v>
      </c>
      <c r="AW580" s="26"/>
      <c r="AX580" s="27"/>
    </row>
    <row r="581" spans="2:50" ht="12.75" customHeight="1" outlineLevel="1">
      <c r="B581" s="30" t="s">
        <v>18</v>
      </c>
      <c r="C581" s="288" t="s">
        <v>42</v>
      </c>
      <c r="D581" s="23"/>
      <c r="E581" s="24">
        <f>E577+E578-E580</f>
        <v>0</v>
      </c>
      <c r="F581" s="24">
        <f t="shared" ref="F581:AV581" si="816">F577+F578-F580</f>
        <v>0</v>
      </c>
      <c r="G581" s="24">
        <f t="shared" si="816"/>
        <v>0</v>
      </c>
      <c r="H581" s="24">
        <f t="shared" si="816"/>
        <v>0</v>
      </c>
      <c r="I581" s="24">
        <f t="shared" si="816"/>
        <v>0</v>
      </c>
      <c r="J581" s="359">
        <v>1500</v>
      </c>
      <c r="K581" s="24">
        <f t="shared" si="816"/>
        <v>1524.1666666666667</v>
      </c>
      <c r="L581" s="24">
        <f t="shared" si="816"/>
        <v>1547.9305555555557</v>
      </c>
      <c r="M581" s="24">
        <f t="shared" si="816"/>
        <v>1571.2983796296298</v>
      </c>
      <c r="N581" s="24">
        <f t="shared" si="816"/>
        <v>1594.2767399691361</v>
      </c>
      <c r="O581" s="24">
        <f t="shared" si="816"/>
        <v>1616.8721276363171</v>
      </c>
      <c r="P581" s="24">
        <f t="shared" si="816"/>
        <v>3753.257592175712</v>
      </c>
      <c r="Q581" s="24">
        <f t="shared" si="816"/>
        <v>5854.0366323061171</v>
      </c>
      <c r="R581" s="24">
        <f t="shared" si="816"/>
        <v>7919.8026884343481</v>
      </c>
      <c r="S581" s="24">
        <f t="shared" si="816"/>
        <v>7836.9726436271085</v>
      </c>
      <c r="T581" s="24">
        <f t="shared" si="816"/>
        <v>7755.523099566657</v>
      </c>
      <c r="U581" s="24">
        <f t="shared" si="816"/>
        <v>7675.4310479072128</v>
      </c>
      <c r="V581" s="24">
        <f t="shared" si="816"/>
        <v>7596.6738637754261</v>
      </c>
      <c r="W581" s="24">
        <f t="shared" si="816"/>
        <v>7519.2292993791689</v>
      </c>
      <c r="X581" s="24">
        <f t="shared" si="816"/>
        <v>7443.0754777228494</v>
      </c>
      <c r="Y581" s="24">
        <f t="shared" si="816"/>
        <v>7368.1908864274683</v>
      </c>
      <c r="Z581" s="24">
        <f t="shared" si="816"/>
        <v>7294.5543716536768</v>
      </c>
      <c r="AA581" s="24">
        <f t="shared" si="816"/>
        <v>7222.1451321261156</v>
      </c>
      <c r="AB581" s="24">
        <f t="shared" si="816"/>
        <v>7150.9427132573474</v>
      </c>
      <c r="AC581" s="24">
        <f t="shared" si="816"/>
        <v>7080.9270013697251</v>
      </c>
      <c r="AD581" s="24">
        <f t="shared" si="816"/>
        <v>7012.0782180135629</v>
      </c>
      <c r="AE581" s="24">
        <f t="shared" si="816"/>
        <v>6944.3769143800037</v>
      </c>
      <c r="AF581" s="24">
        <f t="shared" si="816"/>
        <v>6877.8039658070038</v>
      </c>
      <c r="AG581" s="24">
        <f t="shared" si="816"/>
        <v>6812.3405663768872</v>
      </c>
      <c r="AH581" s="24">
        <f t="shared" si="816"/>
        <v>6747.9682236039389</v>
      </c>
      <c r="AI581" s="24">
        <f t="shared" si="816"/>
        <v>6684.6687532105398</v>
      </c>
      <c r="AJ581" s="24">
        <f t="shared" si="816"/>
        <v>6622.4242739903639</v>
      </c>
      <c r="AK581" s="24">
        <f t="shared" si="816"/>
        <v>6561.2172027571914</v>
      </c>
      <c r="AL581" s="24">
        <f t="shared" si="816"/>
        <v>6501.0302493779045</v>
      </c>
      <c r="AM581" s="24">
        <f t="shared" si="816"/>
        <v>6441.846411888273</v>
      </c>
      <c r="AN581" s="24">
        <f t="shared" si="816"/>
        <v>6383.6489716901351</v>
      </c>
      <c r="AO581" s="24">
        <f t="shared" si="816"/>
        <v>6326.4214888286333</v>
      </c>
      <c r="AP581" s="24">
        <f t="shared" si="816"/>
        <v>6270.147797348156</v>
      </c>
      <c r="AQ581" s="24">
        <f t="shared" si="816"/>
        <v>6214.8120007256866</v>
      </c>
      <c r="AR581" s="24">
        <f t="shared" si="816"/>
        <v>6160.3984673802588</v>
      </c>
      <c r="AS581" s="24">
        <f t="shared" si="816"/>
        <v>6106.8918262572543</v>
      </c>
      <c r="AT581" s="24">
        <f t="shared" si="816"/>
        <v>6054.2769624863004</v>
      </c>
      <c r="AU581" s="24">
        <f t="shared" si="816"/>
        <v>6002.5390131115291</v>
      </c>
      <c r="AV581" s="24">
        <f t="shared" si="816"/>
        <v>5951.663362893004</v>
      </c>
      <c r="AW581" s="26"/>
      <c r="AX581" s="27"/>
    </row>
    <row r="582" spans="2:50" ht="12.75" customHeight="1" outlineLevel="1">
      <c r="B582" s="30"/>
      <c r="C582" s="23"/>
      <c r="D582" s="23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7"/>
      <c r="AX582" s="27"/>
    </row>
    <row r="583" spans="2:50" ht="12.75" customHeight="1" outlineLevel="1">
      <c r="B583" s="13" t="s">
        <v>297</v>
      </c>
      <c r="C583" s="23"/>
      <c r="D583" s="23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7"/>
      <c r="AX583" s="27"/>
    </row>
    <row r="584" spans="2:50" ht="12.75" customHeight="1" outlineLevel="1">
      <c r="B584" s="30" t="s">
        <v>17</v>
      </c>
      <c r="C584" s="288" t="s">
        <v>42</v>
      </c>
      <c r="D584" s="23"/>
      <c r="E584" s="24"/>
      <c r="F584" s="24"/>
      <c r="G584" s="24"/>
      <c r="H584" s="24"/>
      <c r="I584" s="24"/>
      <c r="J584" s="24"/>
      <c r="K584" s="24"/>
      <c r="L584" s="24">
        <f t="shared" ref="L584:AV584" si="817">K588</f>
        <v>500</v>
      </c>
      <c r="M584" s="24">
        <f>L588</f>
        <v>491.66666666666669</v>
      </c>
      <c r="N584" s="24">
        <f t="shared" si="817"/>
        <v>483.47222222222223</v>
      </c>
      <c r="O584" s="24">
        <f t="shared" si="817"/>
        <v>475.41435185185185</v>
      </c>
      <c r="P584" s="24">
        <f t="shared" si="817"/>
        <v>1204.9907793209875</v>
      </c>
      <c r="Q584" s="24">
        <f t="shared" si="817"/>
        <v>1774.9075996656377</v>
      </c>
      <c r="R584" s="24">
        <f t="shared" si="817"/>
        <v>1794.4924730045436</v>
      </c>
      <c r="S584" s="24">
        <f t="shared" si="817"/>
        <v>1813.7509317878012</v>
      </c>
      <c r="T584" s="24">
        <f t="shared" si="817"/>
        <v>1832.6884162580045</v>
      </c>
      <c r="U584" s="24">
        <f t="shared" si="817"/>
        <v>1851.3102759870378</v>
      </c>
      <c r="V584" s="24">
        <f t="shared" si="817"/>
        <v>1869.6217713872538</v>
      </c>
      <c r="W584" s="24">
        <f t="shared" si="817"/>
        <v>1887.6280751974662</v>
      </c>
      <c r="X584" s="24">
        <f t="shared" si="817"/>
        <v>1905.334273944175</v>
      </c>
      <c r="Y584" s="24">
        <f t="shared" si="817"/>
        <v>1922.7453693784387</v>
      </c>
      <c r="Z584" s="24">
        <f t="shared" si="817"/>
        <v>1939.8662798887981</v>
      </c>
      <c r="AA584" s="24">
        <f t="shared" si="817"/>
        <v>1956.7018418906514</v>
      </c>
      <c r="AB584" s="24">
        <f t="shared" si="817"/>
        <v>1973.2568111924738</v>
      </c>
      <c r="AC584" s="24">
        <f t="shared" si="817"/>
        <v>1989.535864339266</v>
      </c>
      <c r="AD584" s="24">
        <f t="shared" si="817"/>
        <v>2005.5435999336116</v>
      </c>
      <c r="AE584" s="24">
        <f t="shared" si="817"/>
        <v>2021.2845399347179</v>
      </c>
      <c r="AF584" s="24">
        <f t="shared" si="817"/>
        <v>2036.763130935806</v>
      </c>
      <c r="AG584" s="24">
        <f t="shared" si="817"/>
        <v>2051.9837454202088</v>
      </c>
      <c r="AH584" s="24">
        <f t="shared" si="817"/>
        <v>2066.9506829965385</v>
      </c>
      <c r="AI584" s="24">
        <f t="shared" si="817"/>
        <v>2081.668171613263</v>
      </c>
      <c r="AJ584" s="24">
        <f t="shared" si="817"/>
        <v>2096.1403687530419</v>
      </c>
      <c r="AK584" s="24">
        <f t="shared" si="817"/>
        <v>2110.3713626071581</v>
      </c>
      <c r="AL584" s="24">
        <f t="shared" si="817"/>
        <v>2124.365173230372</v>
      </c>
      <c r="AM584" s="24">
        <f t="shared" si="817"/>
        <v>2138.1257536765324</v>
      </c>
      <c r="AN584" s="24">
        <f t="shared" si="817"/>
        <v>2151.6569911152569</v>
      </c>
      <c r="AO584" s="24">
        <f t="shared" si="817"/>
        <v>2164.9627079300026</v>
      </c>
      <c r="AP584" s="24">
        <f t="shared" si="817"/>
        <v>2178.0466627978358</v>
      </c>
      <c r="AQ584" s="24">
        <f t="shared" si="817"/>
        <v>2190.9125517512052</v>
      </c>
      <c r="AR584" s="24">
        <f t="shared" si="817"/>
        <v>2203.5640092220183</v>
      </c>
      <c r="AS584" s="24">
        <f t="shared" si="817"/>
        <v>2216.0046090683181</v>
      </c>
      <c r="AT584" s="24">
        <f t="shared" si="817"/>
        <v>2228.2378655838461</v>
      </c>
      <c r="AU584" s="24">
        <f t="shared" si="817"/>
        <v>2240.2672344907819</v>
      </c>
      <c r="AV584" s="24">
        <f t="shared" si="817"/>
        <v>2252.0961139159353</v>
      </c>
      <c r="AW584" s="27"/>
      <c r="AX584" s="27"/>
    </row>
    <row r="585" spans="2:50" ht="12.75" customHeight="1" outlineLevel="1">
      <c r="B585" s="44" t="s">
        <v>10</v>
      </c>
      <c r="C585" s="288" t="s">
        <v>42</v>
      </c>
      <c r="D585" s="23"/>
      <c r="E585" s="24"/>
      <c r="F585" s="24"/>
      <c r="G585" s="24"/>
      <c r="H585" s="24"/>
      <c r="I585" s="24"/>
      <c r="J585" s="24"/>
      <c r="K585" s="24"/>
      <c r="L585" s="24">
        <f>-L556-L557-L558</f>
        <v>0</v>
      </c>
      <c r="M585" s="24">
        <f t="shared" ref="M585:AV585" si="818">-M556-M557-M558</f>
        <v>0</v>
      </c>
      <c r="N585" s="24">
        <f t="shared" si="818"/>
        <v>0</v>
      </c>
      <c r="O585" s="24">
        <f>-O556-O557-O558</f>
        <v>750</v>
      </c>
      <c r="P585" s="24">
        <f t="shared" si="818"/>
        <v>600</v>
      </c>
      <c r="Q585" s="24">
        <f t="shared" si="818"/>
        <v>50</v>
      </c>
      <c r="R585" s="24">
        <f t="shared" si="818"/>
        <v>50</v>
      </c>
      <c r="S585" s="24">
        <f t="shared" si="818"/>
        <v>50</v>
      </c>
      <c r="T585" s="24">
        <f t="shared" si="818"/>
        <v>50</v>
      </c>
      <c r="U585" s="24">
        <f t="shared" si="818"/>
        <v>50</v>
      </c>
      <c r="V585" s="24">
        <f t="shared" si="818"/>
        <v>50</v>
      </c>
      <c r="W585" s="24">
        <f t="shared" si="818"/>
        <v>50</v>
      </c>
      <c r="X585" s="24">
        <f t="shared" si="818"/>
        <v>50</v>
      </c>
      <c r="Y585" s="24">
        <f t="shared" si="818"/>
        <v>50</v>
      </c>
      <c r="Z585" s="24">
        <f t="shared" si="818"/>
        <v>50</v>
      </c>
      <c r="AA585" s="24">
        <f t="shared" si="818"/>
        <v>50</v>
      </c>
      <c r="AB585" s="24">
        <f t="shared" si="818"/>
        <v>50</v>
      </c>
      <c r="AC585" s="24">
        <f t="shared" si="818"/>
        <v>50</v>
      </c>
      <c r="AD585" s="24">
        <f t="shared" si="818"/>
        <v>50</v>
      </c>
      <c r="AE585" s="24">
        <f t="shared" si="818"/>
        <v>50</v>
      </c>
      <c r="AF585" s="24">
        <f t="shared" si="818"/>
        <v>50</v>
      </c>
      <c r="AG585" s="24">
        <f t="shared" si="818"/>
        <v>50</v>
      </c>
      <c r="AH585" s="24">
        <f t="shared" si="818"/>
        <v>50</v>
      </c>
      <c r="AI585" s="24">
        <f t="shared" si="818"/>
        <v>50</v>
      </c>
      <c r="AJ585" s="24">
        <f t="shared" si="818"/>
        <v>50</v>
      </c>
      <c r="AK585" s="24">
        <f t="shared" si="818"/>
        <v>50</v>
      </c>
      <c r="AL585" s="24">
        <f t="shared" si="818"/>
        <v>50</v>
      </c>
      <c r="AM585" s="24">
        <f t="shared" si="818"/>
        <v>50</v>
      </c>
      <c r="AN585" s="24">
        <f t="shared" si="818"/>
        <v>50</v>
      </c>
      <c r="AO585" s="24">
        <f t="shared" si="818"/>
        <v>50</v>
      </c>
      <c r="AP585" s="24">
        <f t="shared" si="818"/>
        <v>50</v>
      </c>
      <c r="AQ585" s="24">
        <f t="shared" si="818"/>
        <v>50</v>
      </c>
      <c r="AR585" s="24">
        <f t="shared" si="818"/>
        <v>50</v>
      </c>
      <c r="AS585" s="24">
        <f t="shared" si="818"/>
        <v>50</v>
      </c>
      <c r="AT585" s="24">
        <f t="shared" si="818"/>
        <v>50</v>
      </c>
      <c r="AU585" s="24">
        <f t="shared" si="818"/>
        <v>50</v>
      </c>
      <c r="AV585" s="24">
        <f t="shared" si="818"/>
        <v>50</v>
      </c>
      <c r="AW585" s="27"/>
      <c r="AX585" s="27"/>
    </row>
    <row r="586" spans="2:50" ht="12.75" customHeight="1" outlineLevel="1">
      <c r="B586" s="44" t="s">
        <v>2</v>
      </c>
      <c r="C586" s="288" t="s">
        <v>42</v>
      </c>
      <c r="D586" s="23"/>
      <c r="E586" s="24"/>
      <c r="F586" s="24"/>
      <c r="G586" s="24"/>
      <c r="H586" s="24"/>
      <c r="I586" s="24"/>
      <c r="J586" s="24"/>
      <c r="K586" s="24"/>
      <c r="L586" s="24">
        <f>0</f>
        <v>0</v>
      </c>
      <c r="M586" s="24">
        <f>0</f>
        <v>0</v>
      </c>
      <c r="N586" s="24">
        <f>0</f>
        <v>0</v>
      </c>
      <c r="O586" s="24">
        <f>0</f>
        <v>0</v>
      </c>
      <c r="P586" s="24">
        <f>0</f>
        <v>0</v>
      </c>
      <c r="Q586" s="24">
        <f>0</f>
        <v>0</v>
      </c>
      <c r="R586" s="24">
        <f>0</f>
        <v>0</v>
      </c>
      <c r="S586" s="24">
        <f>0</f>
        <v>0</v>
      </c>
      <c r="T586" s="24">
        <f>0</f>
        <v>0</v>
      </c>
      <c r="U586" s="24">
        <f>0</f>
        <v>0</v>
      </c>
      <c r="V586" s="24">
        <f>0</f>
        <v>0</v>
      </c>
      <c r="W586" s="24">
        <f>0</f>
        <v>0</v>
      </c>
      <c r="X586" s="24">
        <f>0</f>
        <v>0</v>
      </c>
      <c r="Y586" s="24">
        <f>0</f>
        <v>0</v>
      </c>
      <c r="Z586" s="24">
        <f>0</f>
        <v>0</v>
      </c>
      <c r="AA586" s="24">
        <f>0</f>
        <v>0</v>
      </c>
      <c r="AB586" s="24">
        <f>0</f>
        <v>0</v>
      </c>
      <c r="AC586" s="24">
        <f>0</f>
        <v>0</v>
      </c>
      <c r="AD586" s="24">
        <f>0</f>
        <v>0</v>
      </c>
      <c r="AE586" s="24">
        <f>0</f>
        <v>0</v>
      </c>
      <c r="AF586" s="24">
        <f>0</f>
        <v>0</v>
      </c>
      <c r="AG586" s="24">
        <f>0</f>
        <v>0</v>
      </c>
      <c r="AH586" s="24">
        <f>0</f>
        <v>0</v>
      </c>
      <c r="AI586" s="24">
        <f>0</f>
        <v>0</v>
      </c>
      <c r="AJ586" s="24">
        <f>0</f>
        <v>0</v>
      </c>
      <c r="AK586" s="24">
        <f>0</f>
        <v>0</v>
      </c>
      <c r="AL586" s="24">
        <f>0</f>
        <v>0</v>
      </c>
      <c r="AM586" s="24">
        <f>0</f>
        <v>0</v>
      </c>
      <c r="AN586" s="24">
        <f>0</f>
        <v>0</v>
      </c>
      <c r="AO586" s="24">
        <f>0</f>
        <v>0</v>
      </c>
      <c r="AP586" s="24">
        <f>0</f>
        <v>0</v>
      </c>
      <c r="AQ586" s="24">
        <f>0</f>
        <v>0</v>
      </c>
      <c r="AR586" s="24">
        <f>0</f>
        <v>0</v>
      </c>
      <c r="AS586" s="24">
        <f>0</f>
        <v>0</v>
      </c>
      <c r="AT586" s="24">
        <f>0</f>
        <v>0</v>
      </c>
      <c r="AU586" s="24">
        <f>0</f>
        <v>0</v>
      </c>
      <c r="AV586" s="24">
        <f>0</f>
        <v>0</v>
      </c>
      <c r="AW586" s="27"/>
      <c r="AX586" s="27"/>
    </row>
    <row r="587" spans="2:50" ht="12.75" customHeight="1" outlineLevel="1">
      <c r="B587" s="44" t="s">
        <v>26</v>
      </c>
      <c r="C587" s="288" t="s">
        <v>42</v>
      </c>
      <c r="D587" s="23"/>
      <c r="E587" s="29"/>
      <c r="F587" s="29"/>
      <c r="G587" s="29"/>
      <c r="H587" s="29"/>
      <c r="I587" s="29"/>
      <c r="J587" s="29"/>
      <c r="K587" s="29"/>
      <c r="L587" s="29">
        <f t="shared" ref="L587:AV587" si="819">(L584+L585)/60</f>
        <v>8.3333333333333339</v>
      </c>
      <c r="M587" s="29">
        <f t="shared" si="819"/>
        <v>8.1944444444444446</v>
      </c>
      <c r="N587" s="29">
        <f t="shared" si="819"/>
        <v>8.0578703703703702</v>
      </c>
      <c r="O587" s="29">
        <f t="shared" si="819"/>
        <v>20.423572530864195</v>
      </c>
      <c r="P587" s="29">
        <f t="shared" si="819"/>
        <v>30.083179655349792</v>
      </c>
      <c r="Q587" s="29">
        <f t="shared" si="819"/>
        <v>30.415126661093961</v>
      </c>
      <c r="R587" s="29">
        <f t="shared" si="819"/>
        <v>30.741541216742394</v>
      </c>
      <c r="S587" s="29">
        <f t="shared" si="819"/>
        <v>31.062515529796688</v>
      </c>
      <c r="T587" s="29">
        <f t="shared" si="819"/>
        <v>31.378140270966743</v>
      </c>
      <c r="U587" s="29">
        <f t="shared" si="819"/>
        <v>31.688504599783965</v>
      </c>
      <c r="V587" s="29">
        <f t="shared" si="819"/>
        <v>31.993696189787563</v>
      </c>
      <c r="W587" s="29">
        <f t="shared" si="819"/>
        <v>32.2938012532911</v>
      </c>
      <c r="X587" s="29">
        <f t="shared" si="819"/>
        <v>32.58890456573625</v>
      </c>
      <c r="Y587" s="29">
        <f t="shared" si="819"/>
        <v>32.879089489640641</v>
      </c>
      <c r="Z587" s="29">
        <f t="shared" si="819"/>
        <v>33.164437998146632</v>
      </c>
      <c r="AA587" s="29">
        <f t="shared" si="819"/>
        <v>33.445030698177526</v>
      </c>
      <c r="AB587" s="29">
        <f t="shared" si="819"/>
        <v>33.720946853207899</v>
      </c>
      <c r="AC587" s="29">
        <f t="shared" si="819"/>
        <v>33.992264405654431</v>
      </c>
      <c r="AD587" s="29">
        <f t="shared" si="819"/>
        <v>34.259059998893527</v>
      </c>
      <c r="AE587" s="29">
        <f t="shared" si="819"/>
        <v>34.521408998911966</v>
      </c>
      <c r="AF587" s="29">
        <f t="shared" si="819"/>
        <v>34.779385515596765</v>
      </c>
      <c r="AG587" s="29">
        <f t="shared" si="819"/>
        <v>35.033062423670145</v>
      </c>
      <c r="AH587" s="29">
        <f t="shared" si="819"/>
        <v>35.28251138327564</v>
      </c>
      <c r="AI587" s="29">
        <f t="shared" si="819"/>
        <v>35.527802860221051</v>
      </c>
      <c r="AJ587" s="29">
        <f t="shared" si="819"/>
        <v>35.769006145884035</v>
      </c>
      <c r="AK587" s="29">
        <f t="shared" si="819"/>
        <v>36.006189376785969</v>
      </c>
      <c r="AL587" s="29">
        <f t="shared" si="819"/>
        <v>36.239419553839532</v>
      </c>
      <c r="AM587" s="29">
        <f t="shared" si="819"/>
        <v>36.46876256127554</v>
      </c>
      <c r="AN587" s="29">
        <f t="shared" si="819"/>
        <v>36.694283185254285</v>
      </c>
      <c r="AO587" s="29">
        <f t="shared" si="819"/>
        <v>36.916045132166708</v>
      </c>
      <c r="AP587" s="29">
        <f t="shared" si="819"/>
        <v>37.134111046630593</v>
      </c>
      <c r="AQ587" s="29">
        <f t="shared" si="819"/>
        <v>37.348542529186751</v>
      </c>
      <c r="AR587" s="29">
        <f t="shared" si="819"/>
        <v>37.559400153700302</v>
      </c>
      <c r="AS587" s="29">
        <f t="shared" si="819"/>
        <v>37.766743484471966</v>
      </c>
      <c r="AT587" s="29">
        <f t="shared" si="819"/>
        <v>37.9706310930641</v>
      </c>
      <c r="AU587" s="29">
        <f t="shared" si="819"/>
        <v>38.171120574846363</v>
      </c>
      <c r="AV587" s="29">
        <f t="shared" si="819"/>
        <v>38.368268565265588</v>
      </c>
      <c r="AW587" s="27"/>
      <c r="AX587" s="27"/>
    </row>
    <row r="588" spans="2:50" ht="12.75" customHeight="1" outlineLevel="1">
      <c r="B588" s="30" t="s">
        <v>18</v>
      </c>
      <c r="C588" s="288" t="s">
        <v>42</v>
      </c>
      <c r="D588" s="23"/>
      <c r="E588" s="24"/>
      <c r="F588" s="24"/>
      <c r="G588" s="24"/>
      <c r="H588" s="24"/>
      <c r="I588" s="24"/>
      <c r="J588" s="24"/>
      <c r="K588" s="359">
        <v>500</v>
      </c>
      <c r="L588" s="24">
        <f t="shared" ref="L588:AV588" si="820">L584+L585-L587</f>
        <v>491.66666666666669</v>
      </c>
      <c r="M588" s="24">
        <f t="shared" si="820"/>
        <v>483.47222222222223</v>
      </c>
      <c r="N588" s="24">
        <f t="shared" si="820"/>
        <v>475.41435185185185</v>
      </c>
      <c r="O588" s="24">
        <f t="shared" si="820"/>
        <v>1204.9907793209875</v>
      </c>
      <c r="P588" s="24">
        <f t="shared" si="820"/>
        <v>1774.9075996656377</v>
      </c>
      <c r="Q588" s="24">
        <f t="shared" si="820"/>
        <v>1794.4924730045436</v>
      </c>
      <c r="R588" s="24">
        <f t="shared" si="820"/>
        <v>1813.7509317878012</v>
      </c>
      <c r="S588" s="24">
        <f t="shared" si="820"/>
        <v>1832.6884162580045</v>
      </c>
      <c r="T588" s="24">
        <f t="shared" si="820"/>
        <v>1851.3102759870378</v>
      </c>
      <c r="U588" s="24">
        <f t="shared" si="820"/>
        <v>1869.6217713872538</v>
      </c>
      <c r="V588" s="24">
        <f t="shared" si="820"/>
        <v>1887.6280751974662</v>
      </c>
      <c r="W588" s="24">
        <f t="shared" si="820"/>
        <v>1905.334273944175</v>
      </c>
      <c r="X588" s="24">
        <f t="shared" si="820"/>
        <v>1922.7453693784387</v>
      </c>
      <c r="Y588" s="24">
        <f t="shared" si="820"/>
        <v>1939.8662798887981</v>
      </c>
      <c r="Z588" s="24">
        <f t="shared" si="820"/>
        <v>1956.7018418906514</v>
      </c>
      <c r="AA588" s="24">
        <f t="shared" si="820"/>
        <v>1973.2568111924738</v>
      </c>
      <c r="AB588" s="24">
        <f t="shared" si="820"/>
        <v>1989.535864339266</v>
      </c>
      <c r="AC588" s="24">
        <f t="shared" si="820"/>
        <v>2005.5435999336116</v>
      </c>
      <c r="AD588" s="24">
        <f t="shared" si="820"/>
        <v>2021.2845399347179</v>
      </c>
      <c r="AE588" s="24">
        <f t="shared" si="820"/>
        <v>2036.763130935806</v>
      </c>
      <c r="AF588" s="24">
        <f t="shared" si="820"/>
        <v>2051.9837454202088</v>
      </c>
      <c r="AG588" s="24">
        <f t="shared" si="820"/>
        <v>2066.9506829965385</v>
      </c>
      <c r="AH588" s="24">
        <f t="shared" si="820"/>
        <v>2081.668171613263</v>
      </c>
      <c r="AI588" s="24">
        <f t="shared" si="820"/>
        <v>2096.1403687530419</v>
      </c>
      <c r="AJ588" s="24">
        <f t="shared" si="820"/>
        <v>2110.3713626071581</v>
      </c>
      <c r="AK588" s="24">
        <f t="shared" si="820"/>
        <v>2124.365173230372</v>
      </c>
      <c r="AL588" s="24">
        <f t="shared" si="820"/>
        <v>2138.1257536765324</v>
      </c>
      <c r="AM588" s="24">
        <f t="shared" si="820"/>
        <v>2151.6569911152569</v>
      </c>
      <c r="AN588" s="24">
        <f t="shared" si="820"/>
        <v>2164.9627079300026</v>
      </c>
      <c r="AO588" s="24">
        <f t="shared" si="820"/>
        <v>2178.0466627978358</v>
      </c>
      <c r="AP588" s="24">
        <f t="shared" si="820"/>
        <v>2190.9125517512052</v>
      </c>
      <c r="AQ588" s="24">
        <f t="shared" si="820"/>
        <v>2203.5640092220183</v>
      </c>
      <c r="AR588" s="24">
        <f t="shared" si="820"/>
        <v>2216.0046090683181</v>
      </c>
      <c r="AS588" s="24">
        <f t="shared" si="820"/>
        <v>2228.2378655838461</v>
      </c>
      <c r="AT588" s="24">
        <f t="shared" si="820"/>
        <v>2240.2672344907819</v>
      </c>
      <c r="AU588" s="24">
        <f t="shared" si="820"/>
        <v>2252.0961139159353</v>
      </c>
      <c r="AV588" s="24">
        <f t="shared" si="820"/>
        <v>2263.7278453506697</v>
      </c>
      <c r="AW588" s="27"/>
      <c r="AX588" s="27"/>
    </row>
    <row r="589" spans="2:50" ht="12.75" customHeight="1" outlineLevel="1">
      <c r="B589" s="91"/>
      <c r="C589" s="73"/>
      <c r="D589" s="73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26"/>
      <c r="AX589" s="27"/>
    </row>
    <row r="590" spans="2:50" ht="12.75" customHeight="1" outlineLevel="1">
      <c r="B590" s="13" t="s">
        <v>44</v>
      </c>
      <c r="C590" s="71" t="s">
        <v>42</v>
      </c>
      <c r="D590" s="20"/>
      <c r="E590" s="26"/>
      <c r="F590" s="26"/>
      <c r="G590" s="26"/>
      <c r="H590" s="26"/>
      <c r="I590" s="26"/>
      <c r="J590" s="26"/>
      <c r="K590" s="26"/>
      <c r="L590" s="26">
        <f>SUM(L580,L587)</f>
        <v>34.569444444444443</v>
      </c>
      <c r="M590" s="26">
        <f t="shared" ref="M590:AV590" si="821">SUM(M580,M587)</f>
        <v>34.826620370370371</v>
      </c>
      <c r="N590" s="26">
        <f t="shared" si="821"/>
        <v>35.079510030864199</v>
      </c>
      <c r="O590" s="26">
        <f t="shared" si="821"/>
        <v>47.828184863683134</v>
      </c>
      <c r="P590" s="26">
        <f t="shared" si="821"/>
        <v>93.697715115955077</v>
      </c>
      <c r="Q590" s="26">
        <f t="shared" si="821"/>
        <v>129.63608653068917</v>
      </c>
      <c r="R590" s="26">
        <f t="shared" si="821"/>
        <v>164.97548508851102</v>
      </c>
      <c r="S590" s="26">
        <f t="shared" si="821"/>
        <v>163.89256033703583</v>
      </c>
      <c r="T590" s="26">
        <f t="shared" si="821"/>
        <v>162.82768433141857</v>
      </c>
      <c r="U590" s="26">
        <f t="shared" si="821"/>
        <v>161.78055625922823</v>
      </c>
      <c r="V590" s="26">
        <f t="shared" si="821"/>
        <v>160.75088032157444</v>
      </c>
      <c r="W590" s="26">
        <f t="shared" si="821"/>
        <v>159.7383656495482</v>
      </c>
      <c r="X590" s="26">
        <f t="shared" si="821"/>
        <v>158.74272622205572</v>
      </c>
      <c r="Y590" s="26">
        <f t="shared" si="821"/>
        <v>157.76368078502148</v>
      </c>
      <c r="Z590" s="26">
        <f t="shared" si="821"/>
        <v>156.80095277193777</v>
      </c>
      <c r="AA590" s="26">
        <f t="shared" si="821"/>
        <v>155.85427022573882</v>
      </c>
      <c r="AB590" s="26">
        <f t="shared" si="821"/>
        <v>154.9233657219765</v>
      </c>
      <c r="AC590" s="26">
        <f t="shared" si="821"/>
        <v>154.0079762932769</v>
      </c>
      <c r="AD590" s="26">
        <f t="shared" si="821"/>
        <v>153.10784335505562</v>
      </c>
      <c r="AE590" s="26">
        <f t="shared" si="821"/>
        <v>152.22271263247134</v>
      </c>
      <c r="AF590" s="26">
        <f t="shared" si="821"/>
        <v>151.35233408859682</v>
      </c>
      <c r="AG590" s="26">
        <f t="shared" si="821"/>
        <v>150.49646185378685</v>
      </c>
      <c r="AH590" s="26">
        <f t="shared" si="821"/>
        <v>149.65485415622376</v>
      </c>
      <c r="AI590" s="26">
        <f t="shared" si="821"/>
        <v>148.82727325362004</v>
      </c>
      <c r="AJ590" s="26">
        <f t="shared" si="821"/>
        <v>148.01348536605968</v>
      </c>
      <c r="AK590" s="26">
        <f t="shared" si="821"/>
        <v>147.2132606099587</v>
      </c>
      <c r="AL590" s="26">
        <f t="shared" si="821"/>
        <v>146.42637293312606</v>
      </c>
      <c r="AM590" s="26">
        <f t="shared" si="821"/>
        <v>145.65260005090727</v>
      </c>
      <c r="AN590" s="26">
        <f t="shared" si="821"/>
        <v>144.89172338339216</v>
      </c>
      <c r="AO590" s="26">
        <f t="shared" si="821"/>
        <v>144.14352799366895</v>
      </c>
      <c r="AP590" s="26">
        <f t="shared" si="821"/>
        <v>143.40780252710783</v>
      </c>
      <c r="AQ590" s="26">
        <f t="shared" si="821"/>
        <v>142.68433915165602</v>
      </c>
      <c r="AR590" s="26">
        <f t="shared" si="821"/>
        <v>141.9729334991284</v>
      </c>
      <c r="AS590" s="26">
        <f t="shared" si="821"/>
        <v>141.27338460747629</v>
      </c>
      <c r="AT590" s="26">
        <f t="shared" si="821"/>
        <v>140.58549486401836</v>
      </c>
      <c r="AU590" s="26">
        <f t="shared" si="821"/>
        <v>139.90906994961804</v>
      </c>
      <c r="AV590" s="26">
        <f t="shared" si="821"/>
        <v>139.24391878379106</v>
      </c>
      <c r="AW590" s="26"/>
      <c r="AX590" s="27"/>
    </row>
    <row r="591" spans="2:50" ht="12.75" customHeight="1" outlineLevel="1">
      <c r="B591" s="34"/>
      <c r="C591" s="35"/>
      <c r="D591" s="35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  <c r="AW591" s="26"/>
      <c r="AX591" s="27"/>
    </row>
  </sheetData>
  <mergeCells count="13">
    <mergeCell ref="C1:C3"/>
    <mergeCell ref="E1:H1"/>
    <mergeCell ref="I1:L1"/>
    <mergeCell ref="AG1:AJ1"/>
    <mergeCell ref="AW1:AW3"/>
    <mergeCell ref="AK1:AN1"/>
    <mergeCell ref="AO1:AR1"/>
    <mergeCell ref="M1:P1"/>
    <mergeCell ref="Q1:T1"/>
    <mergeCell ref="U1:X1"/>
    <mergeCell ref="Y1:AB1"/>
    <mergeCell ref="AC1:AF1"/>
    <mergeCell ref="AS1:AV1"/>
  </mergeCells>
  <phoneticPr fontId="15" type="noConversion"/>
  <conditionalFormatting sqref="D354:AV354 D298:P299 Q299 D300:Q302 R299:AV302 D303:P303 D304:AV340 D282:AV297">
    <cfRule type="cellIs" dxfId="2" priority="7" operator="lessThan">
      <formula>0</formula>
    </cfRule>
  </conditionalFormatting>
  <conditionalFormatting sqref="Q298:AV298">
    <cfRule type="cellIs" dxfId="1" priority="4" operator="lessThan">
      <formula>0</formula>
    </cfRule>
  </conditionalFormatting>
  <conditionalFormatting sqref="Q303:AV303">
    <cfRule type="cellIs" dxfId="0" priority="1" operator="lessThan">
      <formula>0</formula>
    </cfRule>
  </conditionalFormatting>
  <pageMargins left="0.75" right="0.75" top="1" bottom="1" header="0.5" footer="0.5"/>
  <pageSetup scale="20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DT173"/>
  <sheetViews>
    <sheetView zoomScale="96" zoomScaleNormal="96" workbookViewId="0">
      <pane ySplit="1" topLeftCell="A2" activePane="bottomLeft" state="frozen"/>
      <selection pane="bottomLeft" activeCell="E112" sqref="E112"/>
    </sheetView>
  </sheetViews>
  <sheetFormatPr defaultColWidth="0" defaultRowHeight="13.8" outlineLevelRow="1"/>
  <cols>
    <col min="1" max="1" width="2.5546875" style="170" customWidth="1"/>
    <col min="2" max="2" width="53.33203125" customWidth="1"/>
    <col min="3" max="3" width="15.44140625" style="1" customWidth="1"/>
    <col min="4" max="4" width="11.109375" style="1" customWidth="1"/>
    <col min="5" max="14" width="14" style="5" customWidth="1"/>
    <col min="15" max="15" width="13.6640625" style="11" customWidth="1"/>
    <col min="16" max="16" width="9.6640625" style="3" customWidth="1"/>
    <col min="17" max="17" width="9.6640625" style="3" hidden="1" customWidth="1"/>
    <col min="18" max="36" width="0" style="3" hidden="1" customWidth="1"/>
    <col min="37" max="37" width="9.6640625" style="3" hidden="1" customWidth="1"/>
    <col min="38" max="39" width="0" style="3" hidden="1" customWidth="1"/>
    <col min="40" max="41" width="9.6640625" style="3" hidden="1" customWidth="1"/>
    <col min="42" max="52" width="0" style="3" hidden="1" customWidth="1"/>
    <col min="53" max="53" width="9.6640625" style="3" hidden="1" customWidth="1"/>
    <col min="54" max="72" width="0" style="3" hidden="1" customWidth="1"/>
    <col min="73" max="73" width="9.6640625" style="3" hidden="1" customWidth="1"/>
    <col min="74" max="75" width="0" style="3" hidden="1" customWidth="1"/>
    <col min="76" max="77" width="9.6640625" style="3" hidden="1" customWidth="1"/>
    <col min="78" max="80" width="0" style="3" hidden="1" customWidth="1"/>
    <col min="81" max="81" width="9.6640625" style="3" hidden="1" customWidth="1"/>
    <col min="82" max="83" width="0" style="3" hidden="1" customWidth="1"/>
    <col min="84" max="85" width="9.6640625" style="3" hidden="1" customWidth="1"/>
    <col min="86" max="86" width="0" style="3" hidden="1" customWidth="1"/>
    <col min="87" max="88" width="9.6640625" style="3" hidden="1" customWidth="1"/>
    <col min="89" max="89" width="0" style="3" hidden="1" customWidth="1"/>
    <col min="90" max="91" width="9.6640625" style="3" hidden="1" customWidth="1"/>
    <col min="92" max="92" width="0" style="3" hidden="1" customWidth="1"/>
    <col min="93" max="94" width="9.6640625" style="3" hidden="1" customWidth="1"/>
    <col min="95" max="95" width="0" style="3" hidden="1" customWidth="1"/>
    <col min="96" max="97" width="9.6640625" style="3" hidden="1" customWidth="1"/>
    <col min="98" max="98" width="0" style="3" hidden="1" customWidth="1"/>
    <col min="99" max="100" width="9.6640625" style="3" hidden="1" customWidth="1"/>
    <col min="101" max="101" width="0" style="3" hidden="1" customWidth="1"/>
    <col min="102" max="103" width="9.6640625" style="3" hidden="1" customWidth="1"/>
    <col min="104" max="104" width="0" style="3" hidden="1" customWidth="1"/>
    <col min="105" max="106" width="9.6640625" style="3" hidden="1" customWidth="1"/>
    <col min="107" max="107" width="0" style="3" hidden="1" customWidth="1"/>
    <col min="108" max="109" width="9.6640625" style="3" hidden="1" customWidth="1"/>
    <col min="110" max="110" width="0" style="3" hidden="1" customWidth="1"/>
    <col min="111" max="112" width="9.6640625" style="3" hidden="1" customWidth="1"/>
    <col min="113" max="113" width="0" style="3" hidden="1" customWidth="1"/>
    <col min="114" max="115" width="9.6640625" style="3" hidden="1" customWidth="1"/>
    <col min="116" max="116" width="0" style="3" hidden="1" customWidth="1"/>
    <col min="117" max="118" width="9.6640625" style="3" hidden="1" customWidth="1"/>
    <col min="119" max="119" width="0" style="3" hidden="1" customWidth="1"/>
    <col min="120" max="121" width="9.6640625" style="3" hidden="1" customWidth="1"/>
    <col min="122" max="122" width="0" style="3" hidden="1" customWidth="1"/>
    <col min="123" max="124" width="9.6640625" style="3" hidden="1" customWidth="1"/>
    <col min="125" max="16384" width="9.109375" style="3" hidden="1"/>
  </cols>
  <sheetData>
    <row r="1" spans="1:55" customFormat="1">
      <c r="A1" s="169"/>
      <c r="B1" s="13"/>
      <c r="C1" s="428" t="s">
        <v>1</v>
      </c>
      <c r="D1" s="144"/>
      <c r="E1" s="20">
        <f>2019</f>
        <v>2019</v>
      </c>
      <c r="F1" s="19">
        <f t="shared" ref="F1:N1" si="0">E1+1</f>
        <v>2020</v>
      </c>
      <c r="G1" s="20">
        <f t="shared" si="0"/>
        <v>2021</v>
      </c>
      <c r="H1" s="19">
        <f t="shared" si="0"/>
        <v>2022</v>
      </c>
      <c r="I1" s="20">
        <f t="shared" si="0"/>
        <v>2023</v>
      </c>
      <c r="J1" s="19">
        <f t="shared" si="0"/>
        <v>2024</v>
      </c>
      <c r="K1" s="20">
        <f t="shared" si="0"/>
        <v>2025</v>
      </c>
      <c r="L1" s="19">
        <f t="shared" si="0"/>
        <v>2026</v>
      </c>
      <c r="M1" s="20">
        <f t="shared" si="0"/>
        <v>2027</v>
      </c>
      <c r="N1" s="174">
        <f t="shared" si="0"/>
        <v>2028</v>
      </c>
      <c r="O1" s="20"/>
      <c r="P1" s="14"/>
    </row>
    <row r="2" spans="1:55" customFormat="1">
      <c r="A2" s="169"/>
      <c r="B2" s="15"/>
      <c r="C2" s="428"/>
      <c r="D2" s="144"/>
      <c r="E2" s="17"/>
      <c r="F2" s="16"/>
      <c r="G2" s="17"/>
      <c r="H2" s="16"/>
      <c r="I2" s="17"/>
      <c r="J2" s="16"/>
      <c r="K2" s="17"/>
      <c r="L2" s="16"/>
      <c r="M2" s="17"/>
      <c r="N2" s="17"/>
      <c r="O2" s="20"/>
      <c r="P2" s="14"/>
    </row>
    <row r="3" spans="1:55" customFormat="1" collapsed="1">
      <c r="A3" s="169"/>
      <c r="B3" s="18" t="str">
        <f>'Model - Quarterly'!B3</f>
        <v>* Based on Audited Financials (FYE: Dec. 31)</v>
      </c>
      <c r="C3" s="429"/>
      <c r="D3" s="144"/>
      <c r="E3" s="20"/>
      <c r="F3" s="19"/>
      <c r="G3" s="20"/>
      <c r="H3" s="19"/>
      <c r="I3" s="20"/>
      <c r="J3" s="19"/>
      <c r="K3" s="20"/>
      <c r="L3" s="19"/>
      <c r="M3" s="20"/>
      <c r="N3" s="20"/>
      <c r="O3" s="20"/>
      <c r="P3" s="14"/>
    </row>
    <row r="4" spans="1:55" customFormat="1" ht="12.75" hidden="1" customHeight="1" outlineLevel="1">
      <c r="A4" s="169"/>
      <c r="B4" s="18"/>
      <c r="C4" s="51"/>
      <c r="D4" s="144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14"/>
    </row>
    <row r="5" spans="1:55" customFormat="1" ht="12.75" hidden="1" customHeight="1" outlineLevel="1">
      <c r="A5" s="169"/>
      <c r="B5" s="18"/>
      <c r="C5" s="144"/>
      <c r="D5" s="144"/>
      <c r="E5" s="19"/>
      <c r="F5" s="19"/>
      <c r="G5" s="19"/>
      <c r="H5" s="19"/>
      <c r="I5" s="19"/>
      <c r="J5" s="19"/>
      <c r="K5" s="19"/>
      <c r="L5" s="19"/>
      <c r="M5" s="19"/>
      <c r="N5" s="19"/>
      <c r="O5" s="20"/>
      <c r="P5" s="14"/>
    </row>
    <row r="6" spans="1:55" customFormat="1" collapsed="1">
      <c r="A6" s="169" t="s">
        <v>138</v>
      </c>
      <c r="B6" s="21" t="s">
        <v>63</v>
      </c>
      <c r="C6" s="66"/>
      <c r="D6" s="145"/>
      <c r="E6" s="66"/>
      <c r="F6" s="66"/>
      <c r="G6" s="66"/>
      <c r="H6" s="66"/>
      <c r="I6" s="66"/>
      <c r="J6" s="66"/>
      <c r="K6" s="66"/>
      <c r="L6" s="66"/>
      <c r="M6" s="66"/>
      <c r="N6" s="66"/>
      <c r="O6" s="20"/>
      <c r="P6" s="2"/>
    </row>
    <row r="7" spans="1:55" ht="12.75" hidden="1" customHeight="1" outlineLevel="1">
      <c r="A7" s="171"/>
      <c r="B7" s="212" t="s">
        <v>59</v>
      </c>
      <c r="C7" s="213"/>
      <c r="D7" s="23"/>
      <c r="E7" s="24"/>
      <c r="F7" s="24"/>
      <c r="H7" s="24"/>
      <c r="I7" s="25"/>
      <c r="J7" s="24"/>
      <c r="L7" s="24"/>
      <c r="M7" s="25"/>
      <c r="N7" s="24"/>
      <c r="O7" s="5"/>
      <c r="P7" s="24"/>
      <c r="Q7" s="25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6"/>
      <c r="BC7" s="27"/>
    </row>
    <row r="8" spans="1:55" ht="12.75" hidden="1" customHeight="1" outlineLevel="1">
      <c r="A8" s="171"/>
      <c r="B8" s="30" t="s">
        <v>160</v>
      </c>
      <c r="C8" s="23"/>
      <c r="D8" s="23"/>
      <c r="E8" s="24"/>
      <c r="F8" s="24"/>
      <c r="H8" s="24"/>
      <c r="I8" s="26"/>
      <c r="J8" s="24"/>
      <c r="L8" s="24"/>
      <c r="M8" s="26"/>
      <c r="N8" s="24"/>
      <c r="O8" s="5"/>
      <c r="P8" s="24"/>
      <c r="Q8" s="26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6"/>
      <c r="BC8" s="27"/>
    </row>
    <row r="9" spans="1:55" ht="12.75" hidden="1" customHeight="1" outlineLevel="1">
      <c r="A9" s="171"/>
      <c r="B9" s="30" t="s">
        <v>156</v>
      </c>
      <c r="C9" s="23" t="s">
        <v>100</v>
      </c>
      <c r="D9" s="23"/>
      <c r="E9" s="24">
        <f>SUMIF('Model - Quarterly'!$5:$5,E$1,'Model - Quarterly'!433:433)</f>
        <v>697.98710124000002</v>
      </c>
      <c r="F9" s="24">
        <f>SUMIF('Model - Quarterly'!$5:$5,F$1,'Model - Quarterly'!433:433)</f>
        <v>1200.7591483167125</v>
      </c>
      <c r="G9" s="24">
        <f>SUMIF('Model - Quarterly'!$5:$5,G$1,'Model - Quarterly'!433:433)</f>
        <v>5675.7695767767118</v>
      </c>
      <c r="H9" s="24">
        <f>SUMIF('Model - Quarterly'!$5:$5,H$1,'Model - Quarterly'!433:433)</f>
        <v>7342.825153068492</v>
      </c>
      <c r="I9" s="24">
        <f>SUMIF('Model - Quarterly'!$5:$5,I$1,'Model - Quarterly'!433:433)</f>
        <v>7342.8251530684929</v>
      </c>
      <c r="J9" s="24">
        <f>SUMIF('Model - Quarterly'!$5:$5,J$1,'Model - Quarterly'!433:433)</f>
        <v>8039.2646110684927</v>
      </c>
      <c r="K9" s="24">
        <f>SUMIF('Model - Quarterly'!$5:$5,K$1,'Model - Quarterly'!433:433)</f>
        <v>7342.825153068492</v>
      </c>
      <c r="L9" s="24">
        <f>SUMIF('Model - Quarterly'!$5:$5,L$1,'Model - Quarterly'!433:433)</f>
        <v>7342.8251530684929</v>
      </c>
      <c r="M9" s="24">
        <f>SUMIF('Model - Quarterly'!$5:$5,M$1,'Model - Quarterly'!433:433)</f>
        <v>8039.2646110684927</v>
      </c>
      <c r="N9" s="24">
        <f>SUMIF('Model - Quarterly'!$5:$5,N$1,'Model - Quarterly'!433:433)</f>
        <v>7342.825153068492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6"/>
      <c r="BC9" s="27"/>
    </row>
    <row r="10" spans="1:55" ht="12.75" hidden="1" customHeight="1" outlineLevel="1">
      <c r="A10" s="171"/>
      <c r="B10" s="30" t="s">
        <v>199</v>
      </c>
      <c r="C10" s="23" t="s">
        <v>100</v>
      </c>
      <c r="D10" s="23"/>
      <c r="E10" s="24">
        <f>SUMIF('Model - Quarterly'!$5:$5,E$1,'Model - Quarterly'!434:434)</f>
        <v>0</v>
      </c>
      <c r="F10" s="24">
        <f>SUMIF('Model - Quarterly'!$5:$5,F$1,'Model - Quarterly'!434:434)</f>
        <v>0</v>
      </c>
      <c r="G10" s="24">
        <f>SUMIF('Model - Quarterly'!$5:$5,G$1,'Model - Quarterly'!434:434)</f>
        <v>0</v>
      </c>
      <c r="H10" s="24">
        <f>SUMIF('Model - Quarterly'!$5:$5,H$1,'Model - Quarterly'!434:434)</f>
        <v>0</v>
      </c>
      <c r="I10" s="24">
        <f>SUMIF('Model - Quarterly'!$5:$5,I$1,'Model - Quarterly'!434:434)</f>
        <v>0</v>
      </c>
      <c r="J10" s="24">
        <f>SUMIF('Model - Quarterly'!$5:$5,J$1,'Model - Quarterly'!434:434)</f>
        <v>0</v>
      </c>
      <c r="K10" s="24">
        <f>SUMIF('Model - Quarterly'!$5:$5,K$1,'Model - Quarterly'!434:434)</f>
        <v>0</v>
      </c>
      <c r="L10" s="24">
        <f>SUMIF('Model - Quarterly'!$5:$5,L$1,'Model - Quarterly'!434:434)</f>
        <v>0</v>
      </c>
      <c r="M10" s="24">
        <f>SUMIF('Model - Quarterly'!$5:$5,M$1,'Model - Quarterly'!434:434)</f>
        <v>0</v>
      </c>
      <c r="N10" s="24">
        <f>SUMIF('Model - Quarterly'!$5:$5,N$1,'Model - Quarterly'!434:434)</f>
        <v>0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6"/>
      <c r="BC10" s="27"/>
    </row>
    <row r="11" spans="1:55" ht="12.75" hidden="1" customHeight="1" outlineLevel="1">
      <c r="A11" s="171"/>
      <c r="B11" s="30"/>
      <c r="C11" s="23"/>
      <c r="D11" s="23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6"/>
      <c r="BC11" s="27"/>
    </row>
    <row r="12" spans="1:55" ht="12.75" hidden="1" customHeight="1" outlineLevel="1">
      <c r="A12" s="171"/>
      <c r="B12" s="30" t="str">
        <f>B9</f>
        <v>California</v>
      </c>
      <c r="C12" s="23" t="s">
        <v>115</v>
      </c>
      <c r="D12" s="23"/>
      <c r="E12" s="24">
        <f>SUMIF('Model - Quarterly'!$5:$5,E$1,'Model - Quarterly'!435:435)</f>
        <v>316602</v>
      </c>
      <c r="F12" s="24">
        <f>SUMIF('Model - Quarterly'!$5:$5,F$1,'Model - Quarterly'!435:435)</f>
        <v>544655.83561643842</v>
      </c>
      <c r="G12" s="24">
        <f>SUMIF('Model - Quarterly'!$5:$5,G$1,'Model - Quarterly'!435:435)</f>
        <v>2574488.8356164382</v>
      </c>
      <c r="H12" s="24">
        <f>SUMIF('Model - Quarterly'!$5:$5,H$1,'Model - Quarterly'!435:435)</f>
        <v>3330653.4246575339</v>
      </c>
      <c r="I12" s="24">
        <f>SUMIF('Model - Quarterly'!$5:$5,I$1,'Model - Quarterly'!435:435)</f>
        <v>3330653.4246575339</v>
      </c>
      <c r="J12" s="24">
        <f>SUMIF('Model - Quarterly'!$5:$5,J$1,'Model - Quarterly'!435:435)</f>
        <v>3646553.4246575339</v>
      </c>
      <c r="K12" s="24">
        <f>SUMIF('Model - Quarterly'!$5:$5,K$1,'Model - Quarterly'!435:435)</f>
        <v>3330653.4246575339</v>
      </c>
      <c r="L12" s="24">
        <f>SUMIF('Model - Quarterly'!$5:$5,L$1,'Model - Quarterly'!435:435)</f>
        <v>3330653.4246575339</v>
      </c>
      <c r="M12" s="24">
        <f>SUMIF('Model - Quarterly'!$5:$5,M$1,'Model - Quarterly'!435:435)</f>
        <v>3646553.4246575339</v>
      </c>
      <c r="N12" s="24">
        <f>SUMIF('Model - Quarterly'!$5:$5,N$1,'Model - Quarterly'!435:435)</f>
        <v>3330653.4246575339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6"/>
      <c r="BC12" s="27"/>
    </row>
    <row r="13" spans="1:55" ht="12.75" hidden="1" customHeight="1" outlineLevel="1">
      <c r="A13" s="171"/>
      <c r="B13" s="41"/>
      <c r="C13" s="20"/>
      <c r="D13" s="23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6"/>
      <c r="BC13" s="27"/>
    </row>
    <row r="14" spans="1:55" s="4" customFormat="1" ht="12.75" hidden="1" customHeight="1" outlineLevel="1">
      <c r="A14" s="172"/>
      <c r="B14" s="41" t="s">
        <v>163</v>
      </c>
      <c r="C14" s="20" t="s">
        <v>100</v>
      </c>
      <c r="D14" s="20"/>
      <c r="E14" s="40">
        <f>SUMIF('Model - Quarterly'!$5:$5,E$1,'Model - Quarterly'!437:437)</f>
        <v>697.98710124000002</v>
      </c>
      <c r="F14" s="40">
        <f>SUMIF('Model - Quarterly'!$5:$5,F$1,'Model - Quarterly'!437:437)</f>
        <v>1200.7591483167125</v>
      </c>
      <c r="G14" s="40">
        <f>SUMIF('Model - Quarterly'!$5:$5,G$1,'Model - Quarterly'!437:437)</f>
        <v>5675.7695767767118</v>
      </c>
      <c r="H14" s="40">
        <f>SUMIF('Model - Quarterly'!$5:$5,H$1,'Model - Quarterly'!437:437)</f>
        <v>7342.825153068492</v>
      </c>
      <c r="I14" s="40">
        <f>SUMIF('Model - Quarterly'!$5:$5,I$1,'Model - Quarterly'!437:437)</f>
        <v>7342.8251530684929</v>
      </c>
      <c r="J14" s="40">
        <f>SUMIF('Model - Quarterly'!$5:$5,J$1,'Model - Quarterly'!437:437)</f>
        <v>8039.2646110684927</v>
      </c>
      <c r="K14" s="40">
        <f>SUMIF('Model - Quarterly'!$5:$5,K$1,'Model - Quarterly'!437:437)</f>
        <v>7342.825153068492</v>
      </c>
      <c r="L14" s="40">
        <f>SUMIF('Model - Quarterly'!$5:$5,L$1,'Model - Quarterly'!437:437)</f>
        <v>7342.8251530684929</v>
      </c>
      <c r="M14" s="40">
        <f>SUMIF('Model - Quarterly'!$5:$5,M$1,'Model - Quarterly'!437:437)</f>
        <v>8039.2646110684927</v>
      </c>
      <c r="N14" s="40">
        <f>SUMIF('Model - Quarterly'!$5:$5,N$1,'Model - Quarterly'!437:437)</f>
        <v>7342.825153068492</v>
      </c>
      <c r="O14" s="40"/>
      <c r="P14" s="40"/>
      <c r="Q14" s="40">
        <f t="shared" ref="Q14:BA14" si="1">SUM(Q9:Q10)</f>
        <v>0</v>
      </c>
      <c r="R14" s="40">
        <f t="shared" si="1"/>
        <v>0</v>
      </c>
      <c r="S14" s="40">
        <f t="shared" si="1"/>
        <v>0</v>
      </c>
      <c r="T14" s="40">
        <f t="shared" si="1"/>
        <v>0</v>
      </c>
      <c r="U14" s="40">
        <f t="shared" si="1"/>
        <v>0</v>
      </c>
      <c r="V14" s="40">
        <f t="shared" si="1"/>
        <v>0</v>
      </c>
      <c r="W14" s="40">
        <f t="shared" si="1"/>
        <v>0</v>
      </c>
      <c r="X14" s="40">
        <f t="shared" si="1"/>
        <v>0</v>
      </c>
      <c r="Y14" s="40">
        <f t="shared" si="1"/>
        <v>0</v>
      </c>
      <c r="Z14" s="40">
        <f t="shared" si="1"/>
        <v>0</v>
      </c>
      <c r="AA14" s="40">
        <f t="shared" si="1"/>
        <v>0</v>
      </c>
      <c r="AB14" s="40">
        <f t="shared" si="1"/>
        <v>0</v>
      </c>
      <c r="AC14" s="40">
        <f t="shared" si="1"/>
        <v>0</v>
      </c>
      <c r="AD14" s="40">
        <f t="shared" si="1"/>
        <v>0</v>
      </c>
      <c r="AE14" s="40">
        <f t="shared" si="1"/>
        <v>0</v>
      </c>
      <c r="AF14" s="40">
        <f t="shared" si="1"/>
        <v>0</v>
      </c>
      <c r="AG14" s="40">
        <f t="shared" si="1"/>
        <v>0</v>
      </c>
      <c r="AH14" s="40">
        <f t="shared" si="1"/>
        <v>0</v>
      </c>
      <c r="AI14" s="40">
        <f t="shared" si="1"/>
        <v>0</v>
      </c>
      <c r="AJ14" s="40">
        <f t="shared" si="1"/>
        <v>0</v>
      </c>
      <c r="AK14" s="40">
        <f t="shared" si="1"/>
        <v>0</v>
      </c>
      <c r="AL14" s="40">
        <f t="shared" si="1"/>
        <v>0</v>
      </c>
      <c r="AM14" s="40">
        <f t="shared" si="1"/>
        <v>0</v>
      </c>
      <c r="AN14" s="40">
        <f t="shared" si="1"/>
        <v>0</v>
      </c>
      <c r="AO14" s="40">
        <f t="shared" si="1"/>
        <v>0</v>
      </c>
      <c r="AP14" s="40">
        <f t="shared" si="1"/>
        <v>0</v>
      </c>
      <c r="AQ14" s="40">
        <f t="shared" si="1"/>
        <v>0</v>
      </c>
      <c r="AR14" s="40">
        <f t="shared" si="1"/>
        <v>0</v>
      </c>
      <c r="AS14" s="40">
        <f t="shared" si="1"/>
        <v>0</v>
      </c>
      <c r="AT14" s="40">
        <f t="shared" si="1"/>
        <v>0</v>
      </c>
      <c r="AU14" s="40">
        <f t="shared" si="1"/>
        <v>0</v>
      </c>
      <c r="AV14" s="40">
        <f t="shared" si="1"/>
        <v>0</v>
      </c>
      <c r="AW14" s="40">
        <f t="shared" si="1"/>
        <v>0</v>
      </c>
      <c r="AX14" s="40">
        <f t="shared" si="1"/>
        <v>0</v>
      </c>
      <c r="AY14" s="40">
        <f t="shared" si="1"/>
        <v>0</v>
      </c>
      <c r="AZ14" s="40">
        <f t="shared" si="1"/>
        <v>0</v>
      </c>
      <c r="BA14" s="40">
        <f t="shared" si="1"/>
        <v>0</v>
      </c>
      <c r="BB14" s="26"/>
      <c r="BC14" s="38"/>
    </row>
    <row r="15" spans="1:55" s="4" customFormat="1" ht="12.75" hidden="1" customHeight="1" outlineLevel="1">
      <c r="A15" s="172"/>
      <c r="B15" s="41" t="s">
        <v>163</v>
      </c>
      <c r="C15" s="20" t="s">
        <v>115</v>
      </c>
      <c r="D15" s="20"/>
      <c r="E15" s="26">
        <f>SUMIF('Model - Quarterly'!$5:$5,E$1,'Model - Quarterly'!438:438)</f>
        <v>316602</v>
      </c>
      <c r="F15" s="26">
        <f>SUMIF('Model - Quarterly'!$5:$5,F$1,'Model - Quarterly'!438:438)</f>
        <v>544655.83561643842</v>
      </c>
      <c r="G15" s="26">
        <f>SUMIF('Model - Quarterly'!$5:$5,G$1,'Model - Quarterly'!438:438)</f>
        <v>2574488.8356164382</v>
      </c>
      <c r="H15" s="26">
        <f>SUMIF('Model - Quarterly'!$5:$5,H$1,'Model - Quarterly'!438:438)</f>
        <v>3330653.4246575339</v>
      </c>
      <c r="I15" s="26">
        <f>SUMIF('Model - Quarterly'!$5:$5,I$1,'Model - Quarterly'!438:438)</f>
        <v>3330653.4246575339</v>
      </c>
      <c r="J15" s="26">
        <f>SUMIF('Model - Quarterly'!$5:$5,J$1,'Model - Quarterly'!438:438)</f>
        <v>3646553.4246575339</v>
      </c>
      <c r="K15" s="26">
        <f>SUMIF('Model - Quarterly'!$5:$5,K$1,'Model - Quarterly'!438:438)</f>
        <v>3330653.4246575339</v>
      </c>
      <c r="L15" s="26">
        <f>SUMIF('Model - Quarterly'!$5:$5,L$1,'Model - Quarterly'!438:438)</f>
        <v>3330653.4246575339</v>
      </c>
      <c r="M15" s="26">
        <f>SUMIF('Model - Quarterly'!$5:$5,M$1,'Model - Quarterly'!438:438)</f>
        <v>3646553.4246575339</v>
      </c>
      <c r="N15" s="26">
        <f>SUMIF('Model - Quarterly'!$5:$5,N$1,'Model - Quarterly'!438:438)</f>
        <v>3330653.4246575339</v>
      </c>
      <c r="O15" s="26"/>
      <c r="P15" s="26"/>
      <c r="Q15" s="26" t="e">
        <f>SUM(#REF!)</f>
        <v>#REF!</v>
      </c>
      <c r="R15" s="26" t="e">
        <f>SUM(#REF!)</f>
        <v>#REF!</v>
      </c>
      <c r="S15" s="26" t="e">
        <f>SUM(#REF!)</f>
        <v>#REF!</v>
      </c>
      <c r="T15" s="26" t="e">
        <f>SUM(#REF!)</f>
        <v>#REF!</v>
      </c>
      <c r="U15" s="26" t="e">
        <f>SUM(#REF!)</f>
        <v>#REF!</v>
      </c>
      <c r="V15" s="26" t="e">
        <f>SUM(#REF!)</f>
        <v>#REF!</v>
      </c>
      <c r="W15" s="26" t="e">
        <f>SUM(#REF!)</f>
        <v>#REF!</v>
      </c>
      <c r="X15" s="26" t="e">
        <f>SUM(#REF!)</f>
        <v>#REF!</v>
      </c>
      <c r="Y15" s="26" t="e">
        <f>SUM(#REF!)</f>
        <v>#REF!</v>
      </c>
      <c r="Z15" s="26" t="e">
        <f>SUM(#REF!)</f>
        <v>#REF!</v>
      </c>
      <c r="AA15" s="26" t="e">
        <f>SUM(#REF!)</f>
        <v>#REF!</v>
      </c>
      <c r="AB15" s="26" t="e">
        <f>SUM(#REF!)</f>
        <v>#REF!</v>
      </c>
      <c r="AC15" s="26" t="e">
        <f>SUM(#REF!)</f>
        <v>#REF!</v>
      </c>
      <c r="AD15" s="26" t="e">
        <f>SUM(#REF!)</f>
        <v>#REF!</v>
      </c>
      <c r="AE15" s="26" t="e">
        <f>SUM(#REF!)</f>
        <v>#REF!</v>
      </c>
      <c r="AF15" s="26" t="e">
        <f>SUM(#REF!)</f>
        <v>#REF!</v>
      </c>
      <c r="AG15" s="26" t="e">
        <f>SUM(#REF!)</f>
        <v>#REF!</v>
      </c>
      <c r="AH15" s="26" t="e">
        <f>SUM(#REF!)</f>
        <v>#REF!</v>
      </c>
      <c r="AI15" s="26" t="e">
        <f>SUM(#REF!)</f>
        <v>#REF!</v>
      </c>
      <c r="AJ15" s="26" t="e">
        <f>SUM(#REF!)</f>
        <v>#REF!</v>
      </c>
      <c r="AK15" s="26" t="e">
        <f>SUM(#REF!)</f>
        <v>#REF!</v>
      </c>
      <c r="AL15" s="26" t="e">
        <f>SUM(#REF!)</f>
        <v>#REF!</v>
      </c>
      <c r="AM15" s="26" t="e">
        <f>SUM(#REF!)</f>
        <v>#REF!</v>
      </c>
      <c r="AN15" s="26" t="e">
        <f>SUM(#REF!)</f>
        <v>#REF!</v>
      </c>
      <c r="AO15" s="26" t="e">
        <f>SUM(#REF!)</f>
        <v>#REF!</v>
      </c>
      <c r="AP15" s="26" t="e">
        <f>SUM(#REF!)</f>
        <v>#REF!</v>
      </c>
      <c r="AQ15" s="26" t="e">
        <f>SUM(#REF!)</f>
        <v>#REF!</v>
      </c>
      <c r="AR15" s="26" t="e">
        <f>SUM(#REF!)</f>
        <v>#REF!</v>
      </c>
      <c r="AS15" s="26" t="e">
        <f>SUM(#REF!)</f>
        <v>#REF!</v>
      </c>
      <c r="AT15" s="26" t="e">
        <f>SUM(#REF!)</f>
        <v>#REF!</v>
      </c>
      <c r="AU15" s="26" t="e">
        <f>SUM(#REF!)</f>
        <v>#REF!</v>
      </c>
      <c r="AV15" s="26" t="e">
        <f>SUM(#REF!)</f>
        <v>#REF!</v>
      </c>
      <c r="AW15" s="26" t="e">
        <f>SUM(#REF!)</f>
        <v>#REF!</v>
      </c>
      <c r="AX15" s="26" t="e">
        <f>SUM(#REF!)</f>
        <v>#REF!</v>
      </c>
      <c r="AY15" s="26" t="e">
        <f>SUM(#REF!)</f>
        <v>#REF!</v>
      </c>
      <c r="AZ15" s="26" t="e">
        <f>SUM(#REF!)</f>
        <v>#REF!</v>
      </c>
      <c r="BA15" s="26" t="e">
        <f>SUM(#REF!)</f>
        <v>#REF!</v>
      </c>
      <c r="BB15" s="26"/>
      <c r="BC15" s="38"/>
    </row>
    <row r="16" spans="1:55" customFormat="1" ht="12.75" hidden="1" customHeight="1" outlineLevel="1">
      <c r="A16" s="169"/>
      <c r="B16" s="41"/>
      <c r="C16" s="20"/>
      <c r="D16" s="14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0"/>
      <c r="P16" s="14"/>
    </row>
    <row r="17" spans="1:16" customFormat="1" ht="12.75" hidden="1" customHeight="1" outlineLevel="1">
      <c r="A17" s="169"/>
      <c r="B17" s="30" t="s">
        <v>161</v>
      </c>
      <c r="C17" s="23"/>
      <c r="D17" s="14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0"/>
      <c r="P17" s="14"/>
    </row>
    <row r="18" spans="1:16" customFormat="1" ht="12.75" hidden="1" customHeight="1" outlineLevel="1">
      <c r="A18" s="169"/>
      <c r="B18" s="30" t="str">
        <f>B9</f>
        <v>California</v>
      </c>
      <c r="C18" s="23" t="s">
        <v>100</v>
      </c>
      <c r="D18" s="313"/>
      <c r="E18" s="24">
        <f>SUMIF('Model - Quarterly'!$5:$5,E$1,'Model - Quarterly'!441:441)</f>
        <v>139.59742024799999</v>
      </c>
      <c r="F18" s="24">
        <f>SUMIF('Model - Quarterly'!$5:$5,F$1,'Model - Quarterly'!441:441)</f>
        <v>240.15182966334254</v>
      </c>
      <c r="G18" s="24">
        <f>SUMIF('Model - Quarterly'!$5:$5,G$1,'Model - Quarterly'!441:441)</f>
        <v>1135.1539153553424</v>
      </c>
      <c r="H18" s="24">
        <f>SUMIF('Model - Quarterly'!$5:$5,H$1,'Model - Quarterly'!441:441)</f>
        <v>1468.5650306136986</v>
      </c>
      <c r="I18" s="24">
        <f>SUMIF('Model - Quarterly'!$5:$5,I$1,'Model - Quarterly'!441:441)</f>
        <v>1468.5650306136986</v>
      </c>
      <c r="J18" s="24">
        <f>SUMIF('Model - Quarterly'!$5:$5,J$1,'Model - Quarterly'!441:441)</f>
        <v>1607.8529222136985</v>
      </c>
      <c r="K18" s="24">
        <f>SUMIF('Model - Quarterly'!$5:$5,K$1,'Model - Quarterly'!441:441)</f>
        <v>1468.5650306136986</v>
      </c>
      <c r="L18" s="24">
        <f>SUMIF('Model - Quarterly'!$5:$5,L$1,'Model - Quarterly'!441:441)</f>
        <v>1468.5650306136986</v>
      </c>
      <c r="M18" s="24">
        <f>SUMIF('Model - Quarterly'!$5:$5,M$1,'Model - Quarterly'!441:441)</f>
        <v>1607.8529222136985</v>
      </c>
      <c r="N18" s="24">
        <f>SUMIF('Model - Quarterly'!$5:$5,N$1,'Model - Quarterly'!441:441)</f>
        <v>1468.5650306136986</v>
      </c>
      <c r="O18" s="314"/>
      <c r="P18" s="14"/>
    </row>
    <row r="19" spans="1:16" customFormat="1" ht="12.75" hidden="1" customHeight="1" outlineLevel="1">
      <c r="A19" s="169"/>
      <c r="B19" s="30"/>
      <c r="C19" s="23"/>
      <c r="D19" s="14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0"/>
      <c r="P19" s="14"/>
    </row>
    <row r="20" spans="1:16" customFormat="1" ht="12.75" hidden="1" customHeight="1" outlineLevel="1">
      <c r="A20" s="169"/>
      <c r="B20" s="30" t="str">
        <f>B9</f>
        <v>California</v>
      </c>
      <c r="C20" s="23" t="s">
        <v>115</v>
      </c>
      <c r="D20" s="313"/>
      <c r="E20" s="24">
        <f>SUMIF('Model - Quarterly'!$5:$5,E$1,'Model - Quarterly'!443:443)</f>
        <v>63320.273045130816</v>
      </c>
      <c r="F20" s="24">
        <f>SUMIF('Model - Quarterly'!$5:$5,F$1,'Model - Quarterly'!443:443)</f>
        <v>108930.94872065485</v>
      </c>
      <c r="G20" s="24">
        <f>SUMIF('Model - Quarterly'!$5:$5,G$1,'Model - Quarterly'!443:443)</f>
        <v>514896.73477386043</v>
      </c>
      <c r="H20" s="24">
        <f>SUMIF('Model - Quarterly'!$5:$5,H$1,'Model - Quarterly'!443:443)</f>
        <v>666129.34936612868</v>
      </c>
      <c r="I20" s="24">
        <f>SUMIF('Model - Quarterly'!$5:$5,I$1,'Model - Quarterly'!443:443)</f>
        <v>666129.34936612879</v>
      </c>
      <c r="J20" s="24">
        <f>SUMIF('Model - Quarterly'!$5:$5,J$1,'Model - Quarterly'!443:443)</f>
        <v>729309.22269275598</v>
      </c>
      <c r="K20" s="24">
        <f>SUMIF('Model - Quarterly'!$5:$5,K$1,'Model - Quarterly'!443:443)</f>
        <v>666129.34936612868</v>
      </c>
      <c r="L20" s="24">
        <f>SUMIF('Model - Quarterly'!$5:$5,L$1,'Model - Quarterly'!443:443)</f>
        <v>666129.34936612879</v>
      </c>
      <c r="M20" s="24">
        <f>SUMIF('Model - Quarterly'!$5:$5,M$1,'Model - Quarterly'!443:443)</f>
        <v>729309.22269275598</v>
      </c>
      <c r="N20" s="24">
        <f>SUMIF('Model - Quarterly'!$5:$5,N$1,'Model - Quarterly'!443:443)</f>
        <v>666129.34936612868</v>
      </c>
      <c r="O20" s="314"/>
      <c r="P20" s="14"/>
    </row>
    <row r="21" spans="1:16" customFormat="1" ht="12.75" hidden="1" customHeight="1" outlineLevel="1">
      <c r="A21" s="169"/>
      <c r="B21" s="41"/>
      <c r="C21" s="23"/>
      <c r="D21" s="14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0"/>
      <c r="P21" s="14"/>
    </row>
    <row r="22" spans="1:16" customFormat="1" ht="12.75" hidden="1" customHeight="1" outlineLevel="1">
      <c r="A22" s="169"/>
      <c r="B22" s="41" t="s">
        <v>162</v>
      </c>
      <c r="C22" s="23" t="s">
        <v>100</v>
      </c>
      <c r="D22" s="144"/>
      <c r="E22" s="24">
        <f>SUMIF('Model - Quarterly'!$5:$5,E$1,'Model - Quarterly'!445:445)</f>
        <v>139.59742024799999</v>
      </c>
      <c r="F22" s="24">
        <f>SUMIF('Model - Quarterly'!$5:$5,F$1,'Model - Quarterly'!445:445)</f>
        <v>240.15182966334254</v>
      </c>
      <c r="G22" s="24">
        <f>SUMIF('Model - Quarterly'!$5:$5,G$1,'Model - Quarterly'!445:445)</f>
        <v>1135.1539153553424</v>
      </c>
      <c r="H22" s="24">
        <f>SUMIF('Model - Quarterly'!$5:$5,H$1,'Model - Quarterly'!445:445)</f>
        <v>1468.5650306136986</v>
      </c>
      <c r="I22" s="24">
        <f>SUMIF('Model - Quarterly'!$5:$5,I$1,'Model - Quarterly'!445:445)</f>
        <v>1468.5650306136986</v>
      </c>
      <c r="J22" s="24">
        <f>SUMIF('Model - Quarterly'!$5:$5,J$1,'Model - Quarterly'!445:445)</f>
        <v>1607.8529222136985</v>
      </c>
      <c r="K22" s="24">
        <f>SUMIF('Model - Quarterly'!$5:$5,K$1,'Model - Quarterly'!445:445)</f>
        <v>1468.5650306136986</v>
      </c>
      <c r="L22" s="24">
        <f>SUMIF('Model - Quarterly'!$5:$5,L$1,'Model - Quarterly'!445:445)</f>
        <v>1468.5650306136986</v>
      </c>
      <c r="M22" s="24">
        <f>SUMIF('Model - Quarterly'!$5:$5,M$1,'Model - Quarterly'!445:445)</f>
        <v>1607.8529222136985</v>
      </c>
      <c r="N22" s="24">
        <f>SUMIF('Model - Quarterly'!$5:$5,N$1,'Model - Quarterly'!445:445)</f>
        <v>1468.5650306136986</v>
      </c>
      <c r="O22" s="20"/>
      <c r="P22" s="14"/>
    </row>
    <row r="23" spans="1:16" customFormat="1" ht="12.75" hidden="1" customHeight="1" outlineLevel="1">
      <c r="A23" s="169"/>
      <c r="B23" s="41" t="s">
        <v>162</v>
      </c>
      <c r="C23" s="20" t="s">
        <v>115</v>
      </c>
      <c r="D23" s="144"/>
      <c r="E23" s="24">
        <f>SUMIF('Model - Quarterly'!$5:$5,E$1,'Model - Quarterly'!446:446)</f>
        <v>63320.273045130816</v>
      </c>
      <c r="F23" s="24">
        <f>SUMIF('Model - Quarterly'!$5:$5,F$1,'Model - Quarterly'!446:446)</f>
        <v>108930.94872065485</v>
      </c>
      <c r="G23" s="24">
        <f>SUMIF('Model - Quarterly'!$5:$5,G$1,'Model - Quarterly'!446:446)</f>
        <v>514896.73477386043</v>
      </c>
      <c r="H23" s="24">
        <f>SUMIF('Model - Quarterly'!$5:$5,H$1,'Model - Quarterly'!446:446)</f>
        <v>666129.34936612868</v>
      </c>
      <c r="I23" s="24">
        <f>SUMIF('Model - Quarterly'!$5:$5,I$1,'Model - Quarterly'!446:446)</f>
        <v>666129.34936612879</v>
      </c>
      <c r="J23" s="24">
        <f>SUMIF('Model - Quarterly'!$5:$5,J$1,'Model - Quarterly'!446:446)</f>
        <v>729309.22269275598</v>
      </c>
      <c r="K23" s="24">
        <f>SUMIF('Model - Quarterly'!$5:$5,K$1,'Model - Quarterly'!446:446)</f>
        <v>666129.34936612868</v>
      </c>
      <c r="L23" s="24">
        <f>SUMIF('Model - Quarterly'!$5:$5,L$1,'Model - Quarterly'!446:446)</f>
        <v>666129.34936612879</v>
      </c>
      <c r="M23" s="24">
        <f>SUMIF('Model - Quarterly'!$5:$5,M$1,'Model - Quarterly'!446:446)</f>
        <v>729309.22269275598</v>
      </c>
      <c r="N23" s="24">
        <f>SUMIF('Model - Quarterly'!$5:$5,N$1,'Model - Quarterly'!446:446)</f>
        <v>666129.34936612868</v>
      </c>
      <c r="O23" s="20"/>
      <c r="P23" s="14"/>
    </row>
    <row r="24" spans="1:16" customFormat="1" ht="12.75" hidden="1" customHeight="1" outlineLevel="1">
      <c r="A24" s="169"/>
      <c r="B24" s="30"/>
      <c r="C24" s="23"/>
      <c r="D24" s="14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0"/>
      <c r="P24" s="14"/>
    </row>
    <row r="25" spans="1:16" customFormat="1" ht="12.75" hidden="1" customHeight="1" outlineLevel="1">
      <c r="A25" s="169"/>
      <c r="B25" s="41" t="s">
        <v>188</v>
      </c>
      <c r="C25" s="23"/>
      <c r="D25" s="14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0"/>
      <c r="P25" s="14"/>
    </row>
    <row r="26" spans="1:16" customFormat="1" ht="12.75" hidden="1" customHeight="1" outlineLevel="1">
      <c r="A26" s="169"/>
      <c r="B26" s="30" t="str">
        <f>B20</f>
        <v>California</v>
      </c>
      <c r="C26" s="23" t="s">
        <v>100</v>
      </c>
      <c r="D26" s="144"/>
      <c r="E26" s="24">
        <f t="shared" ref="E26:N26" si="2">E9+E18</f>
        <v>837.58452148800006</v>
      </c>
      <c r="F26" s="24">
        <f t="shared" si="2"/>
        <v>1440.9109779800551</v>
      </c>
      <c r="G26" s="24">
        <f t="shared" si="2"/>
        <v>6810.923492132054</v>
      </c>
      <c r="H26" s="24">
        <f t="shared" si="2"/>
        <v>8811.3901836821897</v>
      </c>
      <c r="I26" s="24">
        <f t="shared" si="2"/>
        <v>8811.3901836821915</v>
      </c>
      <c r="J26" s="24">
        <f t="shared" si="2"/>
        <v>9647.1175332821913</v>
      </c>
      <c r="K26" s="24">
        <f t="shared" si="2"/>
        <v>8811.3901836821897</v>
      </c>
      <c r="L26" s="24">
        <f t="shared" si="2"/>
        <v>8811.3901836821915</v>
      </c>
      <c r="M26" s="24">
        <f t="shared" si="2"/>
        <v>9647.1175332821913</v>
      </c>
      <c r="N26" s="24">
        <f t="shared" si="2"/>
        <v>8811.3901836821897</v>
      </c>
      <c r="O26" s="20"/>
      <c r="P26" s="14"/>
    </row>
    <row r="27" spans="1:16" customFormat="1" ht="12.75" hidden="1" customHeight="1" outlineLevel="1">
      <c r="A27" s="169"/>
      <c r="B27" s="30"/>
      <c r="C27" s="23"/>
      <c r="D27" s="14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0"/>
      <c r="P27" s="14"/>
    </row>
    <row r="28" spans="1:16" customFormat="1" ht="12.75" hidden="1" customHeight="1" outlineLevel="1">
      <c r="A28" s="169"/>
      <c r="B28" s="41" t="s">
        <v>188</v>
      </c>
      <c r="C28" s="20" t="s">
        <v>100</v>
      </c>
      <c r="D28" s="144"/>
      <c r="E28" s="40">
        <f t="shared" ref="E28:N28" si="3">SUM(E26:E26)</f>
        <v>837.58452148800006</v>
      </c>
      <c r="F28" s="40">
        <f t="shared" si="3"/>
        <v>1440.9109779800551</v>
      </c>
      <c r="G28" s="40">
        <f t="shared" si="3"/>
        <v>6810.923492132054</v>
      </c>
      <c r="H28" s="40">
        <f t="shared" si="3"/>
        <v>8811.3901836821897</v>
      </c>
      <c r="I28" s="40">
        <f t="shared" si="3"/>
        <v>8811.3901836821915</v>
      </c>
      <c r="J28" s="40">
        <f t="shared" si="3"/>
        <v>9647.1175332821913</v>
      </c>
      <c r="K28" s="40">
        <f t="shared" si="3"/>
        <v>8811.3901836821897</v>
      </c>
      <c r="L28" s="40">
        <f t="shared" si="3"/>
        <v>8811.3901836821915</v>
      </c>
      <c r="M28" s="40">
        <f t="shared" si="3"/>
        <v>9647.1175332821913</v>
      </c>
      <c r="N28" s="40">
        <f t="shared" si="3"/>
        <v>8811.3901836821897</v>
      </c>
      <c r="O28" s="20"/>
      <c r="P28" s="14"/>
    </row>
    <row r="29" spans="1:16" customFormat="1" ht="12.75" hidden="1" customHeight="1" outlineLevel="1">
      <c r="A29" s="169"/>
      <c r="B29" s="41" t="s">
        <v>188</v>
      </c>
      <c r="C29" s="20" t="s">
        <v>115</v>
      </c>
      <c r="D29" s="144"/>
      <c r="E29" s="208">
        <f t="shared" ref="E29:M29" si="4">E28*lbs_grams</f>
        <v>379921.63827078493</v>
      </c>
      <c r="F29" s="208">
        <f>F28*lbs_grams</f>
        <v>653585.69232392916</v>
      </c>
      <c r="G29" s="208">
        <f t="shared" si="4"/>
        <v>3089380.4086431623</v>
      </c>
      <c r="H29" s="208">
        <f t="shared" si="4"/>
        <v>3996776.0961967716</v>
      </c>
      <c r="I29" s="208">
        <f>I28*lbs_grams</f>
        <v>3996776.0961967725</v>
      </c>
      <c r="J29" s="208">
        <f t="shared" si="4"/>
        <v>4375855.3361565359</v>
      </c>
      <c r="K29" s="208">
        <f t="shared" si="4"/>
        <v>3996776.0961967716</v>
      </c>
      <c r="L29" s="208">
        <f t="shared" si="4"/>
        <v>3996776.0961967725</v>
      </c>
      <c r="M29" s="208">
        <f t="shared" si="4"/>
        <v>4375855.3361565359</v>
      </c>
      <c r="N29" s="208">
        <f>N28*lbs_grams</f>
        <v>3996776.0961967716</v>
      </c>
      <c r="O29" s="20"/>
      <c r="P29" s="14"/>
    </row>
    <row r="30" spans="1:16" customFormat="1" ht="12.75" hidden="1" customHeight="1" outlineLevel="1">
      <c r="A30" s="169"/>
      <c r="B30" s="30"/>
      <c r="C30" s="23"/>
      <c r="D30" s="14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0"/>
      <c r="P30" s="14"/>
    </row>
    <row r="31" spans="1:16" customFormat="1" ht="12.75" customHeight="1" collapsed="1">
      <c r="A31" s="169"/>
      <c r="B31" s="21" t="s">
        <v>260</v>
      </c>
      <c r="C31" s="66"/>
      <c r="D31" s="145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276"/>
      <c r="P31" s="14"/>
    </row>
    <row r="32" spans="1:16" customFormat="1" ht="12.75" hidden="1" customHeight="1" outlineLevel="1">
      <c r="A32" s="169"/>
      <c r="B32" s="360"/>
      <c r="C32" s="361"/>
      <c r="D32" s="362"/>
      <c r="E32" s="363"/>
      <c r="F32" s="363"/>
      <c r="G32" s="363"/>
      <c r="H32" s="363"/>
      <c r="I32" s="363"/>
      <c r="J32" s="363"/>
      <c r="K32" s="363"/>
      <c r="L32" s="363"/>
      <c r="M32" s="363"/>
      <c r="N32" s="363"/>
      <c r="O32" s="276"/>
      <c r="P32" s="14"/>
    </row>
    <row r="33" spans="1:16" customFormat="1" ht="12.75" hidden="1" customHeight="1" outlineLevel="1">
      <c r="A33" s="169"/>
      <c r="B33" s="364" t="s">
        <v>220</v>
      </c>
      <c r="C33" s="365"/>
      <c r="D33" s="362"/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276"/>
      <c r="P33" s="14"/>
    </row>
    <row r="34" spans="1:16" customFormat="1" ht="12.75" hidden="1" customHeight="1" outlineLevel="1">
      <c r="A34" s="169"/>
      <c r="B34" s="366" t="s">
        <v>273</v>
      </c>
      <c r="C34" s="367"/>
      <c r="D34" s="362"/>
      <c r="E34" s="363"/>
      <c r="F34" s="363">
        <f>SUMIF('Model - Quarterly'!$5:$5,F$1,'Model - Quarterly'!468:468)</f>
        <v>1725.6802308153651</v>
      </c>
      <c r="G34" s="363">
        <f>SUMIF('Model - Quarterly'!$5:$5,G$1,'Model - Quarterly'!468:468)</f>
        <v>6518.7162566631305</v>
      </c>
      <c r="H34" s="363">
        <f>SUMIF('Model - Quarterly'!$5:$5,H$1,'Model - Quarterly'!468:468)</f>
        <v>15223.163395620137</v>
      </c>
      <c r="I34" s="363">
        <f>SUMIF('Model - Quarterly'!$5:$5,I$1,'Model - Quarterly'!468:468)</f>
        <v>14641.035183086755</v>
      </c>
      <c r="J34" s="363">
        <f>SUMIF('Model - Quarterly'!$5:$5,J$1,'Model - Quarterly'!468:468)</f>
        <v>14627.384022814771</v>
      </c>
      <c r="K34" s="363">
        <f>SUMIF('Model - Quarterly'!$5:$5,K$1,'Model - Quarterly'!468:468)</f>
        <v>15170.103520005961</v>
      </c>
      <c r="L34" s="363">
        <f>SUMIF('Model - Quarterly'!$5:$5,L$1,'Model - Quarterly'!468:468)</f>
        <v>14596.613057920831</v>
      </c>
      <c r="M34" s="363">
        <f>SUMIF('Model - Quarterly'!$5:$5,M$1,'Model - Quarterly'!468:468)</f>
        <v>14579.300085919629</v>
      </c>
      <c r="N34" s="363">
        <f>SUMIF('Model - Quarterly'!$5:$5,N$1,'Model - Quarterly'!468:468)</f>
        <v>15118.05592033125</v>
      </c>
      <c r="O34" s="333"/>
      <c r="P34" s="14"/>
    </row>
    <row r="35" spans="1:16" customFormat="1" ht="12.75" hidden="1" customHeight="1" outlineLevel="1">
      <c r="A35" s="169"/>
      <c r="B35" s="360"/>
      <c r="C35" s="361"/>
      <c r="D35" s="362"/>
      <c r="E35" s="363"/>
      <c r="F35" s="363"/>
      <c r="G35" s="363"/>
      <c r="H35" s="363"/>
      <c r="I35" s="363"/>
      <c r="J35" s="363"/>
      <c r="K35" s="363"/>
      <c r="L35" s="363"/>
      <c r="M35" s="363"/>
      <c r="N35" s="363"/>
      <c r="O35" s="419"/>
      <c r="P35" s="14"/>
    </row>
    <row r="36" spans="1:16" customFormat="1" ht="12.75" hidden="1" customHeight="1" outlineLevel="1">
      <c r="A36" s="169"/>
      <c r="B36" s="364" t="s">
        <v>403</v>
      </c>
      <c r="C36" s="361"/>
      <c r="D36" s="362"/>
      <c r="E36" s="363"/>
      <c r="F36" s="363"/>
      <c r="G36" s="363"/>
      <c r="H36" s="363"/>
      <c r="I36" s="363"/>
      <c r="J36" s="363"/>
      <c r="K36" s="363"/>
      <c r="L36" s="363"/>
      <c r="M36" s="363"/>
      <c r="N36" s="363"/>
      <c r="O36" s="419"/>
      <c r="P36" s="14"/>
    </row>
    <row r="37" spans="1:16" customFormat="1" ht="12.75" hidden="1" customHeight="1" outlineLevel="1">
      <c r="A37" s="169"/>
      <c r="B37" s="366" t="s">
        <v>406</v>
      </c>
      <c r="C37" s="361"/>
      <c r="D37" s="362"/>
      <c r="E37" s="363"/>
      <c r="F37" s="363">
        <f>SUMIF('Model - Quarterly'!$5:$5,F$1,'Model - Quarterly'!472:472)</f>
        <v>0</v>
      </c>
      <c r="G37" s="363">
        <f>SUMIF('Model - Quarterly'!$5:$5,G$1,'Model - Quarterly'!472:472)</f>
        <v>753.60914828734781</v>
      </c>
      <c r="H37" s="363">
        <f>SUMIF('Model - Quarterly'!$5:$5,H$1,'Model - Quarterly'!472:472)</f>
        <v>2937.033970171392</v>
      </c>
      <c r="I37" s="363">
        <f>SUMIF('Model - Quarterly'!$5:$5,I$1,'Model - Quarterly'!472:472)</f>
        <v>2642.2532425156801</v>
      </c>
      <c r="J37" s="363">
        <f>SUMIF('Model - Quarterly'!$5:$5,J$1,'Model - Quarterly'!472:472)</f>
        <v>2516.8693776404725</v>
      </c>
      <c r="K37" s="363">
        <f>SUMIF('Model - Quarterly'!$5:$5,K$1,'Model - Quarterly'!472:472)</f>
        <v>2776.0240582458732</v>
      </c>
      <c r="L37" s="363">
        <f>SUMIF('Model - Quarterly'!$5:$5,L$1,'Model - Quarterly'!472:472)</f>
        <v>2234.2426684470956</v>
      </c>
      <c r="M37" s="363">
        <f>SUMIF('Model - Quarterly'!$5:$5,M$1,'Model - Quarterly'!472:472)</f>
        <v>2075.2256106485738</v>
      </c>
      <c r="N37" s="363">
        <f>SUMIF('Model - Quarterly'!$5:$5,N$1,'Model - Quarterly'!472:472)</f>
        <v>2297.9746415902964</v>
      </c>
      <c r="O37" s="419"/>
      <c r="P37" s="14"/>
    </row>
    <row r="38" spans="1:16" customFormat="1" ht="12.75" hidden="1" customHeight="1" outlineLevel="1">
      <c r="A38" s="169"/>
      <c r="B38" s="360"/>
      <c r="C38" s="361"/>
      <c r="D38" s="362"/>
      <c r="E38" s="363"/>
      <c r="F38" s="363"/>
      <c r="G38" s="363"/>
      <c r="H38" s="363"/>
      <c r="I38" s="363"/>
      <c r="J38" s="363"/>
      <c r="K38" s="363"/>
      <c r="L38" s="363"/>
      <c r="M38" s="363"/>
      <c r="N38" s="363"/>
      <c r="O38" s="276"/>
      <c r="P38" s="14"/>
    </row>
    <row r="39" spans="1:16" customFormat="1" ht="12.75" hidden="1" customHeight="1" outlineLevel="1">
      <c r="A39" s="169"/>
      <c r="B39" s="364" t="s">
        <v>225</v>
      </c>
      <c r="C39" s="365"/>
      <c r="D39" s="362"/>
      <c r="E39" s="363"/>
      <c r="F39" s="363"/>
      <c r="G39" s="363"/>
      <c r="H39" s="363"/>
      <c r="I39" s="363"/>
      <c r="J39" s="363"/>
      <c r="K39" s="363"/>
      <c r="L39" s="363"/>
      <c r="M39" s="363"/>
      <c r="N39" s="363"/>
      <c r="O39" s="276"/>
      <c r="P39" s="14"/>
    </row>
    <row r="40" spans="1:16" customFormat="1" ht="12.75" hidden="1" customHeight="1" outlineLevel="1">
      <c r="A40" s="169"/>
      <c r="B40" s="366" t="s">
        <v>294</v>
      </c>
      <c r="C40" s="367"/>
      <c r="D40" s="362"/>
      <c r="E40" s="363"/>
      <c r="F40" s="363">
        <f>SUMIF('Model - Quarterly'!$5:$5,F$1,'Model - Quarterly'!476:476)</f>
        <v>0</v>
      </c>
      <c r="G40" s="363">
        <f>SUMIF('Model - Quarterly'!$5:$5,G$1,'Model - Quarterly'!476:476)</f>
        <v>14452.125</v>
      </c>
      <c r="H40" s="363">
        <f>SUMIF('Model - Quarterly'!$5:$5,H$1,'Model - Quarterly'!476:476)</f>
        <v>24860.431870312503</v>
      </c>
      <c r="I40" s="363">
        <f>SUMIF('Model - Quarterly'!$5:$5,I$1,'Model - Quarterly'!476:476)</f>
        <v>29204.318221124253</v>
      </c>
      <c r="J40" s="363">
        <f>SUMIF('Model - Quarterly'!$5:$5,J$1,'Model - Quarterly'!476:476)</f>
        <v>31611.693253418885</v>
      </c>
      <c r="K40" s="363">
        <f>SUMIF('Model - Quarterly'!$5:$5,K$1,'Model - Quarterly'!476:476)</f>
        <v>34217.513409555635</v>
      </c>
      <c r="L40" s="363">
        <f>SUMIF('Model - Quarterly'!$5:$5,L$1,'Model - Quarterly'!476:476)</f>
        <v>37038.136949734282</v>
      </c>
      <c r="M40" s="363">
        <f>SUMIF('Model - Quarterly'!$5:$5,M$1,'Model - Quarterly'!476:476)</f>
        <v>40091.270580876699</v>
      </c>
      <c r="N40" s="363">
        <f>SUMIF('Model - Quarterly'!$5:$5,N$1,'Model - Quarterly'!476:476)</f>
        <v>43396.080612002821</v>
      </c>
      <c r="O40" s="333"/>
      <c r="P40" s="14"/>
    </row>
    <row r="41" spans="1:16" customFormat="1" ht="12.75" hidden="1" customHeight="1" outlineLevel="1">
      <c r="A41" s="169"/>
      <c r="B41" s="360"/>
      <c r="C41" s="361"/>
      <c r="D41" s="362"/>
      <c r="E41" s="363"/>
      <c r="F41" s="363"/>
      <c r="G41" s="363"/>
      <c r="H41" s="363"/>
      <c r="I41" s="363"/>
      <c r="J41" s="363"/>
      <c r="K41" s="363"/>
      <c r="L41" s="363"/>
      <c r="M41" s="363"/>
      <c r="N41" s="363"/>
      <c r="O41" s="276"/>
      <c r="P41" s="14"/>
    </row>
    <row r="42" spans="1:16" customFormat="1" ht="12.75" customHeight="1" collapsed="1">
      <c r="A42" s="169"/>
      <c r="B42" s="369" t="s">
        <v>261</v>
      </c>
      <c r="C42" s="370"/>
      <c r="D42" s="371"/>
      <c r="E42" s="370"/>
      <c r="F42" s="370"/>
      <c r="G42" s="370"/>
      <c r="H42" s="370"/>
      <c r="I42" s="370"/>
      <c r="J42" s="370"/>
      <c r="K42" s="370"/>
      <c r="L42" s="370"/>
      <c r="M42" s="370"/>
      <c r="N42" s="370"/>
      <c r="O42" s="276"/>
      <c r="P42" s="14"/>
    </row>
    <row r="43" spans="1:16" customFormat="1" ht="12.75" hidden="1" customHeight="1" outlineLevel="1">
      <c r="A43" s="169"/>
      <c r="B43" s="360"/>
      <c r="C43" s="361"/>
      <c r="D43" s="362"/>
      <c r="E43" s="363"/>
      <c r="F43" s="363"/>
      <c r="G43" s="363"/>
      <c r="H43" s="363"/>
      <c r="I43" s="363"/>
      <c r="J43" s="363"/>
      <c r="K43" s="363"/>
      <c r="L43" s="363"/>
      <c r="M43" s="363"/>
      <c r="N43" s="363"/>
      <c r="O43" s="276"/>
      <c r="P43" s="14"/>
    </row>
    <row r="44" spans="1:16" customFormat="1" ht="12.75" hidden="1" customHeight="1" outlineLevel="1">
      <c r="A44" s="169"/>
      <c r="B44" s="364" t="s">
        <v>220</v>
      </c>
      <c r="C44" s="365"/>
      <c r="D44" s="362"/>
      <c r="E44" s="363"/>
      <c r="F44" s="363"/>
      <c r="G44" s="363"/>
      <c r="H44" s="363"/>
      <c r="I44" s="363"/>
      <c r="J44" s="363"/>
      <c r="K44" s="363"/>
      <c r="L44" s="363"/>
      <c r="M44" s="363"/>
      <c r="N44" s="363"/>
      <c r="O44" s="276"/>
      <c r="P44" s="14"/>
    </row>
    <row r="45" spans="1:16" customFormat="1" ht="12.75" hidden="1" customHeight="1" outlineLevel="1">
      <c r="A45" s="169"/>
      <c r="B45" s="366" t="s">
        <v>273</v>
      </c>
      <c r="C45" s="367"/>
      <c r="D45" s="362"/>
      <c r="E45" s="363">
        <f>SUMIF('Model - Quarterly'!$5:$5,E$1,'Model - Quarterly'!486:486)</f>
        <v>218.92404121473601</v>
      </c>
      <c r="F45" s="363">
        <f>SUMIF('Model - Quarterly'!$5:$5,F$1,'Model - Quarterly'!486:486)</f>
        <v>521.07417922465982</v>
      </c>
      <c r="G45" s="363">
        <f>SUMIF('Model - Quarterly'!$5:$5,G$1,'Model - Quarterly'!486:486)</f>
        <v>1599.8747866983601</v>
      </c>
      <c r="H45" s="363">
        <f>SUMIF('Model - Quarterly'!$5:$5,H$1,'Model - Quarterly'!486:486)</f>
        <v>1700.0696080133921</v>
      </c>
      <c r="I45" s="363">
        <f>SUMIF('Model - Quarterly'!$5:$5,I$1,'Model - Quarterly'!486:486)</f>
        <v>1420.5566488431814</v>
      </c>
      <c r="J45" s="363">
        <f>SUMIF('Model - Quarterly'!$5:$5,J$1,'Model - Quarterly'!486:486)</f>
        <v>1423.2864255868253</v>
      </c>
      <c r="K45" s="363">
        <f>SUMIF('Model - Quarterly'!$5:$5,K$1,'Model - Quarterly'!486:486)</f>
        <v>1066.2103016083665</v>
      </c>
      <c r="L45" s="363">
        <f>SUMIF('Model - Quarterly'!$5:$5,L$1,'Model - Quarterly'!486:486)</f>
        <v>908.19570996095672</v>
      </c>
      <c r="M45" s="363">
        <f>SUMIF('Model - Quarterly'!$5:$5,M$1,'Model - Quarterly'!486:486)</f>
        <v>868.69046781291104</v>
      </c>
      <c r="N45" s="363">
        <f>SUMIF('Model - Quarterly'!$5:$5,N$1,'Model - Quarterly'!486:486)</f>
        <v>465.8978011078795</v>
      </c>
      <c r="O45" s="333"/>
      <c r="P45" s="14"/>
    </row>
    <row r="46" spans="1:16" customFormat="1" ht="12.75" hidden="1" customHeight="1" outlineLevel="1">
      <c r="A46" s="169"/>
      <c r="B46" s="360"/>
      <c r="C46" s="361"/>
      <c r="D46" s="362"/>
      <c r="E46" s="363"/>
      <c r="F46" s="363"/>
      <c r="G46" s="363"/>
      <c r="H46" s="363"/>
      <c r="I46" s="363"/>
      <c r="J46" s="363"/>
      <c r="K46" s="363"/>
      <c r="L46" s="363"/>
      <c r="M46" s="363"/>
      <c r="N46" s="363"/>
      <c r="O46" s="277"/>
      <c r="P46" s="14"/>
    </row>
    <row r="47" spans="1:16" customFormat="1" ht="12.75" hidden="1" customHeight="1" outlineLevel="1">
      <c r="A47" s="169"/>
      <c r="B47" s="364" t="s">
        <v>403</v>
      </c>
      <c r="C47" s="361"/>
      <c r="D47" s="362"/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419"/>
      <c r="P47" s="14"/>
    </row>
    <row r="48" spans="1:16" customFormat="1" ht="12.75" hidden="1" customHeight="1" outlineLevel="1">
      <c r="A48" s="169"/>
      <c r="B48" s="366" t="s">
        <v>406</v>
      </c>
      <c r="C48" s="361"/>
      <c r="D48" s="362"/>
      <c r="E48" s="363"/>
      <c r="F48" s="363">
        <f>SUMIF('Model - Quarterly'!$5:$5,F$1,'Model - Quarterly'!490:490)</f>
        <v>0</v>
      </c>
      <c r="G48" s="363">
        <f>SUMIF('Model - Quarterly'!$5:$5,G$1,'Model - Quarterly'!490:490)</f>
        <v>128.66414849299366</v>
      </c>
      <c r="H48" s="363">
        <f>SUMIF('Model - Quarterly'!$5:$5,H$1,'Model - Quarterly'!490:490)</f>
        <v>434.89138372932416</v>
      </c>
      <c r="I48" s="363">
        <f>SUMIF('Model - Quarterly'!$5:$5,I$1,'Model - Quarterly'!490:490)</f>
        <v>411.27968851112905</v>
      </c>
      <c r="J48" s="363">
        <f>SUMIF('Model - Quarterly'!$5:$5,J$1,'Model - Quarterly'!490:490)</f>
        <v>402.87640300812376</v>
      </c>
      <c r="K48" s="363">
        <f>SUMIF('Model - Quarterly'!$5:$5,K$1,'Model - Quarterly'!490:490)</f>
        <v>442.4575552261299</v>
      </c>
      <c r="L48" s="363">
        <f>SUMIF('Model - Quarterly'!$5:$5,L$1,'Model - Quarterly'!490:490)</f>
        <v>387.41581251154025</v>
      </c>
      <c r="M48" s="363">
        <f>SUMIF('Model - Quarterly'!$5:$5,M$1,'Model - Quarterly'!490:490)</f>
        <v>390.49788407698065</v>
      </c>
      <c r="N48" s="363">
        <f>SUMIF('Model - Quarterly'!$5:$5,N$1,'Model - Quarterly'!490:490)</f>
        <v>430.86232999890996</v>
      </c>
      <c r="O48" s="419"/>
      <c r="P48" s="14"/>
    </row>
    <row r="49" spans="1:16" customFormat="1" ht="12.75" hidden="1" customHeight="1" outlineLevel="1">
      <c r="A49" s="169"/>
      <c r="B49" s="360"/>
      <c r="C49" s="361"/>
      <c r="D49" s="362"/>
      <c r="E49" s="363"/>
      <c r="F49" s="363"/>
      <c r="G49" s="363"/>
      <c r="H49" s="363"/>
      <c r="I49" s="363"/>
      <c r="J49" s="363"/>
      <c r="K49" s="363"/>
      <c r="L49" s="363"/>
      <c r="M49" s="363"/>
      <c r="N49" s="363"/>
      <c r="O49" s="419"/>
      <c r="P49" s="14"/>
    </row>
    <row r="50" spans="1:16" customFormat="1" ht="12.75" hidden="1" customHeight="1" outlineLevel="1">
      <c r="A50" s="169"/>
      <c r="B50" s="364" t="s">
        <v>225</v>
      </c>
      <c r="C50" s="365"/>
      <c r="D50" s="362"/>
      <c r="E50" s="363"/>
      <c r="F50" s="363"/>
      <c r="G50" s="363"/>
      <c r="H50" s="363"/>
      <c r="I50" s="363"/>
      <c r="J50" s="363"/>
      <c r="K50" s="363"/>
      <c r="L50" s="363"/>
      <c r="M50" s="363"/>
      <c r="N50" s="363"/>
      <c r="O50" s="277"/>
      <c r="P50" s="14"/>
    </row>
    <row r="51" spans="1:16" customFormat="1" ht="12.75" hidden="1" customHeight="1" outlineLevel="1">
      <c r="A51" s="169"/>
      <c r="B51" s="372" t="s">
        <v>294</v>
      </c>
      <c r="C51" s="367"/>
      <c r="D51" s="362"/>
      <c r="E51" s="363">
        <f>SUMIF('Model - Quarterly'!$5:$5,E$1,'Model - Quarterly'!494:494)</f>
        <v>0</v>
      </c>
      <c r="F51" s="363">
        <f>SUMIF('Model - Quarterly'!$5:$5,F$1,'Model - Quarterly'!494:494)</f>
        <v>0</v>
      </c>
      <c r="G51" s="363">
        <f>SUMIF('Model - Quarterly'!$5:$5,G$1,'Model - Quarterly'!494:494)</f>
        <v>7808.7375000000002</v>
      </c>
      <c r="H51" s="363">
        <f>SUMIF('Model - Quarterly'!$5:$5,H$1,'Model - Quarterly'!494:494)</f>
        <v>11933.00729775</v>
      </c>
      <c r="I51" s="363">
        <f>SUMIF('Model - Quarterly'!$5:$5,I$1,'Model - Quarterly'!494:494)</f>
        <v>14018.072746139642</v>
      </c>
      <c r="J51" s="363">
        <f>SUMIF('Model - Quarterly'!$5:$5,J$1,'Model - Quarterly'!494:494)</f>
        <v>15173.612761641063</v>
      </c>
      <c r="K51" s="363">
        <f>SUMIF('Model - Quarterly'!$5:$5,K$1,'Model - Quarterly'!494:494)</f>
        <v>16424.406436586705</v>
      </c>
      <c r="L51" s="363">
        <f>SUMIF('Model - Quarterly'!$5:$5,L$1,'Model - Quarterly'!494:494)</f>
        <v>17778.305735872455</v>
      </c>
      <c r="M51" s="363">
        <f>SUMIF('Model - Quarterly'!$5:$5,M$1,'Model - Quarterly'!494:494)</f>
        <v>19243.809878820812</v>
      </c>
      <c r="N51" s="363">
        <f>SUMIF('Model - Quarterly'!$5:$5,N$1,'Model - Quarterly'!494:494)</f>
        <v>20830.118693761353</v>
      </c>
      <c r="O51" s="333"/>
      <c r="P51" s="14"/>
    </row>
    <row r="52" spans="1:16" customFormat="1" ht="12.75" hidden="1" customHeight="1" outlineLevel="1">
      <c r="A52" s="169"/>
      <c r="B52" s="360"/>
      <c r="C52" s="361"/>
      <c r="D52" s="362"/>
      <c r="E52" s="363"/>
      <c r="F52" s="363"/>
      <c r="G52" s="363"/>
      <c r="H52" s="363"/>
      <c r="I52" s="363"/>
      <c r="J52" s="363"/>
      <c r="K52" s="363"/>
      <c r="L52" s="363"/>
      <c r="M52" s="363"/>
      <c r="N52" s="363"/>
      <c r="O52" s="276"/>
      <c r="P52" s="14"/>
    </row>
    <row r="53" spans="1:16" customFormat="1" ht="12.75" customHeight="1" collapsed="1">
      <c r="A53" s="169"/>
      <c r="B53" s="369" t="s">
        <v>262</v>
      </c>
      <c r="C53" s="370"/>
      <c r="D53" s="371"/>
      <c r="E53" s="370"/>
      <c r="F53" s="370"/>
      <c r="G53" s="370"/>
      <c r="H53" s="370"/>
      <c r="I53" s="370"/>
      <c r="J53" s="370"/>
      <c r="K53" s="370"/>
      <c r="L53" s="370"/>
      <c r="M53" s="370"/>
      <c r="N53" s="370"/>
      <c r="O53" s="276"/>
      <c r="P53" s="14"/>
    </row>
    <row r="54" spans="1:16" customFormat="1" ht="12.75" hidden="1" customHeight="1" outlineLevel="1">
      <c r="A54" s="169"/>
      <c r="B54" s="364" t="s">
        <v>220</v>
      </c>
      <c r="C54" s="368"/>
      <c r="D54" s="362"/>
      <c r="E54" s="363"/>
      <c r="F54" s="363"/>
      <c r="G54" s="363"/>
      <c r="H54" s="363"/>
      <c r="I54" s="363"/>
      <c r="J54" s="363"/>
      <c r="K54" s="363"/>
      <c r="L54" s="363"/>
      <c r="M54" s="363"/>
      <c r="N54" s="363"/>
      <c r="O54" s="283"/>
      <c r="P54" s="14"/>
    </row>
    <row r="55" spans="1:16" customFormat="1" ht="12.75" hidden="1" customHeight="1" outlineLevel="1">
      <c r="A55" s="169"/>
      <c r="B55" s="372" t="s">
        <v>273</v>
      </c>
      <c r="C55" s="367"/>
      <c r="D55" s="362"/>
      <c r="E55" s="363">
        <f>SUMIF('Model - Quarterly'!$5:$5,E$1,'Model - Quarterly'!498:498)</f>
        <v>36.462474734400004</v>
      </c>
      <c r="F55" s="363">
        <f>SUMIF('Model - Quarterly'!$5:$5,F$1,'Model - Quarterly'!498:498)</f>
        <v>229.46524708818083</v>
      </c>
      <c r="G55" s="363">
        <f>SUMIF('Model - Quarterly'!$5:$5,G$1,'Model - Quarterly'!498:498)</f>
        <v>1216.4009453368765</v>
      </c>
      <c r="H55" s="363">
        <f>SUMIF('Model - Quarterly'!$5:$5,H$1,'Model - Quarterly'!498:498)</f>
        <v>1269.4755682023288</v>
      </c>
      <c r="I55" s="363">
        <f>SUMIF('Model - Quarterly'!$5:$5,I$1,'Model - Quarterly'!498:498)</f>
        <v>1269.4755682023288</v>
      </c>
      <c r="J55" s="363">
        <f>SUMIF('Model - Quarterly'!$5:$5,J$1,'Model - Quarterly'!498:498)</f>
        <v>1342.6017112923289</v>
      </c>
      <c r="K55" s="363">
        <f>SUMIF('Model - Quarterly'!$5:$5,K$1,'Model - Quarterly'!498:498)</f>
        <v>1269.4755682023288</v>
      </c>
      <c r="L55" s="363">
        <f>SUMIF('Model - Quarterly'!$5:$5,L$1,'Model - Quarterly'!498:498)</f>
        <v>1269.4755682023288</v>
      </c>
      <c r="M55" s="363">
        <f>SUMIF('Model - Quarterly'!$5:$5,M$1,'Model - Quarterly'!498:498)</f>
        <v>1342.6017112923289</v>
      </c>
      <c r="N55" s="363">
        <f>SUMIF('Model - Quarterly'!$5:$5,N$1,'Model - Quarterly'!498:498)</f>
        <v>1269.4755682023288</v>
      </c>
      <c r="O55" s="333"/>
      <c r="P55" s="14"/>
    </row>
    <row r="56" spans="1:16" customFormat="1" ht="12.75" hidden="1" customHeight="1" outlineLevel="1">
      <c r="A56" s="169"/>
      <c r="B56" s="360"/>
      <c r="C56" s="373"/>
      <c r="D56" s="362"/>
      <c r="E56" s="363"/>
      <c r="F56" s="363"/>
      <c r="G56" s="363"/>
      <c r="H56" s="363"/>
      <c r="I56" s="363"/>
      <c r="J56" s="363"/>
      <c r="K56" s="363"/>
      <c r="L56" s="363"/>
      <c r="M56" s="363"/>
      <c r="N56" s="363"/>
      <c r="O56" s="283"/>
      <c r="P56" s="14"/>
    </row>
    <row r="57" spans="1:16" customFormat="1" ht="12.75" hidden="1" customHeight="1" outlineLevel="1">
      <c r="A57" s="169"/>
      <c r="B57" s="364" t="s">
        <v>403</v>
      </c>
      <c r="C57" s="373"/>
      <c r="D57" s="362"/>
      <c r="E57" s="363"/>
      <c r="F57" s="363"/>
      <c r="G57" s="363"/>
      <c r="H57" s="363"/>
      <c r="I57" s="363"/>
      <c r="J57" s="363"/>
      <c r="K57" s="363"/>
      <c r="L57" s="363"/>
      <c r="M57" s="363"/>
      <c r="N57" s="363"/>
      <c r="O57" s="419"/>
      <c r="P57" s="14"/>
    </row>
    <row r="58" spans="1:16" customFormat="1" ht="12.75" hidden="1" customHeight="1" outlineLevel="1">
      <c r="A58" s="169"/>
      <c r="B58" s="366" t="s">
        <v>406</v>
      </c>
      <c r="C58" s="373"/>
      <c r="D58" s="362"/>
      <c r="E58" s="363"/>
      <c r="F58" s="363">
        <f>SUMIF('Model - Quarterly'!$5:$5,F$1,'Model - Quarterly'!499:499)</f>
        <v>0</v>
      </c>
      <c r="G58" s="363">
        <f>SUMIF('Model - Quarterly'!$5:$5,G$1,'Model - Quarterly'!499:499)</f>
        <v>79.5</v>
      </c>
      <c r="H58" s="363">
        <f>SUMIF('Model - Quarterly'!$5:$5,H$1,'Model - Quarterly'!499:499)</f>
        <v>310.89999999999998</v>
      </c>
      <c r="I58" s="363">
        <f>SUMIF('Model - Quarterly'!$5:$5,I$1,'Model - Quarterly'!499:499)</f>
        <v>279.60000000000002</v>
      </c>
      <c r="J58" s="363">
        <f>SUMIF('Model - Quarterly'!$5:$5,J$1,'Model - Quarterly'!499:499)</f>
        <v>266.40000000000003</v>
      </c>
      <c r="K58" s="363">
        <f>SUMIF('Model - Quarterly'!$5:$5,K$1,'Model - Quarterly'!499:499)</f>
        <v>293.89999999999998</v>
      </c>
      <c r="L58" s="363">
        <f>SUMIF('Model - Quarterly'!$5:$5,L$1,'Model - Quarterly'!499:499)</f>
        <v>236.20000000000002</v>
      </c>
      <c r="M58" s="363">
        <f>SUMIF('Model - Quarterly'!$5:$5,M$1,'Model - Quarterly'!499:499)</f>
        <v>219.40000000000003</v>
      </c>
      <c r="N58" s="363">
        <f>SUMIF('Model - Quarterly'!$5:$5,N$1,'Model - Quarterly'!499:499)</f>
        <v>242.7</v>
      </c>
      <c r="O58" s="419"/>
      <c r="P58" s="14"/>
    </row>
    <row r="59" spans="1:16" customFormat="1" ht="12.75" hidden="1" customHeight="1" outlineLevel="1">
      <c r="A59" s="169"/>
      <c r="B59" s="360"/>
      <c r="C59" s="373"/>
      <c r="D59" s="362"/>
      <c r="E59" s="363"/>
      <c r="F59" s="363"/>
      <c r="G59" s="363"/>
      <c r="H59" s="363"/>
      <c r="I59" s="363"/>
      <c r="J59" s="363"/>
      <c r="K59" s="363"/>
      <c r="L59" s="363"/>
      <c r="M59" s="363"/>
      <c r="N59" s="363"/>
      <c r="O59" s="419"/>
      <c r="P59" s="14"/>
    </row>
    <row r="60" spans="1:16" customFormat="1" ht="12.75" hidden="1" customHeight="1" outlineLevel="1">
      <c r="A60" s="169"/>
      <c r="B60" s="364" t="s">
        <v>225</v>
      </c>
      <c r="C60" s="373"/>
      <c r="D60" s="362"/>
      <c r="E60" s="363"/>
      <c r="F60" s="363"/>
      <c r="G60" s="363"/>
      <c r="H60" s="363"/>
      <c r="I60" s="363"/>
      <c r="J60" s="363"/>
      <c r="K60" s="363"/>
      <c r="L60" s="363"/>
      <c r="M60" s="363"/>
      <c r="N60" s="363"/>
      <c r="O60" s="283"/>
      <c r="P60" s="14"/>
    </row>
    <row r="61" spans="1:16" customFormat="1" ht="12.75" hidden="1" customHeight="1" outlineLevel="1">
      <c r="A61" s="169"/>
      <c r="B61" s="372" t="str">
        <f>B51</f>
        <v>Dispensaries - California</v>
      </c>
      <c r="C61" s="373"/>
      <c r="D61" s="362"/>
      <c r="E61" s="363">
        <f>SUMIF('Model - Quarterly'!$5:$5,E$1,'Model - Quarterly'!500:500)</f>
        <v>0</v>
      </c>
      <c r="F61" s="363">
        <f>SUMIF('Model - Quarterly'!$5:$5,F$1,'Model - Quarterly'!500:500)</f>
        <v>119.87662926378084</v>
      </c>
      <c r="G61" s="363">
        <f>SUMIF('Model - Quarterly'!$5:$5,G$1,'Model - Quarterly'!500:500)</f>
        <v>1070.1486591568764</v>
      </c>
      <c r="H61" s="363">
        <f>SUMIF('Model - Quarterly'!$5:$5,H$1,'Model - Quarterly'!500:500)</f>
        <v>1196.3494251123288</v>
      </c>
      <c r="I61" s="363">
        <f>SUMIF('Model - Quarterly'!$5:$5,I$1,'Model - Quarterly'!500:500)</f>
        <v>1196.3494251123288</v>
      </c>
      <c r="J61" s="363">
        <f>SUMIF('Model - Quarterly'!$5:$5,J$1,'Model - Quarterly'!500:500)</f>
        <v>1196.3494251123288</v>
      </c>
      <c r="K61" s="363">
        <f>SUMIF('Model - Quarterly'!$5:$5,K$1,'Model - Quarterly'!500:500)</f>
        <v>1196.3494251123288</v>
      </c>
      <c r="L61" s="363">
        <f>SUMIF('Model - Quarterly'!$5:$5,L$1,'Model - Quarterly'!500:500)</f>
        <v>1196.3494251123288</v>
      </c>
      <c r="M61" s="363">
        <f>SUMIF('Model - Quarterly'!$5:$5,M$1,'Model - Quarterly'!500:500)</f>
        <v>1196.3494251123288</v>
      </c>
      <c r="N61" s="363">
        <f>SUMIF('Model - Quarterly'!$5:$5,N$1,'Model - Quarterly'!500:500)</f>
        <v>1196.3494251123288</v>
      </c>
      <c r="O61" s="333"/>
      <c r="P61" s="14"/>
    </row>
    <row r="62" spans="1:16" customFormat="1" ht="12.75" hidden="1" customHeight="1" outlineLevel="1">
      <c r="A62" s="169"/>
      <c r="B62" s="368"/>
      <c r="C62" s="374"/>
      <c r="D62" s="362"/>
      <c r="E62" s="363"/>
      <c r="F62" s="363"/>
      <c r="G62" s="363"/>
      <c r="H62" s="363"/>
      <c r="I62" s="363"/>
      <c r="J62" s="363"/>
      <c r="K62" s="363"/>
      <c r="L62" s="363"/>
      <c r="M62" s="363"/>
      <c r="N62" s="363"/>
      <c r="O62" s="283"/>
      <c r="P62" s="14"/>
    </row>
    <row r="63" spans="1:16" customFormat="1" ht="12.75" customHeight="1" collapsed="1">
      <c r="A63" s="169"/>
      <c r="B63" s="375" t="s">
        <v>263</v>
      </c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283"/>
      <c r="P63" s="14"/>
    </row>
    <row r="64" spans="1:16" customFormat="1" ht="12.75" hidden="1" customHeight="1" outlineLevel="1">
      <c r="A64" s="169"/>
      <c r="B64" s="368"/>
      <c r="C64" s="374"/>
      <c r="D64" s="362"/>
      <c r="E64" s="363"/>
      <c r="F64" s="363"/>
      <c r="G64" s="363"/>
      <c r="H64" s="363"/>
      <c r="I64" s="363"/>
      <c r="J64" s="363"/>
      <c r="K64" s="363"/>
      <c r="L64" s="363"/>
      <c r="M64" s="363"/>
      <c r="N64" s="363"/>
      <c r="O64" s="283"/>
      <c r="P64" s="14"/>
    </row>
    <row r="65" spans="1:16" customFormat="1" ht="12.75" hidden="1" customHeight="1" outlineLevel="1">
      <c r="A65" s="169"/>
      <c r="B65" s="364" t="s">
        <v>220</v>
      </c>
      <c r="C65" s="374"/>
      <c r="D65" s="362"/>
      <c r="E65" s="363"/>
      <c r="F65" s="363"/>
      <c r="G65" s="363"/>
      <c r="H65" s="363"/>
      <c r="I65" s="363"/>
      <c r="J65" s="363"/>
      <c r="K65" s="363"/>
      <c r="L65" s="363"/>
      <c r="M65" s="363"/>
      <c r="N65" s="363"/>
      <c r="O65" s="283"/>
      <c r="P65" s="14"/>
    </row>
    <row r="66" spans="1:16" customFormat="1" ht="12.75" hidden="1" customHeight="1" outlineLevel="1">
      <c r="A66" s="169"/>
      <c r="B66" s="372" t="str">
        <f>B55</f>
        <v xml:space="preserve">California - Cultivation
</v>
      </c>
      <c r="C66" s="374"/>
      <c r="D66" s="362"/>
      <c r="E66" s="363"/>
      <c r="F66" s="363">
        <f t="shared" ref="F66:N66" si="5">F34-F45-F55</f>
        <v>975.14080450252436</v>
      </c>
      <c r="G66" s="363">
        <f t="shared" si="5"/>
        <v>3702.4405246278939</v>
      </c>
      <c r="H66" s="363">
        <f t="shared" si="5"/>
        <v>12253.618219404416</v>
      </c>
      <c r="I66" s="363">
        <f t="shared" si="5"/>
        <v>11951.002966041244</v>
      </c>
      <c r="J66" s="363">
        <f t="shared" si="5"/>
        <v>11861.495885935616</v>
      </c>
      <c r="K66" s="363">
        <f t="shared" si="5"/>
        <v>12834.417650195268</v>
      </c>
      <c r="L66" s="363">
        <f t="shared" si="5"/>
        <v>12418.941779757544</v>
      </c>
      <c r="M66" s="363">
        <f t="shared" si="5"/>
        <v>12368.00790681439</v>
      </c>
      <c r="N66" s="363">
        <f t="shared" si="5"/>
        <v>13382.68255102104</v>
      </c>
      <c r="O66" s="335"/>
      <c r="P66" s="14"/>
    </row>
    <row r="67" spans="1:16" customFormat="1" ht="12.75" hidden="1" customHeight="1" outlineLevel="1">
      <c r="A67" s="169"/>
      <c r="B67" s="360"/>
      <c r="C67" s="374"/>
      <c r="D67" s="362"/>
      <c r="E67" s="363"/>
      <c r="F67" s="363"/>
      <c r="G67" s="363"/>
      <c r="H67" s="363"/>
      <c r="I67" s="363"/>
      <c r="J67" s="363"/>
      <c r="K67" s="363"/>
      <c r="L67" s="363"/>
      <c r="M67" s="363"/>
      <c r="N67" s="363"/>
      <c r="O67" s="283"/>
      <c r="P67" s="14"/>
    </row>
    <row r="68" spans="1:16" customFormat="1" ht="12.75" hidden="1" customHeight="1" outlineLevel="1">
      <c r="A68" s="169"/>
      <c r="B68" s="364" t="s">
        <v>403</v>
      </c>
      <c r="C68" s="374"/>
      <c r="D68" s="362"/>
      <c r="E68" s="363"/>
      <c r="F68" s="363"/>
      <c r="G68" s="363"/>
      <c r="H68" s="363"/>
      <c r="I68" s="363"/>
      <c r="J68" s="363"/>
      <c r="K68" s="363"/>
      <c r="L68" s="363"/>
      <c r="M68" s="363"/>
      <c r="N68" s="363"/>
      <c r="O68" s="419"/>
      <c r="P68" s="14"/>
    </row>
    <row r="69" spans="1:16" customFormat="1" ht="12.75" hidden="1" customHeight="1" outlineLevel="1">
      <c r="A69" s="169"/>
      <c r="B69" s="372" t="str">
        <f>B58</f>
        <v>Processing - California</v>
      </c>
      <c r="C69" s="374"/>
      <c r="D69" s="362"/>
      <c r="E69" s="363"/>
      <c r="F69" s="363">
        <f>F37-F48-F58</f>
        <v>0</v>
      </c>
      <c r="G69" s="363">
        <f t="shared" ref="G69:N69" si="6">G37-G48-G58</f>
        <v>545.44499979435409</v>
      </c>
      <c r="H69" s="363">
        <f t="shared" si="6"/>
        <v>2191.2425864420679</v>
      </c>
      <c r="I69" s="363">
        <f t="shared" si="6"/>
        <v>1951.3735540045514</v>
      </c>
      <c r="J69" s="363">
        <f t="shared" si="6"/>
        <v>1847.5929746323486</v>
      </c>
      <c r="K69" s="363">
        <f t="shared" si="6"/>
        <v>2039.6665030197432</v>
      </c>
      <c r="L69" s="363">
        <f t="shared" si="6"/>
        <v>1610.6268559355553</v>
      </c>
      <c r="M69" s="363">
        <f t="shared" si="6"/>
        <v>1465.3277265715931</v>
      </c>
      <c r="N69" s="363">
        <f t="shared" si="6"/>
        <v>1624.4123115913865</v>
      </c>
      <c r="O69" s="419"/>
      <c r="P69" s="14"/>
    </row>
    <row r="70" spans="1:16" customFormat="1" ht="12.75" hidden="1" customHeight="1" outlineLevel="1">
      <c r="A70" s="169"/>
      <c r="B70" s="360"/>
      <c r="C70" s="374"/>
      <c r="D70" s="362"/>
      <c r="E70" s="363"/>
      <c r="F70" s="363"/>
      <c r="G70" s="363"/>
      <c r="H70" s="363"/>
      <c r="I70" s="363"/>
      <c r="J70" s="363"/>
      <c r="K70" s="363"/>
      <c r="L70" s="363"/>
      <c r="M70" s="363"/>
      <c r="N70" s="363"/>
      <c r="O70" s="419"/>
      <c r="P70" s="14"/>
    </row>
    <row r="71" spans="1:16" customFormat="1" ht="12.75" hidden="1" customHeight="1" outlineLevel="1">
      <c r="A71" s="169"/>
      <c r="B71" s="364" t="s">
        <v>225</v>
      </c>
      <c r="C71" s="374"/>
      <c r="D71" s="362"/>
      <c r="E71" s="363"/>
      <c r="F71" s="363"/>
      <c r="G71" s="363"/>
      <c r="H71" s="363"/>
      <c r="I71" s="363"/>
      <c r="J71" s="363"/>
      <c r="K71" s="363"/>
      <c r="L71" s="363"/>
      <c r="M71" s="363"/>
      <c r="N71" s="363"/>
      <c r="O71" s="283"/>
      <c r="P71" s="14"/>
    </row>
    <row r="72" spans="1:16" customFormat="1" ht="12.75" hidden="1" customHeight="1" outlineLevel="1">
      <c r="A72" s="169"/>
      <c r="B72" s="372" t="str">
        <f>B61</f>
        <v>Dispensaries - California</v>
      </c>
      <c r="C72" s="374"/>
      <c r="D72" s="362"/>
      <c r="E72" s="363"/>
      <c r="F72" s="363">
        <f t="shared" ref="F72:N72" si="7">F40-F51-F61</f>
        <v>-119.87662926378084</v>
      </c>
      <c r="G72" s="363">
        <f t="shared" si="7"/>
        <v>5573.2388408431234</v>
      </c>
      <c r="H72" s="363">
        <f t="shared" si="7"/>
        <v>11731.075147450174</v>
      </c>
      <c r="I72" s="363">
        <f t="shared" si="7"/>
        <v>13989.896049872283</v>
      </c>
      <c r="J72" s="363">
        <f t="shared" si="7"/>
        <v>15241.731066665494</v>
      </c>
      <c r="K72" s="363">
        <f t="shared" si="7"/>
        <v>16596.7575478566</v>
      </c>
      <c r="L72" s="363">
        <f t="shared" si="7"/>
        <v>18063.481788749497</v>
      </c>
      <c r="M72" s="363">
        <f t="shared" si="7"/>
        <v>19651.111276943557</v>
      </c>
      <c r="N72" s="363">
        <f t="shared" si="7"/>
        <v>21369.612493129138</v>
      </c>
      <c r="O72" s="335"/>
      <c r="P72" s="14"/>
    </row>
    <row r="73" spans="1:16" customFormat="1" ht="12.75" hidden="1" customHeight="1" outlineLevel="1">
      <c r="A73" s="169"/>
      <c r="B73" s="368"/>
      <c r="C73" s="374"/>
      <c r="D73" s="362"/>
      <c r="E73" s="363"/>
      <c r="F73" s="363"/>
      <c r="G73" s="363"/>
      <c r="H73" s="363"/>
      <c r="I73" s="363"/>
      <c r="J73" s="363"/>
      <c r="K73" s="363"/>
      <c r="L73" s="363"/>
      <c r="M73" s="363"/>
      <c r="N73" s="363"/>
      <c r="O73" s="283"/>
      <c r="P73" s="14"/>
    </row>
    <row r="74" spans="1:16" collapsed="1">
      <c r="A74" s="170" t="s">
        <v>138</v>
      </c>
      <c r="B74" s="21" t="str">
        <f>'Model - Quarterly'!B514</f>
        <v>Income Statement</v>
      </c>
      <c r="C74" s="22"/>
      <c r="D74" s="147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0"/>
      <c r="P74" s="27"/>
    </row>
    <row r="75" spans="1:16" ht="12.75" hidden="1" customHeight="1" outlineLevel="1">
      <c r="B75" s="13" t="str">
        <f>'Model - Quarterly'!B516</f>
        <v>Revenue</v>
      </c>
      <c r="C75" s="23"/>
      <c r="D75" s="23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6"/>
      <c r="P75" s="27"/>
    </row>
    <row r="76" spans="1:16" ht="12.75" hidden="1" customHeight="1" outlineLevel="1">
      <c r="B76" s="28" t="str">
        <f>'Model - Quarterly'!B517</f>
        <v>Revenue</v>
      </c>
      <c r="C76" s="23" t="str">
        <f>'Model - Quarterly'!C517</f>
        <v>(US$ 000)</v>
      </c>
      <c r="D76" s="23"/>
      <c r="E76" s="24">
        <f>SUM('Model - Quarterly'!I517:L517)</f>
        <v>0</v>
      </c>
      <c r="F76" s="24">
        <f>SUM('Model - Quarterly'!M517:P517)</f>
        <v>1725.6802308153651</v>
      </c>
      <c r="G76" s="24">
        <f>SUM('Model - Quarterly'!Q517:T517)</f>
        <v>20970.84125666313</v>
      </c>
      <c r="H76" s="24">
        <f>SUM('Model - Quarterly'!U517:X517)</f>
        <v>40083.595265932643</v>
      </c>
      <c r="I76" s="24">
        <f>SUM('Model - Quarterly'!Y517:AB517)</f>
        <v>43845.353404211004</v>
      </c>
      <c r="J76" s="24">
        <f>SUM('Model - Quarterly'!AC517:AF517)</f>
        <v>46239.077276233656</v>
      </c>
      <c r="K76" s="24">
        <f>SUM('Model - Quarterly'!AG517:AJ517)</f>
        <v>49387.616929561598</v>
      </c>
      <c r="L76" s="24">
        <f>SUM('Model - Quarterly'!AK517:AN517)</f>
        <v>51634.750007655115</v>
      </c>
      <c r="M76" s="24">
        <f>SUM('Model - Quarterly'!AO517:AR517)</f>
        <v>54670.570666796324</v>
      </c>
      <c r="N76" s="24">
        <f>SUM('Model - Quarterly'!AS517:AV517)</f>
        <v>58514.136532334072</v>
      </c>
      <c r="O76" s="26"/>
      <c r="P76" s="27"/>
    </row>
    <row r="77" spans="1:16" ht="12.75" hidden="1" customHeight="1" outlineLevel="1">
      <c r="B77" s="41" t="s">
        <v>110</v>
      </c>
      <c r="C77" s="20" t="str">
        <f>'Model - Quarterly'!C518</f>
        <v>(US$ 000)</v>
      </c>
      <c r="D77" s="23"/>
      <c r="E77" s="26">
        <f>SUMIF('Model - Quarterly'!$5:$5,E1,'Model - Quarterly'!518:518)</f>
        <v>0</v>
      </c>
      <c r="F77" s="26">
        <f>SUMIF('Model - Quarterly'!$5:$5,F1,'Model - Quarterly'!518:518)</f>
        <v>1725.6802308153651</v>
      </c>
      <c r="G77" s="26">
        <f>SUMIF('Model - Quarterly'!$5:$5,G1,'Model - Quarterly'!518:518)</f>
        <v>20970.84125666313</v>
      </c>
      <c r="H77" s="26">
        <f>SUMIF('Model - Quarterly'!$5:$5,H1,'Model - Quarterly'!518:518)</f>
        <v>40083.595265932643</v>
      </c>
      <c r="I77" s="26">
        <f>SUMIF('Model - Quarterly'!$5:$5,I1,'Model - Quarterly'!518:518)</f>
        <v>43845.353404211004</v>
      </c>
      <c r="J77" s="26">
        <f>SUMIF('Model - Quarterly'!$5:$5,J1,'Model - Quarterly'!518:518)</f>
        <v>46239.077276233656</v>
      </c>
      <c r="K77" s="26">
        <f>SUMIF('Model - Quarterly'!$5:$5,K1,'Model - Quarterly'!518:518)</f>
        <v>49387.616929561598</v>
      </c>
      <c r="L77" s="26">
        <f>SUMIF('Model - Quarterly'!$5:$5,L1,'Model - Quarterly'!518:518)</f>
        <v>51634.750007655115</v>
      </c>
      <c r="M77" s="26">
        <f>SUMIF('Model - Quarterly'!$5:$5,M1,'Model - Quarterly'!518:518)</f>
        <v>54670.570666796324</v>
      </c>
      <c r="N77" s="26">
        <f>SUMIF('Model - Quarterly'!$5:$5,N1,'Model - Quarterly'!518:518)</f>
        <v>58514.136532334072</v>
      </c>
      <c r="O77" s="26"/>
      <c r="P77" s="27"/>
    </row>
    <row r="78" spans="1:16" ht="5.25" hidden="1" customHeight="1" outlineLevel="1">
      <c r="B78" s="32"/>
      <c r="C78" s="23"/>
      <c r="D78" s="23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6"/>
      <c r="P78" s="27"/>
    </row>
    <row r="79" spans="1:16" ht="12.75" hidden="1" customHeight="1" outlineLevel="1">
      <c r="B79" s="28" t="str">
        <f>'Model - Quarterly'!B519</f>
        <v>Operating Expenses</v>
      </c>
      <c r="C79" s="23" t="str">
        <f>'Model - Quarterly'!C519</f>
        <v>(US$ 000)</v>
      </c>
      <c r="D79" s="23"/>
      <c r="E79" s="24">
        <f>SUM('Model - Quarterly'!I519:L519)</f>
        <v>218.92404121473601</v>
      </c>
      <c r="F79" s="24">
        <f>SUM('Model - Quarterly'!M519:P519)</f>
        <v>521.07417922465982</v>
      </c>
      <c r="G79" s="24">
        <f>SUM('Model - Quarterly'!Q519:T519)</f>
        <v>9408.6122866983605</v>
      </c>
      <c r="H79" s="24">
        <f>SUM('Model - Quarterly'!U519:X519)</f>
        <v>13633.076905763393</v>
      </c>
      <c r="I79" s="24">
        <f>SUM('Model - Quarterly'!Y519:AB519)</f>
        <v>15438.629394982823</v>
      </c>
      <c r="J79" s="24">
        <f>SUM('Model - Quarterly'!AC519:AF519)</f>
        <v>16596.899187227889</v>
      </c>
      <c r="K79" s="24">
        <f>SUM('Model - Quarterly'!AG519:AJ519)</f>
        <v>17490.616738195073</v>
      </c>
      <c r="L79" s="24">
        <f>SUM('Model - Quarterly'!AK519:AN519)</f>
        <v>18686.501445833412</v>
      </c>
      <c r="M79" s="24">
        <f>SUM('Model - Quarterly'!AO519:AR519)</f>
        <v>20112.500346633726</v>
      </c>
      <c r="N79" s="24">
        <f>SUM('Model - Quarterly'!AS519:AV519)</f>
        <v>21296.016494869233</v>
      </c>
      <c r="O79" s="26"/>
      <c r="P79" s="27"/>
    </row>
    <row r="80" spans="1:16" ht="12.75" hidden="1" customHeight="1" outlineLevel="1">
      <c r="B80" s="28" t="str">
        <f>'Model - Quarterly'!B528</f>
        <v>Depreciation &amp; Amortization</v>
      </c>
      <c r="C80" s="23" t="str">
        <f>'Model - Quarterly'!C528</f>
        <v>(US$ 000)</v>
      </c>
      <c r="D80" s="23"/>
      <c r="E80" s="24"/>
      <c r="F80" s="24">
        <f>SUM('Model - Quarterly'!M528:P528)</f>
        <v>211.43203038087279</v>
      </c>
      <c r="G80" s="24">
        <f>SUM('Model - Quarterly'!Q528:T528)</f>
        <v>621.33181628765453</v>
      </c>
      <c r="H80" s="24">
        <f>SUM('Model - Quarterly'!U528:X528)</f>
        <v>641.01252845240663</v>
      </c>
      <c r="I80" s="24">
        <f>SUM('Model - Quarterly'!Y528:AB528)</f>
        <v>625.3422695046745</v>
      </c>
      <c r="J80" s="24">
        <f>SUM('Model - Quarterly'!AC528:AF528)</f>
        <v>610.69086636940074</v>
      </c>
      <c r="K80" s="24">
        <f>SUM('Model - Quarterly'!AG528:AJ528)</f>
        <v>596.99207462969036</v>
      </c>
      <c r="L80" s="24">
        <f>SUM('Model - Quarterly'!AK528:AN528)</f>
        <v>584.18395697738424</v>
      </c>
      <c r="M80" s="24">
        <f>SUM('Model - Quarterly'!AO528:AR528)</f>
        <v>572.20860317156121</v>
      </c>
      <c r="N80" s="24">
        <f>SUM('Model - Quarterly'!AS528:AV528)</f>
        <v>561.01186820490375</v>
      </c>
      <c r="O80" s="26"/>
      <c r="P80" s="27"/>
    </row>
    <row r="81" spans="2:16" ht="12.75" hidden="1" customHeight="1" outlineLevel="1">
      <c r="B81" s="13" t="str">
        <f>'Model - Quarterly'!B520</f>
        <v>Gross Operating Profit</v>
      </c>
      <c r="C81" s="20" t="str">
        <f>'Model - Quarterly'!C520</f>
        <v>(US$ 000)</v>
      </c>
      <c r="D81" s="210"/>
      <c r="E81" s="39">
        <f t="shared" ref="E81:N81" si="8">E76-SUM(E79:E80)</f>
        <v>-218.92404121473601</v>
      </c>
      <c r="F81" s="39">
        <f t="shared" si="8"/>
        <v>993.17402120983252</v>
      </c>
      <c r="G81" s="39">
        <f t="shared" si="8"/>
        <v>10940.897153677115</v>
      </c>
      <c r="H81" s="39">
        <f t="shared" si="8"/>
        <v>25809.505831716844</v>
      </c>
      <c r="I81" s="39">
        <f t="shared" si="8"/>
        <v>27781.381739723507</v>
      </c>
      <c r="J81" s="39">
        <f t="shared" si="8"/>
        <v>29031.487222636366</v>
      </c>
      <c r="K81" s="39">
        <f t="shared" si="8"/>
        <v>31300.008116736833</v>
      </c>
      <c r="L81" s="39">
        <f t="shared" si="8"/>
        <v>32364.06460484432</v>
      </c>
      <c r="M81" s="39">
        <f t="shared" si="8"/>
        <v>33985.861716991036</v>
      </c>
      <c r="N81" s="39">
        <f t="shared" si="8"/>
        <v>36657.10816925994</v>
      </c>
      <c r="O81" s="26"/>
      <c r="P81" s="27"/>
    </row>
    <row r="82" spans="2:16" ht="12.75" hidden="1" customHeight="1" outlineLevel="1">
      <c r="B82" s="32"/>
      <c r="C82" s="23"/>
      <c r="D82" s="23"/>
      <c r="E82" s="25"/>
      <c r="F82" s="25">
        <f>F81/F76</f>
        <v>0.57552610470629806</v>
      </c>
      <c r="G82" s="25">
        <f>G81/G76</f>
        <v>0.52171951614963608</v>
      </c>
      <c r="H82" s="25">
        <f>H81/H76</f>
        <v>0.64389198774423662</v>
      </c>
      <c r="I82" s="24"/>
      <c r="J82" s="24"/>
      <c r="K82" s="24"/>
      <c r="L82" s="24"/>
      <c r="M82" s="24"/>
      <c r="N82" s="24"/>
      <c r="O82" s="26"/>
      <c r="P82" s="27"/>
    </row>
    <row r="83" spans="2:16" ht="12.75" hidden="1" customHeight="1" outlineLevel="1">
      <c r="B83" s="28" t="str">
        <f>'Model - Quarterly'!B521</f>
        <v>Corporate &amp; Administrative</v>
      </c>
      <c r="C83" s="23" t="str">
        <f>'Model - Quarterly'!C521</f>
        <v>(US$ 000)</v>
      </c>
      <c r="D83" s="23"/>
      <c r="E83" s="24">
        <f>SUMIF('Model - Quarterly'!$5:$5,E$1,'Model - Quarterly'!521:521)</f>
        <v>50</v>
      </c>
      <c r="F83" s="24">
        <f>SUMIF('Model - Quarterly'!$5:$5,F$1,'Model - Quarterly'!521:521)</f>
        <v>250</v>
      </c>
      <c r="G83" s="24">
        <f>SUMIF('Model - Quarterly'!$5:$5,G$1,'Model - Quarterly'!521:521)</f>
        <v>400</v>
      </c>
      <c r="H83" s="24">
        <f>SUMIF('Model - Quarterly'!$5:$5,H$1,'Model - Quarterly'!521:521)</f>
        <v>400</v>
      </c>
      <c r="I83" s="24">
        <f>SUMIF('Model - Quarterly'!$5:$5,I$1,'Model - Quarterly'!521:521)</f>
        <v>400</v>
      </c>
      <c r="J83" s="24">
        <f>SUMIF('Model - Quarterly'!$5:$5,J$1,'Model - Quarterly'!521:521)</f>
        <v>400</v>
      </c>
      <c r="K83" s="24">
        <f>SUMIF('Model - Quarterly'!$5:$5,K$1,'Model - Quarterly'!521:521)</f>
        <v>400</v>
      </c>
      <c r="L83" s="24">
        <f>SUMIF('Model - Quarterly'!$5:$5,L$1,'Model - Quarterly'!521:521)</f>
        <v>400</v>
      </c>
      <c r="M83" s="24">
        <f>SUMIF('Model - Quarterly'!$5:$5,M$1,'Model - Quarterly'!521:521)</f>
        <v>400</v>
      </c>
      <c r="N83" s="24">
        <f>SUMIF('Model - Quarterly'!$5:$5,N$1,'Model - Quarterly'!521:521)</f>
        <v>400</v>
      </c>
      <c r="O83" s="26"/>
      <c r="P83" s="27"/>
    </row>
    <row r="84" spans="2:16" ht="12.75" hidden="1" customHeight="1" outlineLevel="1">
      <c r="B84" s="28" t="str">
        <f>'Model - Quarterly'!B522</f>
        <v>Cultivation Expenses</v>
      </c>
      <c r="C84" s="23" t="str">
        <f>'Model - Quarterly'!C522</f>
        <v>(US$ 000)</v>
      </c>
      <c r="D84" s="23"/>
      <c r="E84" s="24">
        <f>SUMIF('Model - Quarterly'!$5:$5,E$1,'Model - Quarterly'!522:522)</f>
        <v>36.462474734400004</v>
      </c>
      <c r="F84" s="24">
        <f>SUMIF('Model - Quarterly'!$5:$5,F$1,'Model - Quarterly'!522:522)</f>
        <v>229.46524708818083</v>
      </c>
      <c r="G84" s="24">
        <f>SUMIF('Model - Quarterly'!$5:$5,G$1,'Model - Quarterly'!522:522)</f>
        <v>1216.4009453368765</v>
      </c>
      <c r="H84" s="24">
        <f>SUMIF('Model - Quarterly'!$5:$5,H$1,'Model - Quarterly'!522:522)</f>
        <v>1269.4755682023288</v>
      </c>
      <c r="I84" s="24">
        <f>SUMIF('Model - Quarterly'!$5:$5,I$1,'Model - Quarterly'!522:522)</f>
        <v>1269.4755682023288</v>
      </c>
      <c r="J84" s="24">
        <f>SUMIF('Model - Quarterly'!$5:$5,J$1,'Model - Quarterly'!522:522)</f>
        <v>1342.6017112923289</v>
      </c>
      <c r="K84" s="24">
        <f>SUMIF('Model - Quarterly'!$5:$5,K$1,'Model - Quarterly'!522:522)</f>
        <v>1269.4755682023288</v>
      </c>
      <c r="L84" s="24">
        <f>SUMIF('Model - Quarterly'!$5:$5,L$1,'Model - Quarterly'!522:522)</f>
        <v>1269.4755682023288</v>
      </c>
      <c r="M84" s="24">
        <f>SUMIF('Model - Quarterly'!$5:$5,M$1,'Model - Quarterly'!522:522)</f>
        <v>1342.6017112923289</v>
      </c>
      <c r="N84" s="24">
        <f>SUMIF('Model - Quarterly'!$5:$5,N$1,'Model - Quarterly'!522:522)</f>
        <v>1269.4755682023288</v>
      </c>
      <c r="O84" s="26"/>
      <c r="P84" s="27"/>
    </row>
    <row r="85" spans="2:16" ht="12.75" hidden="1" customHeight="1" outlineLevel="1">
      <c r="B85" s="28" t="str">
        <f>'Model - Quarterly'!B523</f>
        <v>Processing Expenses</v>
      </c>
      <c r="C85" s="23" t="str">
        <f>'Model - Quarterly'!C523</f>
        <v>(US$ 000)</v>
      </c>
      <c r="D85" s="23"/>
      <c r="E85" s="24">
        <f>SUMIF('Model - Quarterly'!$5:$5,E$1,'Model - Quarterly'!523:523)</f>
        <v>0</v>
      </c>
      <c r="F85" s="24">
        <f>SUMIF('Model - Quarterly'!$5:$5,F$1,'Model - Quarterly'!523:523)</f>
        <v>0</v>
      </c>
      <c r="G85" s="24">
        <f>SUMIF('Model - Quarterly'!$5:$5,G$1,'Model - Quarterly'!523:523)</f>
        <v>79.5</v>
      </c>
      <c r="H85" s="24">
        <f>SUMIF('Model - Quarterly'!$5:$5,H$1,'Model - Quarterly'!523:523)</f>
        <v>310.89999999999998</v>
      </c>
      <c r="I85" s="24">
        <f>SUMIF('Model - Quarterly'!$5:$5,I$1,'Model - Quarterly'!523:523)</f>
        <v>279.60000000000002</v>
      </c>
      <c r="J85" s="24">
        <f>SUMIF('Model - Quarterly'!$5:$5,J$1,'Model - Quarterly'!523:523)</f>
        <v>266.40000000000003</v>
      </c>
      <c r="K85" s="24">
        <f>SUMIF('Model - Quarterly'!$5:$5,K$1,'Model - Quarterly'!523:523)</f>
        <v>293.89999999999998</v>
      </c>
      <c r="L85" s="24">
        <f>SUMIF('Model - Quarterly'!$5:$5,L$1,'Model - Quarterly'!523:523)</f>
        <v>236.20000000000002</v>
      </c>
      <c r="M85" s="24">
        <f>SUMIF('Model - Quarterly'!$5:$5,M$1,'Model - Quarterly'!523:523)</f>
        <v>219.40000000000003</v>
      </c>
      <c r="N85" s="24">
        <f>SUMIF('Model - Quarterly'!$5:$5,N$1,'Model - Quarterly'!523:523)</f>
        <v>242.7</v>
      </c>
      <c r="O85" s="26"/>
      <c r="P85" s="27"/>
    </row>
    <row r="86" spans="2:16" ht="12.75" hidden="1" customHeight="1" outlineLevel="1">
      <c r="B86" s="28" t="str">
        <f>'Model - Quarterly'!B524</f>
        <v>Dispensary Expenses</v>
      </c>
      <c r="C86" s="23" t="str">
        <f>'Model - Quarterly'!C524</f>
        <v>(US$ 000)</v>
      </c>
      <c r="D86" s="23"/>
      <c r="E86" s="24">
        <f>SUMIF('Model - Quarterly'!$5:$5,E$1,'Model - Quarterly'!524:524)</f>
        <v>0</v>
      </c>
      <c r="F86" s="24">
        <f>SUMIF('Model - Quarterly'!$5:$5,F$1,'Model - Quarterly'!524:524)</f>
        <v>0</v>
      </c>
      <c r="G86" s="24">
        <f>SUMIF('Model - Quarterly'!$5:$5,G$1,'Model - Quarterly'!524:524)</f>
        <v>3918.8999999999996</v>
      </c>
      <c r="H86" s="24">
        <f>SUMIF('Model - Quarterly'!$5:$5,H$1,'Model - Quarterly'!524:524)</f>
        <v>5580.2000000000007</v>
      </c>
      <c r="I86" s="24">
        <f>SUMIF('Model - Quarterly'!$5:$5,I$1,'Model - Quarterly'!524:524)</f>
        <v>6237.1</v>
      </c>
      <c r="J86" s="24">
        <f>SUMIF('Model - Quarterly'!$5:$5,J$1,'Model - Quarterly'!524:524)</f>
        <v>6601.4</v>
      </c>
      <c r="K86" s="24">
        <f>SUMIF('Model - Quarterly'!$5:$5,K$1,'Model - Quarterly'!524:524)</f>
        <v>6995.4</v>
      </c>
      <c r="L86" s="24">
        <f>SUMIF('Model - Quarterly'!$5:$5,L$1,'Model - Quarterly'!524:524)</f>
        <v>7422.0000000000009</v>
      </c>
      <c r="M86" s="24">
        <f>SUMIF('Model - Quarterly'!$5:$5,M$1,'Model - Quarterly'!524:524)</f>
        <v>7883.8</v>
      </c>
      <c r="N86" s="24">
        <f>SUMIF('Model - Quarterly'!$5:$5,N$1,'Model - Quarterly'!524:524)</f>
        <v>8383.7000000000007</v>
      </c>
      <c r="O86" s="26"/>
      <c r="P86" s="27"/>
    </row>
    <row r="87" spans="2:16" ht="12.6" hidden="1" customHeight="1" outlineLevel="1">
      <c r="B87" s="28" t="str">
        <f>'Model - Quarterly'!B525</f>
        <v>Shipping Expenses</v>
      </c>
      <c r="C87" s="23" t="str">
        <f>'Model - Quarterly'!C525</f>
        <v>(US$ 000)</v>
      </c>
      <c r="D87" s="23"/>
      <c r="E87" s="24">
        <f>SUMIF('Model - Quarterly'!$5:$5,E$1,'Model - Quarterly'!525:525)</f>
        <v>4.3784808242947202</v>
      </c>
      <c r="F87" s="24">
        <f>SUMIF('Model - Quarterly'!$5:$5,F$1,'Model - Quarterly'!525:525)</f>
        <v>10.421483584493195</v>
      </c>
      <c r="G87" s="24">
        <f>SUMIF('Model - Quarterly'!$5:$5,G$1,'Model - Quarterly'!525:525)</f>
        <v>190.74552870382706</v>
      </c>
      <c r="H87" s="24">
        <f>SUMIF('Model - Quarterly'!$5:$5,H$1,'Model - Quarterly'!525:525)</f>
        <v>281.35936578985434</v>
      </c>
      <c r="I87" s="24">
        <f>SUMIF('Model - Quarterly'!$5:$5,I$1,'Model - Quarterly'!525:525)</f>
        <v>316.99818166987905</v>
      </c>
      <c r="J87" s="24">
        <f>SUMIF('Model - Quarterly'!$5:$5,J$1,'Model - Quarterly'!525:525)</f>
        <v>339.99551180472031</v>
      </c>
      <c r="K87" s="24">
        <f>SUMIF('Model - Quarterly'!$5:$5,K$1,'Model - Quarterly'!525:525)</f>
        <v>358.66148586842405</v>
      </c>
      <c r="L87" s="24">
        <f>SUMIF('Model - Quarterly'!$5:$5,L$1,'Model - Quarterly'!525:525)</f>
        <v>381.47834516689909</v>
      </c>
      <c r="M87" s="24">
        <f>SUMIF('Model - Quarterly'!$5:$5,M$1,'Model - Quarterly'!525:525)</f>
        <v>410.05996461421415</v>
      </c>
      <c r="N87" s="24">
        <f>SUMIF('Model - Quarterly'!$5:$5,N$1,'Model - Quarterly'!525:525)</f>
        <v>434.53757649736286</v>
      </c>
      <c r="O87" s="26"/>
      <c r="P87" s="27"/>
    </row>
    <row r="88" spans="2:16" ht="12.75" hidden="1" customHeight="1" outlineLevel="1">
      <c r="B88" s="28" t="str">
        <f>'Model - Quarterly'!B526</f>
        <v>CA Initial Inventory</v>
      </c>
      <c r="C88" s="23" t="s">
        <v>42</v>
      </c>
      <c r="D88" s="23"/>
      <c r="E88" s="24">
        <f>SUMIF('Model - Quarterly'!$5:$5,E$1,'Model - Quarterly'!526:526)</f>
        <v>0</v>
      </c>
      <c r="F88" s="24">
        <f>SUMIF('Model - Quarterly'!$5:$5,F$1,'Model - Quarterly'!526:526)</f>
        <v>400</v>
      </c>
      <c r="G88" s="24">
        <f>SUMIF('Model - Quarterly'!$5:$5,G$1,'Model - Quarterly'!526:526)</f>
        <v>0</v>
      </c>
      <c r="H88" s="24">
        <f>SUMIF('Model - Quarterly'!$5:$5,H$1,'Model - Quarterly'!526:526)</f>
        <v>0</v>
      </c>
      <c r="I88" s="24">
        <f>SUMIF('Model - Quarterly'!$5:$5,I$1,'Model - Quarterly'!526:526)</f>
        <v>0</v>
      </c>
      <c r="J88" s="24">
        <f>SUMIF('Model - Quarterly'!$5:$5,J$1,'Model - Quarterly'!526:526)</f>
        <v>0</v>
      </c>
      <c r="K88" s="24">
        <f>SUMIF('Model - Quarterly'!$5:$5,K$1,'Model - Quarterly'!526:526)</f>
        <v>0</v>
      </c>
      <c r="L88" s="24">
        <f>SUMIF('Model - Quarterly'!$5:$5,L$1,'Model - Quarterly'!526:526)</f>
        <v>0</v>
      </c>
      <c r="M88" s="24">
        <f>SUMIF('Model - Quarterly'!$5:$5,M$1,'Model - Quarterly'!526:526)</f>
        <v>0</v>
      </c>
      <c r="N88" s="24">
        <f>SUMIF('Model - Quarterly'!$5:$5,N$1,'Model - Quarterly'!526:526)</f>
        <v>0</v>
      </c>
      <c r="O88" s="26"/>
      <c r="P88" s="27"/>
    </row>
    <row r="89" spans="2:16" ht="12.75" hidden="1" customHeight="1" outlineLevel="1">
      <c r="B89" s="13" t="str">
        <f>'Model - Quarterly'!B527</f>
        <v>Income (Loss) from Operations</v>
      </c>
      <c r="C89" s="20" t="str">
        <f>'Model - Quarterly'!C527</f>
        <v>(US$ 000)</v>
      </c>
      <c r="D89" s="210"/>
      <c r="E89" s="39">
        <f>SUM('Model - Quarterly'!I527:L527)</f>
        <v>-309.76499677343077</v>
      </c>
      <c r="F89" s="39">
        <f>SUM('Model - Quarterly'!M527:P527)</f>
        <v>314.71932091803103</v>
      </c>
      <c r="G89" s="39">
        <f>SUM('Model - Quarterly'!Q527:T527)</f>
        <v>5756.6824959240676</v>
      </c>
      <c r="H89" s="39">
        <f>SUM('Model - Quarterly'!U527:X527)</f>
        <v>18608.583426177058</v>
      </c>
      <c r="I89" s="39">
        <f>SUM('Model - Quarterly'!Y527:AB527)</f>
        <v>19903.550259355976</v>
      </c>
      <c r="J89" s="39">
        <f>SUM('Model - Quarterly'!AC527:AF527)</f>
        <v>20691.780865908717</v>
      </c>
      <c r="K89" s="39">
        <f>SUM('Model - Quarterly'!AG527:AJ527)</f>
        <v>22579.563137295772</v>
      </c>
      <c r="L89" s="39">
        <f>SUM('Model - Quarterly'!AK527:AN527)</f>
        <v>23239.094648452472</v>
      </c>
      <c r="M89" s="39">
        <f>SUM('Model - Quarterly'!AO527:AR527)</f>
        <v>24302.208644256058</v>
      </c>
      <c r="N89" s="39">
        <f>SUM('Model - Quarterly'!AS527:AV527)</f>
        <v>26487.706892765149</v>
      </c>
      <c r="O89" s="26"/>
      <c r="P89" s="27"/>
    </row>
    <row r="90" spans="2:16" ht="12.75" hidden="1" customHeight="1" outlineLevel="1">
      <c r="B90" s="32"/>
      <c r="C90" s="23"/>
      <c r="D90" s="23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6"/>
      <c r="P90" s="27"/>
    </row>
    <row r="91" spans="2:16" ht="12.75" hidden="1" customHeight="1" outlineLevel="1">
      <c r="B91" s="28" t="str">
        <f>'Model - Quarterly'!B529</f>
        <v>Other Expense</v>
      </c>
      <c r="C91" s="23" t="str">
        <f>'Model - Quarterly'!C529</f>
        <v>(US$ 000)</v>
      </c>
      <c r="D91" s="23"/>
      <c r="E91" s="24">
        <f>SUM('Model - Quarterly'!I529:L529)</f>
        <v>0</v>
      </c>
      <c r="F91" s="24">
        <f>SUM('Model - Quarterly'!M529:P529)</f>
        <v>0</v>
      </c>
      <c r="G91" s="24">
        <f>SUM('Model - Quarterly'!Q529:T529)</f>
        <v>0</v>
      </c>
      <c r="H91" s="24">
        <f>SUM('Model - Quarterly'!U529:X529)</f>
        <v>0</v>
      </c>
      <c r="I91" s="24">
        <f>SUM('Model - Quarterly'!Y529:AB529)</f>
        <v>0</v>
      </c>
      <c r="J91" s="24">
        <f>SUM('Model - Quarterly'!AC529:AF529)</f>
        <v>0</v>
      </c>
      <c r="K91" s="24">
        <f>SUM('Model - Quarterly'!AG529:AJ529)</f>
        <v>0</v>
      </c>
      <c r="L91" s="24">
        <f>SUM('Model - Quarterly'!AK529:AN529)</f>
        <v>0</v>
      </c>
      <c r="M91" s="24">
        <f>SUM('Model - Quarterly'!AO529:AR529)</f>
        <v>0</v>
      </c>
      <c r="N91" s="24">
        <f>SUM('Model - Quarterly'!AS529:AV529)</f>
        <v>0</v>
      </c>
      <c r="O91" s="26"/>
      <c r="P91" s="27"/>
    </row>
    <row r="92" spans="2:16" ht="12.75" hidden="1" customHeight="1" outlineLevel="1">
      <c r="B92" s="13" t="str">
        <f>'Model - Quarterly'!B530</f>
        <v>EBIT</v>
      </c>
      <c r="C92" s="20" t="str">
        <f>'Model - Quarterly'!C530</f>
        <v>(US$ 000)</v>
      </c>
      <c r="D92" s="20"/>
      <c r="E92" s="26">
        <f>SUM('Model - Quarterly'!I530:L530)</f>
        <v>-344.33444121787522</v>
      </c>
      <c r="F92" s="26">
        <f>SUM('Model - Quarterly'!M530:P530)</f>
        <v>103.2872905371583</v>
      </c>
      <c r="G92" s="26">
        <f>SUM('Model - Quarterly'!Q530:T530)</f>
        <v>5135.3506796364136</v>
      </c>
      <c r="H92" s="26">
        <f>SUM('Model - Quarterly'!U530:X530)</f>
        <v>17967.570897724654</v>
      </c>
      <c r="I92" s="26">
        <f>SUM('Model - Quarterly'!Y530:AB530)</f>
        <v>19278.2079898513</v>
      </c>
      <c r="J92" s="26">
        <f>SUM('Model - Quarterly'!AC530:AF530)</f>
        <v>20081.089999539316</v>
      </c>
      <c r="K92" s="26">
        <f>SUM('Model - Quarterly'!AG530:AJ530)</f>
        <v>21982.571062666084</v>
      </c>
      <c r="L92" s="26">
        <f>SUM('Model - Quarterly'!AK530:AN530)</f>
        <v>22654.910691475088</v>
      </c>
      <c r="M92" s="26">
        <f>SUM('Model - Quarterly'!AO530:AR530)</f>
        <v>23730.000041084495</v>
      </c>
      <c r="N92" s="26">
        <f>SUM('Model - Quarterly'!AS530:AV530)</f>
        <v>25926.695024560246</v>
      </c>
      <c r="O92" s="26"/>
      <c r="P92" s="27"/>
    </row>
    <row r="93" spans="2:16" ht="12.75" hidden="1" customHeight="1" outlineLevel="1">
      <c r="B93" s="32"/>
      <c r="C93" s="23"/>
      <c r="D93" s="23"/>
      <c r="E93" s="24">
        <f>SUM('Model - Quarterly'!I531:L531)</f>
        <v>0</v>
      </c>
      <c r="F93" s="24">
        <f>SUM('Model - Quarterly'!M531:P531)</f>
        <v>0</v>
      </c>
      <c r="G93" s="24">
        <f>SUM('Model - Quarterly'!Q531:T531)</f>
        <v>0</v>
      </c>
      <c r="H93" s="24">
        <f>SUM('Model - Quarterly'!U531:X531)</f>
        <v>0</v>
      </c>
      <c r="I93" s="24">
        <f>SUM('Model - Quarterly'!Y531:AB531)</f>
        <v>0</v>
      </c>
      <c r="J93" s="24">
        <f>SUM('Model - Quarterly'!AC531:AF531)</f>
        <v>0</v>
      </c>
      <c r="K93" s="24">
        <f>SUM('Model - Quarterly'!AG531:AJ531)</f>
        <v>0</v>
      </c>
      <c r="L93" s="24">
        <f>SUM('Model - Quarterly'!AK531:AN531)</f>
        <v>0</v>
      </c>
      <c r="M93" s="24">
        <f>SUM('Model - Quarterly'!AO531:AR531)</f>
        <v>0</v>
      </c>
      <c r="N93" s="24">
        <f>SUM('Model - Quarterly'!AS531:AV531)</f>
        <v>0</v>
      </c>
      <c r="O93" s="26"/>
      <c r="P93" s="27"/>
    </row>
    <row r="94" spans="2:16" ht="12.75" hidden="1" customHeight="1" outlineLevel="1">
      <c r="B94" s="28" t="str">
        <f>'Model - Quarterly'!B532</f>
        <v>Interest Expense</v>
      </c>
      <c r="C94" s="23" t="str">
        <f>'Model - Quarterly'!C532</f>
        <v>(US$ 000)</v>
      </c>
      <c r="D94" s="173"/>
      <c r="E94" s="63">
        <f>SUM('Model - Quarterly'!I532:L532)</f>
        <v>0</v>
      </c>
      <c r="F94" s="63">
        <f>SUM('Model - Quarterly'!M532:P532)</f>
        <v>0</v>
      </c>
      <c r="G94" s="63">
        <f>SUM('Model - Quarterly'!Q532:T532)</f>
        <v>0</v>
      </c>
      <c r="H94" s="63">
        <f>SUM('Model - Quarterly'!U532:X532)</f>
        <v>0</v>
      </c>
      <c r="I94" s="63">
        <f>SUM('Model - Quarterly'!Y532:AB532)</f>
        <v>0</v>
      </c>
      <c r="J94" s="63">
        <f>SUM('Model - Quarterly'!AC532:AF532)</f>
        <v>0</v>
      </c>
      <c r="K94" s="63">
        <f>SUM('Model - Quarterly'!AG532:AJ532)</f>
        <v>0</v>
      </c>
      <c r="L94" s="63">
        <f>SUM('Model - Quarterly'!AK532:AN532)</f>
        <v>0</v>
      </c>
      <c r="M94" s="63">
        <f>SUM('Model - Quarterly'!AO532:AR532)</f>
        <v>0</v>
      </c>
      <c r="N94" s="63">
        <f>SUM('Model - Quarterly'!AS532:AV532)</f>
        <v>0</v>
      </c>
      <c r="O94" s="26"/>
      <c r="P94" s="27"/>
    </row>
    <row r="95" spans="2:16" ht="12.75" hidden="1" customHeight="1" outlineLevel="1">
      <c r="B95" s="13" t="str">
        <f>'Model - Quarterly'!B533</f>
        <v>EBT</v>
      </c>
      <c r="C95" s="20" t="str">
        <f>'Model - Quarterly'!C533</f>
        <v>(US$ 000)</v>
      </c>
      <c r="D95" s="20"/>
      <c r="E95" s="26">
        <f>SUM('Model - Quarterly'!I533:L533)</f>
        <v>-344.33444121787522</v>
      </c>
      <c r="F95" s="26">
        <f>SUM('Model - Quarterly'!M533:P533)</f>
        <v>103.2872905371583</v>
      </c>
      <c r="G95" s="26">
        <f>SUM('Model - Quarterly'!Q533:T533)</f>
        <v>5135.3506796364136</v>
      </c>
      <c r="H95" s="26">
        <f>SUM('Model - Quarterly'!U533:X533)</f>
        <v>17967.570897724654</v>
      </c>
      <c r="I95" s="26">
        <f>SUM('Model - Quarterly'!Y533:AB533)</f>
        <v>19278.2079898513</v>
      </c>
      <c r="J95" s="26">
        <f>SUM('Model - Quarterly'!AC533:AF533)</f>
        <v>20081.089999539316</v>
      </c>
      <c r="K95" s="26">
        <f>SUM('Model - Quarterly'!AG533:AJ533)</f>
        <v>21982.571062666084</v>
      </c>
      <c r="L95" s="26">
        <f>SUM('Model - Quarterly'!AK533:AN533)</f>
        <v>22654.910691475088</v>
      </c>
      <c r="M95" s="26">
        <f>SUM('Model - Quarterly'!AO533:AR533)</f>
        <v>23730.000041084495</v>
      </c>
      <c r="N95" s="26">
        <f>SUM('Model - Quarterly'!AS533:AV533)</f>
        <v>25926.695024560246</v>
      </c>
      <c r="O95" s="26"/>
      <c r="P95" s="27"/>
    </row>
    <row r="96" spans="2:16" ht="12.75" hidden="1" customHeight="1" outlineLevel="1">
      <c r="B96" s="32"/>
      <c r="C96" s="23"/>
      <c r="D96" s="23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6"/>
      <c r="P96" s="27"/>
    </row>
    <row r="97" spans="1:16" ht="12.75" hidden="1" customHeight="1" outlineLevel="1">
      <c r="B97" s="28" t="str">
        <f>'Model - Quarterly'!B535</f>
        <v>Current Income Taxes</v>
      </c>
      <c r="C97" s="23" t="str">
        <f>'Model - Quarterly'!C535</f>
        <v>(US$ 000)</v>
      </c>
      <c r="D97" s="23"/>
      <c r="E97" s="24">
        <f>SUM('Model - Quarterly'!I535:L535)</f>
        <v>0</v>
      </c>
      <c r="F97" s="24">
        <f>SUM('Model - Quarterly'!M535:P535)</f>
        <v>265.01333134995514</v>
      </c>
      <c r="G97" s="24">
        <f>SUM('Model - Quarterly'!Q535:T535)</f>
        <v>2543.6903733922495</v>
      </c>
      <c r="H97" s="24">
        <f>SUM('Model - Quarterly'!U535:X535)</f>
        <v>4037.7917988758772</v>
      </c>
      <c r="I97" s="24">
        <f>SUM('Model - Quarterly'!Y535:AB535)</f>
        <v>4290.5251655116617</v>
      </c>
      <c r="J97" s="24">
        <f>SUM('Model - Quarterly'!AC535:AF535)</f>
        <v>4460.1565154402088</v>
      </c>
      <c r="K97" s="24">
        <f>SUM('Model - Quarterly'!AG535:AJ535)</f>
        <v>4828.58774109962</v>
      </c>
      <c r="L97" s="24">
        <f>SUM('Model - Quarterly'!AK535:AN535)</f>
        <v>4948.9540433309612</v>
      </c>
      <c r="M97" s="24">
        <f>SUM('Model - Quarterly'!AO535:AR535)</f>
        <v>5172.8420711096778</v>
      </c>
      <c r="N97" s="24">
        <f>SUM('Model - Quarterly'!AS535:AV535)</f>
        <v>5599.9764921934957</v>
      </c>
      <c r="O97" s="26"/>
      <c r="P97" s="27"/>
    </row>
    <row r="98" spans="1:16" ht="12.75" hidden="1" customHeight="1" outlineLevel="1">
      <c r="B98" s="28" t="str">
        <f>'Model - Quarterly'!B536</f>
        <v>Future Income Taxes</v>
      </c>
      <c r="C98" s="23" t="str">
        <f>'Model - Quarterly'!C536</f>
        <v>(US$ 000)</v>
      </c>
      <c r="D98" s="173"/>
      <c r="E98" s="63">
        <f>SUM('Model - Quarterly'!I536:L536)</f>
        <v>0</v>
      </c>
      <c r="F98" s="63">
        <f>SUM('Model - Quarterly'!M536:P536)</f>
        <v>0</v>
      </c>
      <c r="G98" s="63">
        <f>SUM('Model - Quarterly'!Q536:T536)</f>
        <v>0</v>
      </c>
      <c r="H98" s="63">
        <f>SUM('Model - Quarterly'!U536:X536)</f>
        <v>0</v>
      </c>
      <c r="I98" s="63">
        <f>SUM('Model - Quarterly'!Y536:AB536)</f>
        <v>0</v>
      </c>
      <c r="J98" s="63">
        <f>SUM('Model - Quarterly'!AC536:AF536)</f>
        <v>0</v>
      </c>
      <c r="K98" s="63">
        <f>SUM('Model - Quarterly'!AG536:AJ536)</f>
        <v>0</v>
      </c>
      <c r="L98" s="63">
        <f>SUM('Model - Quarterly'!AK536:AN536)</f>
        <v>0</v>
      </c>
      <c r="M98" s="63">
        <f>SUM('Model - Quarterly'!AO536:AR536)</f>
        <v>0</v>
      </c>
      <c r="N98" s="63">
        <f>SUM('Model - Quarterly'!AS536:AV536)</f>
        <v>0</v>
      </c>
      <c r="O98" s="26"/>
      <c r="P98" s="27"/>
    </row>
    <row r="99" spans="1:16" ht="12.75" hidden="1" customHeight="1" outlineLevel="1">
      <c r="A99" s="170" t="s">
        <v>138</v>
      </c>
      <c r="B99" s="13" t="str">
        <f>'Model - Quarterly'!B537</f>
        <v>Net Income (Loss) from Continued Operations</v>
      </c>
      <c r="C99" s="20" t="str">
        <f>'Model - Quarterly'!C537</f>
        <v>(US$ 000)</v>
      </c>
      <c r="D99" s="20"/>
      <c r="E99" s="26">
        <f>SUM('Model - Quarterly'!I537:L537)</f>
        <v>-344.33444121787522</v>
      </c>
      <c r="F99" s="26">
        <f>SUM('Model - Quarterly'!M537:P537)</f>
        <v>-161.72604081279678</v>
      </c>
      <c r="G99" s="26">
        <f>SUM('Model - Quarterly'!Q537:T537)</f>
        <v>2591.6603062441641</v>
      </c>
      <c r="H99" s="26">
        <f>SUM('Model - Quarterly'!U537:X537)</f>
        <v>13929.779098848776</v>
      </c>
      <c r="I99" s="26">
        <f>SUM('Model - Quarterly'!Y537:AB537)</f>
        <v>14987.682824339641</v>
      </c>
      <c r="J99" s="26">
        <f>SUM('Model - Quarterly'!AC537:AF537)</f>
        <v>15620.933484099107</v>
      </c>
      <c r="K99" s="26">
        <f>SUM('Model - Quarterly'!AG537:AJ537)</f>
        <v>17153.983321566462</v>
      </c>
      <c r="L99" s="26">
        <f>SUM('Model - Quarterly'!AK537:AN537)</f>
        <v>17705.956648144129</v>
      </c>
      <c r="M99" s="26">
        <f>SUM('Model - Quarterly'!AO537:AR537)</f>
        <v>18557.157969974818</v>
      </c>
      <c r="N99" s="26">
        <f>SUM('Model - Quarterly'!AS537:AV537)</f>
        <v>20326.718532366751</v>
      </c>
      <c r="O99" s="26"/>
      <c r="P99" s="27"/>
    </row>
    <row r="100" spans="1:16" ht="12.75" hidden="1" customHeight="1" outlineLevel="1">
      <c r="B100" s="32"/>
      <c r="C100" s="23"/>
      <c r="D100" s="23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6"/>
      <c r="P100" s="27"/>
    </row>
    <row r="101" spans="1:16" ht="12.75" hidden="1" customHeight="1" outlineLevel="1">
      <c r="B101" s="13" t="str">
        <f>'Model - Quarterly'!B541</f>
        <v>EBITDA</v>
      </c>
      <c r="C101" s="20" t="str">
        <f>'Model - Quarterly'!C541</f>
        <v>(US$ 000)</v>
      </c>
      <c r="D101" s="20"/>
      <c r="E101" s="26">
        <f>SUM('Model - Quarterly'!I541:L541)</f>
        <v>-309.76499677343077</v>
      </c>
      <c r="F101" s="26">
        <f>SUM('Model - Quarterly'!M541:P541)</f>
        <v>314.71932091803103</v>
      </c>
      <c r="G101" s="26">
        <f>SUM('Model - Quarterly'!Q541:T541)</f>
        <v>5756.6824959240676</v>
      </c>
      <c r="H101" s="26">
        <f>SUM('Model - Quarterly'!U541:X541)</f>
        <v>18608.583426177058</v>
      </c>
      <c r="I101" s="26">
        <f>SUM('Model - Quarterly'!Y541:AB541)</f>
        <v>19903.550259355976</v>
      </c>
      <c r="J101" s="26">
        <f>SUM('Model - Quarterly'!AC541:AF541)</f>
        <v>20691.780865908717</v>
      </c>
      <c r="K101" s="26">
        <f>SUM('Model - Quarterly'!AG541:AJ541)</f>
        <v>22579.563137295772</v>
      </c>
      <c r="L101" s="26">
        <f>SUM('Model - Quarterly'!AK541:AN541)</f>
        <v>23239.094648452472</v>
      </c>
      <c r="M101" s="26">
        <f>SUM('Model - Quarterly'!AO541:AR541)</f>
        <v>24302.208644256058</v>
      </c>
      <c r="N101" s="26">
        <f>SUM('Model - Quarterly'!AS541:AV541)</f>
        <v>26487.706892765149</v>
      </c>
      <c r="O101" s="26"/>
      <c r="P101" s="27"/>
    </row>
    <row r="102" spans="1:16" ht="12.75" hidden="1" customHeight="1" outlineLevel="1">
      <c r="B102" s="13"/>
      <c r="C102" s="20"/>
      <c r="D102" s="20"/>
      <c r="E102" s="24"/>
      <c r="F102" s="25"/>
      <c r="G102" s="24"/>
      <c r="H102" s="24"/>
      <c r="I102" s="24"/>
      <c r="J102" s="25"/>
      <c r="K102" s="25"/>
      <c r="L102" s="25"/>
      <c r="M102" s="25"/>
      <c r="N102" s="24"/>
      <c r="O102" s="26"/>
      <c r="P102" s="27"/>
    </row>
    <row r="103" spans="1:16" collapsed="1">
      <c r="A103" s="170" t="s">
        <v>138</v>
      </c>
      <c r="B103" s="21" t="str">
        <f>'Model - Quarterly'!B543</f>
        <v>Cash Flow Statement</v>
      </c>
      <c r="C103" s="22"/>
      <c r="D103" s="147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0"/>
      <c r="P103" s="27"/>
    </row>
    <row r="104" spans="1:16" ht="12.75" hidden="1" customHeight="1" outlineLevel="1">
      <c r="B104" s="13" t="str">
        <f>'Model - Quarterly'!B544</f>
        <v>Operating Activities (CFO)</v>
      </c>
      <c r="C104" s="23"/>
      <c r="D104" s="23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6"/>
      <c r="P104" s="27"/>
    </row>
    <row r="105" spans="1:16" ht="12.75" hidden="1" customHeight="1" outlineLevel="1">
      <c r="B105" s="28" t="str">
        <f>'Model - Quarterly'!B545</f>
        <v>Income (Loss) from Operations</v>
      </c>
      <c r="C105" s="23" t="str">
        <f>'Model - Quarterly'!C545</f>
        <v>(US$ 000)</v>
      </c>
      <c r="D105" s="23"/>
      <c r="E105" s="24">
        <f>SUM('Model - Quarterly'!I545:L545)</f>
        <v>-344.33444121787522</v>
      </c>
      <c r="F105" s="24">
        <f>SUM('Model - Quarterly'!M545:P545)</f>
        <v>-161.72604081279678</v>
      </c>
      <c r="G105" s="24">
        <f>SUM('Model - Quarterly'!Q545:T545)</f>
        <v>2591.6603062441641</v>
      </c>
      <c r="H105" s="24">
        <f>SUM('Model - Quarterly'!U545:X545)</f>
        <v>13929.779098848776</v>
      </c>
      <c r="I105" s="24">
        <f>SUM('Model - Quarterly'!Y545:AB545)</f>
        <v>14987.682824339641</v>
      </c>
      <c r="J105" s="24">
        <f>SUM('Model - Quarterly'!AC545:AF545)</f>
        <v>15620.933484099107</v>
      </c>
      <c r="K105" s="24">
        <f>SUM('Model - Quarterly'!AG545:AJ545)</f>
        <v>17153.983321566462</v>
      </c>
      <c r="L105" s="24">
        <f>SUM('Model - Quarterly'!AK545:AN545)</f>
        <v>17705.956648144129</v>
      </c>
      <c r="M105" s="24">
        <f>SUM('Model - Quarterly'!AO545:AR545)</f>
        <v>18557.157969974818</v>
      </c>
      <c r="N105" s="24">
        <f>SUM('Model - Quarterly'!AS545:AV545)</f>
        <v>20326.718532366751</v>
      </c>
      <c r="O105" s="26"/>
      <c r="P105" s="27"/>
    </row>
    <row r="106" spans="1:16" ht="12.75" hidden="1" customHeight="1" outlineLevel="1">
      <c r="B106" s="30" t="str">
        <f>'Model - Quarterly'!B546</f>
        <v>Depreciation &amp; Amortization</v>
      </c>
      <c r="C106" s="23" t="str">
        <f>'Model - Quarterly'!C546</f>
        <v>(US$ 000)</v>
      </c>
      <c r="D106" s="23"/>
      <c r="E106" s="24">
        <f>SUM('Model - Quarterly'!I546:L546)</f>
        <v>34.569444444444443</v>
      </c>
      <c r="F106" s="24">
        <f>SUM('Model - Quarterly'!M546:P546)</f>
        <v>211.43203038087279</v>
      </c>
      <c r="G106" s="24">
        <f>SUM('Model - Quarterly'!Q546:T546)</f>
        <v>621.33181628765453</v>
      </c>
      <c r="H106" s="24">
        <f>SUM('Model - Quarterly'!U546:X546)</f>
        <v>641.01252845240663</v>
      </c>
      <c r="I106" s="24">
        <f>SUM('Model - Quarterly'!Y546:AB546)</f>
        <v>625.3422695046745</v>
      </c>
      <c r="J106" s="24">
        <f>SUM('Model - Quarterly'!AC546:AF546)</f>
        <v>610.69086636940074</v>
      </c>
      <c r="K106" s="24">
        <f>SUM('Model - Quarterly'!AG546:AJ546)</f>
        <v>596.99207462969036</v>
      </c>
      <c r="L106" s="24">
        <f>SUM('Model - Quarterly'!AK546:AN546)</f>
        <v>584.18395697738424</v>
      </c>
      <c r="M106" s="24">
        <f>SUM('Model - Quarterly'!AO546:AR546)</f>
        <v>572.20860317156121</v>
      </c>
      <c r="N106" s="24">
        <f>SUM('Model - Quarterly'!AS546:AV546)</f>
        <v>561.01186820490375</v>
      </c>
      <c r="O106" s="26"/>
      <c r="P106" s="27"/>
    </row>
    <row r="107" spans="1:16" ht="12.75" hidden="1" customHeight="1" outlineLevel="1">
      <c r="B107" s="41" t="str">
        <f>'Model - Quarterly'!B547</f>
        <v>CFO Before Changes in Non-Cash Working Capital</v>
      </c>
      <c r="C107" s="20" t="str">
        <f>'Model - Quarterly'!C547</f>
        <v>(US$ 000)</v>
      </c>
      <c r="D107" s="20"/>
      <c r="E107" s="39">
        <f>SUM('Model - Quarterly'!I547:L547)</f>
        <v>-309.76499677343077</v>
      </c>
      <c r="F107" s="39">
        <f>SUM('Model - Quarterly'!M547:P547)</f>
        <v>49.705989568076006</v>
      </c>
      <c r="G107" s="39">
        <f>SUM('Model - Quarterly'!Q547:T547)</f>
        <v>3212.9921225318185</v>
      </c>
      <c r="H107" s="39">
        <f>SUM('Model - Quarterly'!U547:X547)</f>
        <v>14570.791627301182</v>
      </c>
      <c r="I107" s="39">
        <f>SUM('Model - Quarterly'!Y547:AB547)</f>
        <v>15613.025093844317</v>
      </c>
      <c r="J107" s="39">
        <f>SUM('Model - Quarterly'!AC547:AF547)</f>
        <v>16231.624350468506</v>
      </c>
      <c r="K107" s="39">
        <f>SUM('Model - Quarterly'!AG547:AJ547)</f>
        <v>17750.975396196151</v>
      </c>
      <c r="L107" s="39">
        <f>SUM('Model - Quarterly'!AK547:AN547)</f>
        <v>18290.140605121513</v>
      </c>
      <c r="M107" s="39">
        <f>SUM('Model - Quarterly'!AO547:AR547)</f>
        <v>19129.366573146377</v>
      </c>
      <c r="N107" s="39">
        <f>SUM('Model - Quarterly'!AS547:AV547)</f>
        <v>20887.730400571651</v>
      </c>
      <c r="O107" s="27"/>
      <c r="P107" s="27"/>
    </row>
    <row r="108" spans="1:16" ht="12.75" hidden="1" customHeight="1" outlineLevel="1">
      <c r="B108" s="28" t="str">
        <f>'Model - Quarterly'!B548</f>
        <v>Change in Non-Cash Working Capital</v>
      </c>
      <c r="C108" s="23" t="str">
        <f>'Model - Quarterly'!C548</f>
        <v>(US$ 000)</v>
      </c>
      <c r="D108" s="23"/>
      <c r="E108" s="24">
        <f>SUM('Model - Quarterly'!I548:L548)</f>
        <v>0</v>
      </c>
      <c r="F108" s="24">
        <f>SUM('Model - Quarterly'!M548:P548)</f>
        <v>0</v>
      </c>
      <c r="G108" s="24">
        <f>SUM('Model - Quarterly'!Q548:T548)</f>
        <v>0</v>
      </c>
      <c r="H108" s="24">
        <f>SUM('Model - Quarterly'!U548:X548)</f>
        <v>0</v>
      </c>
      <c r="I108" s="24">
        <f>SUM('Model - Quarterly'!Y548:AB548)</f>
        <v>0</v>
      </c>
      <c r="J108" s="24">
        <f>SUM('Model - Quarterly'!AC548:AF548)</f>
        <v>0</v>
      </c>
      <c r="K108" s="24">
        <f>SUM('Model - Quarterly'!AG548:AJ548)</f>
        <v>0</v>
      </c>
      <c r="L108" s="24">
        <f>SUM('Model - Quarterly'!AK548:AN548)</f>
        <v>0</v>
      </c>
      <c r="M108" s="24">
        <f>SUM('Model - Quarterly'!AO548:AR548)</f>
        <v>0</v>
      </c>
      <c r="N108" s="24">
        <f>SUM('Model - Quarterly'!AS548:AV548)</f>
        <v>0</v>
      </c>
      <c r="O108" s="27"/>
      <c r="P108" s="27"/>
    </row>
    <row r="109" spans="1:16" ht="12.75" hidden="1" customHeight="1" outlineLevel="1">
      <c r="B109" s="13" t="str">
        <f>'Model - Quarterly'!B549</f>
        <v>Net CFO</v>
      </c>
      <c r="C109" s="20" t="str">
        <f>'Model - Quarterly'!C549</f>
        <v>(US$ 000)</v>
      </c>
      <c r="D109" s="20"/>
      <c r="E109" s="39">
        <f>SUM('Model - Quarterly'!I549:L549)</f>
        <v>-309.76499677343077</v>
      </c>
      <c r="F109" s="39">
        <f>SUM('Model - Quarterly'!M549:P549)</f>
        <v>49.705989568076006</v>
      </c>
      <c r="G109" s="39">
        <f>SUM('Model - Quarterly'!Q549:T549)</f>
        <v>3212.9921225318185</v>
      </c>
      <c r="H109" s="39">
        <f>SUM('Model - Quarterly'!U549:X549)</f>
        <v>14570.791627301182</v>
      </c>
      <c r="I109" s="39">
        <f>SUM('Model - Quarterly'!Y549:AB549)</f>
        <v>15613.025093844317</v>
      </c>
      <c r="J109" s="39">
        <f>SUM('Model - Quarterly'!AC549:AF549)</f>
        <v>16231.624350468506</v>
      </c>
      <c r="K109" s="39">
        <f>SUM('Model - Quarterly'!AG549:AJ549)</f>
        <v>17750.975396196151</v>
      </c>
      <c r="L109" s="39">
        <f>SUM('Model - Quarterly'!AK549:AN549)</f>
        <v>18290.140605121513</v>
      </c>
      <c r="M109" s="39">
        <f>SUM('Model - Quarterly'!AO549:AR549)</f>
        <v>19129.366573146377</v>
      </c>
      <c r="N109" s="39">
        <f>SUM('Model - Quarterly'!AS549:AV549)</f>
        <v>20887.730400571651</v>
      </c>
      <c r="O109" s="27"/>
      <c r="P109" s="27"/>
    </row>
    <row r="110" spans="1:16" ht="12.75" hidden="1" customHeight="1" outlineLevel="1">
      <c r="B110" s="32"/>
      <c r="C110" s="23"/>
      <c r="D110" s="23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7"/>
      <c r="P110" s="27"/>
    </row>
    <row r="111" spans="1:16" ht="12.75" hidden="1" customHeight="1" outlineLevel="1">
      <c r="B111" s="13" t="str">
        <f>'Model - Quarterly'!B553</f>
        <v>Investing Activities (CFI)</v>
      </c>
      <c r="C111" s="20"/>
      <c r="D111" s="20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7"/>
      <c r="P111" s="27"/>
    </row>
    <row r="112" spans="1:16" ht="12.6" hidden="1" customHeight="1" outlineLevel="1">
      <c r="B112" s="28" t="str">
        <f>'Model - Quarterly'!B554</f>
        <v>CAPEX - California Cultivation</v>
      </c>
      <c r="C112" s="23" t="str">
        <f>'Model - Quarterly'!C554</f>
        <v>(US$ 000)</v>
      </c>
      <c r="D112" s="23"/>
      <c r="E112" s="24">
        <f>SUMIF('Model - Quarterly'!$5:$5,E$1,'Model - Quarterly'!554:554)</f>
        <v>-150</v>
      </c>
      <c r="F112" s="24">
        <f>SUMIF('Model - Quarterly'!$5:$5,F$1,'Model - Quarterly'!554:554)</f>
        <v>-2350</v>
      </c>
      <c r="G112" s="24">
        <f>SUMIF('Model - Quarterly'!$5:$5,G$1,'Model - Quarterly'!554:554)</f>
        <v>-4500</v>
      </c>
      <c r="H112" s="24">
        <f>SUMIF('Model - Quarterly'!$5:$5,H$1,'Model - Quarterly'!554:554)</f>
        <v>-200</v>
      </c>
      <c r="I112" s="24">
        <f>SUMIF('Model - Quarterly'!$5:$5,I$1,'Model - Quarterly'!554:554)</f>
        <v>-200</v>
      </c>
      <c r="J112" s="24">
        <f>SUMIF('Model - Quarterly'!$5:$5,J$1,'Model - Quarterly'!554:554)</f>
        <v>-200</v>
      </c>
      <c r="K112" s="24">
        <f>SUMIF('Model - Quarterly'!$5:$5,K$1,'Model - Quarterly'!554:554)</f>
        <v>-200</v>
      </c>
      <c r="L112" s="24">
        <f>SUMIF('Model - Quarterly'!$5:$5,L$1,'Model - Quarterly'!554:554)</f>
        <v>-200</v>
      </c>
      <c r="M112" s="24">
        <f>SUMIF('Model - Quarterly'!$5:$5,M$1,'Model - Quarterly'!554:554)</f>
        <v>-200</v>
      </c>
      <c r="N112" s="24">
        <f>SUMIF('Model - Quarterly'!$5:$5,N$1,'Model - Quarterly'!554:554)</f>
        <v>-200</v>
      </c>
      <c r="O112" s="27"/>
      <c r="P112" s="27"/>
    </row>
    <row r="113" spans="2:16" ht="12.6" hidden="1" customHeight="1" outlineLevel="1">
      <c r="B113" s="28" t="str">
        <f>'Model - Quarterly'!B555</f>
        <v>CAPEX - Processing Facility</v>
      </c>
      <c r="C113" s="23">
        <f>'Model - Quarterly'!C555</f>
        <v>0</v>
      </c>
      <c r="D113" s="23"/>
      <c r="E113" s="24">
        <f>SUMIF('Model - Quarterly'!$5:$5,E$1,'Model - Quarterly'!555:555)</f>
        <v>0</v>
      </c>
      <c r="F113" s="24">
        <f>SUMIF('Model - Quarterly'!$5:$5,F$1,'Model - Quarterly'!555:555)</f>
        <v>0</v>
      </c>
      <c r="G113" s="24">
        <f>SUMIF('Model - Quarterly'!$5:$5,G$1,'Model - Quarterly'!555:555)</f>
        <v>-583</v>
      </c>
      <c r="H113" s="24">
        <f>SUMIF('Model - Quarterly'!$5:$5,H$1,'Model - Quarterly'!555:555)</f>
        <v>0</v>
      </c>
      <c r="I113" s="24">
        <f>SUMIF('Model - Quarterly'!$5:$5,I$1,'Model - Quarterly'!555:555)</f>
        <v>0</v>
      </c>
      <c r="J113" s="24">
        <f>SUMIF('Model - Quarterly'!$5:$5,J$1,'Model - Quarterly'!555:555)</f>
        <v>0</v>
      </c>
      <c r="K113" s="24">
        <f>SUMIF('Model - Quarterly'!$5:$5,K$1,'Model - Quarterly'!555:555)</f>
        <v>0</v>
      </c>
      <c r="L113" s="24">
        <f>SUMIF('Model - Quarterly'!$5:$5,L$1,'Model - Quarterly'!555:555)</f>
        <v>0</v>
      </c>
      <c r="M113" s="24">
        <f>SUMIF('Model - Quarterly'!$5:$5,M$1,'Model - Quarterly'!555:555)</f>
        <v>0</v>
      </c>
      <c r="N113" s="24">
        <f>SUMIF('Model - Quarterly'!$5:$5,N$1,'Model - Quarterly'!555:555)</f>
        <v>0</v>
      </c>
      <c r="O113" s="27"/>
      <c r="P113" s="27"/>
    </row>
    <row r="114" spans="2:16" ht="12.75" hidden="1" customHeight="1" outlineLevel="1">
      <c r="B114" s="28" t="str">
        <f>'Model - Quarterly'!B556</f>
        <v>CAPEX - California Dispensary - Santa Rosa</v>
      </c>
      <c r="C114" s="23" t="str">
        <f>'Model - Quarterly'!C556</f>
        <v>(US$ 000)</v>
      </c>
      <c r="D114" s="23"/>
      <c r="E114" s="24">
        <f>SUMIF('Model - Quarterly'!$5:$5,E$1,'Model - Quarterly'!556:556)</f>
        <v>0</v>
      </c>
      <c r="F114" s="24">
        <f>SUMIF('Model - Quarterly'!$5:$5,F$1,'Model - Quarterly'!556:556)</f>
        <v>-600</v>
      </c>
      <c r="G114" s="24">
        <f>SUMIF('Model - Quarterly'!$5:$5,G$1,'Model - Quarterly'!556:556)</f>
        <v>-100</v>
      </c>
      <c r="H114" s="24">
        <f>SUMIF('Model - Quarterly'!$5:$5,H$1,'Model - Quarterly'!556:556)</f>
        <v>-100</v>
      </c>
      <c r="I114" s="24">
        <f>SUMIF('Model - Quarterly'!$5:$5,I$1,'Model - Quarterly'!556:556)</f>
        <v>-100</v>
      </c>
      <c r="J114" s="24">
        <f>SUMIF('Model - Quarterly'!$5:$5,J$1,'Model - Quarterly'!556:556)</f>
        <v>-100</v>
      </c>
      <c r="K114" s="24">
        <f>SUMIF('Model - Quarterly'!$5:$5,K$1,'Model - Quarterly'!556:556)</f>
        <v>-100</v>
      </c>
      <c r="L114" s="24">
        <f>SUMIF('Model - Quarterly'!$5:$5,L$1,'Model - Quarterly'!556:556)</f>
        <v>-100</v>
      </c>
      <c r="M114" s="24">
        <f>SUMIF('Model - Quarterly'!$5:$5,M$1,'Model - Quarterly'!556:556)</f>
        <v>-100</v>
      </c>
      <c r="N114" s="24">
        <f>SUMIF('Model - Quarterly'!$5:$5,N$1,'Model - Quarterly'!556:556)</f>
        <v>-100</v>
      </c>
      <c r="O114" s="26"/>
      <c r="P114" s="27"/>
    </row>
    <row r="115" spans="2:16" ht="12.75" hidden="1" customHeight="1" outlineLevel="1">
      <c r="B115" s="28" t="str">
        <f>'Model - Quarterly'!B557</f>
        <v>CAPEX - California Dispensary - Sonoma</v>
      </c>
      <c r="C115" s="23" t="str">
        <f>'Model - Quarterly'!C557</f>
        <v>(US$ 000)</v>
      </c>
      <c r="D115" s="23"/>
      <c r="E115" s="24">
        <f>SUMIF('Model - Quarterly'!$5:$5,E$1,'Model - Quarterly'!557:557)</f>
        <v>0</v>
      </c>
      <c r="F115" s="24">
        <f>SUMIF('Model - Quarterly'!$5:$5,F$1,'Model - Quarterly'!557:557)</f>
        <v>-600</v>
      </c>
      <c r="G115" s="24">
        <f>SUMIF('Model - Quarterly'!$5:$5,G$1,'Model - Quarterly'!557:557)</f>
        <v>-100</v>
      </c>
      <c r="H115" s="24">
        <f>SUMIF('Model - Quarterly'!$5:$5,H$1,'Model - Quarterly'!557:557)</f>
        <v>-100</v>
      </c>
      <c r="I115" s="24">
        <f>SUMIF('Model - Quarterly'!$5:$5,I$1,'Model - Quarterly'!557:557)</f>
        <v>-100</v>
      </c>
      <c r="J115" s="24">
        <f>SUMIF('Model - Quarterly'!$5:$5,J$1,'Model - Quarterly'!557:557)</f>
        <v>-100</v>
      </c>
      <c r="K115" s="24">
        <f>SUMIF('Model - Quarterly'!$5:$5,K$1,'Model - Quarterly'!557:557)</f>
        <v>-100</v>
      </c>
      <c r="L115" s="24">
        <f>SUMIF('Model - Quarterly'!$5:$5,L$1,'Model - Quarterly'!557:557)</f>
        <v>-100</v>
      </c>
      <c r="M115" s="24">
        <f>SUMIF('Model - Quarterly'!$5:$5,M$1,'Model - Quarterly'!557:557)</f>
        <v>-100</v>
      </c>
      <c r="N115" s="24">
        <f>SUMIF('Model - Quarterly'!$5:$5,N$1,'Model - Quarterly'!557:557)</f>
        <v>-100</v>
      </c>
      <c r="O115" s="26"/>
      <c r="P115" s="27"/>
    </row>
    <row r="116" spans="2:16" ht="12.75" hidden="1" customHeight="1" outlineLevel="1">
      <c r="B116" s="28" t="str">
        <f>'Model - Quarterly'!B558</f>
        <v>Dispensary Related Acquisition Cost</v>
      </c>
      <c r="C116" s="23" t="str">
        <f>'Model - Quarterly'!C558</f>
        <v>(US$ 000)</v>
      </c>
      <c r="D116" s="23"/>
      <c r="E116" s="24">
        <f>SUMIF('Model - Quarterly'!$5:$5,E$1,'Model - Quarterly'!558:558)</f>
        <v>0</v>
      </c>
      <c r="F116" s="24">
        <f>SUMIF('Model - Quarterly'!$5:$5,F$1,'Model - Quarterly'!558:558)</f>
        <v>-150</v>
      </c>
      <c r="G116" s="24">
        <f>SUMIF('Model - Quarterly'!$5:$5,G$1,'Model - Quarterly'!558:558)</f>
        <v>0</v>
      </c>
      <c r="H116" s="24">
        <f>SUMIF('Model - Quarterly'!$5:$5,H$1,'Model - Quarterly'!558:558)</f>
        <v>0</v>
      </c>
      <c r="I116" s="24">
        <f>SUMIF('Model - Quarterly'!$5:$5,I$1,'Model - Quarterly'!558:558)</f>
        <v>0</v>
      </c>
      <c r="J116" s="24">
        <f>SUMIF('Model - Quarterly'!$5:$5,J$1,'Model - Quarterly'!558:558)</f>
        <v>0</v>
      </c>
      <c r="K116" s="24">
        <f>SUMIF('Model - Quarterly'!$5:$5,K$1,'Model - Quarterly'!558:558)</f>
        <v>0</v>
      </c>
      <c r="L116" s="24">
        <f>SUMIF('Model - Quarterly'!$5:$5,L$1,'Model - Quarterly'!558:558)</f>
        <v>0</v>
      </c>
      <c r="M116" s="24">
        <f>SUMIF('Model - Quarterly'!$5:$5,M$1,'Model - Quarterly'!558:558)</f>
        <v>0</v>
      </c>
      <c r="N116" s="24">
        <f>SUMIF('Model - Quarterly'!$5:$5,N$1,'Model - Quarterly'!558:558)</f>
        <v>0</v>
      </c>
      <c r="O116" s="26"/>
      <c r="P116" s="27"/>
    </row>
    <row r="117" spans="2:16" ht="12.75" hidden="1" customHeight="1" outlineLevel="1">
      <c r="B117" s="13" t="str">
        <f>'Model - Quarterly'!B559</f>
        <v>Net CFI</v>
      </c>
      <c r="C117" s="20" t="str">
        <f>'Model - Quarterly'!C559</f>
        <v>(US$ 000)</v>
      </c>
      <c r="D117" s="20"/>
      <c r="E117" s="39">
        <f>SUM('Model - Quarterly'!I559:L559)</f>
        <v>-150</v>
      </c>
      <c r="F117" s="39">
        <f>SUM('Model - Quarterly'!M559:P559)</f>
        <v>-2950</v>
      </c>
      <c r="G117" s="39">
        <f>SUM('Model - Quarterly'!Q559:T559)</f>
        <v>-5183</v>
      </c>
      <c r="H117" s="39">
        <f>SUM('Model - Quarterly'!U559:X559)</f>
        <v>-300</v>
      </c>
      <c r="I117" s="39">
        <f>SUM('Model - Quarterly'!Y559:AB559)</f>
        <v>-300</v>
      </c>
      <c r="J117" s="39">
        <f>SUM('Model - Quarterly'!AC559:AF559)</f>
        <v>-300</v>
      </c>
      <c r="K117" s="39">
        <f>SUM('Model - Quarterly'!AG559:AJ559)</f>
        <v>-300</v>
      </c>
      <c r="L117" s="39">
        <f>SUM('Model - Quarterly'!AK559:AN559)</f>
        <v>-300</v>
      </c>
      <c r="M117" s="39">
        <f>SUM('Model - Quarterly'!AO559:AR559)</f>
        <v>-300</v>
      </c>
      <c r="N117" s="39">
        <f>SUM('Model - Quarterly'!AS559:AV559)</f>
        <v>-300</v>
      </c>
      <c r="O117" s="26"/>
      <c r="P117" s="27"/>
    </row>
    <row r="118" spans="2:16" ht="12.75" hidden="1" customHeight="1" outlineLevel="1">
      <c r="B118" s="13"/>
      <c r="C118" s="20"/>
      <c r="D118" s="20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6"/>
      <c r="P118" s="27"/>
    </row>
    <row r="119" spans="2:16" ht="12.75" hidden="1" customHeight="1" outlineLevel="1">
      <c r="B119" s="13" t="str">
        <f>'Model - Quarterly'!B561</f>
        <v>Financing Activities (CFF)</v>
      </c>
      <c r="C119" s="20"/>
      <c r="D119" s="20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7"/>
      <c r="P119" s="27"/>
    </row>
    <row r="120" spans="2:16" ht="12.75" hidden="1" customHeight="1" outlineLevel="1">
      <c r="B120" s="28" t="str">
        <f>'Model - Quarterly'!B562</f>
        <v>Private Investment, Net of Costs</v>
      </c>
      <c r="C120" s="23" t="str">
        <f>'Model - Quarterly'!C562</f>
        <v>(US$ 000)</v>
      </c>
      <c r="D120" s="23"/>
      <c r="E120" s="24">
        <f>SUM('Model - Quarterly'!I562:L562)</f>
        <v>0</v>
      </c>
      <c r="F120" s="24">
        <f>SUM('Model - Quarterly'!M562:P562)</f>
        <v>8000</v>
      </c>
      <c r="G120" s="24">
        <f>SUM('Model - Quarterly'!Q562:T562)</f>
        <v>0</v>
      </c>
      <c r="H120" s="24">
        <f>SUM('Model - Quarterly'!U562:X562)</f>
        <v>0</v>
      </c>
      <c r="I120" s="24">
        <f>SUM('Model - Quarterly'!Y562:AB562)</f>
        <v>0</v>
      </c>
      <c r="J120" s="24">
        <f>SUM('Model - Quarterly'!AC562:AF562)</f>
        <v>0</v>
      </c>
      <c r="K120" s="24">
        <f>SUM('Model - Quarterly'!AG562:AJ562)</f>
        <v>0</v>
      </c>
      <c r="L120" s="24">
        <f>SUM('Model - Quarterly'!AK562:AN562)</f>
        <v>0</v>
      </c>
      <c r="M120" s="24">
        <f>SUM('Model - Quarterly'!AO562:AR562)</f>
        <v>0</v>
      </c>
      <c r="N120" s="24">
        <f>SUM('Model - Quarterly'!AS562:AV562)</f>
        <v>0</v>
      </c>
      <c r="O120" s="27"/>
      <c r="P120" s="27"/>
    </row>
    <row r="121" spans="2:16" ht="12.75" hidden="1" customHeight="1" outlineLevel="1">
      <c r="B121" s="28"/>
      <c r="C121" s="23"/>
      <c r="D121" s="23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7"/>
      <c r="P121" s="27"/>
    </row>
    <row r="122" spans="2:16" ht="12.75" hidden="1" customHeight="1" outlineLevel="1">
      <c r="B122" s="13" t="str">
        <f>'Model - Quarterly'!B564</f>
        <v>Net CFF</v>
      </c>
      <c r="C122" s="20" t="str">
        <f>'Model - Quarterly'!C564</f>
        <v>(US$ 000)</v>
      </c>
      <c r="D122" s="20"/>
      <c r="E122" s="39">
        <f>SUM('Model - Quarterly'!I564:L564)</f>
        <v>0</v>
      </c>
      <c r="F122" s="39">
        <f>SUM('Model - Quarterly'!M564:P564)</f>
        <v>8000</v>
      </c>
      <c r="G122" s="39">
        <f>SUM('Model - Quarterly'!Q564:T564)</f>
        <v>0</v>
      </c>
      <c r="H122" s="39">
        <f>SUM('Model - Quarterly'!U564:X564)</f>
        <v>0</v>
      </c>
      <c r="I122" s="39">
        <f>SUM('Model - Quarterly'!Y564:AB564)</f>
        <v>0</v>
      </c>
      <c r="J122" s="39">
        <f>SUM('Model - Quarterly'!AC564:AF564)</f>
        <v>0</v>
      </c>
      <c r="K122" s="39">
        <f>SUM('Model - Quarterly'!AG564:AJ564)</f>
        <v>0</v>
      </c>
      <c r="L122" s="39">
        <f>SUM('Model - Quarterly'!AK564:AN564)</f>
        <v>0</v>
      </c>
      <c r="M122" s="39">
        <f>SUM('Model - Quarterly'!AO564:AR564)</f>
        <v>0</v>
      </c>
      <c r="N122" s="39">
        <f>SUM('Model - Quarterly'!AS564:AV564)</f>
        <v>0</v>
      </c>
      <c r="O122" s="27"/>
      <c r="P122" s="27"/>
    </row>
    <row r="123" spans="2:16" ht="12.75" hidden="1" customHeight="1" outlineLevel="1">
      <c r="B123" s="32"/>
      <c r="C123" s="23"/>
      <c r="D123" s="23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7"/>
      <c r="P123" s="27"/>
    </row>
    <row r="124" spans="2:16" ht="12.75" hidden="1" customHeight="1" outlineLevel="1">
      <c r="B124" s="175" t="str">
        <f>'Model - Quarterly'!B568</f>
        <v>Cash - BOP</v>
      </c>
      <c r="C124" s="20" t="str">
        <f>'Model - Quarterly'!C568</f>
        <v>(US$ 000)</v>
      </c>
      <c r="D124" s="20"/>
      <c r="E124" s="26">
        <f>'Model - Quarterly'!I568</f>
        <v>0</v>
      </c>
      <c r="F124" s="26">
        <f>'Model - Quarterly'!M568</f>
        <v>-409.76499677343077</v>
      </c>
      <c r="G124" s="26">
        <f>'Model - Quarterly'!Q568</f>
        <v>4689.9409927946454</v>
      </c>
      <c r="H124" s="26">
        <f>'Model - Quarterly'!U568</f>
        <v>2719.9331153264638</v>
      </c>
      <c r="I124" s="26">
        <f>'Model - Quarterly'!Y568</f>
        <v>16990.724742627648</v>
      </c>
      <c r="J124" s="26">
        <f>'Model - Quarterly'!AC568</f>
        <v>32303.749836471961</v>
      </c>
      <c r="K124" s="26">
        <f>'Model - Quarterly'!AG568</f>
        <v>48235.374186940462</v>
      </c>
      <c r="L124" s="26">
        <f>'Model - Quarterly'!AK568</f>
        <v>65686.349583136616</v>
      </c>
      <c r="M124" s="26">
        <f>'Model - Quarterly'!AO568</f>
        <v>83676.490188258133</v>
      </c>
      <c r="N124" s="26">
        <f>'Model - Quarterly'!AS568</f>
        <v>102505.85676140453</v>
      </c>
      <c r="O124" s="26"/>
      <c r="P124" s="27"/>
    </row>
    <row r="125" spans="2:16" ht="12.75" hidden="1" customHeight="1" outlineLevel="1">
      <c r="B125" s="175" t="str">
        <f>'Model - Quarterly'!B569</f>
        <v>Cash - EOP</v>
      </c>
      <c r="C125" s="20" t="str">
        <f>'Model - Quarterly'!C569</f>
        <v>(US$ 000)</v>
      </c>
      <c r="D125" s="20"/>
      <c r="E125" s="26">
        <f>'Model - Quarterly'!L569</f>
        <v>-409.76499677343077</v>
      </c>
      <c r="F125" s="26">
        <f>'Model - Quarterly'!P569</f>
        <v>4689.9409927946454</v>
      </c>
      <c r="G125" s="26">
        <f>'Model - Quarterly'!T569</f>
        <v>2719.9331153264638</v>
      </c>
      <c r="H125" s="26">
        <f>'Model - Quarterly'!X569</f>
        <v>16990.724742627648</v>
      </c>
      <c r="I125" s="26">
        <f>'Model - Quarterly'!AB569</f>
        <v>32303.749836471961</v>
      </c>
      <c r="J125" s="26">
        <f>'Model - Quarterly'!AF569</f>
        <v>48235.374186940462</v>
      </c>
      <c r="K125" s="26">
        <f>'Model - Quarterly'!AJ569</f>
        <v>65686.349583136616</v>
      </c>
      <c r="L125" s="26">
        <f>'Model - Quarterly'!AN569</f>
        <v>83676.490188258133</v>
      </c>
      <c r="M125" s="26">
        <f>'Model - Quarterly'!AR569</f>
        <v>102505.85676140453</v>
      </c>
      <c r="N125" s="26">
        <f>'Model - Quarterly'!AV569</f>
        <v>123093.58716197619</v>
      </c>
      <c r="O125" s="26"/>
      <c r="P125" s="27"/>
    </row>
    <row r="126" spans="2:16" ht="12.75" hidden="1" customHeight="1" outlineLevel="1">
      <c r="B126" s="176"/>
      <c r="C126" s="23"/>
      <c r="D126" s="23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6"/>
      <c r="P126" s="27"/>
    </row>
    <row r="127" spans="2:16" ht="12.75" hidden="1" customHeight="1" outlineLevel="1">
      <c r="B127" s="175" t="str">
        <f>'Model - Quarterly'!B571</f>
        <v>Operating CF</v>
      </c>
      <c r="C127" s="20" t="str">
        <f>'Model - Quarterly'!C571</f>
        <v>(US$ 000)</v>
      </c>
      <c r="D127" s="20"/>
      <c r="E127" s="26">
        <f>SUM('Model - Quarterly'!I571:L571)</f>
        <v>-309.76499677343077</v>
      </c>
      <c r="F127" s="26">
        <f>SUM('Model - Quarterly'!M571:P571)</f>
        <v>49.705989568076006</v>
      </c>
      <c r="G127" s="26">
        <f>SUM('Model - Quarterly'!Q571:T571)</f>
        <v>3212.9921225318185</v>
      </c>
      <c r="H127" s="26">
        <f>SUM('Model - Quarterly'!U571:X571)</f>
        <v>14570.791627301182</v>
      </c>
      <c r="I127" s="26">
        <f>SUM('Model - Quarterly'!Y571:AB571)</f>
        <v>15613.025093844317</v>
      </c>
      <c r="J127" s="26">
        <f>SUM('Model - Quarterly'!AC571:AF571)</f>
        <v>16231.624350468506</v>
      </c>
      <c r="K127" s="26">
        <f>SUM('Model - Quarterly'!AG571:AJ571)</f>
        <v>17750.975396196151</v>
      </c>
      <c r="L127" s="26">
        <f>SUM('Model - Quarterly'!AK571:AN571)</f>
        <v>18290.140605121513</v>
      </c>
      <c r="M127" s="26">
        <f>SUM('Model - Quarterly'!AO571:AR571)</f>
        <v>19129.366573146377</v>
      </c>
      <c r="N127" s="26">
        <f>SUM('Model - Quarterly'!AS571:AV571)</f>
        <v>20887.730400571651</v>
      </c>
      <c r="O127" s="26"/>
      <c r="P127" s="27"/>
    </row>
    <row r="128" spans="2:16" ht="12.75" hidden="1" customHeight="1" outlineLevel="1">
      <c r="B128" s="13"/>
      <c r="C128" s="20">
        <f>'Model - Quarterly'!C572</f>
        <v>0</v>
      </c>
      <c r="D128" s="20"/>
      <c r="E128" s="31">
        <f>SUM('Model - Quarterly'!I572:L572)</f>
        <v>0</v>
      </c>
      <c r="F128" s="31">
        <f>SUM('Model - Quarterly'!M572:P572)</f>
        <v>0</v>
      </c>
      <c r="G128" s="31">
        <f>SUM('Model - Quarterly'!Q572:T572)</f>
        <v>0</v>
      </c>
      <c r="H128" s="31">
        <f>SUM('Model - Quarterly'!U572:X572)</f>
        <v>0</v>
      </c>
      <c r="I128" s="31">
        <f>SUM('Model - Quarterly'!Y572:AB572)</f>
        <v>0</v>
      </c>
      <c r="J128" s="31">
        <f>SUM('Model - Quarterly'!AC572:AF572)</f>
        <v>0</v>
      </c>
      <c r="K128" s="31">
        <f>SUM('Model - Quarterly'!AG572:AJ572)</f>
        <v>0</v>
      </c>
      <c r="L128" s="31">
        <f>SUM('Model - Quarterly'!AK572:AN572)</f>
        <v>0</v>
      </c>
      <c r="M128" s="31">
        <f>SUM('Model - Quarterly'!AO572:AR572)</f>
        <v>0</v>
      </c>
      <c r="N128" s="31">
        <f>SUM('Model - Quarterly'!AS572:AV572)</f>
        <v>0</v>
      </c>
      <c r="O128" s="31"/>
      <c r="P128" s="27"/>
    </row>
    <row r="129" spans="2:16" ht="12.75" hidden="1" customHeight="1" outlineLevel="1">
      <c r="B129" s="175"/>
      <c r="C129" s="20"/>
      <c r="D129" s="20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6"/>
      <c r="P129" s="27"/>
    </row>
    <row r="130" spans="2:16" ht="12.75" hidden="1" customHeight="1" outlineLevel="1">
      <c r="B130" s="175" t="str">
        <f>'Model - Quarterly'!B573</f>
        <v>FCF</v>
      </c>
      <c r="C130" s="20" t="str">
        <f>'Model - Quarterly'!C573</f>
        <v>(US$ 000)</v>
      </c>
      <c r="D130" s="20"/>
      <c r="E130" s="26">
        <f>SUM('Model - Quarterly'!I573:L573)</f>
        <v>-409.76499677343077</v>
      </c>
      <c r="F130" s="26">
        <f>SUM('Model - Quarterly'!M573:P573)</f>
        <v>-2900.2940104319241</v>
      </c>
      <c r="G130" s="26">
        <f>SUM('Model - Quarterly'!Q573:T573)</f>
        <v>-1970.007877468182</v>
      </c>
      <c r="H130" s="26">
        <f>SUM('Model - Quarterly'!U573:X573)</f>
        <v>14270.791627301182</v>
      </c>
      <c r="I130" s="26">
        <f>SUM('Model - Quarterly'!Y573:AB573)</f>
        <v>15313.025093844317</v>
      </c>
      <c r="J130" s="26">
        <f>SUM('Model - Quarterly'!AC573:AF573)</f>
        <v>15931.624350468506</v>
      </c>
      <c r="K130" s="26">
        <f>SUM('Model - Quarterly'!AG573:AJ573)</f>
        <v>17450.975396196151</v>
      </c>
      <c r="L130" s="26">
        <f>SUM('Model - Quarterly'!AK573:AN573)</f>
        <v>17990.140605121513</v>
      </c>
      <c r="M130" s="26">
        <f>SUM('Model - Quarterly'!AO573:AR573)</f>
        <v>18829.366573146377</v>
      </c>
      <c r="N130" s="26">
        <f>SUM('Model - Quarterly'!AS573:AV573)</f>
        <v>20587.730400571651</v>
      </c>
      <c r="O130" s="26"/>
      <c r="P130" s="27"/>
    </row>
    <row r="131" spans="2:16" ht="12.75" hidden="1" customHeight="1" outlineLevel="1">
      <c r="B131" s="176"/>
      <c r="C131" s="23"/>
      <c r="D131" s="23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6"/>
      <c r="P131" s="27"/>
    </row>
    <row r="132" spans="2:16" ht="12.75" hidden="1" customHeight="1" outlineLevel="1">
      <c r="B132" s="32"/>
      <c r="C132" s="23"/>
      <c r="D132" s="23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6"/>
      <c r="P132" s="27"/>
    </row>
    <row r="140" spans="2:16" hidden="1">
      <c r="B140" t="s">
        <v>225</v>
      </c>
    </row>
    <row r="141" spans="2:16" hidden="1"/>
    <row r="142" spans="2:16" hidden="1">
      <c r="B142" t="s">
        <v>226</v>
      </c>
      <c r="F142" s="5" t="e">
        <f>IF(#REF!=0,0,SUMPRODUCT(--('Model - Quarterly'!$5:$5=F1),'Model - Quarterly'!#REF!,'Model - Quarterly'!#REF!)/SUMIF('Model - Quarterly'!$5:$5,F1,'Model - Quarterly'!#REF!))</f>
        <v>#REF!</v>
      </c>
      <c r="G142" s="5" t="e">
        <f>IF(#REF!=0,0,SUMPRODUCT(--('Model - Quarterly'!$5:$5=G1),'Model - Quarterly'!#REF!,'Model - Quarterly'!#REF!)/SUMIF('Model - Quarterly'!$5:$5,G1,'Model - Quarterly'!#REF!))</f>
        <v>#REF!</v>
      </c>
      <c r="H142" s="5" t="e">
        <f>IF(#REF!=0,0,SUMPRODUCT(--('Model - Quarterly'!$5:$5=H1),'Model - Quarterly'!#REF!,'Model - Quarterly'!#REF!)/SUMIF('Model - Quarterly'!$5:$5,H1,'Model - Quarterly'!#REF!))</f>
        <v>#REF!</v>
      </c>
      <c r="I142" s="5" t="e">
        <f>IF(#REF!=0,0,SUMPRODUCT(--('Model - Quarterly'!$5:$5=I1),'Model - Quarterly'!#REF!,'Model - Quarterly'!#REF!)/SUMIF('Model - Quarterly'!$5:$5,I1,'Model - Quarterly'!#REF!))</f>
        <v>#REF!</v>
      </c>
      <c r="J142" s="5" t="e">
        <f>IF(#REF!=0,0,SUMPRODUCT(--('Model - Quarterly'!$5:$5=J1),'Model - Quarterly'!#REF!,'Model - Quarterly'!#REF!)/SUMIF('Model - Quarterly'!$5:$5,J1,'Model - Quarterly'!#REF!))</f>
        <v>#REF!</v>
      </c>
      <c r="K142" s="5" t="e">
        <f>IF(#REF!=0,0,SUMPRODUCT(--('Model - Quarterly'!$5:$5=K1),'Model - Quarterly'!#REF!,'Model - Quarterly'!#REF!)/SUMIF('Model - Quarterly'!$5:$5,K1,'Model - Quarterly'!#REF!))</f>
        <v>#REF!</v>
      </c>
      <c r="L142" s="5" t="e">
        <f>IF(#REF!=0,0,SUMPRODUCT(--('Model - Quarterly'!$5:$5=L1),'Model - Quarterly'!#REF!,'Model - Quarterly'!#REF!)/SUMIF('Model - Quarterly'!$5:$5,L1,'Model - Quarterly'!#REF!))</f>
        <v>#REF!</v>
      </c>
      <c r="M142" s="5" t="e">
        <f>IF(#REF!=0,0,SUMPRODUCT(--('Model - Quarterly'!$5:$5=M1),'Model - Quarterly'!#REF!,'Model - Quarterly'!#REF!)/SUMIF('Model - Quarterly'!$5:$5,M1,'Model - Quarterly'!#REF!))</f>
        <v>#REF!</v>
      </c>
      <c r="N142" s="5" t="e">
        <f>IF(#REF!=0,0,SUMPRODUCT(--('Model - Quarterly'!$5:$5=N1),'Model - Quarterly'!#REF!,'Model - Quarterly'!#REF!)/SUMIF('Model - Quarterly'!$5:$5,N1,'Model - Quarterly'!#REF!))</f>
        <v>#REF!</v>
      </c>
    </row>
    <row r="143" spans="2:16" hidden="1">
      <c r="B143" t="s">
        <v>28</v>
      </c>
      <c r="F143" s="5" t="e">
        <f>SUMIF('Model - Quarterly'!$5:$5,F$1,'Model - Quarterly'!#REF!)</f>
        <v>#REF!</v>
      </c>
      <c r="G143" s="5" t="e">
        <f>SUMIF('Model - Quarterly'!$5:$5,G$1,'Model - Quarterly'!#REF!)</f>
        <v>#REF!</v>
      </c>
      <c r="H143" s="5" t="e">
        <f>SUMIF('Model - Quarterly'!$5:$5,H$1,'Model - Quarterly'!#REF!)</f>
        <v>#REF!</v>
      </c>
      <c r="I143" s="5" t="e">
        <f>SUMIF('Model - Quarterly'!$5:$5,I$1,'Model - Quarterly'!#REF!)</f>
        <v>#REF!</v>
      </c>
      <c r="J143" s="5" t="e">
        <f>SUMIF('Model - Quarterly'!$5:$5,J$1,'Model - Quarterly'!#REF!)</f>
        <v>#REF!</v>
      </c>
      <c r="K143" s="5" t="e">
        <f>SUMIF('Model - Quarterly'!$5:$5,K$1,'Model - Quarterly'!#REF!)</f>
        <v>#REF!</v>
      </c>
      <c r="L143" s="5" t="e">
        <f>SUMIF('Model - Quarterly'!$5:$5,L$1,'Model - Quarterly'!#REF!)</f>
        <v>#REF!</v>
      </c>
      <c r="M143" s="5" t="e">
        <f>SUMIF('Model - Quarterly'!$5:$5,M$1,'Model - Quarterly'!#REF!)</f>
        <v>#REF!</v>
      </c>
      <c r="N143" s="5" t="e">
        <f>SUMIF('Model - Quarterly'!$5:$5,N$1,'Model - Quarterly'!#REF!)</f>
        <v>#REF!</v>
      </c>
    </row>
    <row r="144" spans="2:16" hidden="1"/>
    <row r="145" spans="2:14" hidden="1">
      <c r="B145" t="s">
        <v>224</v>
      </c>
      <c r="F145" s="5" t="e">
        <f>SUMIF('Model - Quarterly'!$5:$5,F$1,'Model - Quarterly'!#REF!)</f>
        <v>#REF!</v>
      </c>
      <c r="G145" s="5" t="e">
        <f>SUMIF('Model - Quarterly'!$5:$5,G$1,'Model - Quarterly'!#REF!)</f>
        <v>#REF!</v>
      </c>
      <c r="H145" s="5" t="e">
        <f>SUMIF('Model - Quarterly'!$5:$5,H$1,'Model - Quarterly'!#REF!)</f>
        <v>#REF!</v>
      </c>
      <c r="I145" s="5" t="e">
        <f>SUMIF('Model - Quarterly'!$5:$5,I$1,'Model - Quarterly'!#REF!)</f>
        <v>#REF!</v>
      </c>
      <c r="J145" s="5" t="e">
        <f>SUMIF('Model - Quarterly'!$5:$5,J$1,'Model - Quarterly'!#REF!)</f>
        <v>#REF!</v>
      </c>
      <c r="K145" s="5" t="e">
        <f>SUMIF('Model - Quarterly'!$5:$5,K$1,'Model - Quarterly'!#REF!)</f>
        <v>#REF!</v>
      </c>
      <c r="L145" s="5" t="e">
        <f>SUMIF('Model - Quarterly'!$5:$5,L$1,'Model - Quarterly'!#REF!)</f>
        <v>#REF!</v>
      </c>
      <c r="M145" s="5" t="e">
        <f>SUMIF('Model - Quarterly'!$5:$5,M$1,'Model - Quarterly'!#REF!)</f>
        <v>#REF!</v>
      </c>
      <c r="N145" s="5" t="e">
        <f>SUMIF('Model - Quarterly'!$5:$5,N$1,'Model - Quarterly'!#REF!)</f>
        <v>#REF!</v>
      </c>
    </row>
    <row r="146" spans="2:14" hidden="1">
      <c r="B146" t="s">
        <v>231</v>
      </c>
      <c r="F146" s="5" t="e">
        <f>SUMIF('Model - Quarterly'!$5:$5,F$1,'Model - Quarterly'!#REF!)</f>
        <v>#REF!</v>
      </c>
      <c r="G146" s="5" t="e">
        <f>SUMIF('Model - Quarterly'!$5:$5,G$1,'Model - Quarterly'!#REF!)</f>
        <v>#REF!</v>
      </c>
      <c r="H146" s="5" t="e">
        <f>SUMIF('Model - Quarterly'!$5:$5,H$1,'Model - Quarterly'!#REF!)</f>
        <v>#REF!</v>
      </c>
      <c r="I146" s="5" t="e">
        <f>SUMIF('Model - Quarterly'!$5:$5,I$1,'Model - Quarterly'!#REF!)</f>
        <v>#REF!</v>
      </c>
      <c r="J146" s="5" t="e">
        <f>SUMIF('Model - Quarterly'!$5:$5,J$1,'Model - Quarterly'!#REF!)</f>
        <v>#REF!</v>
      </c>
      <c r="K146" s="5" t="e">
        <f>SUMIF('Model - Quarterly'!$5:$5,K$1,'Model - Quarterly'!#REF!)</f>
        <v>#REF!</v>
      </c>
      <c r="L146" s="5" t="e">
        <f>SUMIF('Model - Quarterly'!$5:$5,L$1,'Model - Quarterly'!#REF!)</f>
        <v>#REF!</v>
      </c>
      <c r="M146" s="5" t="e">
        <f>SUMIF('Model - Quarterly'!$5:$5,M$1,'Model - Quarterly'!#REF!)</f>
        <v>#REF!</v>
      </c>
      <c r="N146" s="5" t="e">
        <f>SUMIF('Model - Quarterly'!$5:$5,N$1,'Model - Quarterly'!#REF!)</f>
        <v>#REF!</v>
      </c>
    </row>
    <row r="147" spans="2:14" hidden="1"/>
    <row r="148" spans="2:14" hidden="1"/>
    <row r="149" spans="2:14" hidden="1"/>
    <row r="150" spans="2:14" hidden="1">
      <c r="B150" t="s">
        <v>227</v>
      </c>
    </row>
    <row r="151" spans="2:14" hidden="1"/>
    <row r="152" spans="2:14" hidden="1">
      <c r="B152" t="s">
        <v>228</v>
      </c>
    </row>
    <row r="153" spans="2:14" hidden="1">
      <c r="B153" t="s">
        <v>229</v>
      </c>
      <c r="F153" s="5" t="e">
        <f>SUMIF('Model - Quarterly'!$5:$5,F$1,'Model - Quarterly'!#REF!)</f>
        <v>#REF!</v>
      </c>
      <c r="G153" s="5" t="e">
        <f>SUMIF('Model - Quarterly'!$5:$5,G$1,'Model - Quarterly'!#REF!)</f>
        <v>#REF!</v>
      </c>
      <c r="H153" s="5" t="e">
        <f>SUMIF('Model - Quarterly'!$5:$5,H$1,'Model - Quarterly'!#REF!)</f>
        <v>#REF!</v>
      </c>
      <c r="I153" s="5" t="e">
        <f>SUMIF('Model - Quarterly'!$5:$5,I$1,'Model - Quarterly'!#REF!)</f>
        <v>#REF!</v>
      </c>
      <c r="J153" s="5" t="e">
        <f>SUMIF('Model - Quarterly'!$5:$5,J$1,'Model - Quarterly'!#REF!)</f>
        <v>#REF!</v>
      </c>
      <c r="K153" s="5" t="e">
        <f>SUMIF('Model - Quarterly'!$5:$5,K$1,'Model - Quarterly'!#REF!)</f>
        <v>#REF!</v>
      </c>
      <c r="L153" s="5" t="e">
        <f>SUMIF('Model - Quarterly'!$5:$5,L$1,'Model - Quarterly'!#REF!)</f>
        <v>#REF!</v>
      </c>
      <c r="M153" s="5" t="e">
        <f>SUMIF('Model - Quarterly'!$5:$5,M$1,'Model - Quarterly'!#REF!)</f>
        <v>#REF!</v>
      </c>
      <c r="N153" s="5" t="e">
        <f>SUMIF('Model - Quarterly'!$5:$5,N$1,'Model - Quarterly'!#REF!)</f>
        <v>#REF!</v>
      </c>
    </row>
    <row r="154" spans="2:14" hidden="1">
      <c r="B154" t="s">
        <v>230</v>
      </c>
      <c r="F154" s="5" t="e">
        <f>SUMIF('Model - Quarterly'!$5:$5,F$1,'Model - Quarterly'!#REF!)</f>
        <v>#REF!</v>
      </c>
      <c r="G154" s="5" t="e">
        <f>SUMIF('Model - Quarterly'!$5:$5,G$1,'Model - Quarterly'!#REF!)</f>
        <v>#REF!</v>
      </c>
      <c r="H154" s="5" t="e">
        <f>SUMIF('Model - Quarterly'!$5:$5,H$1,'Model - Quarterly'!#REF!)</f>
        <v>#REF!</v>
      </c>
      <c r="I154" s="5" t="e">
        <f>SUMIF('Model - Quarterly'!$5:$5,I$1,'Model - Quarterly'!#REF!)</f>
        <v>#REF!</v>
      </c>
      <c r="J154" s="5" t="e">
        <f>SUMIF('Model - Quarterly'!$5:$5,J$1,'Model - Quarterly'!#REF!)</f>
        <v>#REF!</v>
      </c>
      <c r="K154" s="5" t="e">
        <f>SUMIF('Model - Quarterly'!$5:$5,K$1,'Model - Quarterly'!#REF!)</f>
        <v>#REF!</v>
      </c>
      <c r="L154" s="5" t="e">
        <f>SUMIF('Model - Quarterly'!$5:$5,L$1,'Model - Quarterly'!#REF!)</f>
        <v>#REF!</v>
      </c>
      <c r="M154" s="5" t="e">
        <f>SUMIF('Model - Quarterly'!$5:$5,M$1,'Model - Quarterly'!#REF!)</f>
        <v>#REF!</v>
      </c>
      <c r="N154" s="5" t="e">
        <f>SUMIF('Model - Quarterly'!$5:$5,N$1,'Model - Quarterly'!#REF!)</f>
        <v>#REF!</v>
      </c>
    </row>
    <row r="155" spans="2:14" hidden="1"/>
    <row r="156" spans="2:14" hidden="1">
      <c r="B156" t="s">
        <v>224</v>
      </c>
      <c r="C156" s="257"/>
      <c r="D156" s="257"/>
    </row>
    <row r="157" spans="2:14" hidden="1">
      <c r="B157" t="s">
        <v>235</v>
      </c>
      <c r="C157" s="257"/>
      <c r="D157" s="257"/>
      <c r="F157" s="259" t="e">
        <f>SUMIF('Model - Quarterly'!$5:$5,F$1,'Model - Quarterly'!#REF!)</f>
        <v>#REF!</v>
      </c>
      <c r="G157" s="259" t="e">
        <f>SUMIF('Model - Quarterly'!$5:$5,G$1,'Model - Quarterly'!#REF!)</f>
        <v>#REF!</v>
      </c>
      <c r="H157" s="259" t="e">
        <f>SUMIF('Model - Quarterly'!$5:$5,H$1,'Model - Quarterly'!#REF!)</f>
        <v>#REF!</v>
      </c>
      <c r="I157" s="259" t="e">
        <f>SUMIF('Model - Quarterly'!$5:$5,I$1,'Model - Quarterly'!#REF!)</f>
        <v>#REF!</v>
      </c>
      <c r="J157" s="259" t="e">
        <f>SUMIF('Model - Quarterly'!$5:$5,J$1,'Model - Quarterly'!#REF!)</f>
        <v>#REF!</v>
      </c>
      <c r="K157" s="259" t="e">
        <f>SUMIF('Model - Quarterly'!$5:$5,K$1,'Model - Quarterly'!#REF!)</f>
        <v>#REF!</v>
      </c>
      <c r="L157" s="259" t="e">
        <f>SUMIF('Model - Quarterly'!$5:$5,L$1,'Model - Quarterly'!#REF!)</f>
        <v>#REF!</v>
      </c>
      <c r="M157" s="259" t="e">
        <f>SUMIF('Model - Quarterly'!$5:$5,M$1,'Model - Quarterly'!#REF!)</f>
        <v>#REF!</v>
      </c>
      <c r="N157" s="259" t="e">
        <f>SUMIF('Model - Quarterly'!$5:$5,N$1,'Model - Quarterly'!#REF!)</f>
        <v>#REF!</v>
      </c>
    </row>
    <row r="158" spans="2:14" hidden="1">
      <c r="B158" t="s">
        <v>236</v>
      </c>
      <c r="C158" s="257"/>
      <c r="D158" s="257"/>
      <c r="F158" s="259" t="e">
        <f>SUMIF('Model - Quarterly'!$5:$5,F$1,'Model - Quarterly'!#REF!)</f>
        <v>#REF!</v>
      </c>
      <c r="G158" s="259" t="e">
        <f>SUMIF('Model - Quarterly'!$5:$5,G$1,'Model - Quarterly'!#REF!)</f>
        <v>#REF!</v>
      </c>
      <c r="H158" s="259" t="e">
        <f>SUMIF('Model - Quarterly'!$5:$5,H$1,'Model - Quarterly'!#REF!)</f>
        <v>#REF!</v>
      </c>
      <c r="I158" s="259" t="e">
        <f>SUMIF('Model - Quarterly'!$5:$5,I$1,'Model - Quarterly'!#REF!)</f>
        <v>#REF!</v>
      </c>
      <c r="J158" s="259" t="e">
        <f>SUMIF('Model - Quarterly'!$5:$5,J$1,'Model - Quarterly'!#REF!)</f>
        <v>#REF!</v>
      </c>
      <c r="K158" s="259" t="e">
        <f>SUMIF('Model - Quarterly'!$5:$5,K$1,'Model - Quarterly'!#REF!)</f>
        <v>#REF!</v>
      </c>
      <c r="L158" s="259" t="e">
        <f>SUMIF('Model - Quarterly'!$5:$5,L$1,'Model - Quarterly'!#REF!)</f>
        <v>#REF!</v>
      </c>
      <c r="M158" s="259" t="e">
        <f>SUMIF('Model - Quarterly'!$5:$5,M$1,'Model - Quarterly'!#REF!)</f>
        <v>#REF!</v>
      </c>
      <c r="N158" s="259" t="e">
        <f>SUMIF('Model - Quarterly'!$5:$5,N$1,'Model - Quarterly'!#REF!)</f>
        <v>#REF!</v>
      </c>
    </row>
    <row r="159" spans="2:14" hidden="1">
      <c r="B159" t="s">
        <v>47</v>
      </c>
      <c r="F159" s="259" t="e">
        <f>F157+F158</f>
        <v>#REF!</v>
      </c>
      <c r="G159" s="259" t="e">
        <f t="shared" ref="G159:N159" si="9">G157+G158</f>
        <v>#REF!</v>
      </c>
      <c r="H159" s="259" t="e">
        <f t="shared" si="9"/>
        <v>#REF!</v>
      </c>
      <c r="I159" s="259" t="e">
        <f t="shared" si="9"/>
        <v>#REF!</v>
      </c>
      <c r="J159" s="259" t="e">
        <f t="shared" si="9"/>
        <v>#REF!</v>
      </c>
      <c r="K159" s="259" t="e">
        <f t="shared" si="9"/>
        <v>#REF!</v>
      </c>
      <c r="L159" s="259" t="e">
        <f t="shared" si="9"/>
        <v>#REF!</v>
      </c>
      <c r="M159" s="259" t="e">
        <f t="shared" si="9"/>
        <v>#REF!</v>
      </c>
      <c r="N159" s="259" t="e">
        <f t="shared" si="9"/>
        <v>#REF!</v>
      </c>
    </row>
    <row r="160" spans="2:14" hidden="1"/>
    <row r="161" spans="2:14" hidden="1">
      <c r="B161" t="s">
        <v>220</v>
      </c>
    </row>
    <row r="162" spans="2:14" hidden="1"/>
    <row r="163" spans="2:14" hidden="1">
      <c r="B163" t="s">
        <v>224</v>
      </c>
      <c r="F163" s="5" t="e">
        <f>SUMIF('Model - Quarterly'!$5:$5,F$1,'Model - Quarterly'!#REF!)</f>
        <v>#REF!</v>
      </c>
      <c r="G163" s="5" t="e">
        <f>SUMIF('Model - Quarterly'!$5:$5,G$1,'Model - Quarterly'!#REF!)</f>
        <v>#REF!</v>
      </c>
      <c r="H163" s="5" t="e">
        <f>SUMIF('Model - Quarterly'!$5:$5,H$1,'Model - Quarterly'!#REF!)</f>
        <v>#REF!</v>
      </c>
      <c r="I163" s="5" t="e">
        <f>SUMIF('Model - Quarterly'!$5:$5,I$1,'Model - Quarterly'!#REF!)</f>
        <v>#REF!</v>
      </c>
      <c r="J163" s="5" t="e">
        <f>SUMIF('Model - Quarterly'!$5:$5,J$1,'Model - Quarterly'!#REF!)</f>
        <v>#REF!</v>
      </c>
      <c r="K163" s="5" t="e">
        <f>SUMIF('Model - Quarterly'!$5:$5,K$1,'Model - Quarterly'!#REF!)</f>
        <v>#REF!</v>
      </c>
      <c r="L163" s="5" t="e">
        <f>SUMIF('Model - Quarterly'!$5:$5,L$1,'Model - Quarterly'!#REF!)</f>
        <v>#REF!</v>
      </c>
      <c r="M163" s="5" t="e">
        <f>SUMIF('Model - Quarterly'!$5:$5,M$1,'Model - Quarterly'!#REF!)</f>
        <v>#REF!</v>
      </c>
      <c r="N163" s="5" t="e">
        <f>SUMIF('Model - Quarterly'!$5:$5,N$1,'Model - Quarterly'!#REF!)</f>
        <v>#REF!</v>
      </c>
    </row>
    <row r="164" spans="2:14" hidden="1">
      <c r="B164" t="s">
        <v>233</v>
      </c>
      <c r="C164" s="257"/>
      <c r="D164" s="257"/>
      <c r="F164" s="5" t="e">
        <f>SUMIF('Model - Quarterly'!$5:$5,F$1,'Model - Quarterly'!#REF!)</f>
        <v>#REF!</v>
      </c>
      <c r="G164" s="5" t="e">
        <f>SUMIF('Model - Quarterly'!$5:$5,G$1,'Model - Quarterly'!#REF!)</f>
        <v>#REF!</v>
      </c>
      <c r="H164" s="5" t="e">
        <f>SUMIF('Model - Quarterly'!$5:$5,H$1,'Model - Quarterly'!#REF!)</f>
        <v>#REF!</v>
      </c>
      <c r="I164" s="5" t="e">
        <f>SUMIF('Model - Quarterly'!$5:$5,I$1,'Model - Quarterly'!#REF!)</f>
        <v>#REF!</v>
      </c>
      <c r="J164" s="5" t="e">
        <f>SUMIF('Model - Quarterly'!$5:$5,J$1,'Model - Quarterly'!#REF!)</f>
        <v>#REF!</v>
      </c>
      <c r="K164" s="5" t="e">
        <f>SUMIF('Model - Quarterly'!$5:$5,K$1,'Model - Quarterly'!#REF!)</f>
        <v>#REF!</v>
      </c>
      <c r="L164" s="5" t="e">
        <f>SUMIF('Model - Quarterly'!$5:$5,L$1,'Model - Quarterly'!#REF!)</f>
        <v>#REF!</v>
      </c>
      <c r="M164" s="5" t="e">
        <f>SUMIF('Model - Quarterly'!$5:$5,M$1,'Model - Quarterly'!#REF!)</f>
        <v>#REF!</v>
      </c>
      <c r="N164" s="5" t="e">
        <f>SUMIF('Model - Quarterly'!$5:$5,N$1,'Model - Quarterly'!#REF!)</f>
        <v>#REF!</v>
      </c>
    </row>
    <row r="165" spans="2:14" hidden="1">
      <c r="B165" t="s">
        <v>234</v>
      </c>
      <c r="F165" s="258" t="e">
        <f>F163+F164</f>
        <v>#REF!</v>
      </c>
      <c r="G165" s="258" t="e">
        <f t="shared" ref="G165:N165" si="10">G163+G164</f>
        <v>#REF!</v>
      </c>
      <c r="H165" s="258" t="e">
        <f t="shared" si="10"/>
        <v>#REF!</v>
      </c>
      <c r="I165" s="258" t="e">
        <f t="shared" si="10"/>
        <v>#REF!</v>
      </c>
      <c r="J165" s="258" t="e">
        <f t="shared" si="10"/>
        <v>#REF!</v>
      </c>
      <c r="K165" s="258" t="e">
        <f t="shared" si="10"/>
        <v>#REF!</v>
      </c>
      <c r="L165" s="258" t="e">
        <f t="shared" si="10"/>
        <v>#REF!</v>
      </c>
      <c r="M165" s="258" t="e">
        <f t="shared" si="10"/>
        <v>#REF!</v>
      </c>
      <c r="N165" s="258" t="e">
        <f t="shared" si="10"/>
        <v>#REF!</v>
      </c>
    </row>
    <row r="166" spans="2:14" hidden="1">
      <c r="C166" s="257"/>
      <c r="D166" s="257"/>
    </row>
    <row r="167" spans="2:14" hidden="1">
      <c r="B167" t="s">
        <v>232</v>
      </c>
      <c r="F167" s="5" t="e">
        <f>SUMIF('Model - Quarterly'!$5:$5,F$1,'Model - Quarterly'!#REF!)</f>
        <v>#REF!</v>
      </c>
      <c r="G167" s="5" t="e">
        <f>SUMIF('Model - Quarterly'!$5:$5,G$1,'Model - Quarterly'!#REF!)</f>
        <v>#REF!</v>
      </c>
      <c r="H167" s="5" t="e">
        <f>SUMIF('Model - Quarterly'!$5:$5,H$1,'Model - Quarterly'!#REF!)</f>
        <v>#REF!</v>
      </c>
      <c r="I167" s="5" t="e">
        <f>SUMIF('Model - Quarterly'!$5:$5,I$1,'Model - Quarterly'!#REF!)</f>
        <v>#REF!</v>
      </c>
      <c r="J167" s="5" t="e">
        <f>SUMIF('Model - Quarterly'!$5:$5,J$1,'Model - Quarterly'!#REF!)</f>
        <v>#REF!</v>
      </c>
      <c r="K167" s="5" t="e">
        <f>SUMIF('Model - Quarterly'!$5:$5,K$1,'Model - Quarterly'!#REF!)</f>
        <v>#REF!</v>
      </c>
      <c r="L167" s="5" t="e">
        <f>SUMIF('Model - Quarterly'!$5:$5,L$1,'Model - Quarterly'!#REF!)</f>
        <v>#REF!</v>
      </c>
      <c r="M167" s="5" t="e">
        <f>SUMIF('Model - Quarterly'!$5:$5,M$1,'Model - Quarterly'!#REF!)</f>
        <v>#REF!</v>
      </c>
      <c r="N167" s="5" t="e">
        <f>SUMIF('Model - Quarterly'!$5:$5,N$1,'Model - Quarterly'!#REF!)</f>
        <v>#REF!</v>
      </c>
    </row>
    <row r="168" spans="2:14" hidden="1"/>
    <row r="169" spans="2:14" hidden="1"/>
    <row r="170" spans="2:14" hidden="1"/>
    <row r="171" spans="2:14" hidden="1"/>
    <row r="172" spans="2:14" hidden="1"/>
    <row r="173" spans="2:14" hidden="1"/>
  </sheetData>
  <mergeCells count="1">
    <mergeCell ref="C1:C3"/>
  </mergeCells>
  <pageMargins left="0.75" right="0.75" top="1" bottom="1" header="0.5" footer="0.5"/>
  <pageSetup scale="17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6"/>
  </sheetPr>
  <dimension ref="A1:S13"/>
  <sheetViews>
    <sheetView workbookViewId="0">
      <selection activeCell="V24" sqref="V24"/>
    </sheetView>
  </sheetViews>
  <sheetFormatPr defaultColWidth="9.109375" defaultRowHeight="13.8"/>
  <cols>
    <col min="1" max="1" width="11.44140625" style="6" customWidth="1"/>
    <col min="2" max="2" width="14.5546875" style="6" customWidth="1"/>
    <col min="3" max="3" width="9.109375" style="7" customWidth="1"/>
    <col min="4" max="16384" width="9.109375" style="6"/>
  </cols>
  <sheetData>
    <row r="1" spans="1:19">
      <c r="A1" s="45"/>
      <c r="B1" s="45"/>
      <c r="C1" s="46"/>
      <c r="D1" s="434">
        <v>2019</v>
      </c>
      <c r="E1" s="434"/>
      <c r="F1" s="434"/>
      <c r="G1" s="434"/>
      <c r="H1" s="433">
        <f>D1+1</f>
        <v>2020</v>
      </c>
      <c r="I1" s="433"/>
      <c r="J1" s="433"/>
      <c r="K1" s="433"/>
      <c r="L1" s="434">
        <f>H1+1</f>
        <v>2021</v>
      </c>
      <c r="M1" s="434"/>
      <c r="N1" s="434"/>
      <c r="O1" s="434"/>
      <c r="P1" s="433" t="s">
        <v>66</v>
      </c>
      <c r="Q1" s="433"/>
      <c r="R1" s="433"/>
      <c r="S1" s="433"/>
    </row>
    <row r="2" spans="1:19">
      <c r="A2" s="47" t="s">
        <v>155</v>
      </c>
      <c r="B2" s="45"/>
      <c r="C2" s="46"/>
      <c r="D2" s="88" t="s">
        <v>23</v>
      </c>
      <c r="E2" s="88" t="s">
        <v>24</v>
      </c>
      <c r="F2" s="88" t="s">
        <v>25</v>
      </c>
      <c r="G2" s="88" t="s">
        <v>20</v>
      </c>
      <c r="H2" s="48" t="s">
        <v>23</v>
      </c>
      <c r="I2" s="48" t="s">
        <v>24</v>
      </c>
      <c r="J2" s="48" t="s">
        <v>25</v>
      </c>
      <c r="K2" s="48" t="s">
        <v>20</v>
      </c>
      <c r="L2" s="292" t="str">
        <f>H2</f>
        <v>Q1</v>
      </c>
      <c r="M2" s="292" t="str">
        <f>I2</f>
        <v>Q2</v>
      </c>
      <c r="N2" s="292" t="str">
        <f>J2</f>
        <v>Q3</v>
      </c>
      <c r="O2" s="292" t="str">
        <f>K2</f>
        <v>Q4</v>
      </c>
      <c r="P2" s="293" t="s">
        <v>23</v>
      </c>
      <c r="Q2" s="293" t="s">
        <v>24</v>
      </c>
      <c r="R2" s="293" t="s">
        <v>25</v>
      </c>
      <c r="S2" s="293" t="s">
        <v>20</v>
      </c>
    </row>
    <row r="3" spans="1:19" s="8" customFormat="1">
      <c r="A3" s="47" t="s">
        <v>270</v>
      </c>
      <c r="B3" s="47" t="s">
        <v>156</v>
      </c>
      <c r="C3" s="302" t="s">
        <v>105</v>
      </c>
      <c r="D3" s="136">
        <f>MROUND(Global_Master!B13,10)</f>
        <v>900</v>
      </c>
      <c r="E3" s="136">
        <f>MROUND(Global_Master!C13,10)</f>
        <v>900</v>
      </c>
      <c r="F3" s="136">
        <f>MROUND(Global_Master!D13,10)</f>
        <v>900</v>
      </c>
      <c r="G3" s="136">
        <f>MROUND(Global_Master!E13,10)</f>
        <v>900</v>
      </c>
      <c r="H3" s="136">
        <f>MROUND(Global_Master!F13,10)</f>
        <v>860</v>
      </c>
      <c r="I3" s="136">
        <f>MROUND(Global_Master!G13,10)</f>
        <v>860</v>
      </c>
      <c r="J3" s="136">
        <f>MROUND(Global_Master!H13,10)</f>
        <v>860</v>
      </c>
      <c r="K3" s="136">
        <f>MROUND(Global_Master!I13,10)</f>
        <v>860</v>
      </c>
      <c r="L3" s="136">
        <f>MROUND(Global_Master!J13,10)</f>
        <v>810</v>
      </c>
      <c r="M3" s="136">
        <f>MROUND(Global_Master!K13,10)</f>
        <v>810</v>
      </c>
      <c r="N3" s="136">
        <f>MROUND(Global_Master!L13,10)</f>
        <v>810</v>
      </c>
      <c r="O3" s="136">
        <f>MROUND(Global_Master!M13,10)</f>
        <v>810</v>
      </c>
      <c r="P3" s="136">
        <f>MROUND(Global_Master!N13,10)</f>
        <v>770</v>
      </c>
      <c r="Q3" s="90">
        <f t="shared" ref="Q3:Q4" si="0">P3</f>
        <v>770</v>
      </c>
      <c r="R3" s="90">
        <f t="shared" ref="R3:S3" si="1">Q3</f>
        <v>770</v>
      </c>
      <c r="S3" s="90">
        <f t="shared" si="1"/>
        <v>770</v>
      </c>
    </row>
    <row r="4" spans="1:19" s="8" customFormat="1">
      <c r="A4" s="47" t="s">
        <v>279</v>
      </c>
      <c r="B4" s="47" t="s">
        <v>156</v>
      </c>
      <c r="C4" s="316" t="s">
        <v>105</v>
      </c>
      <c r="D4" s="136">
        <f>Global_Master!B14</f>
        <v>2200</v>
      </c>
      <c r="E4" s="136">
        <f>Global_Master!C14</f>
        <v>2200</v>
      </c>
      <c r="F4" s="136">
        <f>Global_Master!D14</f>
        <v>2200</v>
      </c>
      <c r="G4" s="136">
        <f>Global_Master!E14</f>
        <v>2200</v>
      </c>
      <c r="H4" s="136">
        <f>Global_Master!F14</f>
        <v>2200</v>
      </c>
      <c r="I4" s="136">
        <f>Global_Master!G14</f>
        <v>2200</v>
      </c>
      <c r="J4" s="136">
        <f>Global_Master!H14</f>
        <v>2200</v>
      </c>
      <c r="K4" s="136">
        <f>Global_Master!I14</f>
        <v>2200</v>
      </c>
      <c r="L4" s="136">
        <f>Global_Master!J14</f>
        <v>2156</v>
      </c>
      <c r="M4" s="136">
        <f>Global_Master!K14</f>
        <v>2156</v>
      </c>
      <c r="N4" s="136">
        <f>Global_Master!L14</f>
        <v>2156</v>
      </c>
      <c r="O4" s="136">
        <f>Global_Master!M14</f>
        <v>2156</v>
      </c>
      <c r="P4" s="136">
        <f>Global_Master!N14</f>
        <v>2112.88</v>
      </c>
      <c r="Q4" s="90">
        <f t="shared" si="0"/>
        <v>2112.88</v>
      </c>
      <c r="R4" s="90">
        <f t="shared" ref="R4:S4" si="2">Q4</f>
        <v>2112.88</v>
      </c>
      <c r="S4" s="90">
        <f t="shared" si="2"/>
        <v>2112.88</v>
      </c>
    </row>
    <row r="5" spans="1:19" s="8" customFormat="1">
      <c r="A5" s="47"/>
      <c r="B5" s="47"/>
      <c r="C5" s="302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89"/>
      <c r="R5" s="89"/>
      <c r="S5" s="89"/>
    </row>
    <row r="6" spans="1:19">
      <c r="A6" s="47" t="s">
        <v>271</v>
      </c>
      <c r="B6" s="47" t="s">
        <v>156</v>
      </c>
      <c r="C6" s="302" t="s">
        <v>105</v>
      </c>
      <c r="D6" s="136">
        <f>Global_Master!B16</f>
        <v>180</v>
      </c>
      <c r="E6" s="136">
        <f>Global_Master!C16</f>
        <v>180</v>
      </c>
      <c r="F6" s="136">
        <f>Global_Master!D16</f>
        <v>180</v>
      </c>
      <c r="G6" s="136">
        <f>Global_Master!E16</f>
        <v>180</v>
      </c>
      <c r="H6" s="136">
        <f>Global_Master!F16</f>
        <v>171</v>
      </c>
      <c r="I6" s="136">
        <f>Global_Master!G16</f>
        <v>171</v>
      </c>
      <c r="J6" s="136">
        <f>Global_Master!H16</f>
        <v>171</v>
      </c>
      <c r="K6" s="136">
        <f>Global_Master!I16</f>
        <v>171</v>
      </c>
      <c r="L6" s="136">
        <f>Global_Master!J16</f>
        <v>162.45000000000002</v>
      </c>
      <c r="M6" s="136">
        <f>Global_Master!K16</f>
        <v>162.45000000000002</v>
      </c>
      <c r="N6" s="136">
        <f>Global_Master!L16</f>
        <v>162.45000000000002</v>
      </c>
      <c r="O6" s="136">
        <f>Global_Master!M16</f>
        <v>162.45000000000002</v>
      </c>
      <c r="P6" s="136">
        <f>Global_Master!N16</f>
        <v>154.32749999999999</v>
      </c>
      <c r="Q6" s="90">
        <f t="shared" ref="Q6:S6" si="3">P6</f>
        <v>154.32749999999999</v>
      </c>
      <c r="R6" s="90">
        <f t="shared" si="3"/>
        <v>154.32749999999999</v>
      </c>
      <c r="S6" s="90">
        <f t="shared" si="3"/>
        <v>154.32749999999999</v>
      </c>
    </row>
    <row r="7" spans="1:19" s="8" customFormat="1">
      <c r="A7" s="47"/>
      <c r="B7" s="47"/>
      <c r="C7" s="311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90"/>
      <c r="R7" s="90"/>
      <c r="S7" s="90"/>
    </row>
    <row r="8" spans="1:19" s="8" customFormat="1">
      <c r="A8" s="47"/>
      <c r="B8" s="47"/>
      <c r="C8" s="48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89"/>
      <c r="R8" s="89"/>
      <c r="S8" s="89"/>
    </row>
    <row r="9" spans="1:19">
      <c r="A9" s="45"/>
      <c r="B9" s="45"/>
      <c r="C9" s="46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89"/>
      <c r="R9" s="89"/>
      <c r="S9" s="89"/>
    </row>
    <row r="10" spans="1:19">
      <c r="A10" s="45"/>
      <c r="B10" s="45"/>
      <c r="C10" s="46"/>
    </row>
    <row r="11" spans="1:19">
      <c r="A11" s="45"/>
      <c r="B11" s="45"/>
      <c r="C11" s="46"/>
    </row>
    <row r="12" spans="1:19">
      <c r="A12" s="45"/>
      <c r="B12" s="45"/>
      <c r="C12" s="46"/>
    </row>
    <row r="13" spans="1:19">
      <c r="A13" s="45"/>
      <c r="B13" s="45"/>
      <c r="C13" s="46"/>
    </row>
  </sheetData>
  <mergeCells count="4">
    <mergeCell ref="P1:S1"/>
    <mergeCell ref="D1:G1"/>
    <mergeCell ref="H1:K1"/>
    <mergeCell ref="L1:O1"/>
  </mergeCells>
  <phoneticPr fontId="275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 fitToPage="1"/>
  </sheetPr>
  <dimension ref="A1:CO46"/>
  <sheetViews>
    <sheetView topLeftCell="A13" zoomScale="89" workbookViewId="0">
      <selection activeCell="E74" sqref="E74"/>
    </sheetView>
  </sheetViews>
  <sheetFormatPr defaultColWidth="8.88671875" defaultRowHeight="13.2" outlineLevelRow="1"/>
  <cols>
    <col min="1" max="1" width="35.44140625" style="94" customWidth="1"/>
    <col min="2" max="9" width="8.88671875" style="94" customWidth="1"/>
    <col min="10" max="13" width="8.5546875" style="94" customWidth="1"/>
    <col min="14" max="18" width="8.88671875" style="94" customWidth="1"/>
    <col min="19" max="19" width="10.33203125" style="94" bestFit="1" customWidth="1"/>
    <col min="20" max="93" width="8.88671875" style="94" customWidth="1"/>
    <col min="94" max="16384" width="8.88671875" style="94"/>
  </cols>
  <sheetData>
    <row r="1" spans="1:89" ht="17.399999999999999">
      <c r="A1" s="93" t="s">
        <v>137</v>
      </c>
    </row>
    <row r="2" spans="1:89" ht="3.75" customHeight="1"/>
    <row r="3" spans="1:89">
      <c r="A3" s="95"/>
    </row>
    <row r="4" spans="1:89" ht="3.75" customHeight="1"/>
    <row r="5" spans="1:89" ht="12.75" customHeight="1"/>
    <row r="6" spans="1:89" ht="12.75" customHeight="1"/>
    <row r="7" spans="1:89" ht="12.75" customHeight="1"/>
    <row r="8" spans="1:89" ht="12.75" customHeight="1">
      <c r="H8" s="96"/>
    </row>
    <row r="9" spans="1:89" ht="12.75" customHeight="1"/>
    <row r="10" spans="1:89" ht="6" customHeight="1"/>
    <row r="11" spans="1:89" ht="12.75" customHeight="1">
      <c r="B11" s="94">
        <v>2019</v>
      </c>
      <c r="C11" s="94">
        <v>2019</v>
      </c>
      <c r="D11" s="94">
        <v>2019</v>
      </c>
      <c r="E11" s="94">
        <v>2019</v>
      </c>
      <c r="F11" s="97">
        <v>2020</v>
      </c>
      <c r="G11" s="97">
        <v>2020</v>
      </c>
      <c r="H11" s="97">
        <v>2020</v>
      </c>
      <c r="I11" s="97">
        <v>2020</v>
      </c>
      <c r="J11" s="94">
        <v>2021</v>
      </c>
      <c r="K11" s="94">
        <v>2021</v>
      </c>
      <c r="L11" s="94">
        <v>2021</v>
      </c>
      <c r="M11" s="94">
        <v>2021</v>
      </c>
      <c r="N11" s="97">
        <v>2022</v>
      </c>
      <c r="O11" s="97">
        <v>2022</v>
      </c>
      <c r="P11" s="97">
        <v>2022</v>
      </c>
      <c r="Q11" s="97">
        <v>2022</v>
      </c>
      <c r="R11" s="94">
        <v>2023</v>
      </c>
      <c r="S11" s="94">
        <v>2023</v>
      </c>
      <c r="T11" s="94">
        <v>2023</v>
      </c>
      <c r="U11" s="94">
        <v>2023</v>
      </c>
      <c r="V11" s="97">
        <v>2024</v>
      </c>
      <c r="W11" s="97">
        <v>2024</v>
      </c>
      <c r="X11" s="97">
        <v>2024</v>
      </c>
      <c r="Y11" s="97">
        <v>2024</v>
      </c>
      <c r="Z11" s="94">
        <v>2025</v>
      </c>
      <c r="AA11" s="94">
        <v>2025</v>
      </c>
      <c r="AB11" s="94">
        <v>2025</v>
      </c>
      <c r="AC11" s="94">
        <v>2025</v>
      </c>
      <c r="AD11" s="97">
        <v>2026</v>
      </c>
      <c r="AE11" s="97">
        <v>2026</v>
      </c>
      <c r="AF11" s="97">
        <v>2026</v>
      </c>
      <c r="AG11" s="97">
        <v>2026</v>
      </c>
      <c r="AH11" s="94">
        <v>2027</v>
      </c>
      <c r="AI11" s="94">
        <v>2027</v>
      </c>
      <c r="AJ11" s="94">
        <v>2027</v>
      </c>
      <c r="AK11" s="94">
        <v>2027</v>
      </c>
      <c r="AL11" s="97">
        <v>2028</v>
      </c>
      <c r="AM11" s="97">
        <v>2028</v>
      </c>
      <c r="AN11" s="97">
        <v>2028</v>
      </c>
      <c r="AO11" s="97">
        <v>2028</v>
      </c>
      <c r="AP11" s="94">
        <v>2029</v>
      </c>
      <c r="AQ11" s="94">
        <v>2029</v>
      </c>
      <c r="AR11" s="94">
        <v>2029</v>
      </c>
      <c r="AS11" s="94">
        <v>2029</v>
      </c>
      <c r="AT11" s="97">
        <v>2030</v>
      </c>
      <c r="AU11" s="97">
        <v>2030</v>
      </c>
      <c r="AV11" s="97">
        <v>2030</v>
      </c>
      <c r="AW11" s="97">
        <v>2030</v>
      </c>
      <c r="AX11" s="94">
        <v>2031</v>
      </c>
      <c r="AY11" s="94">
        <v>2031</v>
      </c>
      <c r="AZ11" s="94">
        <v>2031</v>
      </c>
      <c r="BA11" s="94">
        <v>2031</v>
      </c>
      <c r="BB11" s="97">
        <v>2032</v>
      </c>
      <c r="BC11" s="97">
        <v>2032</v>
      </c>
      <c r="BD11" s="97">
        <v>2032</v>
      </c>
      <c r="BE11" s="97">
        <v>2032</v>
      </c>
      <c r="BF11" s="94">
        <v>2033</v>
      </c>
      <c r="BG11" s="94">
        <v>2033</v>
      </c>
      <c r="BH11" s="94">
        <v>2033</v>
      </c>
      <c r="BI11" s="94">
        <v>2033</v>
      </c>
      <c r="BJ11" s="97">
        <v>2034</v>
      </c>
      <c r="BK11" s="97">
        <v>2034</v>
      </c>
      <c r="BL11" s="97">
        <v>2034</v>
      </c>
      <c r="BM11" s="97">
        <v>2034</v>
      </c>
      <c r="BN11" s="94">
        <v>2035</v>
      </c>
      <c r="BO11" s="94">
        <v>2035</v>
      </c>
      <c r="BP11" s="94">
        <v>2035</v>
      </c>
      <c r="BQ11" s="94">
        <v>2035</v>
      </c>
      <c r="BR11" s="97">
        <v>2036</v>
      </c>
      <c r="BS11" s="97">
        <v>2036</v>
      </c>
      <c r="BT11" s="97">
        <v>2036</v>
      </c>
      <c r="BU11" s="97">
        <v>2036</v>
      </c>
      <c r="BV11" s="94">
        <v>2037</v>
      </c>
      <c r="BW11" s="94">
        <v>2037</v>
      </c>
      <c r="BX11" s="94">
        <v>2037</v>
      </c>
      <c r="BY11" s="94">
        <v>2037</v>
      </c>
      <c r="BZ11" s="97">
        <v>2038</v>
      </c>
      <c r="CA11" s="97">
        <v>2038</v>
      </c>
      <c r="CB11" s="97">
        <v>2038</v>
      </c>
      <c r="CC11" s="97">
        <v>2038</v>
      </c>
      <c r="CD11" s="94">
        <v>2039</v>
      </c>
      <c r="CE11" s="94">
        <v>2039</v>
      </c>
      <c r="CF11" s="94">
        <v>2039</v>
      </c>
      <c r="CG11" s="94">
        <v>2039</v>
      </c>
      <c r="CH11" s="97">
        <v>2040</v>
      </c>
      <c r="CI11" s="97">
        <v>2040</v>
      </c>
      <c r="CJ11" s="97">
        <v>2040</v>
      </c>
      <c r="CK11" s="97">
        <v>2040</v>
      </c>
    </row>
    <row r="12" spans="1:89">
      <c r="A12" s="98" t="s">
        <v>68</v>
      </c>
      <c r="B12" s="99" t="s">
        <v>23</v>
      </c>
      <c r="C12" s="99" t="s">
        <v>24</v>
      </c>
      <c r="D12" s="99" t="s">
        <v>25</v>
      </c>
      <c r="E12" s="99" t="s">
        <v>20</v>
      </c>
      <c r="F12" s="99" t="s">
        <v>23</v>
      </c>
      <c r="G12" s="99" t="s">
        <v>24</v>
      </c>
      <c r="H12" s="99" t="s">
        <v>25</v>
      </c>
      <c r="I12" s="99" t="s">
        <v>20</v>
      </c>
      <c r="J12" s="99" t="s">
        <v>23</v>
      </c>
      <c r="K12" s="99" t="s">
        <v>24</v>
      </c>
      <c r="L12" s="99" t="s">
        <v>25</v>
      </c>
      <c r="M12" s="99" t="s">
        <v>20</v>
      </c>
      <c r="N12" s="99" t="s">
        <v>23</v>
      </c>
      <c r="O12" s="99" t="s">
        <v>24</v>
      </c>
      <c r="P12" s="99" t="s">
        <v>25</v>
      </c>
      <c r="Q12" s="99" t="s">
        <v>20</v>
      </c>
      <c r="R12" s="99" t="s">
        <v>23</v>
      </c>
      <c r="S12" s="99" t="s">
        <v>24</v>
      </c>
      <c r="T12" s="99" t="s">
        <v>25</v>
      </c>
      <c r="U12" s="99" t="s">
        <v>20</v>
      </c>
      <c r="V12" s="99" t="s">
        <v>23</v>
      </c>
      <c r="W12" s="99" t="s">
        <v>24</v>
      </c>
      <c r="X12" s="99" t="s">
        <v>25</v>
      </c>
      <c r="Y12" s="99" t="s">
        <v>20</v>
      </c>
      <c r="Z12" s="99" t="s">
        <v>23</v>
      </c>
      <c r="AA12" s="99" t="s">
        <v>24</v>
      </c>
      <c r="AB12" s="99" t="s">
        <v>25</v>
      </c>
      <c r="AC12" s="99" t="s">
        <v>20</v>
      </c>
      <c r="AD12" s="99" t="s">
        <v>23</v>
      </c>
      <c r="AE12" s="99" t="s">
        <v>24</v>
      </c>
      <c r="AF12" s="99" t="s">
        <v>25</v>
      </c>
      <c r="AG12" s="99" t="s">
        <v>20</v>
      </c>
      <c r="AH12" s="99" t="s">
        <v>23</v>
      </c>
      <c r="AI12" s="99" t="s">
        <v>24</v>
      </c>
      <c r="AJ12" s="99" t="s">
        <v>25</v>
      </c>
      <c r="AK12" s="99" t="s">
        <v>20</v>
      </c>
      <c r="AL12" s="99" t="s">
        <v>23</v>
      </c>
      <c r="AM12" s="99" t="s">
        <v>24</v>
      </c>
      <c r="AN12" s="99" t="s">
        <v>25</v>
      </c>
      <c r="AO12" s="99" t="s">
        <v>20</v>
      </c>
      <c r="AP12" s="99" t="s">
        <v>23</v>
      </c>
      <c r="AQ12" s="99" t="s">
        <v>24</v>
      </c>
      <c r="AR12" s="99" t="s">
        <v>25</v>
      </c>
      <c r="AS12" s="99" t="s">
        <v>20</v>
      </c>
      <c r="AT12" s="99" t="s">
        <v>23</v>
      </c>
      <c r="AU12" s="99" t="s">
        <v>24</v>
      </c>
      <c r="AV12" s="99" t="s">
        <v>25</v>
      </c>
      <c r="AW12" s="99" t="s">
        <v>20</v>
      </c>
      <c r="AX12" s="99" t="s">
        <v>23</v>
      </c>
      <c r="AY12" s="99" t="s">
        <v>24</v>
      </c>
      <c r="AZ12" s="99" t="s">
        <v>25</v>
      </c>
      <c r="BA12" s="99" t="s">
        <v>20</v>
      </c>
      <c r="BB12" s="99" t="s">
        <v>23</v>
      </c>
      <c r="BC12" s="99" t="s">
        <v>24</v>
      </c>
      <c r="BD12" s="99" t="s">
        <v>25</v>
      </c>
      <c r="BE12" s="99" t="s">
        <v>20</v>
      </c>
      <c r="BF12" s="99" t="s">
        <v>23</v>
      </c>
      <c r="BG12" s="99" t="s">
        <v>24</v>
      </c>
      <c r="BH12" s="99" t="s">
        <v>25</v>
      </c>
      <c r="BI12" s="99" t="s">
        <v>20</v>
      </c>
      <c r="BJ12" s="99" t="s">
        <v>23</v>
      </c>
      <c r="BK12" s="99" t="s">
        <v>24</v>
      </c>
      <c r="BL12" s="99" t="s">
        <v>25</v>
      </c>
      <c r="BM12" s="99" t="s">
        <v>20</v>
      </c>
      <c r="BN12" s="99" t="s">
        <v>23</v>
      </c>
      <c r="BO12" s="99" t="s">
        <v>24</v>
      </c>
      <c r="BP12" s="99" t="s">
        <v>25</v>
      </c>
      <c r="BQ12" s="99" t="s">
        <v>20</v>
      </c>
      <c r="BR12" s="99" t="s">
        <v>23</v>
      </c>
      <c r="BS12" s="99" t="s">
        <v>24</v>
      </c>
      <c r="BT12" s="99" t="s">
        <v>25</v>
      </c>
      <c r="BU12" s="99" t="s">
        <v>20</v>
      </c>
      <c r="BV12" s="99" t="s">
        <v>23</v>
      </c>
      <c r="BW12" s="99" t="s">
        <v>24</v>
      </c>
      <c r="BX12" s="99" t="s">
        <v>25</v>
      </c>
      <c r="BY12" s="99" t="s">
        <v>20</v>
      </c>
      <c r="BZ12" s="99" t="s">
        <v>23</v>
      </c>
      <c r="CA12" s="99" t="s">
        <v>24</v>
      </c>
      <c r="CB12" s="99" t="s">
        <v>25</v>
      </c>
      <c r="CC12" s="99" t="s">
        <v>20</v>
      </c>
      <c r="CD12" s="99" t="s">
        <v>23</v>
      </c>
      <c r="CE12" s="99" t="s">
        <v>24</v>
      </c>
      <c r="CF12" s="99" t="s">
        <v>25</v>
      </c>
      <c r="CG12" s="99" t="s">
        <v>20</v>
      </c>
      <c r="CH12" s="99" t="s">
        <v>23</v>
      </c>
      <c r="CI12" s="99" t="s">
        <v>24</v>
      </c>
      <c r="CJ12" s="99" t="s">
        <v>25</v>
      </c>
      <c r="CK12" s="99" t="s">
        <v>20</v>
      </c>
    </row>
    <row r="13" spans="1:89">
      <c r="A13" s="94" t="s">
        <v>277</v>
      </c>
      <c r="B13" s="165">
        <f>IF($G$41="Yes",$I$41,California_O_Flower_Base_Case)</f>
        <v>900</v>
      </c>
      <c r="C13" s="165">
        <f>IF($G$41="Yes",$I$41,California_O_Flower_Base_Case)</f>
        <v>900</v>
      </c>
      <c r="D13" s="165">
        <f>IF($G$41="Yes",$I$41,California_O_Flower_Base_Case)</f>
        <v>900</v>
      </c>
      <c r="E13" s="165">
        <f>IF($G$41="Yes",$I$41,California_O_Flower_Base_Case)</f>
        <v>900</v>
      </c>
      <c r="F13" s="165">
        <f>IF($G$41="Yes",$I$41,California_O_Flower_Base_Case1)</f>
        <v>855</v>
      </c>
      <c r="G13" s="165">
        <f>IF($G$41="Yes",$I$41,California_O_Flower_Base_Case1)</f>
        <v>855</v>
      </c>
      <c r="H13" s="165">
        <f>IF($G$41="Yes",$I$41,California_O_Flower_Base_Case1)</f>
        <v>855</v>
      </c>
      <c r="I13" s="165">
        <f>IF($G$41="Yes",$I$41,California_O_Flower_Base_Case1)</f>
        <v>855</v>
      </c>
      <c r="J13" s="165">
        <f>IF($G$41="Yes",$I$41,California_O_Flower_Base_Case2)</f>
        <v>812.25</v>
      </c>
      <c r="K13" s="165">
        <f>IF($G$41="Yes",$I$41,California_O_Flower_Base_Case2)</f>
        <v>812.25</v>
      </c>
      <c r="L13" s="165">
        <f>IF($G$41="Yes",$I$41,California_O_Flower_Base_Case2)</f>
        <v>812.25</v>
      </c>
      <c r="M13" s="165">
        <f>IF($G$41="Yes",$I$41,California_O_Flower_Base_Case2)</f>
        <v>812.25</v>
      </c>
      <c r="N13" s="165">
        <f t="shared" ref="N13:AS13" si="0">IF($G$41="Yes",$I$41,California_O_Flower_Base_Case3)</f>
        <v>771.63749999999993</v>
      </c>
      <c r="O13" s="165">
        <f t="shared" si="0"/>
        <v>771.63749999999993</v>
      </c>
      <c r="P13" s="165">
        <f t="shared" si="0"/>
        <v>771.63749999999993</v>
      </c>
      <c r="Q13" s="165">
        <f t="shared" si="0"/>
        <v>771.63749999999993</v>
      </c>
      <c r="R13" s="165">
        <f t="shared" si="0"/>
        <v>771.63749999999993</v>
      </c>
      <c r="S13" s="165">
        <f t="shared" si="0"/>
        <v>771.63749999999993</v>
      </c>
      <c r="T13" s="165">
        <f t="shared" si="0"/>
        <v>771.63749999999993</v>
      </c>
      <c r="U13" s="165">
        <f t="shared" si="0"/>
        <v>771.63749999999993</v>
      </c>
      <c r="V13" s="165">
        <f t="shared" si="0"/>
        <v>771.63749999999993</v>
      </c>
      <c r="W13" s="165">
        <f t="shared" si="0"/>
        <v>771.63749999999993</v>
      </c>
      <c r="X13" s="165">
        <f t="shared" si="0"/>
        <v>771.63749999999993</v>
      </c>
      <c r="Y13" s="165">
        <f t="shared" si="0"/>
        <v>771.63749999999993</v>
      </c>
      <c r="Z13" s="165">
        <f t="shared" si="0"/>
        <v>771.63749999999993</v>
      </c>
      <c r="AA13" s="165">
        <f t="shared" si="0"/>
        <v>771.63749999999993</v>
      </c>
      <c r="AB13" s="165">
        <f t="shared" si="0"/>
        <v>771.63749999999993</v>
      </c>
      <c r="AC13" s="165">
        <f t="shared" si="0"/>
        <v>771.63749999999993</v>
      </c>
      <c r="AD13" s="165">
        <f t="shared" si="0"/>
        <v>771.63749999999993</v>
      </c>
      <c r="AE13" s="165">
        <f t="shared" si="0"/>
        <v>771.63749999999993</v>
      </c>
      <c r="AF13" s="165">
        <f t="shared" si="0"/>
        <v>771.63749999999993</v>
      </c>
      <c r="AG13" s="165">
        <f t="shared" si="0"/>
        <v>771.63749999999993</v>
      </c>
      <c r="AH13" s="165">
        <f t="shared" si="0"/>
        <v>771.63749999999993</v>
      </c>
      <c r="AI13" s="165">
        <f t="shared" si="0"/>
        <v>771.63749999999993</v>
      </c>
      <c r="AJ13" s="165">
        <f t="shared" si="0"/>
        <v>771.63749999999993</v>
      </c>
      <c r="AK13" s="165">
        <f t="shared" si="0"/>
        <v>771.63749999999993</v>
      </c>
      <c r="AL13" s="165">
        <f t="shared" si="0"/>
        <v>771.63749999999993</v>
      </c>
      <c r="AM13" s="165">
        <f t="shared" si="0"/>
        <v>771.63749999999993</v>
      </c>
      <c r="AN13" s="165">
        <f t="shared" si="0"/>
        <v>771.63749999999993</v>
      </c>
      <c r="AO13" s="165">
        <f t="shared" si="0"/>
        <v>771.63749999999993</v>
      </c>
      <c r="AP13" s="165">
        <f t="shared" si="0"/>
        <v>771.63749999999993</v>
      </c>
      <c r="AQ13" s="165">
        <f t="shared" si="0"/>
        <v>771.63749999999993</v>
      </c>
      <c r="AR13" s="165">
        <f t="shared" si="0"/>
        <v>771.63749999999993</v>
      </c>
      <c r="AS13" s="165">
        <f t="shared" si="0"/>
        <v>771.63749999999993</v>
      </c>
      <c r="AT13" s="165">
        <f t="shared" ref="AT13:BY13" si="1">IF($G$41="Yes",$I$41,California_O_Flower_Base_Case3)</f>
        <v>771.63749999999993</v>
      </c>
      <c r="AU13" s="165">
        <f t="shared" si="1"/>
        <v>771.63749999999993</v>
      </c>
      <c r="AV13" s="165">
        <f t="shared" si="1"/>
        <v>771.63749999999993</v>
      </c>
      <c r="AW13" s="165">
        <f t="shared" si="1"/>
        <v>771.63749999999993</v>
      </c>
      <c r="AX13" s="165">
        <f t="shared" si="1"/>
        <v>771.63749999999993</v>
      </c>
      <c r="AY13" s="165">
        <f t="shared" si="1"/>
        <v>771.63749999999993</v>
      </c>
      <c r="AZ13" s="165">
        <f t="shared" si="1"/>
        <v>771.63749999999993</v>
      </c>
      <c r="BA13" s="165">
        <f t="shared" si="1"/>
        <v>771.63749999999993</v>
      </c>
      <c r="BB13" s="165">
        <f t="shared" si="1"/>
        <v>771.63749999999993</v>
      </c>
      <c r="BC13" s="165">
        <f t="shared" si="1"/>
        <v>771.63749999999993</v>
      </c>
      <c r="BD13" s="165">
        <f t="shared" si="1"/>
        <v>771.63749999999993</v>
      </c>
      <c r="BE13" s="165">
        <f t="shared" si="1"/>
        <v>771.63749999999993</v>
      </c>
      <c r="BF13" s="165">
        <f t="shared" si="1"/>
        <v>771.63749999999993</v>
      </c>
      <c r="BG13" s="165">
        <f t="shared" si="1"/>
        <v>771.63749999999993</v>
      </c>
      <c r="BH13" s="165">
        <f t="shared" si="1"/>
        <v>771.63749999999993</v>
      </c>
      <c r="BI13" s="165">
        <f t="shared" si="1"/>
        <v>771.63749999999993</v>
      </c>
      <c r="BJ13" s="165">
        <f t="shared" si="1"/>
        <v>771.63749999999993</v>
      </c>
      <c r="BK13" s="165">
        <f t="shared" si="1"/>
        <v>771.63749999999993</v>
      </c>
      <c r="BL13" s="165">
        <f t="shared" si="1"/>
        <v>771.63749999999993</v>
      </c>
      <c r="BM13" s="165">
        <f t="shared" si="1"/>
        <v>771.63749999999993</v>
      </c>
      <c r="BN13" s="165">
        <f t="shared" si="1"/>
        <v>771.63749999999993</v>
      </c>
      <c r="BO13" s="165">
        <f t="shared" si="1"/>
        <v>771.63749999999993</v>
      </c>
      <c r="BP13" s="165">
        <f t="shared" si="1"/>
        <v>771.63749999999993</v>
      </c>
      <c r="BQ13" s="165">
        <f t="shared" si="1"/>
        <v>771.63749999999993</v>
      </c>
      <c r="BR13" s="165">
        <f t="shared" si="1"/>
        <v>771.63749999999993</v>
      </c>
      <c r="BS13" s="165">
        <f t="shared" si="1"/>
        <v>771.63749999999993</v>
      </c>
      <c r="BT13" s="165">
        <f t="shared" si="1"/>
        <v>771.63749999999993</v>
      </c>
      <c r="BU13" s="165">
        <f t="shared" si="1"/>
        <v>771.63749999999993</v>
      </c>
      <c r="BV13" s="165">
        <f t="shared" si="1"/>
        <v>771.63749999999993</v>
      </c>
      <c r="BW13" s="165">
        <f t="shared" si="1"/>
        <v>771.63749999999993</v>
      </c>
      <c r="BX13" s="165">
        <f t="shared" si="1"/>
        <v>771.63749999999993</v>
      </c>
      <c r="BY13" s="165">
        <f t="shared" si="1"/>
        <v>771.63749999999993</v>
      </c>
      <c r="BZ13" s="165">
        <f t="shared" ref="BZ13:CK13" si="2">IF($G$41="Yes",$I$41,California_O_Flower_Base_Case3)</f>
        <v>771.63749999999993</v>
      </c>
      <c r="CA13" s="165">
        <f t="shared" si="2"/>
        <v>771.63749999999993</v>
      </c>
      <c r="CB13" s="165">
        <f t="shared" si="2"/>
        <v>771.63749999999993</v>
      </c>
      <c r="CC13" s="165">
        <f t="shared" si="2"/>
        <v>771.63749999999993</v>
      </c>
      <c r="CD13" s="165">
        <f t="shared" si="2"/>
        <v>771.63749999999993</v>
      </c>
      <c r="CE13" s="165">
        <f t="shared" si="2"/>
        <v>771.63749999999993</v>
      </c>
      <c r="CF13" s="165">
        <f t="shared" si="2"/>
        <v>771.63749999999993</v>
      </c>
      <c r="CG13" s="165">
        <f t="shared" si="2"/>
        <v>771.63749999999993</v>
      </c>
      <c r="CH13" s="165">
        <f t="shared" si="2"/>
        <v>771.63749999999993</v>
      </c>
      <c r="CI13" s="165">
        <f t="shared" si="2"/>
        <v>771.63749999999993</v>
      </c>
      <c r="CJ13" s="165">
        <f t="shared" si="2"/>
        <v>771.63749999999993</v>
      </c>
      <c r="CK13" s="165">
        <f t="shared" si="2"/>
        <v>771.63749999999993</v>
      </c>
    </row>
    <row r="14" spans="1:89">
      <c r="A14" s="94" t="s">
        <v>278</v>
      </c>
      <c r="B14" s="165">
        <f>IF($G$42="Yes",$I$42,California_Flower_Base_Case)</f>
        <v>2200</v>
      </c>
      <c r="C14" s="165">
        <f>IF($G$42="Yes",$I$42,California_Flower_Base_Case)</f>
        <v>2200</v>
      </c>
      <c r="D14" s="165">
        <f>IF($G$42="Yes",$I$42,California_Flower_Base_Case)</f>
        <v>2200</v>
      </c>
      <c r="E14" s="165">
        <f>IF($G$42="Yes",$I$42,California_Flower_Base_Case)</f>
        <v>2200</v>
      </c>
      <c r="F14" s="165">
        <f>IF($G$42="Yes",$I$42,California_Flower_Base_Case1)</f>
        <v>2200</v>
      </c>
      <c r="G14" s="165">
        <f>IF($G$42="Yes",$I$42,California_Flower_Base_Case1)</f>
        <v>2200</v>
      </c>
      <c r="H14" s="165">
        <f>IF($G$42="Yes",$I$42,California_Flower_Base_Case1)</f>
        <v>2200</v>
      </c>
      <c r="I14" s="165">
        <f>IF($G$42="Yes",$I$42,California_Flower_Base_Case1)</f>
        <v>2200</v>
      </c>
      <c r="J14" s="165">
        <f>IF($G$42="Yes",$I$42,California_Flower_Base_Case2)</f>
        <v>2156</v>
      </c>
      <c r="K14" s="165">
        <f>IF($G$42="Yes",$I$42,California_Flower_Base_Case2)</f>
        <v>2156</v>
      </c>
      <c r="L14" s="165">
        <f>IF($G$42="Yes",$I$42,California_Flower_Base_Case2)</f>
        <v>2156</v>
      </c>
      <c r="M14" s="165">
        <f>IF($G$42="Yes",$I$42,California_Flower_Base_Case2)</f>
        <v>2156</v>
      </c>
      <c r="N14" s="165">
        <f t="shared" ref="N14:AS14" si="3">IF($G$42="Yes",$I$42,California_Flower_Base_Case3)</f>
        <v>2112.88</v>
      </c>
      <c r="O14" s="165">
        <f t="shared" si="3"/>
        <v>2112.88</v>
      </c>
      <c r="P14" s="165">
        <f t="shared" si="3"/>
        <v>2112.88</v>
      </c>
      <c r="Q14" s="165">
        <f t="shared" si="3"/>
        <v>2112.88</v>
      </c>
      <c r="R14" s="165">
        <f t="shared" si="3"/>
        <v>2112.88</v>
      </c>
      <c r="S14" s="165">
        <f t="shared" si="3"/>
        <v>2112.88</v>
      </c>
      <c r="T14" s="165">
        <f t="shared" si="3"/>
        <v>2112.88</v>
      </c>
      <c r="U14" s="165">
        <f t="shared" si="3"/>
        <v>2112.88</v>
      </c>
      <c r="V14" s="165">
        <f t="shared" si="3"/>
        <v>2112.88</v>
      </c>
      <c r="W14" s="165">
        <f t="shared" si="3"/>
        <v>2112.88</v>
      </c>
      <c r="X14" s="165">
        <f t="shared" si="3"/>
        <v>2112.88</v>
      </c>
      <c r="Y14" s="165">
        <f t="shared" si="3"/>
        <v>2112.88</v>
      </c>
      <c r="Z14" s="165">
        <f t="shared" si="3"/>
        <v>2112.88</v>
      </c>
      <c r="AA14" s="165">
        <f t="shared" si="3"/>
        <v>2112.88</v>
      </c>
      <c r="AB14" s="165">
        <f t="shared" si="3"/>
        <v>2112.88</v>
      </c>
      <c r="AC14" s="165">
        <f t="shared" si="3"/>
        <v>2112.88</v>
      </c>
      <c r="AD14" s="165">
        <f t="shared" si="3"/>
        <v>2112.88</v>
      </c>
      <c r="AE14" s="165">
        <f t="shared" si="3"/>
        <v>2112.88</v>
      </c>
      <c r="AF14" s="165">
        <f t="shared" si="3"/>
        <v>2112.88</v>
      </c>
      <c r="AG14" s="165">
        <f t="shared" si="3"/>
        <v>2112.88</v>
      </c>
      <c r="AH14" s="165">
        <f t="shared" si="3"/>
        <v>2112.88</v>
      </c>
      <c r="AI14" s="165">
        <f t="shared" si="3"/>
        <v>2112.88</v>
      </c>
      <c r="AJ14" s="165">
        <f t="shared" si="3"/>
        <v>2112.88</v>
      </c>
      <c r="AK14" s="165">
        <f t="shared" si="3"/>
        <v>2112.88</v>
      </c>
      <c r="AL14" s="165">
        <f t="shared" si="3"/>
        <v>2112.88</v>
      </c>
      <c r="AM14" s="165">
        <f t="shared" si="3"/>
        <v>2112.88</v>
      </c>
      <c r="AN14" s="165">
        <f t="shared" si="3"/>
        <v>2112.88</v>
      </c>
      <c r="AO14" s="165">
        <f t="shared" si="3"/>
        <v>2112.88</v>
      </c>
      <c r="AP14" s="165">
        <f t="shared" si="3"/>
        <v>2112.88</v>
      </c>
      <c r="AQ14" s="165">
        <f t="shared" si="3"/>
        <v>2112.88</v>
      </c>
      <c r="AR14" s="165">
        <f t="shared" si="3"/>
        <v>2112.88</v>
      </c>
      <c r="AS14" s="165">
        <f t="shared" si="3"/>
        <v>2112.88</v>
      </c>
      <c r="AT14" s="165">
        <f t="shared" ref="AT14:BY14" si="4">IF($G$42="Yes",$I$42,California_Flower_Base_Case3)</f>
        <v>2112.88</v>
      </c>
      <c r="AU14" s="165">
        <f t="shared" si="4"/>
        <v>2112.88</v>
      </c>
      <c r="AV14" s="165">
        <f t="shared" si="4"/>
        <v>2112.88</v>
      </c>
      <c r="AW14" s="165">
        <f t="shared" si="4"/>
        <v>2112.88</v>
      </c>
      <c r="AX14" s="165">
        <f t="shared" si="4"/>
        <v>2112.88</v>
      </c>
      <c r="AY14" s="165">
        <f t="shared" si="4"/>
        <v>2112.88</v>
      </c>
      <c r="AZ14" s="165">
        <f t="shared" si="4"/>
        <v>2112.88</v>
      </c>
      <c r="BA14" s="165">
        <f t="shared" si="4"/>
        <v>2112.88</v>
      </c>
      <c r="BB14" s="165">
        <f t="shared" si="4"/>
        <v>2112.88</v>
      </c>
      <c r="BC14" s="165">
        <f t="shared" si="4"/>
        <v>2112.88</v>
      </c>
      <c r="BD14" s="165">
        <f t="shared" si="4"/>
        <v>2112.88</v>
      </c>
      <c r="BE14" s="165">
        <f t="shared" si="4"/>
        <v>2112.88</v>
      </c>
      <c r="BF14" s="165">
        <f t="shared" si="4"/>
        <v>2112.88</v>
      </c>
      <c r="BG14" s="165">
        <f t="shared" si="4"/>
        <v>2112.88</v>
      </c>
      <c r="BH14" s="165">
        <f t="shared" si="4"/>
        <v>2112.88</v>
      </c>
      <c r="BI14" s="165">
        <f t="shared" si="4"/>
        <v>2112.88</v>
      </c>
      <c r="BJ14" s="165">
        <f t="shared" si="4"/>
        <v>2112.88</v>
      </c>
      <c r="BK14" s="165">
        <f t="shared" si="4"/>
        <v>2112.88</v>
      </c>
      <c r="BL14" s="165">
        <f t="shared" si="4"/>
        <v>2112.88</v>
      </c>
      <c r="BM14" s="165">
        <f t="shared" si="4"/>
        <v>2112.88</v>
      </c>
      <c r="BN14" s="165">
        <f t="shared" si="4"/>
        <v>2112.88</v>
      </c>
      <c r="BO14" s="165">
        <f t="shared" si="4"/>
        <v>2112.88</v>
      </c>
      <c r="BP14" s="165">
        <f t="shared" si="4"/>
        <v>2112.88</v>
      </c>
      <c r="BQ14" s="165">
        <f t="shared" si="4"/>
        <v>2112.88</v>
      </c>
      <c r="BR14" s="165">
        <f t="shared" si="4"/>
        <v>2112.88</v>
      </c>
      <c r="BS14" s="165">
        <f t="shared" si="4"/>
        <v>2112.88</v>
      </c>
      <c r="BT14" s="165">
        <f t="shared" si="4"/>
        <v>2112.88</v>
      </c>
      <c r="BU14" s="165">
        <f t="shared" si="4"/>
        <v>2112.88</v>
      </c>
      <c r="BV14" s="165">
        <f t="shared" si="4"/>
        <v>2112.88</v>
      </c>
      <c r="BW14" s="165">
        <f t="shared" si="4"/>
        <v>2112.88</v>
      </c>
      <c r="BX14" s="165">
        <f t="shared" si="4"/>
        <v>2112.88</v>
      </c>
      <c r="BY14" s="165">
        <f t="shared" si="4"/>
        <v>2112.88</v>
      </c>
      <c r="BZ14" s="165">
        <f t="shared" ref="BZ14:CK14" si="5">IF($G$42="Yes",$I$42,California_Flower_Base_Case3)</f>
        <v>2112.88</v>
      </c>
      <c r="CA14" s="165">
        <f t="shared" si="5"/>
        <v>2112.88</v>
      </c>
      <c r="CB14" s="165">
        <f t="shared" si="5"/>
        <v>2112.88</v>
      </c>
      <c r="CC14" s="165">
        <f t="shared" si="5"/>
        <v>2112.88</v>
      </c>
      <c r="CD14" s="165">
        <f t="shared" si="5"/>
        <v>2112.88</v>
      </c>
      <c r="CE14" s="165">
        <f t="shared" si="5"/>
        <v>2112.88</v>
      </c>
      <c r="CF14" s="165">
        <f t="shared" si="5"/>
        <v>2112.88</v>
      </c>
      <c r="CG14" s="165">
        <f t="shared" si="5"/>
        <v>2112.88</v>
      </c>
      <c r="CH14" s="165">
        <f t="shared" si="5"/>
        <v>2112.88</v>
      </c>
      <c r="CI14" s="165">
        <f t="shared" si="5"/>
        <v>2112.88</v>
      </c>
      <c r="CJ14" s="165">
        <f t="shared" si="5"/>
        <v>2112.88</v>
      </c>
      <c r="CK14" s="165">
        <f t="shared" si="5"/>
        <v>2112.88</v>
      </c>
    </row>
    <row r="15" spans="1:89"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  <c r="AT15" s="165"/>
      <c r="AU15" s="165"/>
      <c r="AV15" s="165"/>
      <c r="AW15" s="165"/>
      <c r="AX15" s="165"/>
      <c r="AY15" s="165"/>
      <c r="AZ15" s="165"/>
      <c r="BA15" s="165"/>
      <c r="BB15" s="165"/>
      <c r="BC15" s="165"/>
      <c r="BD15" s="165"/>
      <c r="BE15" s="165"/>
      <c r="BF15" s="165"/>
      <c r="BG15" s="165"/>
      <c r="BH15" s="165"/>
      <c r="BI15" s="165"/>
      <c r="BJ15" s="165"/>
      <c r="BK15" s="165"/>
      <c r="BL15" s="165"/>
      <c r="BM15" s="165"/>
      <c r="BN15" s="165"/>
      <c r="BO15" s="165"/>
      <c r="BP15" s="165"/>
      <c r="BQ15" s="165"/>
      <c r="BR15" s="165"/>
      <c r="BS15" s="165"/>
      <c r="BT15" s="165"/>
      <c r="BU15" s="165"/>
      <c r="BV15" s="165"/>
      <c r="BW15" s="165"/>
      <c r="BX15" s="165"/>
      <c r="BY15" s="165"/>
      <c r="BZ15" s="165"/>
      <c r="CA15" s="165"/>
      <c r="CB15" s="165"/>
      <c r="CC15" s="165"/>
      <c r="CD15" s="165"/>
      <c r="CE15" s="165"/>
      <c r="CF15" s="165"/>
      <c r="CG15" s="165"/>
      <c r="CH15" s="165"/>
      <c r="CI15" s="165"/>
      <c r="CJ15" s="165"/>
      <c r="CK15" s="165"/>
    </row>
    <row r="16" spans="1:89">
      <c r="A16" s="94" t="s">
        <v>175</v>
      </c>
      <c r="B16" s="165">
        <f>IF($G$44="Yes",$I$44,California_Trim_Base_Case)</f>
        <v>180</v>
      </c>
      <c r="C16" s="165">
        <f>IF($G$44="Yes",$I$44,California_Trim_Base_Case)</f>
        <v>180</v>
      </c>
      <c r="D16" s="165">
        <f>IF($G$44="Yes",$I$44,California_Trim_Base_Case)</f>
        <v>180</v>
      </c>
      <c r="E16" s="165">
        <f>IF($G$44="Yes",$I$44,California_Trim_Base_Case)</f>
        <v>180</v>
      </c>
      <c r="F16" s="165">
        <f>IF($G$44="Yes",$I$44,California_Trim_Base_Case1)</f>
        <v>171</v>
      </c>
      <c r="G16" s="165">
        <f>IF($G$44="Yes",$I$44,California_Trim_Base_Case1)</f>
        <v>171</v>
      </c>
      <c r="H16" s="165">
        <f>IF($G$44="Yes",$I$44,California_Trim_Base_Case1)</f>
        <v>171</v>
      </c>
      <c r="I16" s="165">
        <f>IF($G$44="Yes",$I$44,California_Trim_Base_Case1)</f>
        <v>171</v>
      </c>
      <c r="J16" s="165">
        <f>IF($G$44="Yes",$I$44,California_Trim_Base_Case2)</f>
        <v>162.45000000000002</v>
      </c>
      <c r="K16" s="165">
        <f>IF($G$44="Yes",$I$44,California_Trim_Base_Case2)</f>
        <v>162.45000000000002</v>
      </c>
      <c r="L16" s="165">
        <f>IF($G$44="Yes",$I$44,California_Trim_Base_Case2)</f>
        <v>162.45000000000002</v>
      </c>
      <c r="M16" s="165">
        <f>IF($G$44="Yes",$I$44,California_Trim_Base_Case2)</f>
        <v>162.45000000000002</v>
      </c>
      <c r="N16" s="165">
        <f t="shared" ref="N16:AS16" si="6">IF($G$44="Yes",$I$44,California_Trim_Base_Case3)</f>
        <v>154.32749999999999</v>
      </c>
      <c r="O16" s="165">
        <f t="shared" si="6"/>
        <v>154.32749999999999</v>
      </c>
      <c r="P16" s="165">
        <f t="shared" si="6"/>
        <v>154.32749999999999</v>
      </c>
      <c r="Q16" s="165">
        <f t="shared" si="6"/>
        <v>154.32749999999999</v>
      </c>
      <c r="R16" s="165">
        <f t="shared" si="6"/>
        <v>154.32749999999999</v>
      </c>
      <c r="S16" s="165">
        <f t="shared" si="6"/>
        <v>154.32749999999999</v>
      </c>
      <c r="T16" s="165">
        <f t="shared" si="6"/>
        <v>154.32749999999999</v>
      </c>
      <c r="U16" s="165">
        <f t="shared" si="6"/>
        <v>154.32749999999999</v>
      </c>
      <c r="V16" s="165">
        <f t="shared" si="6"/>
        <v>154.32749999999999</v>
      </c>
      <c r="W16" s="165">
        <f t="shared" si="6"/>
        <v>154.32749999999999</v>
      </c>
      <c r="X16" s="165">
        <f t="shared" si="6"/>
        <v>154.32749999999999</v>
      </c>
      <c r="Y16" s="165">
        <f t="shared" si="6"/>
        <v>154.32749999999999</v>
      </c>
      <c r="Z16" s="165">
        <f t="shared" si="6"/>
        <v>154.32749999999999</v>
      </c>
      <c r="AA16" s="165">
        <f t="shared" si="6"/>
        <v>154.32749999999999</v>
      </c>
      <c r="AB16" s="165">
        <f t="shared" si="6"/>
        <v>154.32749999999999</v>
      </c>
      <c r="AC16" s="165">
        <f t="shared" si="6"/>
        <v>154.32749999999999</v>
      </c>
      <c r="AD16" s="165">
        <f t="shared" si="6"/>
        <v>154.32749999999999</v>
      </c>
      <c r="AE16" s="165">
        <f t="shared" si="6"/>
        <v>154.32749999999999</v>
      </c>
      <c r="AF16" s="165">
        <f t="shared" si="6"/>
        <v>154.32749999999999</v>
      </c>
      <c r="AG16" s="165">
        <f t="shared" si="6"/>
        <v>154.32749999999999</v>
      </c>
      <c r="AH16" s="165">
        <f t="shared" si="6"/>
        <v>154.32749999999999</v>
      </c>
      <c r="AI16" s="165">
        <f t="shared" si="6"/>
        <v>154.32749999999999</v>
      </c>
      <c r="AJ16" s="165">
        <f t="shared" si="6"/>
        <v>154.32749999999999</v>
      </c>
      <c r="AK16" s="165">
        <f t="shared" si="6"/>
        <v>154.32749999999999</v>
      </c>
      <c r="AL16" s="165">
        <f t="shared" si="6"/>
        <v>154.32749999999999</v>
      </c>
      <c r="AM16" s="165">
        <f t="shared" si="6"/>
        <v>154.32749999999999</v>
      </c>
      <c r="AN16" s="165">
        <f t="shared" si="6"/>
        <v>154.32749999999999</v>
      </c>
      <c r="AO16" s="165">
        <f t="shared" si="6"/>
        <v>154.32749999999999</v>
      </c>
      <c r="AP16" s="165">
        <f t="shared" si="6"/>
        <v>154.32749999999999</v>
      </c>
      <c r="AQ16" s="165">
        <f t="shared" si="6"/>
        <v>154.32749999999999</v>
      </c>
      <c r="AR16" s="165">
        <f t="shared" si="6"/>
        <v>154.32749999999999</v>
      </c>
      <c r="AS16" s="165">
        <f t="shared" si="6"/>
        <v>154.32749999999999</v>
      </c>
      <c r="AT16" s="165">
        <f t="shared" ref="AT16:BY16" si="7">IF($G$44="Yes",$I$44,California_Trim_Base_Case3)</f>
        <v>154.32749999999999</v>
      </c>
      <c r="AU16" s="165">
        <f t="shared" si="7"/>
        <v>154.32749999999999</v>
      </c>
      <c r="AV16" s="165">
        <f t="shared" si="7"/>
        <v>154.32749999999999</v>
      </c>
      <c r="AW16" s="165">
        <f t="shared" si="7"/>
        <v>154.32749999999999</v>
      </c>
      <c r="AX16" s="165">
        <f t="shared" si="7"/>
        <v>154.32749999999999</v>
      </c>
      <c r="AY16" s="165">
        <f t="shared" si="7"/>
        <v>154.32749999999999</v>
      </c>
      <c r="AZ16" s="165">
        <f t="shared" si="7"/>
        <v>154.32749999999999</v>
      </c>
      <c r="BA16" s="165">
        <f t="shared" si="7"/>
        <v>154.32749999999999</v>
      </c>
      <c r="BB16" s="165">
        <f t="shared" si="7"/>
        <v>154.32749999999999</v>
      </c>
      <c r="BC16" s="165">
        <f t="shared" si="7"/>
        <v>154.32749999999999</v>
      </c>
      <c r="BD16" s="165">
        <f t="shared" si="7"/>
        <v>154.32749999999999</v>
      </c>
      <c r="BE16" s="165">
        <f t="shared" si="7"/>
        <v>154.32749999999999</v>
      </c>
      <c r="BF16" s="165">
        <f t="shared" si="7"/>
        <v>154.32749999999999</v>
      </c>
      <c r="BG16" s="165">
        <f t="shared" si="7"/>
        <v>154.32749999999999</v>
      </c>
      <c r="BH16" s="165">
        <f t="shared" si="7"/>
        <v>154.32749999999999</v>
      </c>
      <c r="BI16" s="165">
        <f t="shared" si="7"/>
        <v>154.32749999999999</v>
      </c>
      <c r="BJ16" s="165">
        <f t="shared" si="7"/>
        <v>154.32749999999999</v>
      </c>
      <c r="BK16" s="165">
        <f t="shared" si="7"/>
        <v>154.32749999999999</v>
      </c>
      <c r="BL16" s="165">
        <f t="shared" si="7"/>
        <v>154.32749999999999</v>
      </c>
      <c r="BM16" s="165">
        <f t="shared" si="7"/>
        <v>154.32749999999999</v>
      </c>
      <c r="BN16" s="165">
        <f t="shared" si="7"/>
        <v>154.32749999999999</v>
      </c>
      <c r="BO16" s="165">
        <f t="shared" si="7"/>
        <v>154.32749999999999</v>
      </c>
      <c r="BP16" s="165">
        <f t="shared" si="7"/>
        <v>154.32749999999999</v>
      </c>
      <c r="BQ16" s="165">
        <f t="shared" si="7"/>
        <v>154.32749999999999</v>
      </c>
      <c r="BR16" s="165">
        <f t="shared" si="7"/>
        <v>154.32749999999999</v>
      </c>
      <c r="BS16" s="165">
        <f t="shared" si="7"/>
        <v>154.32749999999999</v>
      </c>
      <c r="BT16" s="165">
        <f t="shared" si="7"/>
        <v>154.32749999999999</v>
      </c>
      <c r="BU16" s="165">
        <f t="shared" si="7"/>
        <v>154.32749999999999</v>
      </c>
      <c r="BV16" s="165">
        <f t="shared" si="7"/>
        <v>154.32749999999999</v>
      </c>
      <c r="BW16" s="165">
        <f t="shared" si="7"/>
        <v>154.32749999999999</v>
      </c>
      <c r="BX16" s="165">
        <f t="shared" si="7"/>
        <v>154.32749999999999</v>
      </c>
      <c r="BY16" s="165">
        <f t="shared" si="7"/>
        <v>154.32749999999999</v>
      </c>
      <c r="BZ16" s="165">
        <f t="shared" ref="BZ16:CK16" si="8">IF($G$44="Yes",$I$44,California_Trim_Base_Case3)</f>
        <v>154.32749999999999</v>
      </c>
      <c r="CA16" s="165">
        <f t="shared" si="8"/>
        <v>154.32749999999999</v>
      </c>
      <c r="CB16" s="165">
        <f t="shared" si="8"/>
        <v>154.32749999999999</v>
      </c>
      <c r="CC16" s="165">
        <f t="shared" si="8"/>
        <v>154.32749999999999</v>
      </c>
      <c r="CD16" s="165">
        <f t="shared" si="8"/>
        <v>154.32749999999999</v>
      </c>
      <c r="CE16" s="165">
        <f t="shared" si="8"/>
        <v>154.32749999999999</v>
      </c>
      <c r="CF16" s="165">
        <f t="shared" si="8"/>
        <v>154.32749999999999</v>
      </c>
      <c r="CG16" s="165">
        <f t="shared" si="8"/>
        <v>154.32749999999999</v>
      </c>
      <c r="CH16" s="165">
        <f t="shared" si="8"/>
        <v>154.32749999999999</v>
      </c>
      <c r="CI16" s="165">
        <f t="shared" si="8"/>
        <v>154.32749999999999</v>
      </c>
      <c r="CJ16" s="165">
        <f t="shared" si="8"/>
        <v>154.32749999999999</v>
      </c>
      <c r="CK16" s="165">
        <f t="shared" si="8"/>
        <v>154.32749999999999</v>
      </c>
    </row>
    <row r="17" spans="1:93"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S17" s="165"/>
      <c r="AT17" s="165"/>
      <c r="AU17" s="165"/>
      <c r="AV17" s="165"/>
      <c r="AW17" s="165"/>
      <c r="AX17" s="165"/>
      <c r="AY17" s="165"/>
      <c r="AZ17" s="165"/>
      <c r="BA17" s="165"/>
      <c r="BB17" s="165"/>
      <c r="BC17" s="165"/>
      <c r="BD17" s="165"/>
      <c r="BE17" s="165"/>
      <c r="BF17" s="165"/>
      <c r="BG17" s="165"/>
      <c r="BH17" s="165"/>
      <c r="BI17" s="165"/>
      <c r="BJ17" s="165"/>
      <c r="BK17" s="165"/>
      <c r="BL17" s="165"/>
      <c r="BM17" s="165"/>
      <c r="BN17" s="165"/>
      <c r="BO17" s="165"/>
      <c r="BP17" s="165"/>
      <c r="BQ17" s="165"/>
      <c r="BR17" s="165"/>
      <c r="BS17" s="165"/>
      <c r="BT17" s="165"/>
      <c r="BU17" s="165"/>
      <c r="BV17" s="165"/>
      <c r="BW17" s="165"/>
      <c r="BX17" s="165"/>
      <c r="BY17" s="165"/>
      <c r="BZ17" s="165"/>
      <c r="CA17" s="165"/>
      <c r="CB17" s="165"/>
      <c r="CC17" s="165"/>
      <c r="CD17" s="165"/>
      <c r="CE17" s="165"/>
      <c r="CF17" s="165"/>
      <c r="CG17" s="165"/>
      <c r="CH17" s="165"/>
      <c r="CI17" s="165"/>
      <c r="CJ17" s="165"/>
      <c r="CK17" s="165"/>
    </row>
    <row r="18" spans="1:93" ht="12.75" customHeight="1">
      <c r="A18" s="98" t="s">
        <v>69</v>
      </c>
    </row>
    <row r="19" spans="1:93">
      <c r="A19" s="94" t="s">
        <v>70</v>
      </c>
      <c r="B19" s="103">
        <f>IF($G$46="Yes",$I$46,CAD_Base_Case_plus1)</f>
        <v>0.75</v>
      </c>
      <c r="C19" s="103">
        <f>IF($G$46="Yes",$I$46,CAD_Base_Case_plus1)</f>
        <v>0.75</v>
      </c>
      <c r="D19" s="103">
        <f>IF($G$46="Yes",$I$46,CAD_Base_Case_plus1)</f>
        <v>0.75</v>
      </c>
      <c r="E19" s="103">
        <f>IF($G$46="Yes",$I$46,CAD_Base_Case_plus1)</f>
        <v>0.75</v>
      </c>
      <c r="F19" s="103">
        <f>IF($G$46="Yes",$I$46,CAD_Base_Case_plus2)</f>
        <v>0.75</v>
      </c>
      <c r="G19" s="103">
        <f>IF($G$46="Yes",$I$46,CAD_Base_Case_plus2)</f>
        <v>0.75</v>
      </c>
      <c r="H19" s="103">
        <f>IF($G$46="Yes",$I$46,CAD_Base_Case_plus2)</f>
        <v>0.75</v>
      </c>
      <c r="I19" s="103">
        <f>IF($G$46="Yes",$I$46,CAD_Base_Case_plus2)</f>
        <v>0.75</v>
      </c>
      <c r="J19" s="103">
        <f>IF($G$46="Yes",$I$46,CAD_Base_Case_plus3)</f>
        <v>0.8</v>
      </c>
      <c r="K19" s="103">
        <f>IF($G$46="Yes",$I$46,CAD_Base_Case_plus3)</f>
        <v>0.8</v>
      </c>
      <c r="L19" s="103">
        <f>IF($G$46="Yes",$I$46,CAD_Base_Case_plus3)</f>
        <v>0.8</v>
      </c>
      <c r="M19" s="103">
        <f>IF($G$46="Yes",$I$46,CAD_Base_Case_plus3)</f>
        <v>0.8</v>
      </c>
      <c r="N19" s="103">
        <f t="shared" ref="N19:AS19" si="9">IF($G$46="Yes",$I$46,CAD_Base_Case_plus4)</f>
        <v>0.8</v>
      </c>
      <c r="O19" s="103">
        <f t="shared" si="9"/>
        <v>0.8</v>
      </c>
      <c r="P19" s="103">
        <f t="shared" si="9"/>
        <v>0.8</v>
      </c>
      <c r="Q19" s="103">
        <f t="shared" si="9"/>
        <v>0.8</v>
      </c>
      <c r="R19" s="103">
        <f t="shared" si="9"/>
        <v>0.8</v>
      </c>
      <c r="S19" s="103">
        <f t="shared" si="9"/>
        <v>0.8</v>
      </c>
      <c r="T19" s="103">
        <f t="shared" si="9"/>
        <v>0.8</v>
      </c>
      <c r="U19" s="103">
        <f t="shared" si="9"/>
        <v>0.8</v>
      </c>
      <c r="V19" s="103">
        <f t="shared" si="9"/>
        <v>0.8</v>
      </c>
      <c r="W19" s="103">
        <f t="shared" si="9"/>
        <v>0.8</v>
      </c>
      <c r="X19" s="103">
        <f t="shared" si="9"/>
        <v>0.8</v>
      </c>
      <c r="Y19" s="103">
        <f t="shared" si="9"/>
        <v>0.8</v>
      </c>
      <c r="Z19" s="103">
        <f t="shared" si="9"/>
        <v>0.8</v>
      </c>
      <c r="AA19" s="103">
        <f t="shared" si="9"/>
        <v>0.8</v>
      </c>
      <c r="AB19" s="103">
        <f t="shared" si="9"/>
        <v>0.8</v>
      </c>
      <c r="AC19" s="103">
        <f t="shared" si="9"/>
        <v>0.8</v>
      </c>
      <c r="AD19" s="103">
        <f t="shared" si="9"/>
        <v>0.8</v>
      </c>
      <c r="AE19" s="103">
        <f t="shared" si="9"/>
        <v>0.8</v>
      </c>
      <c r="AF19" s="103">
        <f t="shared" si="9"/>
        <v>0.8</v>
      </c>
      <c r="AG19" s="103">
        <f t="shared" si="9"/>
        <v>0.8</v>
      </c>
      <c r="AH19" s="103">
        <f t="shared" si="9"/>
        <v>0.8</v>
      </c>
      <c r="AI19" s="103">
        <f t="shared" si="9"/>
        <v>0.8</v>
      </c>
      <c r="AJ19" s="103">
        <f t="shared" si="9"/>
        <v>0.8</v>
      </c>
      <c r="AK19" s="103">
        <f t="shared" si="9"/>
        <v>0.8</v>
      </c>
      <c r="AL19" s="103">
        <f t="shared" si="9"/>
        <v>0.8</v>
      </c>
      <c r="AM19" s="103">
        <f t="shared" si="9"/>
        <v>0.8</v>
      </c>
      <c r="AN19" s="103">
        <f t="shared" si="9"/>
        <v>0.8</v>
      </c>
      <c r="AO19" s="103">
        <f t="shared" si="9"/>
        <v>0.8</v>
      </c>
      <c r="AP19" s="103">
        <f t="shared" si="9"/>
        <v>0.8</v>
      </c>
      <c r="AQ19" s="103">
        <f t="shared" si="9"/>
        <v>0.8</v>
      </c>
      <c r="AR19" s="103">
        <f t="shared" si="9"/>
        <v>0.8</v>
      </c>
      <c r="AS19" s="103">
        <f t="shared" si="9"/>
        <v>0.8</v>
      </c>
      <c r="AT19" s="103">
        <f t="shared" ref="AT19:BY19" si="10">IF($G$46="Yes",$I$46,CAD_Base_Case_plus4)</f>
        <v>0.8</v>
      </c>
      <c r="AU19" s="103">
        <f t="shared" si="10"/>
        <v>0.8</v>
      </c>
      <c r="AV19" s="103">
        <f t="shared" si="10"/>
        <v>0.8</v>
      </c>
      <c r="AW19" s="103">
        <f t="shared" si="10"/>
        <v>0.8</v>
      </c>
      <c r="AX19" s="103">
        <f t="shared" si="10"/>
        <v>0.8</v>
      </c>
      <c r="AY19" s="103">
        <f t="shared" si="10"/>
        <v>0.8</v>
      </c>
      <c r="AZ19" s="103">
        <f t="shared" si="10"/>
        <v>0.8</v>
      </c>
      <c r="BA19" s="103">
        <f t="shared" si="10"/>
        <v>0.8</v>
      </c>
      <c r="BB19" s="103">
        <f t="shared" si="10"/>
        <v>0.8</v>
      </c>
      <c r="BC19" s="103">
        <f t="shared" si="10"/>
        <v>0.8</v>
      </c>
      <c r="BD19" s="103">
        <f t="shared" si="10"/>
        <v>0.8</v>
      </c>
      <c r="BE19" s="103">
        <f t="shared" si="10"/>
        <v>0.8</v>
      </c>
      <c r="BF19" s="103">
        <f t="shared" si="10"/>
        <v>0.8</v>
      </c>
      <c r="BG19" s="103">
        <f t="shared" si="10"/>
        <v>0.8</v>
      </c>
      <c r="BH19" s="103">
        <f t="shared" si="10"/>
        <v>0.8</v>
      </c>
      <c r="BI19" s="103">
        <f t="shared" si="10"/>
        <v>0.8</v>
      </c>
      <c r="BJ19" s="103">
        <f t="shared" si="10"/>
        <v>0.8</v>
      </c>
      <c r="BK19" s="103">
        <f t="shared" si="10"/>
        <v>0.8</v>
      </c>
      <c r="BL19" s="103">
        <f t="shared" si="10"/>
        <v>0.8</v>
      </c>
      <c r="BM19" s="103">
        <f t="shared" si="10"/>
        <v>0.8</v>
      </c>
      <c r="BN19" s="103">
        <f t="shared" si="10"/>
        <v>0.8</v>
      </c>
      <c r="BO19" s="103">
        <f t="shared" si="10"/>
        <v>0.8</v>
      </c>
      <c r="BP19" s="103">
        <f t="shared" si="10"/>
        <v>0.8</v>
      </c>
      <c r="BQ19" s="103">
        <f t="shared" si="10"/>
        <v>0.8</v>
      </c>
      <c r="BR19" s="103">
        <f t="shared" si="10"/>
        <v>0.8</v>
      </c>
      <c r="BS19" s="103">
        <f t="shared" si="10"/>
        <v>0.8</v>
      </c>
      <c r="BT19" s="103">
        <f t="shared" si="10"/>
        <v>0.8</v>
      </c>
      <c r="BU19" s="103">
        <f t="shared" si="10"/>
        <v>0.8</v>
      </c>
      <c r="BV19" s="103">
        <f t="shared" si="10"/>
        <v>0.8</v>
      </c>
      <c r="BW19" s="103">
        <f t="shared" si="10"/>
        <v>0.8</v>
      </c>
      <c r="BX19" s="103">
        <f t="shared" si="10"/>
        <v>0.8</v>
      </c>
      <c r="BY19" s="103">
        <f t="shared" si="10"/>
        <v>0.8</v>
      </c>
      <c r="BZ19" s="103">
        <f t="shared" ref="BZ19:CK19" si="11">IF($G$46="Yes",$I$46,CAD_Base_Case_plus4)</f>
        <v>0.8</v>
      </c>
      <c r="CA19" s="103">
        <f t="shared" si="11"/>
        <v>0.8</v>
      </c>
      <c r="CB19" s="103">
        <f t="shared" si="11"/>
        <v>0.8</v>
      </c>
      <c r="CC19" s="103">
        <f t="shared" si="11"/>
        <v>0.8</v>
      </c>
      <c r="CD19" s="103">
        <f t="shared" si="11"/>
        <v>0.8</v>
      </c>
      <c r="CE19" s="103">
        <f t="shared" si="11"/>
        <v>0.8</v>
      </c>
      <c r="CF19" s="103">
        <f t="shared" si="11"/>
        <v>0.8</v>
      </c>
      <c r="CG19" s="103">
        <f t="shared" si="11"/>
        <v>0.8</v>
      </c>
      <c r="CH19" s="103">
        <f t="shared" si="11"/>
        <v>0.8</v>
      </c>
      <c r="CI19" s="103">
        <f t="shared" si="11"/>
        <v>0.8</v>
      </c>
      <c r="CJ19" s="103">
        <f t="shared" si="11"/>
        <v>0.8</v>
      </c>
      <c r="CK19" s="103">
        <f t="shared" si="11"/>
        <v>0.8</v>
      </c>
    </row>
    <row r="20" spans="1:93" hidden="1" outlineLevel="1">
      <c r="A20" s="94" t="s">
        <v>71</v>
      </c>
    </row>
    <row r="21" spans="1:93" hidden="1" outlineLevel="1">
      <c r="A21" s="94" t="s">
        <v>72</v>
      </c>
      <c r="B21" s="106"/>
      <c r="C21" s="106"/>
      <c r="D21" s="106"/>
      <c r="E21" s="106">
        <f>1/2.80395454545455</f>
        <v>0.35663916222218561</v>
      </c>
      <c r="F21" s="106">
        <f>1/2.778740625</f>
        <v>0.35987525823861299</v>
      </c>
      <c r="G21" s="106">
        <f>1/2.78463384615385</f>
        <v>0.35911364123552725</v>
      </c>
      <c r="H21" s="106">
        <f>1/2.74155303030303</f>
        <v>0.36475675974411764</v>
      </c>
      <c r="I21" s="106">
        <f>1/2.71042923076923</f>
        <v>0.36894525363283376</v>
      </c>
      <c r="J21" s="106">
        <f>1/2.68284461538461</f>
        <v>0.37273869469202969</v>
      </c>
      <c r="K21" s="106">
        <f>1/2.66542461538462</f>
        <v>0.37517474485231328</v>
      </c>
      <c r="L21" s="106">
        <f>1/2.61752923076923</f>
        <v>0.38203966864817918</v>
      </c>
      <c r="M21" s="106">
        <f>1/2.58443333333333</f>
        <v>0.38693201604478145</v>
      </c>
      <c r="N21" s="106">
        <f>1/2.5742890625</f>
        <v>0.38845676445863386</v>
      </c>
      <c r="O21" s="106">
        <f>1/2.66312461538462</f>
        <v>0.37549876345368677</v>
      </c>
      <c r="P21" s="106">
        <f>1/2.78594393939394</f>
        <v>0.3589447676458063</v>
      </c>
      <c r="Q21" s="106">
        <f>1/2.78423939393939</f>
        <v>0.35916451802842675</v>
      </c>
      <c r="R21" s="106">
        <f>1/2.80960625</f>
        <v>0.35592175949921812</v>
      </c>
      <c r="S21" s="106">
        <f>1/2.79150307692308</f>
        <v>0.35822994725201768</v>
      </c>
      <c r="T21" s="101">
        <f>1/2.82210454545455</f>
        <v>0.35434548362521145</v>
      </c>
      <c r="U21" s="101">
        <f>1/2.93247424242424</f>
        <v>0.34100896285224058</v>
      </c>
      <c r="V21" s="101">
        <f>1/3.058</f>
        <v>0.32701111837802488</v>
      </c>
      <c r="W21" s="101">
        <f>1/3.143</f>
        <v>0.31816735602927143</v>
      </c>
      <c r="X21" s="101">
        <f>0.31129/1</f>
        <v>0.31129000000000001</v>
      </c>
      <c r="Y21" s="107">
        <f>1/3.32417424242424</f>
        <v>0.30082658942412244</v>
      </c>
      <c r="Z21" s="101">
        <f>1/3.4476</f>
        <v>0.29005685114282398</v>
      </c>
      <c r="AA21" s="108"/>
      <c r="AB21" s="108"/>
      <c r="AC21" s="109"/>
      <c r="AD21" s="109"/>
      <c r="AE21" s="109"/>
      <c r="AF21" s="115"/>
      <c r="AG21" s="11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</row>
    <row r="22" spans="1:93" hidden="1" outlineLevel="1">
      <c r="A22" s="94" t="s">
        <v>73</v>
      </c>
      <c r="B22" s="106">
        <v>1.8013328124999997</v>
      </c>
      <c r="C22" s="106">
        <v>1.7930430769230761</v>
      </c>
      <c r="D22" s="106">
        <v>1.7490000000000001</v>
      </c>
      <c r="E22" s="106">
        <v>1.696375757575757</v>
      </c>
      <c r="F22" s="106">
        <v>1.6664484374999999</v>
      </c>
      <c r="G22" s="106">
        <v>1.5943892307692311</v>
      </c>
      <c r="H22" s="106">
        <v>1.6367090909090913</v>
      </c>
      <c r="I22" s="106">
        <v>1.8009999999999999</v>
      </c>
      <c r="J22" s="106" t="e">
        <v>#NAME?</v>
      </c>
      <c r="K22" s="106" t="e">
        <v>#NAME?</v>
      </c>
      <c r="L22" s="106" t="e">
        <v>#NAME?</v>
      </c>
      <c r="M22" s="106">
        <v>2.0584833333333332</v>
      </c>
      <c r="N22" s="106">
        <v>1.9977125000000002</v>
      </c>
      <c r="O22" s="106">
        <v>2.0681261538461539</v>
      </c>
      <c r="P22" s="106">
        <v>2.2875560606060601</v>
      </c>
      <c r="Q22" s="106">
        <v>2.2775363636363646</v>
      </c>
      <c r="R22" s="106">
        <v>2.3634328124999993</v>
      </c>
      <c r="S22" s="106">
        <v>2.2289938461538457</v>
      </c>
      <c r="T22" s="101">
        <v>2.2748090909090908</v>
      </c>
      <c r="U22" s="101">
        <v>2.5495621212121207</v>
      </c>
      <c r="V22" s="101">
        <v>2.8679999999999999</v>
      </c>
      <c r="W22" s="101">
        <v>3.07</v>
      </c>
      <c r="X22" s="101">
        <v>3.5409999999999999</v>
      </c>
      <c r="Y22" s="101">
        <v>3.8450000000000002</v>
      </c>
      <c r="Z22" s="108"/>
      <c r="AA22" s="108"/>
      <c r="AB22" s="108"/>
      <c r="AC22" s="109"/>
      <c r="AD22" s="109"/>
      <c r="AE22" s="109"/>
      <c r="AF22" s="115"/>
      <c r="AG22" s="11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</row>
    <row r="23" spans="1:93" hidden="1" outlineLevel="1">
      <c r="A23" s="94" t="s">
        <v>74</v>
      </c>
      <c r="B23" s="106">
        <v>518.89484374999984</v>
      </c>
      <c r="C23" s="106">
        <v>530.63538461538474</v>
      </c>
      <c r="D23" s="106">
        <v>510.714</v>
      </c>
      <c r="E23" s="106">
        <v>480.05075757575776</v>
      </c>
      <c r="F23" s="106">
        <v>481.6915624999998</v>
      </c>
      <c r="G23" s="106">
        <v>469.17861538461551</v>
      </c>
      <c r="H23" s="106">
        <v>471.95606060606076</v>
      </c>
      <c r="I23" s="106">
        <v>511.89699999999999</v>
      </c>
      <c r="J23" s="100">
        <v>489.02600000000001</v>
      </c>
      <c r="K23" s="100">
        <v>496.3</v>
      </c>
      <c r="L23" s="100">
        <v>482.32400000000001</v>
      </c>
      <c r="M23" s="106">
        <v>477.83636363636373</v>
      </c>
      <c r="N23" s="106">
        <v>472.43984375000002</v>
      </c>
      <c r="O23" s="101">
        <v>484.76830769230759</v>
      </c>
      <c r="P23" s="101">
        <v>507.00257575757587</v>
      </c>
      <c r="Q23" s="101">
        <v>516.81439393939388</v>
      </c>
      <c r="R23" s="101">
        <v>551.55453124999997</v>
      </c>
      <c r="S23" s="101">
        <v>554.76092307692306</v>
      </c>
      <c r="T23" s="101">
        <v>577.55166666666639</v>
      </c>
      <c r="U23" s="101">
        <v>598.40787878787876</v>
      </c>
      <c r="V23" s="101">
        <v>624.50900000000001</v>
      </c>
      <c r="W23" s="101">
        <v>618.10900000000004</v>
      </c>
      <c r="X23" s="101">
        <v>676.60699999999997</v>
      </c>
      <c r="Y23" s="101">
        <v>698.00300000000004</v>
      </c>
      <c r="Z23" s="110"/>
      <c r="AA23" s="110"/>
      <c r="AB23" s="110"/>
      <c r="AC23" s="111"/>
      <c r="AD23" s="111"/>
      <c r="AE23" s="111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0"/>
      <c r="BZ23" s="110"/>
      <c r="CA23" s="110"/>
      <c r="CB23" s="110"/>
      <c r="CC23" s="110"/>
      <c r="CD23" s="110"/>
      <c r="CE23" s="110"/>
      <c r="CF23" s="110"/>
      <c r="CG23" s="110"/>
      <c r="CH23" s="110"/>
      <c r="CI23" s="110"/>
      <c r="CJ23" s="110"/>
      <c r="CK23" s="110"/>
      <c r="CL23" s="110"/>
      <c r="CM23" s="110"/>
      <c r="CN23" s="110"/>
      <c r="CO23" s="110"/>
    </row>
    <row r="24" spans="1:93" hidden="1" outlineLevel="1" collapsed="1">
      <c r="A24" s="94" t="s">
        <v>75</v>
      </c>
      <c r="B24" s="106">
        <v>3.8387468749999996</v>
      </c>
      <c r="C24" s="106">
        <v>3.9000107692307684</v>
      </c>
      <c r="D24" s="106">
        <v>3.9409999999999998</v>
      </c>
      <c r="E24" s="106">
        <v>3.9677303030303039</v>
      </c>
      <c r="F24" s="106">
        <v>4.013484375</v>
      </c>
      <c r="G24" s="106">
        <v>4.0812984615384629</v>
      </c>
      <c r="H24" s="106">
        <v>4.1663969696969696</v>
      </c>
      <c r="I24" s="106">
        <v>4.2569999999999997</v>
      </c>
      <c r="J24" s="106" t="e">
        <v>#NAME?</v>
      </c>
      <c r="K24" s="106" t="e">
        <v>#NAME?</v>
      </c>
      <c r="L24" s="106" t="e">
        <v>#NAME?</v>
      </c>
      <c r="M24" s="106" t="e">
        <v>#NAME?</v>
      </c>
      <c r="N24" s="106">
        <v>5.0138078125000023</v>
      </c>
      <c r="O24" s="101">
        <v>5.2378569230769223</v>
      </c>
      <c r="P24" s="101">
        <v>5.5818015151515148</v>
      </c>
      <c r="Q24" s="101">
        <v>6.0665818181818159</v>
      </c>
      <c r="R24" s="101">
        <v>7.6005656250000007</v>
      </c>
      <c r="S24" s="101">
        <v>8.0542153846153841</v>
      </c>
      <c r="T24" s="101">
        <v>8.2951257575757555</v>
      </c>
      <c r="U24" s="101">
        <v>8.5122984848484844</v>
      </c>
      <c r="V24" s="101">
        <v>8.6869999999999994</v>
      </c>
      <c r="W24" s="101">
        <v>8.9510000000000005</v>
      </c>
      <c r="X24" s="101">
        <v>9.2469999999999999</v>
      </c>
      <c r="Y24" s="101">
        <v>10.164</v>
      </c>
      <c r="Z24" s="108"/>
      <c r="AA24" s="108"/>
      <c r="AB24" s="108"/>
      <c r="AC24" s="109"/>
      <c r="AD24" s="109"/>
      <c r="AE24" s="109"/>
      <c r="AF24" s="115"/>
      <c r="AG24" s="11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</row>
    <row r="25" spans="1:93" hidden="1" outlineLevel="1">
      <c r="A25" s="94" t="s">
        <v>76</v>
      </c>
      <c r="B25" s="106">
        <v>0.9044312499999998</v>
      </c>
      <c r="C25" s="106">
        <v>0.88300153846153862</v>
      </c>
      <c r="D25" s="106">
        <v>0.90600000000000003</v>
      </c>
      <c r="E25" s="106">
        <v>0.98889393939393933</v>
      </c>
      <c r="F25" s="106">
        <v>1.0057843750000002</v>
      </c>
      <c r="G25" s="106">
        <v>1.0629415384615382</v>
      </c>
      <c r="H25" s="106">
        <v>1.0497409090909093</v>
      </c>
      <c r="I25" s="106">
        <f>1/0.988</f>
        <v>1.0121457489878543</v>
      </c>
      <c r="J25" s="106">
        <v>1.056</v>
      </c>
      <c r="K25" s="106">
        <v>1.01</v>
      </c>
      <c r="L25" s="106">
        <v>1.0389999999999999</v>
      </c>
      <c r="M25" s="106">
        <v>1.038</v>
      </c>
      <c r="N25" s="106">
        <v>1.0389999999999999</v>
      </c>
      <c r="O25" s="106">
        <v>0.99199999999999999</v>
      </c>
      <c r="P25" s="106">
        <v>0.91600000000000004</v>
      </c>
      <c r="Q25" s="106">
        <v>0.92700000000000005</v>
      </c>
      <c r="R25" s="106">
        <v>0.89700000000000002</v>
      </c>
      <c r="S25" s="106">
        <v>0.93300000000000005</v>
      </c>
      <c r="T25" s="101">
        <v>0.92500000000000004</v>
      </c>
      <c r="U25" s="101">
        <v>0.85499999999999998</v>
      </c>
      <c r="V25" s="101">
        <v>0.78700000000000003</v>
      </c>
      <c r="W25" s="101">
        <v>0.77800000000000002</v>
      </c>
      <c r="X25" s="101">
        <v>0.72499999999999998</v>
      </c>
      <c r="Y25" s="101">
        <v>0.72</v>
      </c>
      <c r="Z25" s="101">
        <v>0.72267704918032782</v>
      </c>
      <c r="AA25" s="101">
        <v>0.74607750000000006</v>
      </c>
      <c r="AB25" s="101">
        <v>0.75855718749999979</v>
      </c>
      <c r="AC25" s="102">
        <v>0.74961650793650791</v>
      </c>
      <c r="AD25" s="102">
        <v>0.75851161290322566</v>
      </c>
      <c r="AE25" s="102">
        <v>0.75090000000000001</v>
      </c>
      <c r="AF25" s="115" t="e">
        <f>IF(#REF!="Yes",#REF!,AUD_Base_Case_H2)</f>
        <v>#REF!</v>
      </c>
      <c r="AG25" s="115" t="e">
        <f>IF(#REF!="Yes",#REF!,AUD_Base_Case_H2)</f>
        <v>#REF!</v>
      </c>
      <c r="AH25" s="105" t="e">
        <f>IF(#REF!="Yes",#REF!,AUD_Base_Case_Plus1)</f>
        <v>#REF!</v>
      </c>
      <c r="AI25" s="105" t="e">
        <f>IF(#REF!="Yes",#REF!,AUD_Base_Case_Plus1)</f>
        <v>#REF!</v>
      </c>
      <c r="AJ25" s="105" t="e">
        <f>IF(#REF!="Yes",#REF!,AUD_Base_Case_Plus1)</f>
        <v>#REF!</v>
      </c>
      <c r="AK25" s="105" t="e">
        <f>IF(#REF!="Yes",#REF!,AUD_Base_Case_Plus1)</f>
        <v>#REF!</v>
      </c>
      <c r="AL25" s="105" t="e">
        <f>IF(#REF!="Yes",#REF!,AUD_Base_Case_Plus2)</f>
        <v>#REF!</v>
      </c>
      <c r="AM25" s="105" t="e">
        <f>IF(#REF!="Yes",#REF!,AUD_Base_Case_Plus2)</f>
        <v>#REF!</v>
      </c>
      <c r="AN25" s="105" t="e">
        <f>IF(#REF!="Yes",#REF!,AUD_Base_Case_Plus2)</f>
        <v>#REF!</v>
      </c>
      <c r="AO25" s="105" t="e">
        <f>IF(#REF!="Yes",#REF!,AUD_Base_Case_Plus2)</f>
        <v>#REF!</v>
      </c>
      <c r="AP25" s="105" t="e">
        <f>IF(#REF!="Yes",#REF!,AUD_Base_Case_Plus3)</f>
        <v>#REF!</v>
      </c>
      <c r="AQ25" s="105" t="e">
        <f>IF(#REF!="Yes",#REF!,AUD_Base_Case_Plus3)</f>
        <v>#REF!</v>
      </c>
      <c r="AR25" s="105" t="e">
        <f>IF(#REF!="Yes",#REF!,AUD_Base_Case_Plus3)</f>
        <v>#REF!</v>
      </c>
      <c r="AS25" s="105" t="e">
        <f>IF(#REF!="Yes",#REF!,AUD_Base_Case_Plus3)</f>
        <v>#REF!</v>
      </c>
      <c r="AT25" s="105" t="e">
        <f>IF(#REF!="Yes",#REF!,AUD_Base_Case_Plus4)</f>
        <v>#REF!</v>
      </c>
      <c r="AU25" s="105" t="e">
        <f>IF(#REF!="Yes",#REF!,AUD_Base_Case_Plus4)</f>
        <v>#REF!</v>
      </c>
      <c r="AV25" s="105" t="e">
        <f>IF(#REF!="Yes",#REF!,AUD_Base_Case_Plus4)</f>
        <v>#REF!</v>
      </c>
      <c r="AW25" s="105" t="e">
        <f>IF(#REF!="Yes",#REF!,AUD_Base_Case_Plus4)</f>
        <v>#REF!</v>
      </c>
      <c r="AX25" s="105" t="e">
        <f>IF(#REF!="Yes",#REF!,AUD_Base_Case_Plus4)</f>
        <v>#REF!</v>
      </c>
      <c r="AY25" s="105" t="e">
        <f>IF(#REF!="Yes",#REF!,AUD_Base_Case_Plus4)</f>
        <v>#REF!</v>
      </c>
      <c r="AZ25" s="105" t="e">
        <f>IF(#REF!="Yes",#REF!,AUD_Base_Case_Plus4)</f>
        <v>#REF!</v>
      </c>
      <c r="BA25" s="105" t="e">
        <f>IF(#REF!="Yes",#REF!,AUD_Base_Case_Plus4)</f>
        <v>#REF!</v>
      </c>
      <c r="BB25" s="105" t="e">
        <f>IF(#REF!="Yes",#REF!,AUD_Base_Case_Plus4)</f>
        <v>#REF!</v>
      </c>
      <c r="BC25" s="105" t="e">
        <f>IF(#REF!="Yes",#REF!,AUD_Base_Case_Plus4)</f>
        <v>#REF!</v>
      </c>
      <c r="BD25" s="105" t="e">
        <f>IF(#REF!="Yes",#REF!,AUD_Base_Case_Plus4)</f>
        <v>#REF!</v>
      </c>
      <c r="BE25" s="105" t="e">
        <f>IF(#REF!="Yes",#REF!,AUD_Base_Case_Plus4)</f>
        <v>#REF!</v>
      </c>
      <c r="BF25" s="105" t="e">
        <f>IF(#REF!="Yes",#REF!,AUD_Base_Case_Plus4)</f>
        <v>#REF!</v>
      </c>
      <c r="BG25" s="105" t="e">
        <f>IF(#REF!="Yes",#REF!,AUD_Base_Case_Plus4)</f>
        <v>#REF!</v>
      </c>
      <c r="BH25" s="105" t="e">
        <f>IF(#REF!="Yes",#REF!,AUD_Base_Case_Plus4)</f>
        <v>#REF!</v>
      </c>
      <c r="BI25" s="105" t="e">
        <f>IF(#REF!="Yes",#REF!,AUD_Base_Case_Plus4)</f>
        <v>#REF!</v>
      </c>
      <c r="BJ25" s="105" t="e">
        <f>IF(#REF!="Yes",#REF!,AUD_Base_Case_Plus4)</f>
        <v>#REF!</v>
      </c>
      <c r="BK25" s="105" t="e">
        <f>IF(#REF!="Yes",#REF!,AUD_Base_Case_Plus4)</f>
        <v>#REF!</v>
      </c>
      <c r="BL25" s="105" t="e">
        <f>IF(#REF!="Yes",#REF!,AUD_Base_Case_Plus4)</f>
        <v>#REF!</v>
      </c>
      <c r="BM25" s="105" t="e">
        <f>IF(#REF!="Yes",#REF!,AUD_Base_Case_Plus4)</f>
        <v>#REF!</v>
      </c>
      <c r="BN25" s="105" t="e">
        <f>IF(#REF!="Yes",#REF!,AUD_Base_Case_Plus4)</f>
        <v>#REF!</v>
      </c>
      <c r="BO25" s="105" t="e">
        <f>IF(#REF!="Yes",#REF!,AUD_Base_Case_Plus4)</f>
        <v>#REF!</v>
      </c>
      <c r="BP25" s="105" t="e">
        <f>IF(#REF!="Yes",#REF!,AUD_Base_Case_Plus4)</f>
        <v>#REF!</v>
      </c>
      <c r="BQ25" s="105" t="e">
        <f>IF(#REF!="Yes",#REF!,AUD_Base_Case_Plus4)</f>
        <v>#REF!</v>
      </c>
      <c r="BR25" s="105" t="e">
        <f>IF(#REF!="Yes",#REF!,AUD_Base_Case_Plus4)</f>
        <v>#REF!</v>
      </c>
      <c r="BS25" s="105" t="e">
        <f>IF(#REF!="Yes",#REF!,AUD_Base_Case_Plus4)</f>
        <v>#REF!</v>
      </c>
      <c r="BT25" s="105" t="e">
        <f>IF(#REF!="Yes",#REF!,AUD_Base_Case_Plus4)</f>
        <v>#REF!</v>
      </c>
      <c r="BU25" s="105" t="e">
        <f>IF(#REF!="Yes",#REF!,AUD_Base_Case_Plus4)</f>
        <v>#REF!</v>
      </c>
      <c r="BV25" s="105" t="e">
        <f>IF(#REF!="Yes",#REF!,AUD_Base_Case_Plus4)</f>
        <v>#REF!</v>
      </c>
      <c r="BW25" s="105" t="e">
        <f>IF(#REF!="Yes",#REF!,AUD_Base_Case_Plus4)</f>
        <v>#REF!</v>
      </c>
      <c r="BX25" s="105" t="e">
        <f>IF(#REF!="Yes",#REF!,AUD_Base_Case_Plus4)</f>
        <v>#REF!</v>
      </c>
      <c r="BY25" s="105" t="e">
        <f>IF(#REF!="Yes",#REF!,AUD_Base_Case_Plus4)</f>
        <v>#REF!</v>
      </c>
      <c r="BZ25" s="105" t="e">
        <f>IF(#REF!="Yes",#REF!,AUD_Base_Case_Plus4)</f>
        <v>#REF!</v>
      </c>
      <c r="CA25" s="105" t="e">
        <f>IF(#REF!="Yes",#REF!,AUD_Base_Case_Plus4)</f>
        <v>#REF!</v>
      </c>
      <c r="CB25" s="105" t="e">
        <f>IF(#REF!="Yes",#REF!,AUD_Base_Case_Plus4)</f>
        <v>#REF!</v>
      </c>
      <c r="CC25" s="105" t="e">
        <f>IF(#REF!="Yes",#REF!,AUD_Base_Case_Plus4)</f>
        <v>#REF!</v>
      </c>
      <c r="CD25" s="105" t="e">
        <f>IF(#REF!="Yes",#REF!,AUD_Base_Case_Plus4)</f>
        <v>#REF!</v>
      </c>
      <c r="CE25" s="105" t="e">
        <f>IF(#REF!="Yes",#REF!,AUD_Base_Case_Plus4)</f>
        <v>#REF!</v>
      </c>
      <c r="CF25" s="105" t="e">
        <f>IF(#REF!="Yes",#REF!,AUD_Base_Case_Plus4)</f>
        <v>#REF!</v>
      </c>
      <c r="CG25" s="105" t="e">
        <f>IF(#REF!="Yes",#REF!,AUD_Base_Case_Plus4)</f>
        <v>#REF!</v>
      </c>
      <c r="CH25" s="105" t="e">
        <f>IF(#REF!="Yes",#REF!,AUD_Base_Case_Plus4)</f>
        <v>#REF!</v>
      </c>
      <c r="CI25" s="105" t="e">
        <f>IF(#REF!="Yes",#REF!,AUD_Base_Case_Plus4)</f>
        <v>#REF!</v>
      </c>
      <c r="CJ25" s="105" t="e">
        <f>IF(#REF!="Yes",#REF!,AUD_Base_Case_Plus4)</f>
        <v>#REF!</v>
      </c>
      <c r="CK25" s="105" t="e">
        <f>IF(#REF!="Yes",#REF!,AUD_Base_Case_Plus4)</f>
        <v>#REF!</v>
      </c>
      <c r="CL25" s="105" t="e">
        <f>IF(#REF!="Yes",#REF!,AUD_Base_Case_Plus4)</f>
        <v>#REF!</v>
      </c>
      <c r="CM25" s="105" t="e">
        <f>IF(#REF!="Yes",#REF!,AUD_Base_Case_Plus4)</f>
        <v>#REF!</v>
      </c>
      <c r="CN25" s="105" t="e">
        <f>IF(#REF!="Yes",#REF!,AUD_Base_Case_Plus4)</f>
        <v>#REF!</v>
      </c>
      <c r="CO25" s="105" t="e">
        <f>IF(#REF!="Yes",#REF!,AUD_Base_Case_Plus4)</f>
        <v>#REF!</v>
      </c>
    </row>
    <row r="26" spans="1:93" hidden="1" outlineLevel="1">
      <c r="A26" s="94" t="s">
        <v>77</v>
      </c>
      <c r="B26" s="100"/>
      <c r="C26" s="100"/>
      <c r="D26" s="100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0"/>
      <c r="T26" s="110"/>
      <c r="U26" s="110"/>
      <c r="V26" s="113"/>
      <c r="W26" s="113"/>
      <c r="X26" s="113"/>
      <c r="Y26" s="11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  <c r="BN26" s="103"/>
      <c r="BO26" s="103"/>
      <c r="BP26" s="103"/>
      <c r="BQ26" s="103"/>
      <c r="BR26" s="103"/>
      <c r="BS26" s="103"/>
      <c r="BT26" s="103"/>
      <c r="BU26" s="103"/>
      <c r="BV26" s="103"/>
      <c r="BW26" s="103"/>
      <c r="BX26" s="103"/>
      <c r="BY26" s="103"/>
      <c r="BZ26" s="103"/>
      <c r="CA26" s="103"/>
      <c r="CB26" s="103"/>
      <c r="CC26" s="103"/>
      <c r="CD26" s="103"/>
      <c r="CE26" s="103"/>
      <c r="CF26" s="103"/>
      <c r="CG26" s="103"/>
      <c r="CH26" s="103"/>
      <c r="CI26" s="103"/>
      <c r="CJ26" s="103"/>
      <c r="CK26" s="103"/>
      <c r="CL26" s="103"/>
      <c r="CM26" s="103"/>
      <c r="CN26" s="103"/>
      <c r="CO26" s="103"/>
    </row>
    <row r="27" spans="1:93" hidden="1" outlineLevel="1">
      <c r="A27" s="105" t="s">
        <v>78</v>
      </c>
      <c r="B27" s="101">
        <v>10</v>
      </c>
      <c r="C27" s="101">
        <v>10</v>
      </c>
      <c r="D27" s="101">
        <v>10</v>
      </c>
      <c r="E27" s="101">
        <v>10</v>
      </c>
      <c r="F27" s="101">
        <v>10</v>
      </c>
      <c r="G27" s="101">
        <v>10</v>
      </c>
      <c r="H27" s="101">
        <v>10</v>
      </c>
      <c r="I27" s="101">
        <v>10</v>
      </c>
      <c r="J27" s="101">
        <v>10</v>
      </c>
      <c r="K27" s="101">
        <v>10</v>
      </c>
      <c r="L27" s="101">
        <v>10</v>
      </c>
      <c r="M27" s="101">
        <v>10</v>
      </c>
      <c r="N27" s="101">
        <v>10</v>
      </c>
      <c r="O27" s="101">
        <v>10</v>
      </c>
      <c r="P27" s="101">
        <v>10</v>
      </c>
      <c r="Q27" s="101">
        <v>10</v>
      </c>
      <c r="R27" s="101">
        <v>10</v>
      </c>
      <c r="S27" s="101">
        <v>10.54167076923077</v>
      </c>
      <c r="T27" s="101">
        <v>10.769659090909093</v>
      </c>
      <c r="U27" s="101">
        <v>11.226703030303034</v>
      </c>
      <c r="V27" s="101">
        <v>11.746</v>
      </c>
      <c r="W27" s="101">
        <v>12.083</v>
      </c>
      <c r="X27" s="101">
        <v>13.005000000000001</v>
      </c>
      <c r="Y27" s="101">
        <v>14.243</v>
      </c>
      <c r="Z27" s="101">
        <v>15.803963934426228</v>
      </c>
      <c r="AA27" s="101">
        <v>14.995026562500001</v>
      </c>
      <c r="AB27" s="114"/>
      <c r="AC27" s="114"/>
      <c r="AD27" s="115"/>
      <c r="AE27" s="115"/>
      <c r="AF27" s="115"/>
      <c r="AG27" s="11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</row>
    <row r="28" spans="1:93" hidden="1" outlineLevel="1">
      <c r="A28" s="94" t="s">
        <v>79</v>
      </c>
      <c r="B28" s="106">
        <v>29.838000000000001</v>
      </c>
      <c r="C28" s="106">
        <v>30.318000000000001</v>
      </c>
      <c r="D28" s="106">
        <v>30.596</v>
      </c>
      <c r="E28" s="112">
        <v>30.712</v>
      </c>
      <c r="F28" s="112">
        <v>29.231999999999999</v>
      </c>
      <c r="G28" s="112">
        <v>27.989052307692319</v>
      </c>
      <c r="H28" s="112">
        <v>29.16931515151515</v>
      </c>
      <c r="I28" s="112">
        <v>31.22</v>
      </c>
      <c r="J28" s="112">
        <v>30.155999999999999</v>
      </c>
      <c r="K28" s="112">
        <v>31.071999999999999</v>
      </c>
      <c r="L28" s="112">
        <v>31.949000000000002</v>
      </c>
      <c r="M28" s="112"/>
      <c r="N28" s="112"/>
      <c r="O28" s="112"/>
      <c r="P28" s="112"/>
      <c r="Q28" s="112"/>
      <c r="R28" s="112"/>
      <c r="S28" s="110"/>
      <c r="T28" s="110"/>
      <c r="U28" s="110"/>
      <c r="V28" s="113"/>
      <c r="W28" s="113"/>
      <c r="X28" s="113"/>
      <c r="Y28" s="11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03"/>
      <c r="BW28" s="103"/>
      <c r="BX28" s="103"/>
      <c r="BY28" s="103"/>
      <c r="BZ28" s="103"/>
      <c r="CA28" s="103"/>
      <c r="CB28" s="103"/>
      <c r="CC28" s="103"/>
      <c r="CD28" s="103"/>
      <c r="CE28" s="103"/>
      <c r="CF28" s="103"/>
      <c r="CG28" s="103"/>
      <c r="CH28" s="103"/>
      <c r="CI28" s="103"/>
      <c r="CJ28" s="103"/>
      <c r="CK28" s="103"/>
      <c r="CL28" s="103"/>
      <c r="CM28" s="103"/>
      <c r="CN28" s="103"/>
      <c r="CO28" s="103"/>
    </row>
    <row r="29" spans="1:93" hidden="1" outlineLevel="1">
      <c r="A29" s="94" t="s">
        <v>80</v>
      </c>
      <c r="B29" s="106">
        <v>0.37237187499999991</v>
      </c>
      <c r="C29" s="106">
        <v>0.36243692307692316</v>
      </c>
      <c r="D29" s="106">
        <v>0.36699999999999999</v>
      </c>
      <c r="E29" s="112">
        <v>0.37930909090909082</v>
      </c>
      <c r="F29" s="112">
        <v>0.38414531250000017</v>
      </c>
      <c r="G29" s="112">
        <v>0.41681076923076921</v>
      </c>
      <c r="H29" s="112">
        <v>0.4449878787878786</v>
      </c>
      <c r="I29" s="112">
        <f>1/2.162</f>
        <v>0.46253469010175763</v>
      </c>
      <c r="J29" s="112">
        <f>1/2.08</f>
        <v>0.48076923076923073</v>
      </c>
      <c r="K29" s="112">
        <f>1/2.046</f>
        <v>0.48875855327468237</v>
      </c>
      <c r="L29" s="112">
        <f>1/2.0557</f>
        <v>0.4864523033516564</v>
      </c>
      <c r="M29" s="112"/>
      <c r="N29" s="112"/>
      <c r="O29" s="112"/>
      <c r="P29" s="112"/>
      <c r="Q29" s="112"/>
      <c r="R29" s="112"/>
      <c r="S29" s="110"/>
      <c r="T29" s="110"/>
      <c r="U29" s="110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05"/>
      <c r="BX29" s="105"/>
      <c r="BY29" s="105"/>
      <c r="BZ29" s="105"/>
      <c r="CA29" s="105"/>
      <c r="CB29" s="105"/>
      <c r="CC29" s="105"/>
      <c r="CD29" s="105"/>
      <c r="CE29" s="105"/>
      <c r="CF29" s="105"/>
      <c r="CG29" s="105"/>
      <c r="CH29" s="105"/>
      <c r="CI29" s="105"/>
      <c r="CJ29" s="105"/>
      <c r="CK29" s="105"/>
      <c r="CL29" s="105"/>
      <c r="CM29" s="105"/>
      <c r="CN29" s="105"/>
      <c r="CO29" s="105"/>
    </row>
    <row r="30" spans="1:93" ht="12.75" hidden="1" customHeight="1" outlineLevel="1">
      <c r="A30" s="94" t="s">
        <v>81</v>
      </c>
      <c r="B30" s="106"/>
      <c r="C30" s="106"/>
      <c r="D30" s="106"/>
      <c r="E30" s="112">
        <v>1868.2775757575757</v>
      </c>
      <c r="F30" s="112">
        <v>1878.216718749999</v>
      </c>
      <c r="G30" s="112">
        <v>1795.9498461538462</v>
      </c>
      <c r="H30" s="112">
        <v>1797.7845454545454</v>
      </c>
      <c r="I30" s="112">
        <v>1920.5486153846157</v>
      </c>
      <c r="J30" s="112">
        <v>1798.1615384615379</v>
      </c>
      <c r="K30" s="112">
        <v>1786.4286153846156</v>
      </c>
      <c r="L30" s="112">
        <v>1797.5624615384613</v>
      </c>
      <c r="M30" s="112">
        <v>1805.6830303030306</v>
      </c>
      <c r="N30" s="112">
        <v>1791.7562500000004</v>
      </c>
      <c r="O30" s="112">
        <v>1861.6698461538465</v>
      </c>
      <c r="P30" s="112">
        <v>1907.4113636363634</v>
      </c>
      <c r="Q30" s="112">
        <v>1913.1912121212119</v>
      </c>
      <c r="R30" s="112">
        <v>2005.0587500000006</v>
      </c>
      <c r="S30" s="112">
        <v>1913.2035384615388</v>
      </c>
      <c r="T30" s="112">
        <v>1911.1348484848486</v>
      </c>
      <c r="U30" s="112">
        <v>2180.2565151515159</v>
      </c>
      <c r="V30" s="101">
        <v>2473</v>
      </c>
      <c r="W30" s="101">
        <v>2627</v>
      </c>
      <c r="X30" s="101">
        <v>2948</v>
      </c>
      <c r="Y30" s="101">
        <v>3064</v>
      </c>
      <c r="Z30" s="102">
        <v>3250.5295081967211</v>
      </c>
      <c r="AA30" s="102">
        <v>2990.5531250000008</v>
      </c>
      <c r="AB30" s="102">
        <v>2947.6906249999988</v>
      </c>
      <c r="AC30" s="102"/>
      <c r="AD30" s="115"/>
      <c r="AE30" s="115"/>
      <c r="AF30" s="115"/>
      <c r="AG30" s="11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05"/>
      <c r="BX30" s="105"/>
      <c r="BY30" s="105"/>
      <c r="BZ30" s="105"/>
      <c r="CA30" s="105"/>
      <c r="CB30" s="105"/>
      <c r="CC30" s="105"/>
      <c r="CD30" s="105"/>
      <c r="CE30" s="105"/>
      <c r="CF30" s="105"/>
      <c r="CG30" s="105"/>
      <c r="CH30" s="105"/>
      <c r="CI30" s="105"/>
      <c r="CJ30" s="105"/>
      <c r="CK30" s="105"/>
      <c r="CL30" s="105"/>
      <c r="CM30" s="105"/>
      <c r="CN30" s="105"/>
      <c r="CO30" s="105"/>
    </row>
    <row r="31" spans="1:93" ht="12.75" hidden="1" customHeight="1" outlineLevel="1">
      <c r="A31" s="94" t="s">
        <v>82</v>
      </c>
      <c r="B31" s="106"/>
      <c r="C31" s="106"/>
      <c r="D31" s="106"/>
      <c r="E31" s="106"/>
      <c r="F31" s="106"/>
      <c r="G31" s="106"/>
      <c r="H31" s="106"/>
      <c r="I31" s="106"/>
      <c r="J31" s="112">
        <v>203.08</v>
      </c>
      <c r="K31" s="112">
        <v>202.62</v>
      </c>
      <c r="L31" s="112">
        <v>202.33199999999999</v>
      </c>
      <c r="M31" s="112">
        <v>202.779</v>
      </c>
      <c r="N31" s="112">
        <v>206.298</v>
      </c>
      <c r="O31" s="112">
        <v>207.791</v>
      </c>
      <c r="P31" s="112">
        <v>209.124</v>
      </c>
      <c r="Q31" s="112">
        <v>211.13499999999999</v>
      </c>
      <c r="R31" s="112">
        <v>211.55500000000001</v>
      </c>
      <c r="S31" s="112">
        <v>206.6</v>
      </c>
      <c r="T31" s="112">
        <v>206.648</v>
      </c>
      <c r="U31" s="112">
        <v>206.62899999999999</v>
      </c>
      <c r="V31" s="101">
        <v>206.87799999999999</v>
      </c>
      <c r="W31" s="101">
        <v>206.9</v>
      </c>
      <c r="X31" s="101">
        <v>206.92699999999999</v>
      </c>
      <c r="Y31" s="101">
        <v>207.2</v>
      </c>
      <c r="Z31" s="101">
        <v>206</v>
      </c>
      <c r="AA31" s="101">
        <v>207</v>
      </c>
      <c r="AB31" s="101">
        <v>207</v>
      </c>
      <c r="AC31" s="101">
        <v>207</v>
      </c>
      <c r="AD31" s="115">
        <v>207</v>
      </c>
      <c r="AE31" s="115">
        <v>207</v>
      </c>
      <c r="AF31" s="115">
        <v>207</v>
      </c>
      <c r="AG31" s="115">
        <v>207</v>
      </c>
      <c r="AH31" s="105">
        <v>207</v>
      </c>
      <c r="AI31" s="105">
        <v>207</v>
      </c>
      <c r="AJ31" s="105">
        <v>207</v>
      </c>
      <c r="AK31" s="105">
        <v>207</v>
      </c>
      <c r="AL31" s="105">
        <v>207</v>
      </c>
      <c r="AM31" s="105">
        <v>207</v>
      </c>
      <c r="AN31" s="105">
        <v>207</v>
      </c>
      <c r="AO31" s="105">
        <v>207</v>
      </c>
      <c r="AP31" s="105">
        <v>207</v>
      </c>
      <c r="AQ31" s="105">
        <v>207</v>
      </c>
      <c r="AR31" s="105">
        <v>207</v>
      </c>
      <c r="AS31" s="105">
        <v>207</v>
      </c>
      <c r="AT31" s="105">
        <v>207</v>
      </c>
      <c r="AU31" s="105">
        <v>207</v>
      </c>
      <c r="AV31" s="105">
        <v>207</v>
      </c>
      <c r="AW31" s="105">
        <v>207</v>
      </c>
      <c r="AX31" s="105">
        <v>207</v>
      </c>
      <c r="AY31" s="105">
        <v>207</v>
      </c>
      <c r="AZ31" s="105">
        <v>207</v>
      </c>
      <c r="BA31" s="105">
        <v>207</v>
      </c>
      <c r="BB31" s="105">
        <v>207</v>
      </c>
      <c r="BC31" s="105">
        <v>207</v>
      </c>
      <c r="BD31" s="105">
        <v>207</v>
      </c>
      <c r="BE31" s="105">
        <v>207</v>
      </c>
      <c r="BF31" s="105">
        <v>207</v>
      </c>
      <c r="BG31" s="105">
        <v>207</v>
      </c>
      <c r="BH31" s="105">
        <v>207</v>
      </c>
      <c r="BI31" s="105">
        <v>207</v>
      </c>
      <c r="BJ31" s="105">
        <v>207</v>
      </c>
      <c r="BK31" s="105">
        <v>207</v>
      </c>
      <c r="BL31" s="105">
        <v>207</v>
      </c>
      <c r="BM31" s="105">
        <v>207</v>
      </c>
      <c r="BN31" s="105">
        <v>207</v>
      </c>
      <c r="BO31" s="105">
        <v>207</v>
      </c>
      <c r="BP31" s="105">
        <v>207</v>
      </c>
      <c r="BQ31" s="105">
        <v>207</v>
      </c>
      <c r="BR31" s="105">
        <v>207</v>
      </c>
      <c r="BS31" s="105">
        <v>207</v>
      </c>
      <c r="BT31" s="105">
        <v>207</v>
      </c>
      <c r="BU31" s="105">
        <v>207</v>
      </c>
      <c r="BV31" s="105">
        <v>207</v>
      </c>
      <c r="BW31" s="105">
        <v>207</v>
      </c>
      <c r="BX31" s="105">
        <v>207</v>
      </c>
      <c r="BY31" s="105">
        <v>207</v>
      </c>
      <c r="BZ31" s="105">
        <v>207</v>
      </c>
      <c r="CA31" s="105">
        <v>207</v>
      </c>
      <c r="CB31" s="105">
        <v>207</v>
      </c>
      <c r="CC31" s="105">
        <v>207</v>
      </c>
      <c r="CD31" s="105">
        <v>207</v>
      </c>
      <c r="CE31" s="105">
        <v>207</v>
      </c>
      <c r="CF31" s="105">
        <v>207</v>
      </c>
      <c r="CG31" s="105">
        <v>207</v>
      </c>
      <c r="CH31" s="105">
        <v>207</v>
      </c>
      <c r="CI31" s="105">
        <v>207</v>
      </c>
      <c r="CJ31" s="105">
        <v>207</v>
      </c>
      <c r="CK31" s="105">
        <v>207</v>
      </c>
      <c r="CL31" s="105">
        <v>207</v>
      </c>
      <c r="CM31" s="105">
        <v>207</v>
      </c>
      <c r="CN31" s="105">
        <v>207</v>
      </c>
      <c r="CO31" s="105">
        <v>207</v>
      </c>
    </row>
    <row r="32" spans="1:93" ht="12.75" hidden="1" customHeight="1" outlineLevel="1">
      <c r="A32" s="94" t="s">
        <v>83</v>
      </c>
      <c r="B32" s="106"/>
      <c r="C32" s="106"/>
      <c r="D32" s="106"/>
      <c r="E32" s="106"/>
      <c r="F32" s="106"/>
      <c r="G32" s="106"/>
      <c r="H32" s="106"/>
      <c r="I32" s="106"/>
      <c r="J32" s="106">
        <v>39.024000000000001</v>
      </c>
      <c r="K32" s="106">
        <v>39.08</v>
      </c>
      <c r="L32" s="106">
        <v>39.186</v>
      </c>
      <c r="M32" s="106">
        <v>39.816000000000003</v>
      </c>
      <c r="N32" s="106">
        <v>40.847000000000001</v>
      </c>
      <c r="O32" s="106">
        <v>41.249000000000002</v>
      </c>
      <c r="P32" s="106">
        <v>42.298999999999999</v>
      </c>
      <c r="Q32" s="101">
        <v>42.554000000000002</v>
      </c>
      <c r="R32" s="106">
        <v>43.042999999999999</v>
      </c>
      <c r="S32" s="106">
        <v>43.225999999999999</v>
      </c>
      <c r="T32" s="106">
        <v>43.576999999999998</v>
      </c>
      <c r="U32" s="106">
        <v>44.012999999999998</v>
      </c>
      <c r="V32" s="101">
        <v>44.679000000000002</v>
      </c>
      <c r="W32" s="101">
        <v>44.83</v>
      </c>
      <c r="X32" s="101">
        <v>45.073999999999998</v>
      </c>
      <c r="Y32" s="101">
        <v>45.415999999999997</v>
      </c>
      <c r="Z32" s="101">
        <v>45.249921874999991</v>
      </c>
      <c r="AA32" s="101">
        <v>45.805234375000012</v>
      </c>
      <c r="AB32" s="108"/>
      <c r="AC32" s="108"/>
      <c r="AD32" s="115"/>
      <c r="AE32" s="115"/>
      <c r="AF32" s="115"/>
      <c r="AG32" s="11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  <c r="BJ32" s="105"/>
      <c r="BK32" s="105"/>
      <c r="BL32" s="105"/>
      <c r="BM32" s="105"/>
      <c r="BN32" s="105"/>
      <c r="BO32" s="105"/>
      <c r="BP32" s="105"/>
      <c r="BQ32" s="105"/>
      <c r="BR32" s="105"/>
      <c r="BS32" s="105"/>
      <c r="BT32" s="105"/>
      <c r="BU32" s="105"/>
      <c r="BV32" s="105"/>
      <c r="BW32" s="105"/>
      <c r="BX32" s="105"/>
      <c r="BY32" s="105"/>
      <c r="BZ32" s="105"/>
      <c r="CA32" s="105"/>
      <c r="CB32" s="105"/>
      <c r="CC32" s="105"/>
      <c r="CD32" s="105"/>
      <c r="CE32" s="105"/>
      <c r="CF32" s="105"/>
      <c r="CG32" s="105"/>
      <c r="CH32" s="105"/>
      <c r="CI32" s="105"/>
      <c r="CJ32" s="105"/>
      <c r="CK32" s="105"/>
      <c r="CL32" s="105"/>
      <c r="CM32" s="105"/>
      <c r="CN32" s="105"/>
      <c r="CO32" s="105"/>
    </row>
    <row r="33" spans="1:93" ht="12.75" hidden="1" customHeight="1" outlineLevel="1">
      <c r="A33" s="94" t="s">
        <v>84</v>
      </c>
      <c r="B33" s="106"/>
      <c r="C33" s="106"/>
      <c r="D33" s="106"/>
      <c r="E33" s="106"/>
      <c r="F33" s="106"/>
      <c r="G33" s="106"/>
      <c r="H33" s="106"/>
      <c r="I33" s="106"/>
      <c r="J33" s="106">
        <v>0.63600000000000001</v>
      </c>
      <c r="K33" s="106">
        <v>0.63200000000000001</v>
      </c>
      <c r="L33" s="106">
        <v>0.63300000000000001</v>
      </c>
      <c r="M33" s="106">
        <v>0.623</v>
      </c>
      <c r="N33" s="106">
        <v>0.64500000000000002</v>
      </c>
      <c r="O33" s="106">
        <v>0.65100000000000002</v>
      </c>
      <c r="P33" s="106">
        <v>0.64500000000000002</v>
      </c>
      <c r="Q33" s="101">
        <v>0.61799999999999999</v>
      </c>
      <c r="R33" s="106">
        <v>0.60399999999999998</v>
      </c>
      <c r="S33" s="106">
        <v>0.59399999999999997</v>
      </c>
      <c r="T33" s="106">
        <v>0.59899999999999998</v>
      </c>
      <c r="U33" s="106">
        <v>0.63200000000000001</v>
      </c>
      <c r="V33" s="101">
        <v>0.66</v>
      </c>
      <c r="W33" s="101">
        <v>0.65300000000000002</v>
      </c>
      <c r="X33" s="101">
        <v>0.64600000000000002</v>
      </c>
      <c r="Y33" s="101">
        <v>0.66</v>
      </c>
      <c r="Z33" s="101">
        <v>0.69907459016393469</v>
      </c>
      <c r="AA33" s="101">
        <v>0.69744031250000005</v>
      </c>
      <c r="AB33" s="116">
        <v>0.76192468750000009</v>
      </c>
      <c r="AC33" s="116"/>
      <c r="AD33" s="115"/>
      <c r="AE33" s="115"/>
      <c r="AF33" s="115"/>
      <c r="AG33" s="115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BW33" s="104"/>
      <c r="BX33" s="104"/>
      <c r="BY33" s="104"/>
      <c r="BZ33" s="104"/>
      <c r="CA33" s="104"/>
      <c r="CB33" s="104"/>
      <c r="CC33" s="104"/>
      <c r="CD33" s="104"/>
      <c r="CE33" s="104"/>
      <c r="CF33" s="104"/>
      <c r="CG33" s="104"/>
      <c r="CH33" s="104"/>
      <c r="CI33" s="104"/>
      <c r="CJ33" s="104"/>
      <c r="CK33" s="104"/>
      <c r="CL33" s="104"/>
      <c r="CM33" s="104"/>
      <c r="CN33" s="104"/>
      <c r="CO33" s="104"/>
    </row>
    <row r="34" spans="1:93" ht="12.75" hidden="1" customHeight="1" collapsed="1"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18"/>
      <c r="N34" s="118"/>
      <c r="O34" s="104"/>
      <c r="P34" s="104"/>
      <c r="Q34" s="104"/>
      <c r="R34" s="104"/>
      <c r="S34" s="104"/>
      <c r="T34" s="104"/>
      <c r="U34" s="104"/>
      <c r="V34" s="117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BW34" s="104"/>
      <c r="BX34" s="104"/>
      <c r="BY34" s="104"/>
      <c r="BZ34" s="104"/>
      <c r="CA34" s="104"/>
      <c r="CB34" s="104"/>
      <c r="CC34" s="104"/>
      <c r="CD34" s="104"/>
      <c r="CE34" s="104"/>
      <c r="CF34" s="104"/>
      <c r="CG34" s="104"/>
      <c r="CH34" s="104"/>
      <c r="CI34" s="104"/>
      <c r="CJ34" s="104"/>
      <c r="CK34" s="104"/>
      <c r="CL34" s="104"/>
      <c r="CM34" s="104"/>
      <c r="CN34" s="104"/>
      <c r="CO34" s="104"/>
    </row>
    <row r="35" spans="1:93" ht="12.75" hidden="1" customHeight="1">
      <c r="A35" s="98" t="s">
        <v>85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18"/>
      <c r="N35" s="118"/>
      <c r="O35" s="104"/>
      <c r="P35" s="104"/>
      <c r="Q35" s="104"/>
      <c r="R35" s="104"/>
      <c r="S35" s="104"/>
      <c r="T35" s="104"/>
      <c r="U35" s="104"/>
      <c r="V35" s="117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/>
      <c r="BH35" s="104"/>
      <c r="BI35" s="104"/>
      <c r="BJ35" s="104"/>
      <c r="BK35" s="104"/>
      <c r="BL35" s="104"/>
      <c r="BM35" s="104"/>
      <c r="BN35" s="104"/>
      <c r="BO35" s="104"/>
      <c r="BP35" s="104"/>
      <c r="BQ35" s="104"/>
      <c r="BR35" s="104"/>
      <c r="BS35" s="104"/>
      <c r="BT35" s="104"/>
      <c r="BU35" s="104"/>
      <c r="BV35" s="104"/>
      <c r="BW35" s="104"/>
      <c r="BX35" s="104"/>
      <c r="BY35" s="104"/>
      <c r="BZ35" s="104"/>
      <c r="CA35" s="104"/>
      <c r="CB35" s="104"/>
      <c r="CC35" s="104"/>
      <c r="CD35" s="104"/>
      <c r="CE35" s="104"/>
      <c r="CF35" s="104"/>
      <c r="CG35" s="104"/>
      <c r="CH35" s="104"/>
      <c r="CI35" s="104"/>
      <c r="CJ35" s="104"/>
      <c r="CK35" s="104"/>
      <c r="CL35" s="104"/>
      <c r="CM35" s="104"/>
      <c r="CN35" s="104"/>
      <c r="CO35" s="104"/>
    </row>
    <row r="36" spans="1:93" hidden="1">
      <c r="A36" s="94" t="s">
        <v>86</v>
      </c>
      <c r="B36" s="119">
        <v>8.7612218750000009E-3</v>
      </c>
      <c r="C36" s="119">
        <v>1.0900084615384614E-2</v>
      </c>
      <c r="D36" s="119">
        <v>9.5395818181818175E-3</v>
      </c>
      <c r="E36" s="119">
        <v>7.725933333333334E-3</v>
      </c>
      <c r="F36" s="119">
        <v>7.846648437500001E-3</v>
      </c>
      <c r="G36" s="119">
        <v>7.4478076923076893E-3</v>
      </c>
      <c r="H36" s="119">
        <v>7.8636393939393954E-3</v>
      </c>
      <c r="I36" s="119">
        <v>1.01E-2</v>
      </c>
      <c r="J36" s="119">
        <v>1.0800000000000001E-2</v>
      </c>
      <c r="K36" s="119">
        <v>1.06E-2</v>
      </c>
      <c r="L36" s="119">
        <v>1.04E-2</v>
      </c>
      <c r="M36" s="119">
        <v>8.7759848484848489E-3</v>
      </c>
      <c r="N36" s="119">
        <v>7.7232812499999966E-3</v>
      </c>
      <c r="O36" s="119">
        <v>6.9873323076923089E-3</v>
      </c>
      <c r="P36" s="119">
        <v>6.6874969696969688E-3</v>
      </c>
      <c r="Q36" s="119">
        <v>5.9511060606060586E-3</v>
      </c>
      <c r="R36" s="119">
        <v>5.6299687499999987E-3</v>
      </c>
      <c r="S36" s="119">
        <v>5.4338769230769237E-3</v>
      </c>
      <c r="T36" s="119">
        <v>5.5999999999999999E-3</v>
      </c>
      <c r="U36" s="119">
        <v>5.7345757575757552E-3</v>
      </c>
      <c r="V36" s="119">
        <v>6.6E-3</v>
      </c>
      <c r="W36" s="119">
        <v>7.3000000000000001E-3</v>
      </c>
      <c r="X36" s="119">
        <v>8.2000000000000007E-3</v>
      </c>
      <c r="Y36" s="119">
        <v>9.5999999999999992E-3</v>
      </c>
      <c r="Z36" s="119">
        <v>5.8098360655737735E-3</v>
      </c>
      <c r="AA36" s="119">
        <v>5.6625000000000026E-3</v>
      </c>
      <c r="AB36" s="119">
        <v>5.5937500000000006E-3</v>
      </c>
      <c r="AC36" s="119">
        <v>7.5365079365079368E-3</v>
      </c>
      <c r="AD36" s="119">
        <v>8.9258064516129047E-3</v>
      </c>
      <c r="AE36" s="119">
        <v>1.1299999999999999E-2</v>
      </c>
      <c r="AF36" s="120">
        <f t="shared" ref="AF36:AT36" si="12">AE36</f>
        <v>1.1299999999999999E-2</v>
      </c>
      <c r="AG36" s="120">
        <f t="shared" si="12"/>
        <v>1.1299999999999999E-2</v>
      </c>
      <c r="AH36" s="120">
        <f t="shared" si="12"/>
        <v>1.1299999999999999E-2</v>
      </c>
      <c r="AI36" s="120">
        <f t="shared" si="12"/>
        <v>1.1299999999999999E-2</v>
      </c>
      <c r="AJ36" s="120">
        <f t="shared" si="12"/>
        <v>1.1299999999999999E-2</v>
      </c>
      <c r="AK36" s="120">
        <f t="shared" si="12"/>
        <v>1.1299999999999999E-2</v>
      </c>
      <c r="AL36" s="120">
        <f t="shared" si="12"/>
        <v>1.1299999999999999E-2</v>
      </c>
      <c r="AM36" s="120">
        <f t="shared" si="12"/>
        <v>1.1299999999999999E-2</v>
      </c>
      <c r="AN36" s="120">
        <f t="shared" si="12"/>
        <v>1.1299999999999999E-2</v>
      </c>
      <c r="AO36" s="120">
        <f t="shared" si="12"/>
        <v>1.1299999999999999E-2</v>
      </c>
      <c r="AP36" s="120">
        <f t="shared" si="12"/>
        <v>1.1299999999999999E-2</v>
      </c>
      <c r="AQ36" s="120">
        <f t="shared" si="12"/>
        <v>1.1299999999999999E-2</v>
      </c>
      <c r="AR36" s="120">
        <f t="shared" si="12"/>
        <v>1.1299999999999999E-2</v>
      </c>
      <c r="AS36" s="120">
        <f t="shared" si="12"/>
        <v>1.1299999999999999E-2</v>
      </c>
      <c r="AT36" s="120">
        <f t="shared" si="12"/>
        <v>1.1299999999999999E-2</v>
      </c>
      <c r="AU36" s="120">
        <f t="shared" ref="AU36:BJ36" si="13">AT36</f>
        <v>1.1299999999999999E-2</v>
      </c>
      <c r="AV36" s="120">
        <f t="shared" si="13"/>
        <v>1.1299999999999999E-2</v>
      </c>
      <c r="AW36" s="120">
        <f t="shared" si="13"/>
        <v>1.1299999999999999E-2</v>
      </c>
      <c r="AX36" s="120">
        <f t="shared" si="13"/>
        <v>1.1299999999999999E-2</v>
      </c>
      <c r="AY36" s="120">
        <f t="shared" si="13"/>
        <v>1.1299999999999999E-2</v>
      </c>
      <c r="AZ36" s="120">
        <f t="shared" si="13"/>
        <v>1.1299999999999999E-2</v>
      </c>
      <c r="BA36" s="120">
        <f t="shared" si="13"/>
        <v>1.1299999999999999E-2</v>
      </c>
      <c r="BB36" s="120">
        <f t="shared" si="13"/>
        <v>1.1299999999999999E-2</v>
      </c>
      <c r="BC36" s="120">
        <f t="shared" si="13"/>
        <v>1.1299999999999999E-2</v>
      </c>
      <c r="BD36" s="120">
        <f t="shared" si="13"/>
        <v>1.1299999999999999E-2</v>
      </c>
      <c r="BE36" s="120">
        <f t="shared" si="13"/>
        <v>1.1299999999999999E-2</v>
      </c>
      <c r="BF36" s="120">
        <f t="shared" si="13"/>
        <v>1.1299999999999999E-2</v>
      </c>
      <c r="BG36" s="120">
        <f t="shared" si="13"/>
        <v>1.1299999999999999E-2</v>
      </c>
      <c r="BH36" s="120">
        <f t="shared" si="13"/>
        <v>1.1299999999999999E-2</v>
      </c>
      <c r="BI36" s="120">
        <f t="shared" si="13"/>
        <v>1.1299999999999999E-2</v>
      </c>
      <c r="BJ36" s="120">
        <f t="shared" si="13"/>
        <v>1.1299999999999999E-2</v>
      </c>
      <c r="BK36" s="120">
        <f t="shared" ref="BK36:BZ36" si="14">BJ36</f>
        <v>1.1299999999999999E-2</v>
      </c>
      <c r="BL36" s="120">
        <f t="shared" si="14"/>
        <v>1.1299999999999999E-2</v>
      </c>
      <c r="BM36" s="120">
        <f t="shared" si="14"/>
        <v>1.1299999999999999E-2</v>
      </c>
      <c r="BN36" s="120">
        <f t="shared" si="14"/>
        <v>1.1299999999999999E-2</v>
      </c>
      <c r="BO36" s="120">
        <f t="shared" si="14"/>
        <v>1.1299999999999999E-2</v>
      </c>
      <c r="BP36" s="120">
        <f t="shared" si="14"/>
        <v>1.1299999999999999E-2</v>
      </c>
      <c r="BQ36" s="120">
        <f t="shared" si="14"/>
        <v>1.1299999999999999E-2</v>
      </c>
      <c r="BR36" s="120">
        <f t="shared" si="14"/>
        <v>1.1299999999999999E-2</v>
      </c>
      <c r="BS36" s="120">
        <f t="shared" si="14"/>
        <v>1.1299999999999999E-2</v>
      </c>
      <c r="BT36" s="120">
        <f t="shared" si="14"/>
        <v>1.1299999999999999E-2</v>
      </c>
      <c r="BU36" s="120">
        <f t="shared" si="14"/>
        <v>1.1299999999999999E-2</v>
      </c>
      <c r="BV36" s="120">
        <f t="shared" si="14"/>
        <v>1.1299999999999999E-2</v>
      </c>
      <c r="BW36" s="120">
        <f t="shared" si="14"/>
        <v>1.1299999999999999E-2</v>
      </c>
      <c r="BX36" s="120">
        <f t="shared" si="14"/>
        <v>1.1299999999999999E-2</v>
      </c>
      <c r="BY36" s="120">
        <f t="shared" si="14"/>
        <v>1.1299999999999999E-2</v>
      </c>
      <c r="BZ36" s="120">
        <f t="shared" si="14"/>
        <v>1.1299999999999999E-2</v>
      </c>
      <c r="CA36" s="120">
        <f t="shared" ref="CA36:CO36" si="15">BZ36</f>
        <v>1.1299999999999999E-2</v>
      </c>
      <c r="CB36" s="120">
        <f t="shared" si="15"/>
        <v>1.1299999999999999E-2</v>
      </c>
      <c r="CC36" s="120">
        <f t="shared" si="15"/>
        <v>1.1299999999999999E-2</v>
      </c>
      <c r="CD36" s="120">
        <f t="shared" si="15"/>
        <v>1.1299999999999999E-2</v>
      </c>
      <c r="CE36" s="120">
        <f t="shared" si="15"/>
        <v>1.1299999999999999E-2</v>
      </c>
      <c r="CF36" s="120">
        <f t="shared" si="15"/>
        <v>1.1299999999999999E-2</v>
      </c>
      <c r="CG36" s="120">
        <f t="shared" si="15"/>
        <v>1.1299999999999999E-2</v>
      </c>
      <c r="CH36" s="120">
        <f t="shared" si="15"/>
        <v>1.1299999999999999E-2</v>
      </c>
      <c r="CI36" s="120">
        <f t="shared" si="15"/>
        <v>1.1299999999999999E-2</v>
      </c>
      <c r="CJ36" s="120">
        <f t="shared" si="15"/>
        <v>1.1299999999999999E-2</v>
      </c>
      <c r="CK36" s="120">
        <f t="shared" si="15"/>
        <v>1.1299999999999999E-2</v>
      </c>
      <c r="CL36" s="120">
        <f t="shared" si="15"/>
        <v>1.1299999999999999E-2</v>
      </c>
      <c r="CM36" s="120">
        <f t="shared" si="15"/>
        <v>1.1299999999999999E-2</v>
      </c>
      <c r="CN36" s="120">
        <f t="shared" si="15"/>
        <v>1.1299999999999999E-2</v>
      </c>
      <c r="CO36" s="120">
        <f t="shared" si="15"/>
        <v>1.1299999999999999E-2</v>
      </c>
    </row>
    <row r="37" spans="1:93" hidden="1"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0"/>
      <c r="BE37" s="120"/>
      <c r="BF37" s="120"/>
      <c r="BG37" s="120"/>
      <c r="BH37" s="120"/>
      <c r="BI37" s="120"/>
      <c r="BJ37" s="120"/>
      <c r="BK37" s="120"/>
      <c r="BL37" s="120"/>
      <c r="BM37" s="120"/>
      <c r="BN37" s="120"/>
      <c r="BO37" s="120"/>
      <c r="BP37" s="120"/>
      <c r="BQ37" s="120"/>
      <c r="BR37" s="120"/>
      <c r="BS37" s="120"/>
      <c r="BT37" s="120"/>
      <c r="BU37" s="120"/>
      <c r="BV37" s="120"/>
      <c r="BW37" s="120"/>
      <c r="BX37" s="120"/>
      <c r="BY37" s="120"/>
      <c r="BZ37" s="120"/>
      <c r="CA37" s="120"/>
      <c r="CB37" s="120"/>
      <c r="CC37" s="120"/>
      <c r="CD37" s="120"/>
      <c r="CE37" s="120"/>
      <c r="CF37" s="120"/>
      <c r="CG37" s="120"/>
      <c r="CH37" s="120"/>
      <c r="CI37" s="120"/>
      <c r="CJ37" s="120"/>
      <c r="CK37" s="120"/>
      <c r="CL37" s="120"/>
      <c r="CM37" s="120"/>
      <c r="CN37" s="120"/>
      <c r="CO37" s="120"/>
    </row>
    <row r="38" spans="1:93"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  <c r="BD38" s="120"/>
      <c r="BE38" s="120"/>
      <c r="BF38" s="120"/>
      <c r="BG38" s="120"/>
      <c r="BH38" s="120"/>
      <c r="BI38" s="120"/>
      <c r="BJ38" s="120"/>
      <c r="BK38" s="120"/>
      <c r="BL38" s="120"/>
      <c r="BM38" s="120"/>
      <c r="BN38" s="120"/>
      <c r="BO38" s="120"/>
      <c r="BP38" s="120"/>
      <c r="BQ38" s="120"/>
      <c r="BR38" s="120"/>
      <c r="BS38" s="120"/>
      <c r="BT38" s="120"/>
      <c r="BU38" s="120"/>
      <c r="BV38" s="120"/>
      <c r="BW38" s="120"/>
      <c r="BX38" s="120"/>
      <c r="BY38" s="120"/>
      <c r="BZ38" s="120"/>
      <c r="CA38" s="120"/>
      <c r="CB38" s="120"/>
      <c r="CC38" s="120"/>
      <c r="CD38" s="120"/>
      <c r="CE38" s="120"/>
      <c r="CF38" s="120"/>
      <c r="CG38" s="120"/>
      <c r="CH38" s="120"/>
      <c r="CI38" s="120"/>
      <c r="CJ38" s="120"/>
      <c r="CK38" s="120"/>
      <c r="CL38" s="120"/>
      <c r="CM38" s="120"/>
      <c r="CN38" s="120"/>
      <c r="CO38" s="120"/>
    </row>
    <row r="39" spans="1:93">
      <c r="B39" s="94">
        <v>2018</v>
      </c>
      <c r="C39" s="94">
        <v>2019</v>
      </c>
      <c r="D39" s="94">
        <v>2020</v>
      </c>
      <c r="E39" s="94" t="s">
        <v>159</v>
      </c>
    </row>
    <row r="40" spans="1:93" s="121" customFormat="1" ht="40.799999999999997" thickBot="1">
      <c r="B40" s="122" t="s">
        <v>158</v>
      </c>
      <c r="C40" s="122" t="s">
        <v>87</v>
      </c>
      <c r="D40" s="122" t="s">
        <v>88</v>
      </c>
      <c r="E40" s="122" t="s">
        <v>89</v>
      </c>
      <c r="G40" s="122" t="s">
        <v>90</v>
      </c>
      <c r="H40" s="122"/>
      <c r="I40" s="122" t="s">
        <v>157</v>
      </c>
      <c r="J40" s="123"/>
      <c r="K40" s="122"/>
      <c r="O40" s="124"/>
      <c r="Q40" s="124"/>
      <c r="R40" s="125"/>
      <c r="S40" s="125"/>
      <c r="T40" s="125"/>
      <c r="U40" s="126"/>
      <c r="V40" s="126"/>
      <c r="W40" s="126"/>
      <c r="X40" s="126"/>
      <c r="Y40" s="127"/>
      <c r="Z40" s="127"/>
      <c r="AA40" s="128"/>
      <c r="AB40" s="126"/>
      <c r="AC40" s="126"/>
      <c r="AD40" s="126"/>
      <c r="AE40" s="126"/>
      <c r="AF40" s="126"/>
      <c r="AG40" s="126"/>
      <c r="AH40" s="126"/>
      <c r="AI40" s="129"/>
      <c r="AJ40" s="129"/>
      <c r="AK40" s="129"/>
      <c r="AM40" s="130"/>
      <c r="AN40" s="131"/>
      <c r="AO40" s="126"/>
      <c r="AP40" s="132"/>
      <c r="AQ40" s="132"/>
    </row>
    <row r="41" spans="1:93" ht="13.8" thickBot="1">
      <c r="A41" s="122" t="s">
        <v>272</v>
      </c>
      <c r="B41" s="250">
        <v>900</v>
      </c>
      <c r="C41" s="250">
        <f>California_O_Flower_Base_Case*95%</f>
        <v>855</v>
      </c>
      <c r="D41" s="250">
        <f>California_O_Flower_Base_Case1*95%</f>
        <v>812.25</v>
      </c>
      <c r="E41" s="250">
        <f>California_O_Flower_Base_Case2*95%</f>
        <v>771.63749999999993</v>
      </c>
      <c r="G41" s="133" t="s">
        <v>67</v>
      </c>
      <c r="I41" s="133">
        <v>2300</v>
      </c>
      <c r="K41" s="263"/>
      <c r="Q41" s="134"/>
      <c r="R41" s="134"/>
      <c r="S41" s="134"/>
      <c r="T41" s="134"/>
      <c r="AA41" s="105"/>
    </row>
    <row r="42" spans="1:93" ht="13.8" thickBot="1">
      <c r="A42" s="122" t="s">
        <v>276</v>
      </c>
      <c r="B42" s="250">
        <v>2200</v>
      </c>
      <c r="C42" s="250">
        <v>2200</v>
      </c>
      <c r="D42" s="250">
        <f>California_Flower_Base_Case1*98%</f>
        <v>2156</v>
      </c>
      <c r="E42" s="250">
        <f>California_Flower_Base_Case2*98%</f>
        <v>2112.88</v>
      </c>
      <c r="G42" s="133" t="s">
        <v>67</v>
      </c>
      <c r="I42" s="133">
        <v>2300</v>
      </c>
      <c r="K42" s="263"/>
      <c r="Q42" s="134"/>
      <c r="R42" s="134"/>
      <c r="S42" s="134"/>
      <c r="T42" s="134"/>
      <c r="AA42" s="105"/>
    </row>
    <row r="43" spans="1:93" ht="13.8" thickBot="1">
      <c r="M43" s="331"/>
    </row>
    <row r="44" spans="1:93" ht="13.8" thickBot="1">
      <c r="A44" s="122" t="s">
        <v>176</v>
      </c>
      <c r="B44" s="251">
        <v>180</v>
      </c>
      <c r="C44" s="251">
        <v>171</v>
      </c>
      <c r="D44" s="251">
        <v>162.45000000000002</v>
      </c>
      <c r="E44" s="251">
        <v>154.32749999999999</v>
      </c>
      <c r="G44" s="133" t="s">
        <v>67</v>
      </c>
      <c r="I44" s="133">
        <v>400</v>
      </c>
      <c r="Q44" s="134"/>
      <c r="R44" s="134"/>
      <c r="S44" s="134"/>
      <c r="T44" s="134"/>
    </row>
    <row r="45" spans="1:93" ht="14.4" thickBot="1">
      <c r="B45" s="252"/>
      <c r="C45" s="252"/>
      <c r="D45" s="252"/>
      <c r="E45" s="252"/>
      <c r="Q45" s="134"/>
      <c r="R45" s="134"/>
      <c r="S45" s="134"/>
      <c r="T45" s="134"/>
    </row>
    <row r="46" spans="1:93" ht="13.8" thickBot="1">
      <c r="A46" s="98" t="s">
        <v>91</v>
      </c>
      <c r="B46" s="253">
        <v>0.75</v>
      </c>
      <c r="C46" s="253">
        <v>0.75</v>
      </c>
      <c r="D46" s="253">
        <v>0.8</v>
      </c>
      <c r="E46" s="253">
        <v>0.8</v>
      </c>
      <c r="G46" s="133" t="s">
        <v>67</v>
      </c>
      <c r="I46" s="222">
        <v>0.8</v>
      </c>
      <c r="K46" s="135"/>
      <c r="Q46" s="134"/>
      <c r="R46" s="134"/>
    </row>
  </sheetData>
  <pageMargins left="0.75" right="0.75" top="1" bottom="1" header="0.5" footer="0.5"/>
  <pageSetup scale="55" orientation="landscape" r:id="rId1"/>
  <headerFooter alignWithMargins="0">
    <oddHeader>&amp;C&amp;8Page &amp;P</oddHeader>
    <oddFooter>&amp;C&amp;8&amp;F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AA869-B86F-4191-86CE-D3FF837E5B31}">
  <dimension ref="C4:F30"/>
  <sheetViews>
    <sheetView topLeftCell="A11" workbookViewId="0">
      <selection activeCell="E16" sqref="E16"/>
    </sheetView>
  </sheetViews>
  <sheetFormatPr defaultRowHeight="13.8"/>
  <cols>
    <col min="3" max="3" width="34.5546875" bestFit="1" customWidth="1"/>
    <col min="4" max="4" width="3.44140625" customWidth="1"/>
  </cols>
  <sheetData>
    <row r="4" spans="3:6">
      <c r="C4" t="s">
        <v>221</v>
      </c>
      <c r="E4" t="s">
        <v>376</v>
      </c>
    </row>
    <row r="6" spans="3:6">
      <c r="C6" t="s">
        <v>28</v>
      </c>
      <c r="E6">
        <v>16.8</v>
      </c>
    </row>
    <row r="8" spans="3:6">
      <c r="C8" t="s">
        <v>377</v>
      </c>
      <c r="E8">
        <v>2.1</v>
      </c>
      <c r="F8" s="84">
        <f>E8/$E$6</f>
        <v>0.125</v>
      </c>
    </row>
    <row r="9" spans="3:6">
      <c r="C9" t="s">
        <v>378</v>
      </c>
      <c r="E9">
        <v>0.28000000000000003</v>
      </c>
      <c r="F9" s="84">
        <f t="shared" ref="F9:F15" si="0">E9/$E$6</f>
        <v>1.6666666666666666E-2</v>
      </c>
    </row>
    <row r="10" spans="3:6">
      <c r="C10" t="s">
        <v>379</v>
      </c>
      <c r="E10">
        <v>0.5</v>
      </c>
      <c r="F10" s="84">
        <f t="shared" si="0"/>
        <v>2.976190476190476E-2</v>
      </c>
    </row>
    <row r="11" spans="3:6">
      <c r="C11" t="s">
        <v>380</v>
      </c>
      <c r="E11">
        <v>0.441</v>
      </c>
      <c r="F11" s="84">
        <f t="shared" si="0"/>
        <v>2.6249999999999999E-2</v>
      </c>
    </row>
    <row r="12" spans="3:6">
      <c r="C12" t="s">
        <v>381</v>
      </c>
      <c r="E12">
        <v>0.106</v>
      </c>
      <c r="F12" s="84">
        <f t="shared" si="0"/>
        <v>6.3095238095238091E-3</v>
      </c>
    </row>
    <row r="13" spans="3:6">
      <c r="C13" t="s">
        <v>382</v>
      </c>
      <c r="E13">
        <v>0.33500000000000002</v>
      </c>
      <c r="F13" s="84">
        <f t="shared" si="0"/>
        <v>1.9940476190476192E-2</v>
      </c>
    </row>
    <row r="14" spans="3:6">
      <c r="C14" t="s">
        <v>383</v>
      </c>
      <c r="E14">
        <v>0.79700000000000004</v>
      </c>
      <c r="F14" s="84">
        <f t="shared" si="0"/>
        <v>4.7440476190476193E-2</v>
      </c>
    </row>
    <row r="15" spans="3:6">
      <c r="C15" t="s">
        <v>384</v>
      </c>
      <c r="E15">
        <v>0.95699999999999996</v>
      </c>
      <c r="F15" s="84">
        <f t="shared" si="0"/>
        <v>5.696428571428571E-2</v>
      </c>
    </row>
    <row r="18" spans="3:6">
      <c r="C18" t="s">
        <v>385</v>
      </c>
      <c r="E18" t="s">
        <v>386</v>
      </c>
    </row>
    <row r="20" spans="3:6">
      <c r="C20" t="s">
        <v>28</v>
      </c>
      <c r="E20">
        <v>31.98</v>
      </c>
    </row>
    <row r="22" spans="3:6">
      <c r="F22" s="84"/>
    </row>
    <row r="23" spans="3:6">
      <c r="C23" t="s">
        <v>365</v>
      </c>
      <c r="E23">
        <v>0.36299999999999999</v>
      </c>
      <c r="F23" s="84">
        <f t="shared" ref="F23:F29" si="1">E23/$E$20</f>
        <v>1.1350844277673546E-2</v>
      </c>
    </row>
    <row r="24" spans="3:6">
      <c r="C24" t="s">
        <v>366</v>
      </c>
      <c r="E24">
        <v>0.434</v>
      </c>
      <c r="F24" s="84">
        <f t="shared" si="1"/>
        <v>1.357098186366479E-2</v>
      </c>
    </row>
    <row r="25" spans="3:6">
      <c r="C25" t="s">
        <v>367</v>
      </c>
      <c r="E25">
        <v>0.28499999999999998</v>
      </c>
      <c r="F25" s="84">
        <f t="shared" si="1"/>
        <v>8.9118198874296433E-3</v>
      </c>
    </row>
    <row r="26" spans="3:6">
      <c r="C26" t="s">
        <v>368</v>
      </c>
      <c r="E26">
        <v>0.66700000000000004</v>
      </c>
      <c r="F26" s="84">
        <f t="shared" si="1"/>
        <v>2.0856785490931833E-2</v>
      </c>
    </row>
    <row r="27" spans="3:6">
      <c r="C27" t="s">
        <v>369</v>
      </c>
      <c r="E27">
        <v>0.51200000000000001</v>
      </c>
      <c r="F27" s="84">
        <f t="shared" si="1"/>
        <v>1.6010006253908693E-2</v>
      </c>
    </row>
    <row r="28" spans="3:6">
      <c r="C28" t="s">
        <v>370</v>
      </c>
      <c r="E28">
        <v>0.91200000000000003</v>
      </c>
      <c r="F28" s="84">
        <f t="shared" si="1"/>
        <v>2.8517823639774859E-2</v>
      </c>
    </row>
    <row r="29" spans="3:6">
      <c r="C29" t="s">
        <v>371</v>
      </c>
      <c r="E29">
        <v>0.21</v>
      </c>
      <c r="F29" s="84">
        <f t="shared" si="1"/>
        <v>6.5666041275797369E-3</v>
      </c>
    </row>
    <row r="30" spans="3:6">
      <c r="C30" t="s">
        <v>372</v>
      </c>
      <c r="E30">
        <f>0.338+0.152</f>
        <v>0.49</v>
      </c>
      <c r="F30" s="84">
        <f>E30/$E$20</f>
        <v>1.5322076297686053E-2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Dashboard</vt:lpstr>
      <vt:lpstr>Range Setup</vt:lpstr>
      <vt:lpstr>Model - Quarterly</vt:lpstr>
      <vt:lpstr>Model - Annual</vt:lpstr>
      <vt:lpstr>Price Deck</vt:lpstr>
      <vt:lpstr>Global_Master</vt:lpstr>
      <vt:lpstr>Expense Proportions</vt:lpstr>
      <vt:lpstr>Global_Master!CAD_Base_Case_plus1</vt:lpstr>
      <vt:lpstr>Global_Master!CAD_Base_Case_plus2</vt:lpstr>
      <vt:lpstr>Global_Master!CAD_Base_Case_plus3</vt:lpstr>
      <vt:lpstr>Global_Master!CAD_Base_Case_plus4</vt:lpstr>
      <vt:lpstr>California_Flower_Base_Case</vt:lpstr>
      <vt:lpstr>California_Flower_Base_Case1</vt:lpstr>
      <vt:lpstr>California_Flower_Base_Case2</vt:lpstr>
      <vt:lpstr>California_Flower_Base_Case3</vt:lpstr>
      <vt:lpstr>California_O_Flower_Base_Case</vt:lpstr>
      <vt:lpstr>California_O_Flower_Base_Case1</vt:lpstr>
      <vt:lpstr>California_O_Flower_Base_Case2</vt:lpstr>
      <vt:lpstr>California_O_Flower_Base_Case3</vt:lpstr>
      <vt:lpstr>California_Trim_Base_Case</vt:lpstr>
      <vt:lpstr>California_Trim_Base_Case1</vt:lpstr>
      <vt:lpstr>California_Trim_Base_Case2</vt:lpstr>
      <vt:lpstr>California_Trim_Base_Case3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Smith</dc:creator>
  <cp:lastModifiedBy>Patrick Smith</cp:lastModifiedBy>
  <cp:lastPrinted>2020-05-06T23:39:50Z</cp:lastPrinted>
  <dcterms:created xsi:type="dcterms:W3CDTF">2010-12-08T13:27:33Z</dcterms:created>
  <dcterms:modified xsi:type="dcterms:W3CDTF">2022-07-15T11:41:34Z</dcterms:modified>
</cp:coreProperties>
</file>