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ruka\Desktop\New folder\"/>
    </mc:Choice>
  </mc:AlternateContent>
  <xr:revisionPtr revIDLastSave="0" documentId="13_ncr:1_{37753706-4AC8-4910-BEBC-72A8026F1F45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heet1" sheetId="1" r:id="rId1"/>
    <sheet name="Shares" sheetId="7" r:id="rId2"/>
    <sheet name="EMI" sheetId="2" r:id="rId3"/>
    <sheet name="Chandu_Vikram" sheetId="3" r:id="rId4"/>
    <sheet name="Sheet2" sheetId="4" r:id="rId5"/>
    <sheet name="Monthly" sheetId="5" r:id="rId6"/>
    <sheet name="My Links" sheetId="6" r:id="rId7"/>
    <sheet name="2024" sheetId="10" r:id="rId8"/>
    <sheet name="SCHOOL" sheetId="9" r:id="rId9"/>
    <sheet name="Zerodha" sheetId="8" r:id="rId10"/>
  </sheets>
  <definedNames>
    <definedName name="_xlnm._FilterDatabase" localSheetId="6" hidden="1">'My Links'!$J$3:$M$7</definedName>
    <definedName name="_xlnm._FilterDatabase" localSheetId="8" hidden="1">SCHOOL!$A$1:$C$17</definedName>
    <definedName name="_xlnm._FilterDatabase" localSheetId="1" hidden="1">Shares!$A$4:$I$46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0" l="1"/>
  <c r="N1" i="10"/>
  <c r="I26" i="6"/>
  <c r="I25" i="6"/>
  <c r="I24" i="6"/>
  <c r="H26" i="6"/>
  <c r="H25" i="6"/>
  <c r="H24" i="6"/>
  <c r="F23" i="6"/>
  <c r="G23" i="6"/>
  <c r="G31" i="9"/>
  <c r="H31" i="9"/>
  <c r="H19" i="9"/>
  <c r="G19" i="9"/>
  <c r="H30" i="9"/>
  <c r="G30" i="9"/>
  <c r="G25" i="9"/>
  <c r="H25" i="9" s="1"/>
  <c r="G24" i="9"/>
  <c r="H29" i="9"/>
  <c r="H28" i="9"/>
  <c r="H27" i="9"/>
  <c r="H26" i="9"/>
  <c r="H23" i="9"/>
  <c r="H22" i="9"/>
  <c r="H21" i="9"/>
  <c r="H20" i="9"/>
  <c r="G26" i="9"/>
  <c r="G28" i="9"/>
  <c r="G27" i="9"/>
  <c r="I1" i="10"/>
  <c r="I2" i="10"/>
  <c r="D23" i="6"/>
  <c r="H35" i="7"/>
  <c r="H43" i="7"/>
  <c r="H26" i="7"/>
  <c r="H12" i="7"/>
  <c r="H32" i="7"/>
  <c r="D1" i="10"/>
  <c r="D3" i="10"/>
  <c r="D2" i="10"/>
  <c r="I42" i="7"/>
  <c r="I36" i="7"/>
  <c r="D41" i="7"/>
  <c r="D42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I25" i="7" s="1"/>
  <c r="I9" i="7"/>
  <c r="I5" i="7"/>
  <c r="D23" i="7"/>
  <c r="I23" i="7" s="1"/>
  <c r="D22" i="7"/>
  <c r="I22" i="7" s="1"/>
  <c r="D24" i="7"/>
  <c r="I24" i="7" s="1"/>
  <c r="N14" i="10"/>
  <c r="N13" i="10" s="1"/>
  <c r="J42" i="2"/>
  <c r="I13" i="10"/>
  <c r="D13" i="10"/>
  <c r="B2" i="3"/>
  <c r="H44" i="3"/>
  <c r="I24" i="10"/>
  <c r="K55" i="2"/>
  <c r="I55" i="2"/>
  <c r="H55" i="2"/>
  <c r="I56" i="2"/>
  <c r="D21" i="7"/>
  <c r="I21" i="7" s="1"/>
  <c r="H24" i="9" l="1"/>
  <c r="V5" i="7"/>
  <c r="T5" i="7"/>
  <c r="S5" i="7"/>
  <c r="U5" i="7" s="1"/>
  <c r="D20" i="7"/>
  <c r="I20" i="7" s="1"/>
  <c r="D19" i="7"/>
  <c r="I19" i="7" s="1"/>
  <c r="D18" i="7"/>
  <c r="I18" i="7" s="1"/>
  <c r="D17" i="7"/>
  <c r="I17" i="7" s="1"/>
  <c r="D16" i="7"/>
  <c r="I16" i="7" s="1"/>
  <c r="D15" i="7"/>
  <c r="I15" i="7" s="1"/>
  <c r="D14" i="7"/>
  <c r="I14" i="7" s="1"/>
  <c r="J5" i="7"/>
  <c r="D13" i="7"/>
  <c r="I13" i="7" s="1"/>
  <c r="D12" i="7"/>
  <c r="I12" i="7" s="1"/>
  <c r="D11" i="7"/>
  <c r="D24" i="10"/>
  <c r="C58" i="3"/>
  <c r="C44" i="3"/>
  <c r="D68" i="5"/>
  <c r="D59" i="5" s="1"/>
  <c r="D49" i="5" s="1"/>
  <c r="I71" i="5"/>
  <c r="I59" i="5"/>
  <c r="I64" i="5"/>
  <c r="I63" i="5"/>
  <c r="I62" i="5"/>
  <c r="I61" i="5"/>
  <c r="F9" i="7"/>
  <c r="D10" i="7"/>
  <c r="I10" i="7" s="1"/>
  <c r="AA10" i="8"/>
  <c r="Y10" i="8"/>
  <c r="W10" i="8"/>
  <c r="W9" i="8"/>
  <c r="Y9" i="8" s="1"/>
  <c r="AA9" i="8" s="1"/>
  <c r="AB9" i="8" s="1"/>
  <c r="AB1" i="8" s="1"/>
  <c r="AC1" i="8" s="1"/>
  <c r="W8" i="8"/>
  <c r="AB7" i="8"/>
  <c r="AB8" i="8"/>
  <c r="D8" i="7"/>
  <c r="I49" i="5"/>
  <c r="AB6" i="8"/>
  <c r="AB5" i="8"/>
  <c r="AB4" i="8"/>
  <c r="AB3" i="8"/>
  <c r="Y7" i="8"/>
  <c r="W7" i="8"/>
  <c r="W6" i="8"/>
  <c r="AA6" i="8" s="1"/>
  <c r="AA5" i="8"/>
  <c r="Y5" i="8"/>
  <c r="W5" i="8"/>
  <c r="AA4" i="8"/>
  <c r="Y4" i="8"/>
  <c r="Y3" i="8"/>
  <c r="W4" i="8"/>
  <c r="AA3" i="8"/>
  <c r="P6" i="8"/>
  <c r="L38" i="5"/>
  <c r="M38" i="5" s="1"/>
  <c r="I37" i="5"/>
  <c r="D53" i="8"/>
  <c r="I27" i="5"/>
  <c r="B49" i="8"/>
  <c r="D49" i="8"/>
  <c r="B51" i="8"/>
  <c r="B48" i="8"/>
  <c r="D48" i="8" s="1"/>
  <c r="D43" i="8"/>
  <c r="F43" i="8" s="1"/>
  <c r="E43" i="8" s="1"/>
  <c r="B39" i="8"/>
  <c r="D39" i="8" s="1"/>
  <c r="F39" i="8" s="1"/>
  <c r="E39" i="8" s="1"/>
  <c r="B40" i="8"/>
  <c r="D40" i="8" s="1"/>
  <c r="F40" i="8" s="1"/>
  <c r="E40" i="8" s="1"/>
  <c r="B41" i="8"/>
  <c r="D41" i="8" s="1"/>
  <c r="F41" i="8" s="1"/>
  <c r="E41" i="8" s="1"/>
  <c r="B42" i="8"/>
  <c r="D42" i="8"/>
  <c r="F42" i="8" s="1"/>
  <c r="E42" i="8" s="1"/>
  <c r="D6" i="7"/>
  <c r="D7" i="7"/>
  <c r="I7" i="7" s="1"/>
  <c r="O5" i="8"/>
  <c r="P4" i="8"/>
  <c r="D38" i="8"/>
  <c r="F38" i="8" s="1"/>
  <c r="E38" i="8" s="1"/>
  <c r="J34" i="8"/>
  <c r="E34" i="8"/>
  <c r="H34" i="8"/>
  <c r="I17" i="5"/>
  <c r="E21" i="8"/>
  <c r="B36" i="8"/>
  <c r="D36" i="8" s="1"/>
  <c r="F36" i="8" s="1"/>
  <c r="E36" i="8" s="1"/>
  <c r="B37" i="8"/>
  <c r="D37" i="8" s="1"/>
  <c r="B44" i="8"/>
  <c r="D44" i="8" s="1"/>
  <c r="F44" i="8" s="1"/>
  <c r="E44" i="8" s="1"/>
  <c r="B45" i="8"/>
  <c r="D45" i="8" s="1"/>
  <c r="F45" i="8" s="1"/>
  <c r="E45" i="8" s="1"/>
  <c r="B46" i="8"/>
  <c r="D46" i="8" s="1"/>
  <c r="F46" i="8" s="1"/>
  <c r="E46" i="8" s="1"/>
  <c r="B47" i="8"/>
  <c r="D47" i="8" s="1"/>
  <c r="F47" i="8" s="1"/>
  <c r="E47" i="8" s="1"/>
  <c r="D29" i="8"/>
  <c r="F29" i="8" s="1"/>
  <c r="E29" i="8" s="1"/>
  <c r="D27" i="8"/>
  <c r="F27" i="8" s="1"/>
  <c r="E27" i="8" s="1"/>
  <c r="I24" i="8"/>
  <c r="E23" i="8"/>
  <c r="H24" i="8"/>
  <c r="D22" i="8"/>
  <c r="F22" i="8" s="1"/>
  <c r="E22" i="8" s="1"/>
  <c r="E15" i="8"/>
  <c r="E16" i="8"/>
  <c r="D38" i="5"/>
  <c r="B22" i="8"/>
  <c r="B23" i="8"/>
  <c r="D23" i="8" s="1"/>
  <c r="G23" i="8" s="1"/>
  <c r="B24" i="8" s="1"/>
  <c r="B25" i="8"/>
  <c r="B26" i="8"/>
  <c r="H26" i="8" s="1"/>
  <c r="E26" i="8" s="1"/>
  <c r="B28" i="8"/>
  <c r="D28" i="8" s="1"/>
  <c r="F28" i="8" s="1"/>
  <c r="E28" i="8" s="1"/>
  <c r="B30" i="8"/>
  <c r="D30" i="8" s="1"/>
  <c r="F30" i="8" s="1"/>
  <c r="E30" i="8" s="1"/>
  <c r="B31" i="8"/>
  <c r="D31" i="8" s="1"/>
  <c r="F31" i="8" s="1"/>
  <c r="E31" i="8" s="1"/>
  <c r="B32" i="8"/>
  <c r="D32" i="8" s="1"/>
  <c r="F32" i="8" s="1"/>
  <c r="E32" i="8" s="1"/>
  <c r="B33" i="8"/>
  <c r="D33" i="8" s="1"/>
  <c r="F33" i="8" s="1"/>
  <c r="E33" i="8" s="1"/>
  <c r="B34" i="8"/>
  <c r="D34" i="8" s="1"/>
  <c r="I34" i="8" s="1"/>
  <c r="B35" i="8"/>
  <c r="D35" i="8" s="1"/>
  <c r="F35" i="8" s="1"/>
  <c r="E35" i="8" s="1"/>
  <c r="B14" i="8"/>
  <c r="D14" i="8" s="1"/>
  <c r="F14" i="8" s="1"/>
  <c r="E14" i="8" s="1"/>
  <c r="B15" i="8"/>
  <c r="D15" i="8" s="1"/>
  <c r="B16" i="8"/>
  <c r="D16" i="8" s="1"/>
  <c r="B17" i="8"/>
  <c r="D17" i="8" s="1"/>
  <c r="F17" i="8" s="1"/>
  <c r="E17" i="8" s="1"/>
  <c r="B18" i="8"/>
  <c r="D18" i="8" s="1"/>
  <c r="F18" i="8" s="1"/>
  <c r="E18" i="8" s="1"/>
  <c r="B19" i="8"/>
  <c r="D19" i="8" s="1"/>
  <c r="F19" i="8" s="1"/>
  <c r="E19" i="8" s="1"/>
  <c r="B20" i="8"/>
  <c r="D20" i="8" s="1"/>
  <c r="F20" i="8" s="1"/>
  <c r="E20" i="8" s="1"/>
  <c r="B21" i="8"/>
  <c r="D21" i="8" s="1"/>
  <c r="B13" i="8"/>
  <c r="D13" i="8" s="1"/>
  <c r="F13" i="8" s="1"/>
  <c r="E13" i="8" s="1"/>
  <c r="D12" i="8"/>
  <c r="F12" i="8" s="1"/>
  <c r="E12" i="8" s="1"/>
  <c r="E10" i="8"/>
  <c r="B12" i="8"/>
  <c r="D11" i="8"/>
  <c r="F11" i="8" s="1"/>
  <c r="E11" i="8" s="1"/>
  <c r="H10" i="8"/>
  <c r="D10" i="8"/>
  <c r="C9" i="8"/>
  <c r="C4" i="8" s="1"/>
  <c r="F11" i="7" l="1"/>
  <c r="I11" i="7"/>
  <c r="D3" i="7"/>
  <c r="I6" i="7"/>
  <c r="F8" i="7"/>
  <c r="I8" i="7"/>
  <c r="Y6" i="8"/>
  <c r="D24" i="8"/>
  <c r="H25" i="8" s="1"/>
  <c r="F37" i="8"/>
  <c r="E37" i="8" s="1"/>
  <c r="D26" i="8"/>
  <c r="B9" i="8"/>
  <c r="D9" i="8" s="1"/>
  <c r="D5" i="8"/>
  <c r="D8" i="8"/>
  <c r="F8" i="8" s="1"/>
  <c r="E8" i="8" s="1"/>
  <c r="D7" i="8" l="1"/>
  <c r="F7" i="8" s="1"/>
  <c r="E7" i="8" s="1"/>
  <c r="D6" i="8"/>
  <c r="F6" i="8" s="1"/>
  <c r="E6" i="8" s="1"/>
  <c r="D27" i="5" l="1"/>
  <c r="P24" i="3" l="1"/>
  <c r="K21" i="3"/>
  <c r="M21" i="3" s="1"/>
  <c r="M24" i="3" s="1"/>
  <c r="M26" i="3" s="1"/>
  <c r="O26" i="3" s="1"/>
  <c r="T2" i="7"/>
  <c r="D67" i="2"/>
  <c r="F63" i="2"/>
  <c r="F65" i="2"/>
  <c r="C65" i="2" s="1"/>
  <c r="G62" i="2"/>
  <c r="G4" i="4"/>
  <c r="D17" i="5"/>
  <c r="D7" i="5" s="1"/>
  <c r="D3" i="5"/>
  <c r="C63" i="2"/>
  <c r="L2" i="4"/>
  <c r="G41" i="3"/>
  <c r="J48" i="4"/>
  <c r="E46" i="4"/>
  <c r="H49" i="4" s="1"/>
  <c r="L49" i="4" s="1"/>
  <c r="J49" i="4" s="1"/>
  <c r="G54" i="4"/>
  <c r="G50" i="4"/>
  <c r="G55" i="4"/>
  <c r="B72" i="4"/>
  <c r="B75" i="4"/>
  <c r="D12" i="4"/>
  <c r="D21" i="4"/>
  <c r="D20" i="4"/>
  <c r="D22" i="4" s="1"/>
  <c r="B20" i="4"/>
  <c r="B22" i="4" s="1"/>
  <c r="B24" i="4" s="1"/>
  <c r="B12" i="4"/>
  <c r="B21" i="4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T6" i="2"/>
  <c r="U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7" i="2"/>
  <c r="G18" i="2"/>
  <c r="G19" i="2"/>
  <c r="G20" i="2"/>
  <c r="G21" i="2"/>
  <c r="G22" i="2"/>
  <c r="G2" i="2"/>
  <c r="B41" i="3"/>
  <c r="O17" i="2"/>
  <c r="N4" i="1"/>
  <c r="I9" i="1"/>
  <c r="I10" i="1" s="1"/>
  <c r="I13" i="1"/>
  <c r="C21" i="1"/>
  <c r="D21" i="1" s="1"/>
  <c r="C13" i="1"/>
  <c r="C17" i="1"/>
  <c r="C19" i="1"/>
  <c r="G65" i="2" l="1"/>
  <c r="F5" i="8"/>
  <c r="E5" i="8" s="1"/>
  <c r="E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Sridhar Peruka</author>
  </authors>
  <commentList>
    <comment ref="P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Sridhar Peruka:</t>
        </r>
        <r>
          <rPr>
            <sz val="9"/>
            <color indexed="81"/>
            <rFont val="Tahoma"/>
            <family val="2"/>
          </rPr>
          <t xml:space="preserve">
FD in YES BANK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Sridhar Peruka</author>
  </authors>
  <commentList>
    <comment ref="D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Sent to Aunty Paytm:500</t>
        </r>
        <r>
          <rPr>
            <sz val="9"/>
            <color indexed="81"/>
            <rFont val="Tahoma"/>
            <family val="2"/>
          </rPr>
          <t xml:space="preserve">
Sent to Pavan Paytm :500</t>
        </r>
      </text>
    </comment>
    <comment ref="J17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Sridhar Peruka:</t>
        </r>
        <r>
          <rPr>
            <sz val="9"/>
            <color indexed="81"/>
            <rFont val="Tahoma"/>
            <family val="2"/>
          </rPr>
          <t xml:space="preserve">
Amount Spent</t>
        </r>
      </text>
    </comment>
    <comment ref="J27" authorId="0" shapeId="0" xr:uid="{53F34501-D6B2-4139-9855-7A4C4073AD94}">
      <text>
        <r>
          <rPr>
            <b/>
            <sz val="9"/>
            <color indexed="81"/>
            <rFont val="Tahoma"/>
            <family val="2"/>
          </rPr>
          <t>Sridhar Peruka:</t>
        </r>
        <r>
          <rPr>
            <sz val="9"/>
            <color indexed="81"/>
            <rFont val="Tahoma"/>
            <family val="2"/>
          </rPr>
          <t xml:space="preserve">
Amount Spent</t>
        </r>
      </text>
    </comment>
    <comment ref="J37" authorId="0" shapeId="0" xr:uid="{A71CAF44-D221-4B1F-91E9-097D4805520C}">
      <text>
        <r>
          <rPr>
            <b/>
            <sz val="9"/>
            <color indexed="81"/>
            <rFont val="Tahoma"/>
            <family val="2"/>
          </rPr>
          <t>Sridhar Peruka:</t>
        </r>
        <r>
          <rPr>
            <sz val="9"/>
            <color indexed="81"/>
            <rFont val="Tahoma"/>
            <family val="2"/>
          </rPr>
          <t xml:space="preserve">
Amount Spent</t>
        </r>
      </text>
    </comment>
    <comment ref="J49" authorId="0" shapeId="0" xr:uid="{0BD67055-91DF-4BF5-93C7-0E4A1772C202}">
      <text>
        <r>
          <rPr>
            <b/>
            <sz val="9"/>
            <color indexed="81"/>
            <rFont val="Tahoma"/>
            <family val="2"/>
          </rPr>
          <t>Sridhar Peruka:</t>
        </r>
        <r>
          <rPr>
            <sz val="9"/>
            <color indexed="81"/>
            <rFont val="Tahoma"/>
            <family val="2"/>
          </rPr>
          <t xml:space="preserve">
Amount Spent</t>
        </r>
      </text>
    </comment>
    <comment ref="E59" authorId="0" shapeId="0" xr:uid="{78306FC8-560E-4391-9D9A-26D28197819C}">
      <text>
        <r>
          <rPr>
            <b/>
            <sz val="9"/>
            <color indexed="81"/>
            <rFont val="Tahoma"/>
            <family val="2"/>
          </rPr>
          <t>Sridhar Peruka:</t>
        </r>
        <r>
          <rPr>
            <sz val="9"/>
            <color indexed="81"/>
            <rFont val="Tahoma"/>
            <family val="2"/>
          </rPr>
          <t xml:space="preserve">
Amount Spent</t>
        </r>
      </text>
    </comment>
    <comment ref="E68" authorId="0" shapeId="0" xr:uid="{66CAC3A4-8B21-44A7-A3A7-94AC883EAB90}">
      <text>
        <r>
          <rPr>
            <b/>
            <sz val="9"/>
            <color indexed="81"/>
            <rFont val="Tahoma"/>
            <family val="2"/>
          </rPr>
          <t>Sridhar Peruka:</t>
        </r>
        <r>
          <rPr>
            <sz val="9"/>
            <color indexed="81"/>
            <rFont val="Tahoma"/>
            <family val="2"/>
          </rPr>
          <t xml:space="preserve">
Amount Spent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Peruka, Sridhar</author>
    <author>tc={F07C56C3-FA18-4DF3-AEF0-E93877FF741D}</author>
  </authors>
  <commentList>
    <comment ref="AC3" authorId="0" shapeId="0" xr:uid="{A0200B8D-B078-4390-86B0-D2A2BE8AF116}">
      <text>
        <r>
          <rPr>
            <b/>
            <sz val="9"/>
            <color indexed="81"/>
            <rFont val="Tahoma"/>
            <family val="2"/>
          </rPr>
          <t>Peruka, Sridhar:</t>
        </r>
        <r>
          <rPr>
            <sz val="9"/>
            <color indexed="81"/>
            <rFont val="Tahoma"/>
            <family val="2"/>
          </rPr>
          <t xml:space="preserve">
2000 - 20-SEP-2023
0650 - 25-SEP-2023</t>
        </r>
      </text>
    </comment>
    <comment ref="H26" authorId="1" shapeId="0" xr:uid="{F07C56C3-FA18-4DF3-AEF0-E93877FF741D}">
      <text>
        <t>[Threaded comment]
Your version of Excel allows you to read this threaded comment; however, any edits to it will get removed if the file is opened in a newer version of Excel. Learn more: https://go.microsoft.com/fwlink/?linkid=870924
Comment:
    ROJL Stock 2000QTY -with 6.99 cost.</t>
      </text>
    </comment>
    <comment ref="H34" authorId="0" shapeId="0" xr:uid="{1B6B96A8-8187-4054-81F5-39E4D8A90171}">
      <text>
        <r>
          <rPr>
            <b/>
            <sz val="9"/>
            <color indexed="81"/>
            <rFont val="Tahoma"/>
            <family val="2"/>
          </rPr>
          <t xml:space="preserve">BUY - </t>
        </r>
        <r>
          <rPr>
            <sz val="9"/>
            <color indexed="81"/>
            <rFont val="Tahoma"/>
            <family val="2"/>
          </rPr>
          <t>SUZLON - 150 QTY(17.85) -2677.5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SELL </t>
        </r>
        <r>
          <rPr>
            <sz val="9"/>
            <color indexed="81"/>
            <rFont val="Tahoma"/>
            <family val="2"/>
          </rPr>
          <t>- YESBANk(13.40) - 200QTY(16.39)-3278rs</t>
        </r>
      </text>
    </comment>
  </commentList>
</comments>
</file>

<file path=xl/sharedStrings.xml><?xml version="1.0" encoding="utf-8"?>
<sst xmlns="http://schemas.openxmlformats.org/spreadsheetml/2006/main" count="712" uniqueCount="331">
  <si>
    <t>18-05-2017</t>
  </si>
  <si>
    <t>15-05-2017</t>
  </si>
  <si>
    <t>21-06-2018</t>
  </si>
  <si>
    <t>14-08-2018</t>
  </si>
  <si>
    <t>30-12-2019</t>
  </si>
  <si>
    <t>Registration</t>
  </si>
  <si>
    <t>Paid</t>
  </si>
  <si>
    <t>30-09-2019</t>
  </si>
  <si>
    <t>26-10-2019</t>
  </si>
  <si>
    <t>29-01-2018</t>
  </si>
  <si>
    <t>A100018592294</t>
  </si>
  <si>
    <t>Loan(100020679785)</t>
  </si>
  <si>
    <t>18-11-2019</t>
  </si>
  <si>
    <t>A100020988190</t>
  </si>
  <si>
    <t>VEERLA NARSINGARAO</t>
  </si>
  <si>
    <t>Sripal</t>
  </si>
  <si>
    <t>Land Price</t>
  </si>
  <si>
    <t>Total Land Value</t>
  </si>
  <si>
    <t xml:space="preserve">Each </t>
  </si>
  <si>
    <t>Aditya</t>
  </si>
  <si>
    <t>Due</t>
  </si>
  <si>
    <t>Hospital</t>
  </si>
  <si>
    <t>Credir Card Bill</t>
  </si>
  <si>
    <t>July</t>
  </si>
  <si>
    <t>Flight Ticket</t>
  </si>
  <si>
    <t>Source</t>
  </si>
  <si>
    <t>Total Amount</t>
  </si>
  <si>
    <t>Aditya loan Amount</t>
  </si>
  <si>
    <t>From Account</t>
  </si>
  <si>
    <t>TO Account</t>
  </si>
  <si>
    <t>V NARSINGA RAO-SBI</t>
  </si>
  <si>
    <t xml:space="preserve">Sridhar </t>
  </si>
  <si>
    <t>Yes Bank Veda</t>
  </si>
  <si>
    <t>ICICI Sridhar</t>
  </si>
  <si>
    <t>14B/1</t>
  </si>
  <si>
    <t>-</t>
  </si>
  <si>
    <t>423B/1</t>
  </si>
  <si>
    <t>415/A/1</t>
  </si>
  <si>
    <t>198B/1</t>
  </si>
  <si>
    <t>476A/1</t>
  </si>
  <si>
    <t>Dates</t>
  </si>
  <si>
    <t>Amount</t>
  </si>
  <si>
    <t>Date</t>
  </si>
  <si>
    <t>YES</t>
  </si>
  <si>
    <t>26/09/2020</t>
  </si>
  <si>
    <t>Months</t>
  </si>
  <si>
    <t>Received</t>
  </si>
  <si>
    <t>Sent to SBI</t>
  </si>
  <si>
    <t>Deducted</t>
  </si>
  <si>
    <t>Sum</t>
  </si>
  <si>
    <t>23-12-202::-4966</t>
  </si>
  <si>
    <t>Annaya</t>
  </si>
  <si>
    <t>Sridhar Rao</t>
  </si>
  <si>
    <t>check</t>
  </si>
  <si>
    <t>Advance</t>
  </si>
  <si>
    <t>Total Paid</t>
  </si>
  <si>
    <t>Shutter1</t>
  </si>
  <si>
    <t>Shutter2</t>
  </si>
  <si>
    <t>challan</t>
  </si>
  <si>
    <t>document</t>
  </si>
  <si>
    <t>Total</t>
  </si>
  <si>
    <t>Challan</t>
  </si>
  <si>
    <t>doc</t>
  </si>
  <si>
    <t>Hyd-T</t>
  </si>
  <si>
    <t>cash</t>
  </si>
  <si>
    <t>in House</t>
  </si>
  <si>
    <t>Remaining</t>
  </si>
  <si>
    <t>RD</t>
  </si>
  <si>
    <t>FD</t>
  </si>
  <si>
    <t>Ramesh</t>
  </si>
  <si>
    <t>ATM withdra</t>
  </si>
  <si>
    <t>(85k+15)</t>
  </si>
  <si>
    <t>Self check</t>
  </si>
  <si>
    <t>annaya withdra</t>
  </si>
  <si>
    <t>rent</t>
  </si>
  <si>
    <t>Akkaya</t>
  </si>
  <si>
    <t>EMI</t>
  </si>
  <si>
    <t>Annaya withdra</t>
  </si>
  <si>
    <t>Document</t>
  </si>
  <si>
    <t>Prabhaker</t>
  </si>
  <si>
    <t>Annaya due</t>
  </si>
  <si>
    <t>Regist</t>
  </si>
  <si>
    <t>SumDue</t>
  </si>
  <si>
    <t>spent</t>
  </si>
  <si>
    <t>Srinivas</t>
  </si>
  <si>
    <t>MaMayya</t>
  </si>
  <si>
    <t>Sridhar Given</t>
  </si>
  <si>
    <t>Remaining paid</t>
  </si>
  <si>
    <t>Sridhar Due</t>
  </si>
  <si>
    <t xml:space="preserve">Completed </t>
  </si>
  <si>
    <t>CHANDU -Closed</t>
  </si>
  <si>
    <t>CHANDU -NEW</t>
  </si>
  <si>
    <t>Receive</t>
  </si>
  <si>
    <t>Rent</t>
  </si>
  <si>
    <t>HDFC Loan</t>
  </si>
  <si>
    <t>Srinivas Perukari</t>
  </si>
  <si>
    <t>Paid By ME</t>
  </si>
  <si>
    <t>Total Should Pay</t>
  </si>
  <si>
    <t>Due Amount</t>
  </si>
  <si>
    <t>Mamayya RENT</t>
  </si>
  <si>
    <t>Till AUG-2022</t>
  </si>
  <si>
    <t>RENT</t>
  </si>
  <si>
    <t xml:space="preserve">Received </t>
  </si>
  <si>
    <t>SENT to BRO</t>
  </si>
  <si>
    <t>S.NO</t>
  </si>
  <si>
    <t>Given to Owner Aunty</t>
  </si>
  <si>
    <t>Rent Amount</t>
  </si>
  <si>
    <t>OCT Month RENT</t>
  </si>
  <si>
    <t>2 months RENT given to Manikonda Owner Aunty</t>
  </si>
  <si>
    <t>Paid ON</t>
  </si>
  <si>
    <t>Paid Amount</t>
  </si>
  <si>
    <t>Chitti Month</t>
  </si>
  <si>
    <t>Lifting amount</t>
  </si>
  <si>
    <t>Vikram -10K</t>
  </si>
  <si>
    <t>Nov Month Rent</t>
  </si>
  <si>
    <t>EMI Axis</t>
  </si>
  <si>
    <t>EMI HDFC</t>
  </si>
  <si>
    <t>RajVikram Chitti</t>
  </si>
  <si>
    <t>Chandu</t>
  </si>
  <si>
    <t>Sampi -credit card</t>
  </si>
  <si>
    <t>Chandu Chitti</t>
  </si>
  <si>
    <t>CREDITCARD</t>
  </si>
  <si>
    <t>https://ebiz.licindia.in/D2CPM/#Login</t>
  </si>
  <si>
    <t>psridharsiddhu@gmail.com</t>
  </si>
  <si>
    <t>https://services-eli.hdfclife.com/selfServiceApp/selfServiceHome</t>
  </si>
  <si>
    <t>LIC Life insurance</t>
  </si>
  <si>
    <t>Exide Life insurance</t>
  </si>
  <si>
    <t>Post Office Su Sum</t>
  </si>
  <si>
    <t>S.No</t>
  </si>
  <si>
    <t xml:space="preserve">Name </t>
  </si>
  <si>
    <t>Year</t>
  </si>
  <si>
    <t>Sri Sai Valli</t>
  </si>
  <si>
    <t>Sri Gayari</t>
  </si>
  <si>
    <t>Click on URL: https://portal.mediassist.in</t>
  </si>
  <si>
    <t>Username: SRIDHAR.PERUKA@CAPGEMINI.COM</t>
  </si>
  <si>
    <r>
      <t>Password:</t>
    </r>
    <r>
      <rPr>
        <sz val="10.5"/>
        <color rgb="FF000000"/>
        <rFont val="Arial"/>
        <family val="2"/>
      </rPr>
      <t xml:space="preserve">sIddhu@1234 </t>
    </r>
  </si>
  <si>
    <t>Medi Assist Insurance TPA Private Limited</t>
  </si>
  <si>
    <t>Dec Month Rent</t>
  </si>
  <si>
    <t>SENT</t>
  </si>
  <si>
    <t xml:space="preserve">Advance RENT - </t>
  </si>
  <si>
    <t>Till - 2022</t>
  </si>
  <si>
    <t>DATE</t>
  </si>
  <si>
    <t>QTY</t>
  </si>
  <si>
    <t>INVESTED</t>
  </si>
  <si>
    <t>Intrest Rate</t>
  </si>
  <si>
    <t>Intrest</t>
  </si>
  <si>
    <t>Total AMT</t>
  </si>
  <si>
    <t>In 2023</t>
  </si>
  <si>
    <t>ACT PRICE</t>
  </si>
  <si>
    <t>MyRent</t>
  </si>
  <si>
    <t>Mammayya Rent</t>
  </si>
  <si>
    <t>Mamayya Rent Due</t>
  </si>
  <si>
    <t>Jan Month Rent</t>
  </si>
  <si>
    <t>https://v1.life99.in/portal/employee/updateinvestments/nps</t>
  </si>
  <si>
    <t>PRAN NO-400060794435</t>
  </si>
  <si>
    <t>https://nps.kfintech.com/login/login/</t>
  </si>
  <si>
    <t>HDFC Life99</t>
  </si>
  <si>
    <t>NPS login</t>
  </si>
  <si>
    <t>Ranjth</t>
  </si>
  <si>
    <t>Application Name</t>
  </si>
  <si>
    <t>SPOC</t>
  </si>
  <si>
    <t># of Major release completed</t>
  </si>
  <si>
    <t># of Minor release completed</t>
  </si>
  <si>
    <t>Total Releases</t>
  </si>
  <si>
    <t>Electricity Bill</t>
  </si>
  <si>
    <t>H170715443</t>
  </si>
  <si>
    <t>Raja Vikram -10 K CHITTI</t>
  </si>
  <si>
    <t>Charges</t>
  </si>
  <si>
    <t>Available Cash</t>
  </si>
  <si>
    <t>Daily Profit</t>
  </si>
  <si>
    <t>Actual Profit</t>
  </si>
  <si>
    <t>SCHOOL FEE</t>
  </si>
  <si>
    <t>Mobile EMI</t>
  </si>
  <si>
    <t>HOLDING</t>
  </si>
  <si>
    <t>GOLD-10GRM</t>
  </si>
  <si>
    <t>Withdra Of -4854</t>
  </si>
  <si>
    <t>STOCK</t>
  </si>
  <si>
    <t>ROJL</t>
  </si>
  <si>
    <t>PRICE</t>
  </si>
  <si>
    <t>AVG Price</t>
  </si>
  <si>
    <t>ASHNI</t>
  </si>
  <si>
    <t>Transportation</t>
  </si>
  <si>
    <t>https://www.amundi-ee.com/account/#login</t>
  </si>
  <si>
    <t>M:7799333819</t>
  </si>
  <si>
    <t>TataMTRDVR</t>
  </si>
  <si>
    <t>USERYES</t>
  </si>
  <si>
    <t>1000-Withdrawal</t>
  </si>
  <si>
    <t>3322.50 -Invested ASHNI</t>
  </si>
  <si>
    <t>https://tafcop.sancharsaathi.gov.in/telecomUser/welcome</t>
  </si>
  <si>
    <t>RP0012995514</t>
  </si>
  <si>
    <t>SBI</t>
  </si>
  <si>
    <t>Psridharsiddhu4225</t>
  </si>
  <si>
    <t>HDFC</t>
  </si>
  <si>
    <t>Credit card</t>
  </si>
  <si>
    <t>Sampi</t>
  </si>
  <si>
    <t xml:space="preserve">rent </t>
  </si>
  <si>
    <t>sharma</t>
  </si>
  <si>
    <t>Tata Steel</t>
  </si>
  <si>
    <t>Angel Broker</t>
  </si>
  <si>
    <t>Charges Given</t>
  </si>
  <si>
    <t>P Santoshi</t>
  </si>
  <si>
    <t>P Gayathri</t>
  </si>
  <si>
    <t>S52996702-Igate@1sp</t>
  </si>
  <si>
    <t> https://www.amundi-ee.com/account/#login</t>
  </si>
  <si>
    <t>Employee shareholding account</t>
  </si>
  <si>
    <t>Proft per Day</t>
  </si>
  <si>
    <t>GAS</t>
  </si>
  <si>
    <t>YES RD</t>
  </si>
  <si>
    <t>HDFC EMI</t>
  </si>
  <si>
    <t>Vikram</t>
  </si>
  <si>
    <t>Rajendra DAS</t>
  </si>
  <si>
    <t>Milk</t>
  </si>
  <si>
    <t>Water</t>
  </si>
  <si>
    <t>VEG</t>
  </si>
  <si>
    <t>NON VEG</t>
  </si>
  <si>
    <t>EMI-1</t>
  </si>
  <si>
    <t>EMI-2</t>
  </si>
  <si>
    <t>Chitti</t>
  </si>
  <si>
    <t>Fees</t>
  </si>
  <si>
    <t>Petrol</t>
  </si>
  <si>
    <t xml:space="preserve">Electricity </t>
  </si>
  <si>
    <t>Zerodha</t>
  </si>
  <si>
    <t>Pstoffice</t>
  </si>
  <si>
    <t>Credit Card Bill</t>
  </si>
  <si>
    <t>School Fee</t>
  </si>
  <si>
    <t>QTY - TATA STEEL</t>
  </si>
  <si>
    <t>KIDZEE</t>
  </si>
  <si>
    <t>YQ4249</t>
  </si>
  <si>
    <t>HSBC Credit Card</t>
  </si>
  <si>
    <t>Sep@2023sp</t>
  </si>
  <si>
    <t>OrtinLab</t>
  </si>
  <si>
    <t>VikasEco</t>
  </si>
  <si>
    <t>IRFC</t>
  </si>
  <si>
    <t>LICHSGFIN</t>
  </si>
  <si>
    <t>SHREESEC</t>
  </si>
  <si>
    <t>IDFC</t>
  </si>
  <si>
    <t>Current Price</t>
  </si>
  <si>
    <t>SELL</t>
  </si>
  <si>
    <t>SOUTH BANK</t>
  </si>
  <si>
    <t>Actual Price</t>
  </si>
  <si>
    <t>Sell Price</t>
  </si>
  <si>
    <t>Profit</t>
  </si>
  <si>
    <t>Left QTY</t>
  </si>
  <si>
    <t>BUY QTY</t>
  </si>
  <si>
    <t>SELL QTY</t>
  </si>
  <si>
    <t>LIFT -08/Jan/2024</t>
  </si>
  <si>
    <t>School fee - Gyathri</t>
  </si>
  <si>
    <t>M1@SP</t>
  </si>
  <si>
    <t>Paid to-9701188659</t>
  </si>
  <si>
    <t>May-01-2024(250000)</t>
  </si>
  <si>
    <t>Raja Vikram - M:6309179595 (Wife -Alekya :9701188659)</t>
  </si>
  <si>
    <t>Rent for APR Month</t>
  </si>
  <si>
    <t>Vikram Chitti - Mar,Apr</t>
  </si>
  <si>
    <t>Vikram Chitti - May</t>
  </si>
  <si>
    <t>HSBC Credit Bill</t>
  </si>
  <si>
    <t>RD YES VEDA</t>
  </si>
  <si>
    <t>AXIS EMI</t>
  </si>
  <si>
    <t>PTIN Sridhar P</t>
  </si>
  <si>
    <t>Shiva P</t>
  </si>
  <si>
    <t>K Thirupathi Rao</t>
  </si>
  <si>
    <t>https://cdma.cgg.gov.in/cdma_arbs/CDMA_PG/PTMenu#</t>
  </si>
  <si>
    <t>Property TAX Link</t>
  </si>
  <si>
    <t>UAN</t>
  </si>
  <si>
    <t>EPF</t>
  </si>
  <si>
    <t>100022295198</t>
  </si>
  <si>
    <t>https://unifiedportal-mem.epfindia.gov.in/memberinterface/</t>
  </si>
  <si>
    <t>Rent for May Month</t>
  </si>
  <si>
    <t>Jun-01-2024(150000)</t>
  </si>
  <si>
    <t>Vikram Chitti - MaY,JUN</t>
  </si>
  <si>
    <t>Santoshi Sri sai Valli - Aadhar</t>
  </si>
  <si>
    <t>Gayatri  P - Aadhar</t>
  </si>
  <si>
    <t>VishnuVeda Peruka  - Aadhar</t>
  </si>
  <si>
    <t>Sridhar Peruka - Aadhar</t>
  </si>
  <si>
    <t>Jul-01-2024 (10000)</t>
  </si>
  <si>
    <t>Vargal(2600+1100+500)</t>
  </si>
  <si>
    <t>Vikram Chitti - JUL</t>
  </si>
  <si>
    <t>Daily expence</t>
  </si>
  <si>
    <t>NIFTY BEE</t>
  </si>
  <si>
    <t>BANK BEE</t>
  </si>
  <si>
    <t>25% Profit</t>
  </si>
  <si>
    <t>HDFC BANK</t>
  </si>
  <si>
    <t>TATA POWER</t>
  </si>
  <si>
    <t>IDFC Bank</t>
  </si>
  <si>
    <t>Tata Power</t>
  </si>
  <si>
    <t>NBCC</t>
  </si>
  <si>
    <t>Please raise a request in HGS Portal</t>
  </si>
  <si>
    <r>
      <t xml:space="preserve"> https://ess.hgsbs.com/</t>
    </r>
    <r>
      <rPr>
        <sz val="11"/>
        <color theme="10"/>
        <rFont val="Calibri"/>
        <family val="2"/>
        <scheme val="minor"/>
      </rPr>
      <t xml:space="preserve"> or  inpayroll.fssbu@capgemini.com </t>
    </r>
  </si>
  <si>
    <t>Aadhar</t>
  </si>
  <si>
    <t>P Gayathri - Transport</t>
  </si>
  <si>
    <t>P Santoshi - Transport</t>
  </si>
  <si>
    <t>IOC</t>
  </si>
  <si>
    <t>Share Name</t>
  </si>
  <si>
    <t>SAIL</t>
  </si>
  <si>
    <t>NHPC</t>
  </si>
  <si>
    <t>JP Power</t>
  </si>
  <si>
    <t>TTML</t>
  </si>
  <si>
    <t>Aug-01-2024 (10000)</t>
  </si>
  <si>
    <t>RD-YES</t>
  </si>
  <si>
    <t>(29999.61 RS)344.05 EURO</t>
  </si>
  <si>
    <t>(42913 RS) 523EURO</t>
  </si>
  <si>
    <t>(44999.99 RS) 505.32 EURO</t>
  </si>
  <si>
    <t>4326.13 EURO(14-AUG-2024)</t>
  </si>
  <si>
    <t>/Siddhu@1@34sp</t>
  </si>
  <si>
    <t xml:space="preserve">Ranjith </t>
  </si>
  <si>
    <t>USERYESSRI</t>
  </si>
  <si>
    <t>P/E Ratio</t>
  </si>
  <si>
    <t>Tata Motors</t>
  </si>
  <si>
    <t xml:space="preserve">Brother gave </t>
  </si>
  <si>
    <t>Remiaining</t>
  </si>
  <si>
    <t>Divident</t>
  </si>
  <si>
    <t>REC Ltd</t>
  </si>
  <si>
    <t>Mobile numbers on our name/Aadhar no</t>
  </si>
  <si>
    <t>8179183819/03837956</t>
  </si>
  <si>
    <t>HYD137</t>
  </si>
  <si>
    <t>s@124sp</t>
  </si>
  <si>
    <t>O@124SP</t>
  </si>
  <si>
    <t>ESOP Invested</t>
  </si>
  <si>
    <t>ESOP Current Value</t>
  </si>
  <si>
    <t>YEAR</t>
  </si>
  <si>
    <t>S-School</t>
  </si>
  <si>
    <t>G-School</t>
  </si>
  <si>
    <t>G-SSY</t>
  </si>
  <si>
    <t>S-SSY</t>
  </si>
  <si>
    <t>Electricity</t>
  </si>
  <si>
    <t>Bike</t>
  </si>
  <si>
    <t>Gas</t>
  </si>
  <si>
    <t>LIC</t>
  </si>
  <si>
    <t>Vegtables</t>
  </si>
  <si>
    <t>Times</t>
  </si>
  <si>
    <t>EUROs</t>
  </si>
  <si>
    <t>RUPEES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</si>
</sst>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₹&quot;\ #,##0.00"/>
    <numFmt numFmtId="165" formatCode="dd\-mmm\-yyyy"/>
    <numFmt numFmtId="166" formatCode="&quot;₹&quot;\ #,##0"/>
    <numFmt numFmtId="167" formatCode="[$₹-4009]\ #,##0"/>
    <numFmt numFmtId="168" formatCode="mmm/dd/yyyy"/>
  </numFmts>
  <fonts count="3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8"/>
      <color rgb="FF002060"/>
      <name val="Calibri"/>
      <family val="2"/>
      <scheme val="minor"/>
    </font>
    <font>
      <sz val="18"/>
      <color rgb="FF00206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0000CC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1"/>
      <color rgb="FF006100"/>
      <name val="Calibri"/>
      <family val="2"/>
      <scheme val="minor"/>
    </font>
    <font>
      <sz val="16"/>
      <color rgb="FF00206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42424"/>
      <name val="Segoe UI"/>
      <family val="2"/>
    </font>
    <font>
      <sz val="8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/>
      <diagonal/>
    </border>
    <border>
      <left/>
      <right/>
      <top style="double">
        <color rgb="FF00B0F0"/>
      </top>
      <bottom style="double">
        <color rgb="FF00B0F0"/>
      </bottom>
      <diagonal/>
    </border>
    <border>
      <left/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/>
      <bottom style="double">
        <color rgb="FF00B0F0"/>
      </bottom>
      <diagonal/>
    </border>
    <border>
      <left/>
      <right style="double">
        <color rgb="FF00B0F0"/>
      </right>
      <top/>
      <bottom style="double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CC"/>
      </left>
      <right/>
      <top style="medium">
        <color rgb="FF0000CC"/>
      </top>
      <bottom/>
      <diagonal/>
    </border>
    <border>
      <left/>
      <right/>
      <top style="medium">
        <color rgb="FF0000CC"/>
      </top>
      <bottom/>
      <diagonal/>
    </border>
    <border>
      <left/>
      <right style="medium">
        <color rgb="FF0000CC"/>
      </right>
      <top style="medium">
        <color rgb="FF0000CC"/>
      </top>
      <bottom/>
      <diagonal/>
    </border>
    <border>
      <left/>
      <right/>
      <top/>
      <bottom style="medium">
        <color rgb="FF0000CC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CC"/>
      </left>
      <right/>
      <top/>
      <bottom style="medium">
        <color rgb="FF0000CC"/>
      </bottom>
      <diagonal/>
    </border>
    <border>
      <left style="medium">
        <color rgb="FF0000CC"/>
      </left>
      <right/>
      <top style="medium">
        <color rgb="FF0000CC"/>
      </top>
      <bottom style="thin">
        <color indexed="64"/>
      </bottom>
      <diagonal/>
    </border>
    <border>
      <left style="medium">
        <color rgb="FF0000CC"/>
      </left>
      <right/>
      <top style="thin">
        <color indexed="64"/>
      </top>
      <bottom style="thin">
        <color indexed="64"/>
      </bottom>
      <diagonal/>
    </border>
    <border>
      <left style="medium">
        <color rgb="FF0000CC"/>
      </left>
      <right/>
      <top style="thin">
        <color indexed="64"/>
      </top>
      <bottom style="medium">
        <color rgb="FF0000CC"/>
      </bottom>
      <diagonal/>
    </border>
    <border>
      <left style="medium">
        <color rgb="FF0000CC"/>
      </left>
      <right style="medium">
        <color rgb="FF0000CC"/>
      </right>
      <top style="medium">
        <color rgb="FF0000CC"/>
      </top>
      <bottom style="thin">
        <color indexed="64"/>
      </bottom>
      <diagonal/>
    </border>
    <border>
      <left style="medium">
        <color rgb="FF0000CC"/>
      </left>
      <right style="medium">
        <color rgb="FF0000CC"/>
      </right>
      <top style="thin">
        <color indexed="64"/>
      </top>
      <bottom style="thin">
        <color indexed="64"/>
      </bottom>
      <diagonal/>
    </border>
    <border>
      <left style="medium">
        <color rgb="FF0000CC"/>
      </left>
      <right style="medium">
        <color rgb="FF0000CC"/>
      </right>
      <top style="thin">
        <color indexed="64"/>
      </top>
      <bottom style="medium">
        <color rgb="FF0000CC"/>
      </bottom>
      <diagonal/>
    </border>
    <border>
      <left style="medium">
        <color rgb="FF0000CC"/>
      </left>
      <right style="medium">
        <color rgb="FF0000CC"/>
      </right>
      <top/>
      <bottom style="medium">
        <color rgb="FF0000CC"/>
      </bottom>
      <diagonal/>
    </border>
    <border>
      <left/>
      <right/>
      <top style="medium">
        <color rgb="FF0000CC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00B0F0"/>
      </left>
      <right/>
      <top style="double">
        <color rgb="FF00B0F0"/>
      </top>
      <bottom style="double">
        <color rgb="FF00B0F0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7" fillId="10" borderId="18" applyNumberFormat="0" applyAlignment="0" applyProtection="0"/>
    <xf numFmtId="0" fontId="18" fillId="11" borderId="0" applyNumberFormat="0" applyBorder="0" applyAlignment="0" applyProtection="0"/>
    <xf numFmtId="0" fontId="9" fillId="12" borderId="0" applyNumberFormat="0" applyBorder="0" applyAlignment="0" applyProtection="0"/>
    <xf numFmtId="0" fontId="10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9" fillId="18" borderId="0" applyNumberFormat="0" applyBorder="0" applyAlignment="0" applyProtection="0"/>
    <xf numFmtId="0" fontId="10" fillId="19" borderId="0" applyNumberFormat="0" applyBorder="0" applyAlignment="0" applyProtection="0"/>
  </cellStyleXfs>
  <cellXfs count="231">
    <xf numFmtId="0" fontId="0" fillId="0" borderId="0" xfId="0"/>
    <xf numFmtId="0" fontId="2" fillId="0" borderId="0" xfId="0" applyFont="1"/>
    <xf numFmtId="0" fontId="3" fillId="2" borderId="0" xfId="1" applyFont="1"/>
    <xf numFmtId="0" fontId="4" fillId="0" borderId="3" xfId="0" applyFont="1" applyBorder="1"/>
    <xf numFmtId="0" fontId="4" fillId="0" borderId="2" xfId="0" applyFont="1" applyBorder="1"/>
    <xf numFmtId="0" fontId="4" fillId="0" borderId="4" xfId="0" applyFont="1" applyBorder="1"/>
    <xf numFmtId="14" fontId="4" fillId="0" borderId="0" xfId="0" applyNumberFormat="1" applyFont="1"/>
    <xf numFmtId="14" fontId="4" fillId="0" borderId="4" xfId="0" applyNumberFormat="1" applyFont="1" applyBorder="1"/>
    <xf numFmtId="0" fontId="4" fillId="0" borderId="6" xfId="0" applyFont="1" applyBorder="1"/>
    <xf numFmtId="0" fontId="4" fillId="0" borderId="1" xfId="0" applyFont="1" applyBorder="1"/>
    <xf numFmtId="0" fontId="5" fillId="0" borderId="5" xfId="0" applyFont="1" applyBorder="1"/>
    <xf numFmtId="0" fontId="5" fillId="0" borderId="2" xfId="0" applyFont="1" applyBorder="1"/>
    <xf numFmtId="14" fontId="4" fillId="0" borderId="1" xfId="0" applyNumberFormat="1" applyFont="1" applyBorder="1"/>
    <xf numFmtId="0" fontId="4" fillId="0" borderId="7" xfId="0" applyFont="1" applyBorder="1"/>
    <xf numFmtId="0" fontId="2" fillId="0" borderId="3" xfId="0" applyFont="1" applyBorder="1"/>
    <xf numFmtId="0" fontId="0" fillId="0" borderId="3" xfId="0" applyBorder="1"/>
    <xf numFmtId="0" fontId="0" fillId="0" borderId="6" xfId="0" applyBorder="1"/>
    <xf numFmtId="0" fontId="2" fillId="0" borderId="2" xfId="0" applyFont="1" applyBorder="1"/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5" xfId="0" applyFont="1" applyBorder="1"/>
    <xf numFmtId="164" fontId="4" fillId="0" borderId="2" xfId="0" applyNumberFormat="1" applyFont="1" applyBorder="1"/>
    <xf numFmtId="164" fontId="4" fillId="0" borderId="6" xfId="0" applyNumberFormat="1" applyFont="1" applyBorder="1"/>
    <xf numFmtId="164" fontId="4" fillId="0" borderId="3" xfId="0" applyNumberFormat="1" applyFont="1" applyBorder="1"/>
    <xf numFmtId="164" fontId="0" fillId="0" borderId="0" xfId="0" applyNumberFormat="1"/>
    <xf numFmtId="164" fontId="0" fillId="0" borderId="8" xfId="0" applyNumberFormat="1" applyBorder="1"/>
    <xf numFmtId="0" fontId="0" fillId="4" borderId="8" xfId="0" applyFill="1" applyBorder="1"/>
    <xf numFmtId="2" fontId="0" fillId="0" borderId="0" xfId="0" applyNumberFormat="1"/>
    <xf numFmtId="14" fontId="0" fillId="0" borderId="0" xfId="0" applyNumberFormat="1"/>
    <xf numFmtId="0" fontId="9" fillId="6" borderId="9" xfId="2" applyBorder="1" applyAlignment="1">
      <alignment horizontal="center"/>
    </xf>
    <xf numFmtId="0" fontId="9" fillId="6" borderId="10" xfId="2" applyBorder="1" applyAlignment="1">
      <alignment horizontal="center"/>
    </xf>
    <xf numFmtId="0" fontId="9" fillId="6" borderId="11" xfId="2" applyBorder="1" applyAlignment="1">
      <alignment horizontal="center"/>
    </xf>
    <xf numFmtId="15" fontId="0" fillId="0" borderId="0" xfId="0" applyNumberFormat="1"/>
    <xf numFmtId="17" fontId="0" fillId="0" borderId="0" xfId="0" applyNumberFormat="1"/>
    <xf numFmtId="17" fontId="8" fillId="0" borderId="0" xfId="0" applyNumberFormat="1" applyFont="1"/>
    <xf numFmtId="166" fontId="13" fillId="0" borderId="0" xfId="0" applyNumberFormat="1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1" fillId="8" borderId="0" xfId="4" applyAlignment="1">
      <alignment horizontal="center" vertical="center"/>
    </xf>
    <xf numFmtId="0" fontId="11" fillId="8" borderId="0" xfId="4" applyAlignment="1">
      <alignment horizontal="center"/>
    </xf>
    <xf numFmtId="0" fontId="11" fillId="8" borderId="0" xfId="4"/>
    <xf numFmtId="0" fontId="1" fillId="2" borderId="0" xfId="1" applyAlignment="1">
      <alignment horizontal="center" vertical="center"/>
    </xf>
    <xf numFmtId="164" fontId="1" fillId="2" borderId="0" xfId="1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4" fillId="4" borderId="0" xfId="0" applyNumberFormat="1" applyFont="1" applyFill="1" applyAlignment="1">
      <alignment horizontal="center" vertical="center"/>
    </xf>
    <xf numFmtId="2" fontId="0" fillId="9" borderId="0" xfId="0" applyNumberFormat="1" applyFill="1"/>
    <xf numFmtId="0" fontId="0" fillId="0" borderId="8" xfId="0" applyBorder="1"/>
    <xf numFmtId="15" fontId="0" fillId="0" borderId="8" xfId="0" applyNumberFormat="1" applyBorder="1"/>
    <xf numFmtId="164" fontId="0" fillId="0" borderId="16" xfId="0" applyNumberFormat="1" applyBorder="1"/>
    <xf numFmtId="0" fontId="16" fillId="0" borderId="0" xfId="0" applyFont="1"/>
    <xf numFmtId="164" fontId="0" fillId="0" borderId="8" xfId="0" applyNumberFormat="1" applyBorder="1" applyAlignment="1">
      <alignment horizontal="center" vertical="center"/>
    </xf>
    <xf numFmtId="164" fontId="0" fillId="3" borderId="8" xfId="0" applyNumberFormat="1" applyFill="1" applyBorder="1"/>
    <xf numFmtId="164" fontId="0" fillId="4" borderId="8" xfId="0" applyNumberFormat="1" applyFill="1" applyBorder="1" applyAlignment="1">
      <alignment horizontal="center" vertical="center"/>
    </xf>
    <xf numFmtId="164" fontId="0" fillId="4" borderId="8" xfId="0" applyNumberFormat="1" applyFill="1" applyBorder="1"/>
    <xf numFmtId="15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164" fontId="0" fillId="0" borderId="17" xfId="0" applyNumberFormat="1" applyBorder="1" applyAlignment="1">
      <alignment horizontal="center" vertical="center"/>
    </xf>
    <xf numFmtId="164" fontId="1" fillId="2" borderId="8" xfId="1" applyNumberFormat="1" applyBorder="1" applyAlignment="1">
      <alignment horizontal="center" vertical="center"/>
    </xf>
    <xf numFmtId="0" fontId="0" fillId="0" borderId="17" xfId="0" applyBorder="1"/>
    <xf numFmtId="164" fontId="11" fillId="8" borderId="8" xfId="4" applyNumberFormat="1" applyBorder="1" applyAlignment="1">
      <alignment horizontal="center" vertical="center"/>
    </xf>
    <xf numFmtId="164" fontId="11" fillId="8" borderId="0" xfId="4" applyNumberFormat="1"/>
    <xf numFmtId="0" fontId="17" fillId="10" borderId="18" xfId="5"/>
    <xf numFmtId="164" fontId="17" fillId="10" borderId="18" xfId="5" applyNumberFormat="1" applyAlignment="1">
      <alignment horizontal="center" vertical="center"/>
    </xf>
    <xf numFmtId="164" fontId="0" fillId="0" borderId="8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164" fontId="0" fillId="4" borderId="8" xfId="0" applyNumberFormat="1" applyFill="1" applyBorder="1" applyAlignment="1">
      <alignment horizontal="left" vertical="center"/>
    </xf>
    <xf numFmtId="164" fontId="0" fillId="3" borderId="8" xfId="0" applyNumberFormat="1" applyFill="1" applyBorder="1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164" fontId="18" fillId="11" borderId="0" xfId="6" applyNumberFormat="1" applyAlignment="1">
      <alignment horizontal="left"/>
    </xf>
    <xf numFmtId="164" fontId="11" fillId="8" borderId="0" xfId="4" applyNumberFormat="1" applyAlignment="1">
      <alignment horizontal="left"/>
    </xf>
    <xf numFmtId="164" fontId="1" fillId="2" borderId="0" xfId="1" applyNumberFormat="1"/>
    <xf numFmtId="165" fontId="19" fillId="0" borderId="12" xfId="0" applyNumberFormat="1" applyFont="1" applyBorder="1" applyAlignment="1">
      <alignment horizontal="left"/>
    </xf>
    <xf numFmtId="164" fontId="19" fillId="0" borderId="8" xfId="0" applyNumberFormat="1" applyFont="1" applyBorder="1"/>
    <xf numFmtId="0" fontId="19" fillId="4" borderId="8" xfId="0" applyFont="1" applyFill="1" applyBorder="1"/>
    <xf numFmtId="165" fontId="19" fillId="4" borderId="13" xfId="0" applyNumberFormat="1" applyFont="1" applyFill="1" applyBorder="1" applyAlignment="1">
      <alignment horizontal="left"/>
    </xf>
    <xf numFmtId="164" fontId="19" fillId="0" borderId="14" xfId="0" applyNumberFormat="1" applyFont="1" applyBorder="1"/>
    <xf numFmtId="0" fontId="17" fillId="10" borderId="19" xfId="5" applyBorder="1"/>
    <xf numFmtId="164" fontId="17" fillId="10" borderId="20" xfId="5" applyNumberFormat="1" applyBorder="1"/>
    <xf numFmtId="0" fontId="17" fillId="10" borderId="26" xfId="5" applyBorder="1"/>
    <xf numFmtId="0" fontId="9" fillId="6" borderId="27" xfId="2" applyBorder="1" applyAlignment="1">
      <alignment horizontal="center" vertical="center"/>
    </xf>
    <xf numFmtId="0" fontId="9" fillId="6" borderId="30" xfId="2" applyBorder="1" applyAlignment="1">
      <alignment horizontal="center" vertical="center"/>
    </xf>
    <xf numFmtId="164" fontId="17" fillId="10" borderId="33" xfId="5" applyNumberFormat="1" applyBorder="1"/>
    <xf numFmtId="0" fontId="9" fillId="6" borderId="34" xfId="2" applyBorder="1" applyAlignment="1">
      <alignment horizontal="center" vertical="center"/>
    </xf>
    <xf numFmtId="164" fontId="17" fillId="10" borderId="24" xfId="5" applyNumberFormat="1" applyBorder="1"/>
    <xf numFmtId="165" fontId="9" fillId="12" borderId="28" xfId="7" applyNumberFormat="1" applyBorder="1" applyAlignment="1">
      <alignment horizontal="center" vertical="center"/>
    </xf>
    <xf numFmtId="165" fontId="9" fillId="12" borderId="29" xfId="7" applyNumberFormat="1" applyBorder="1" applyAlignment="1">
      <alignment horizontal="center" vertical="center"/>
    </xf>
    <xf numFmtId="0" fontId="10" fillId="13" borderId="25" xfId="8" applyBorder="1" applyAlignment="1">
      <alignment horizontal="center" vertical="center"/>
    </xf>
    <xf numFmtId="0" fontId="9" fillId="14" borderId="0" xfId="9" applyAlignment="1">
      <alignment horizontal="center" vertical="center"/>
    </xf>
    <xf numFmtId="15" fontId="9" fillId="14" borderId="0" xfId="9" applyNumberFormat="1" applyAlignment="1">
      <alignment horizontal="center"/>
    </xf>
    <xf numFmtId="164" fontId="9" fillId="14" borderId="0" xfId="9" applyNumberFormat="1" applyAlignment="1">
      <alignment horizontal="center" vertical="center"/>
    </xf>
    <xf numFmtId="15" fontId="9" fillId="14" borderId="0" xfId="9" applyNumberFormat="1"/>
    <xf numFmtId="2" fontId="9" fillId="14" borderId="0" xfId="9" applyNumberFormat="1"/>
    <xf numFmtId="15" fontId="0" fillId="0" borderId="0" xfId="0" applyNumberFormat="1" applyAlignment="1">
      <alignment horizontal="center"/>
    </xf>
    <xf numFmtId="0" fontId="12" fillId="15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20" fillId="7" borderId="0" xfId="3" applyFont="1"/>
    <xf numFmtId="0" fontId="20" fillId="16" borderId="0" xfId="10" applyFont="1"/>
    <xf numFmtId="164" fontId="20" fillId="16" borderId="0" xfId="1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9" fillId="12" borderId="8" xfId="7" applyNumberFormat="1" applyBorder="1" applyAlignment="1">
      <alignment horizontal="center" vertical="center"/>
    </xf>
    <xf numFmtId="0" fontId="10" fillId="7" borderId="8" xfId="3" applyBorder="1" applyAlignment="1">
      <alignment horizontal="center"/>
    </xf>
    <xf numFmtId="0" fontId="10" fillId="7" borderId="17" xfId="3" applyBorder="1" applyAlignment="1">
      <alignment horizontal="center"/>
    </xf>
    <xf numFmtId="165" fontId="23" fillId="13" borderId="31" xfId="8" applyNumberFormat="1" applyFont="1" applyBorder="1" applyAlignment="1">
      <alignment horizontal="center" vertical="center"/>
    </xf>
    <xf numFmtId="165" fontId="19" fillId="12" borderId="31" xfId="7" applyNumberFormat="1" applyFont="1" applyBorder="1" applyAlignment="1">
      <alignment horizontal="center" vertical="center"/>
    </xf>
    <xf numFmtId="15" fontId="1" fillId="2" borderId="0" xfId="1" applyNumberFormat="1" applyAlignment="1">
      <alignment horizontal="center"/>
    </xf>
    <xf numFmtId="15" fontId="12" fillId="4" borderId="0" xfId="0" applyNumberFormat="1" applyFont="1" applyFill="1" applyAlignment="1">
      <alignment horizontal="center"/>
    </xf>
    <xf numFmtId="164" fontId="1" fillId="4" borderId="0" xfId="1" applyNumberFormat="1" applyFill="1" applyAlignment="1">
      <alignment horizontal="center" vertical="center"/>
    </xf>
    <xf numFmtId="0" fontId="1" fillId="4" borderId="0" xfId="1" applyFill="1" applyAlignment="1">
      <alignment horizontal="center" vertical="center"/>
    </xf>
    <xf numFmtId="164" fontId="0" fillId="17" borderId="0" xfId="0" applyNumberFormat="1" applyFill="1" applyAlignment="1">
      <alignment horizontal="center" vertical="center"/>
    </xf>
    <xf numFmtId="0" fontId="24" fillId="0" borderId="0" xfId="11"/>
    <xf numFmtId="0" fontId="25" fillId="0" borderId="0" xfId="0" applyFont="1" applyAlignment="1">
      <alignment vertical="center"/>
    </xf>
    <xf numFmtId="0" fontId="24" fillId="0" borderId="0" xfId="11" applyAlignment="1">
      <alignment vertical="center"/>
    </xf>
    <xf numFmtId="0" fontId="27" fillId="2" borderId="18" xfId="1" applyFont="1" applyBorder="1"/>
    <xf numFmtId="4" fontId="0" fillId="0" borderId="0" xfId="0" applyNumberFormat="1"/>
    <xf numFmtId="167" fontId="0" fillId="0" borderId="8" xfId="0" applyNumberFormat="1" applyBorder="1" applyAlignment="1">
      <alignment horizontal="center" vertical="center"/>
    </xf>
    <xf numFmtId="0" fontId="20" fillId="7" borderId="0" xfId="3" applyFont="1" applyAlignment="1"/>
    <xf numFmtId="164" fontId="29" fillId="15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0" fontId="10" fillId="16" borderId="0" xfId="10"/>
    <xf numFmtId="164" fontId="9" fillId="18" borderId="0" xfId="12" applyNumberFormat="1" applyAlignment="1">
      <alignment horizontal="center" vertical="center"/>
    </xf>
    <xf numFmtId="0" fontId="31" fillId="0" borderId="0" xfId="0" applyFont="1"/>
    <xf numFmtId="0" fontId="8" fillId="0" borderId="0" xfId="0" applyFont="1"/>
    <xf numFmtId="0" fontId="0" fillId="0" borderId="0" xfId="0" applyAlignment="1">
      <alignment vertical="center" wrapText="1"/>
    </xf>
    <xf numFmtId="167" fontId="0" fillId="0" borderId="17" xfId="0" applyNumberFormat="1" applyBorder="1" applyAlignment="1">
      <alignment horizontal="center" vertical="center"/>
    </xf>
    <xf numFmtId="2" fontId="1" fillId="2" borderId="0" xfId="1" applyNumberFormat="1"/>
    <xf numFmtId="164" fontId="10" fillId="19" borderId="8" xfId="13" applyNumberFormat="1" applyBorder="1" applyAlignment="1">
      <alignment horizontal="center" vertical="center"/>
    </xf>
    <xf numFmtId="0" fontId="0" fillId="3" borderId="0" xfId="0" applyFill="1"/>
    <xf numFmtId="164" fontId="0" fillId="20" borderId="0" xfId="0" applyNumberFormat="1" applyFill="1"/>
    <xf numFmtId="2" fontId="1" fillId="15" borderId="0" xfId="1" applyNumberFormat="1" applyFill="1"/>
    <xf numFmtId="2" fontId="12" fillId="0" borderId="0" xfId="0" applyNumberFormat="1" applyFont="1"/>
    <xf numFmtId="2" fontId="12" fillId="4" borderId="0" xfId="0" applyNumberFormat="1" applyFont="1" applyFill="1"/>
    <xf numFmtId="0" fontId="12" fillId="0" borderId="0" xfId="0" applyFont="1"/>
    <xf numFmtId="164" fontId="12" fillId="0" borderId="0" xfId="0" applyNumberFormat="1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/>
    <xf numFmtId="14" fontId="0" fillId="22" borderId="0" xfId="0" applyNumberFormat="1" applyFill="1"/>
    <xf numFmtId="164" fontId="0" fillId="22" borderId="0" xfId="0" applyNumberFormat="1" applyFill="1"/>
    <xf numFmtId="2" fontId="1" fillId="22" borderId="0" xfId="1" applyNumberFormat="1" applyFill="1"/>
    <xf numFmtId="2" fontId="12" fillId="22" borderId="0" xfId="0" applyNumberFormat="1" applyFont="1" applyFill="1"/>
    <xf numFmtId="164" fontId="12" fillId="22" borderId="0" xfId="0" applyNumberFormat="1" applyFont="1" applyFill="1"/>
    <xf numFmtId="0" fontId="0" fillId="22" borderId="0" xfId="0" applyFill="1"/>
    <xf numFmtId="14" fontId="0" fillId="23" borderId="0" xfId="0" applyNumberFormat="1" applyFill="1"/>
    <xf numFmtId="164" fontId="0" fillId="23" borderId="0" xfId="0" applyNumberFormat="1" applyFill="1"/>
    <xf numFmtId="2" fontId="1" fillId="23" borderId="0" xfId="1" applyNumberFormat="1" applyFill="1"/>
    <xf numFmtId="2" fontId="12" fillId="23" borderId="0" xfId="0" applyNumberFormat="1" applyFont="1" applyFill="1"/>
    <xf numFmtId="164" fontId="12" fillId="23" borderId="0" xfId="0" applyNumberFormat="1" applyFont="1" applyFill="1"/>
    <xf numFmtId="14" fontId="0" fillId="24" borderId="0" xfId="0" applyNumberFormat="1" applyFill="1"/>
    <xf numFmtId="164" fontId="0" fillId="24" borderId="0" xfId="0" applyNumberFormat="1" applyFill="1"/>
    <xf numFmtId="2" fontId="1" fillId="24" borderId="0" xfId="1" applyNumberFormat="1" applyFill="1"/>
    <xf numFmtId="0" fontId="0" fillId="24" borderId="0" xfId="0" applyFill="1"/>
    <xf numFmtId="14" fontId="10" fillId="25" borderId="0" xfId="0" applyNumberFormat="1" applyFont="1" applyFill="1"/>
    <xf numFmtId="164" fontId="10" fillId="25" borderId="0" xfId="0" applyNumberFormat="1" applyFont="1" applyFill="1"/>
    <xf numFmtId="0" fontId="10" fillId="25" borderId="0" xfId="0" applyFont="1" applyFill="1"/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4" fontId="0" fillId="0" borderId="8" xfId="0" applyNumberFormat="1" applyBorder="1"/>
    <xf numFmtId="164" fontId="10" fillId="7" borderId="8" xfId="3" applyNumberFormat="1" applyBorder="1" applyAlignment="1">
      <alignment horizontal="center"/>
    </xf>
    <xf numFmtId="0" fontId="0" fillId="26" borderId="0" xfId="0" applyFill="1"/>
    <xf numFmtId="167" fontId="0" fillId="27" borderId="0" xfId="0" applyNumberFormat="1" applyFill="1" applyAlignment="1">
      <alignment horizontal="center" vertical="center"/>
    </xf>
    <xf numFmtId="0" fontId="0" fillId="27" borderId="0" xfId="0" applyFill="1"/>
    <xf numFmtId="0" fontId="0" fillId="28" borderId="0" xfId="0" applyFill="1"/>
    <xf numFmtId="0" fontId="0" fillId="29" borderId="8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164" fontId="9" fillId="12" borderId="17" xfId="7" applyNumberFormat="1" applyBorder="1" applyAlignment="1">
      <alignment horizontal="center" vertical="center"/>
    </xf>
    <xf numFmtId="164" fontId="9" fillId="4" borderId="0" xfId="12" applyNumberFormat="1" applyFill="1" applyAlignment="1">
      <alignment horizontal="center" vertical="center"/>
    </xf>
    <xf numFmtId="0" fontId="0" fillId="15" borderId="0" xfId="0" applyFill="1"/>
    <xf numFmtId="15" fontId="0" fillId="15" borderId="0" xfId="0" applyNumberFormat="1" applyFill="1"/>
    <xf numFmtId="164" fontId="0" fillId="15" borderId="0" xfId="0" applyNumberFormat="1" applyFill="1" applyAlignment="1">
      <alignment horizontal="center" vertical="center"/>
    </xf>
    <xf numFmtId="168" fontId="9" fillId="12" borderId="8" xfId="7" applyNumberFormat="1" applyBorder="1" applyAlignment="1">
      <alignment horizontal="center" vertical="center"/>
    </xf>
    <xf numFmtId="0" fontId="10" fillId="7" borderId="8" xfId="3" applyBorder="1" applyAlignment="1">
      <alignment horizontal="center" vertical="center"/>
    </xf>
    <xf numFmtId="164" fontId="9" fillId="3" borderId="8" xfId="7" applyNumberFormat="1" applyFill="1" applyBorder="1" applyAlignment="1">
      <alignment horizontal="center" vertical="center"/>
    </xf>
    <xf numFmtId="0" fontId="23" fillId="19" borderId="8" xfId="13" applyFont="1" applyBorder="1" applyAlignment="1">
      <alignment horizontal="center"/>
    </xf>
    <xf numFmtId="164" fontId="23" fillId="19" borderId="8" xfId="13" applyNumberFormat="1" applyFont="1" applyBorder="1" applyAlignment="1">
      <alignment horizontal="center"/>
    </xf>
    <xf numFmtId="0" fontId="23" fillId="19" borderId="17" xfId="13" applyFont="1" applyBorder="1" applyAlignment="1">
      <alignment horizontal="center"/>
    </xf>
    <xf numFmtId="17" fontId="23" fillId="19" borderId="8" xfId="13" applyNumberFormat="1" applyFont="1" applyBorder="1"/>
    <xf numFmtId="164" fontId="23" fillId="19" borderId="8" xfId="13" applyNumberFormat="1" applyFont="1" applyBorder="1" applyAlignment="1">
      <alignment horizontal="center" vertical="center"/>
    </xf>
    <xf numFmtId="0" fontId="23" fillId="19" borderId="8" xfId="13" applyFont="1" applyBorder="1"/>
    <xf numFmtId="0" fontId="23" fillId="19" borderId="25" xfId="13" applyFont="1" applyBorder="1" applyAlignment="1">
      <alignment horizontal="center" vertical="center"/>
    </xf>
    <xf numFmtId="165" fontId="23" fillId="19" borderId="32" xfId="13" applyNumberFormat="1" applyFont="1" applyBorder="1" applyAlignment="1">
      <alignment horizontal="center" vertical="center"/>
    </xf>
    <xf numFmtId="0" fontId="23" fillId="7" borderId="8" xfId="3" applyFont="1" applyBorder="1" applyAlignment="1">
      <alignment horizontal="center"/>
    </xf>
    <xf numFmtId="164" fontId="23" fillId="7" borderId="8" xfId="3" applyNumberFormat="1" applyFont="1" applyBorder="1" applyAlignment="1">
      <alignment horizontal="center"/>
    </xf>
    <xf numFmtId="0" fontId="23" fillId="7" borderId="17" xfId="3" applyFont="1" applyBorder="1" applyAlignment="1">
      <alignment horizontal="center"/>
    </xf>
    <xf numFmtId="15" fontId="19" fillId="0" borderId="8" xfId="0" applyNumberFormat="1" applyFont="1" applyBorder="1"/>
    <xf numFmtId="164" fontId="19" fillId="12" borderId="8" xfId="7" applyNumberFormat="1" applyFont="1" applyBorder="1" applyAlignment="1">
      <alignment horizontal="center" vertical="center"/>
    </xf>
    <xf numFmtId="0" fontId="19" fillId="0" borderId="8" xfId="0" applyFont="1" applyBorder="1"/>
    <xf numFmtId="14" fontId="19" fillId="0" borderId="8" xfId="0" applyNumberFormat="1" applyFont="1" applyBorder="1"/>
    <xf numFmtId="164" fontId="9" fillId="4" borderId="8" xfId="7" applyNumberFormat="1" applyFill="1" applyBorder="1" applyAlignment="1">
      <alignment horizontal="center" vertical="center"/>
    </xf>
    <xf numFmtId="0" fontId="20" fillId="30" borderId="0" xfId="0" applyFont="1" applyFill="1" applyAlignment="1">
      <alignment horizontal="center" vertical="center"/>
    </xf>
    <xf numFmtId="164" fontId="10" fillId="30" borderId="0" xfId="0" applyNumberFormat="1" applyFont="1" applyFill="1" applyAlignment="1">
      <alignment horizontal="center" vertical="center"/>
    </xf>
    <xf numFmtId="0" fontId="0" fillId="3" borderId="8" xfId="0" applyFill="1" applyBorder="1"/>
    <xf numFmtId="0" fontId="33" fillId="3" borderId="8" xfId="11" applyFont="1" applyFill="1" applyBorder="1" applyAlignment="1"/>
    <xf numFmtId="0" fontId="0" fillId="0" borderId="0" xfId="0" quotePrefix="1"/>
    <xf numFmtId="0" fontId="0" fillId="31" borderId="0" xfId="0" applyFill="1"/>
    <xf numFmtId="1" fontId="0" fillId="0" borderId="0" xfId="0" applyNumberFormat="1" applyAlignment="1">
      <alignment horizontal="left"/>
    </xf>
    <xf numFmtId="0" fontId="0" fillId="5" borderId="0" xfId="0" applyFill="1"/>
    <xf numFmtId="0" fontId="20" fillId="7" borderId="8" xfId="3" applyFont="1" applyBorder="1" applyAlignment="1">
      <alignment horizontal="center"/>
    </xf>
    <xf numFmtId="164" fontId="9" fillId="14" borderId="8" xfId="9" applyNumberFormat="1" applyBorder="1" applyAlignment="1">
      <alignment horizontal="center" vertical="center"/>
    </xf>
    <xf numFmtId="164" fontId="9" fillId="4" borderId="0" xfId="12" applyNumberFormat="1" applyFill="1" applyBorder="1" applyAlignment="1">
      <alignment horizontal="center" vertical="center"/>
    </xf>
    <xf numFmtId="1" fontId="0" fillId="0" borderId="8" xfId="0" applyNumberFormat="1" applyBorder="1" applyAlignment="1">
      <alignment horizontal="left"/>
    </xf>
    <xf numFmtId="0" fontId="0" fillId="15" borderId="8" xfId="0" applyFill="1" applyBorder="1"/>
    <xf numFmtId="15" fontId="9" fillId="18" borderId="8" xfId="12" applyNumberFormat="1" applyBorder="1"/>
    <xf numFmtId="164" fontId="9" fillId="18" borderId="8" xfId="12" applyNumberFormat="1" applyBorder="1" applyAlignment="1">
      <alignment horizontal="center" vertical="center"/>
    </xf>
    <xf numFmtId="0" fontId="9" fillId="18" borderId="8" xfId="12" applyBorder="1" applyAlignment="1">
      <alignment horizontal="center"/>
    </xf>
    <xf numFmtId="164" fontId="9" fillId="4" borderId="8" xfId="12" applyNumberFormat="1" applyFill="1" applyBorder="1" applyAlignment="1">
      <alignment horizontal="center" vertical="center"/>
    </xf>
    <xf numFmtId="15" fontId="0" fillId="15" borderId="8" xfId="0" applyNumberFormat="1" applyFill="1" applyBorder="1"/>
    <xf numFmtId="164" fontId="9" fillId="28" borderId="8" xfId="12" applyNumberFormat="1" applyFill="1" applyBorder="1" applyAlignment="1">
      <alignment horizontal="center" vertical="center"/>
    </xf>
    <xf numFmtId="0" fontId="0" fillId="15" borderId="17" xfId="0" applyFill="1" applyBorder="1"/>
    <xf numFmtId="164" fontId="9" fillId="18" borderId="17" xfId="12" applyNumberForma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17" xfId="0" applyBorder="1" applyAlignment="1">
      <alignment horizontal="center"/>
    </xf>
    <xf numFmtId="0" fontId="10" fillId="25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25" borderId="0" xfId="0" applyFont="1" applyFill="1" applyAlignment="1">
      <alignment horizontal="center" vertical="center"/>
    </xf>
    <xf numFmtId="164" fontId="28" fillId="0" borderId="37" xfId="0" applyNumberFormat="1" applyFont="1" applyBorder="1" applyAlignment="1">
      <alignment horizontal="center"/>
    </xf>
    <xf numFmtId="164" fontId="28" fillId="0" borderId="5" xfId="0" applyNumberFormat="1" applyFont="1" applyBorder="1" applyAlignment="1">
      <alignment horizontal="center"/>
    </xf>
    <xf numFmtId="0" fontId="10" fillId="7" borderId="21" xfId="3" applyBorder="1" applyAlignment="1">
      <alignment horizontal="center"/>
    </xf>
    <xf numFmtId="0" fontId="10" fillId="7" borderId="22" xfId="3" applyBorder="1" applyAlignment="1">
      <alignment horizontal="center"/>
    </xf>
    <xf numFmtId="0" fontId="10" fillId="7" borderId="23" xfId="3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9" fillId="5" borderId="35" xfId="0" applyFont="1" applyFill="1" applyBorder="1" applyAlignment="1">
      <alignment horizontal="center"/>
    </xf>
    <xf numFmtId="0" fontId="19" fillId="5" borderId="36" xfId="0" applyFont="1" applyFill="1" applyBorder="1" applyAlignment="1">
      <alignment horizontal="center"/>
    </xf>
    <xf numFmtId="0" fontId="10" fillId="7" borderId="15" xfId="3" applyBorder="1" applyAlignment="1">
      <alignment horizontal="center"/>
    </xf>
    <xf numFmtId="0" fontId="15" fillId="2" borderId="8" xfId="1" applyFont="1" applyBorder="1" applyAlignment="1">
      <alignment horizontal="center"/>
    </xf>
    <xf numFmtId="17" fontId="20" fillId="7" borderId="0" xfId="3" applyNumberFormat="1" applyFont="1" applyAlignment="1">
      <alignment horizontal="center" vertical="center"/>
    </xf>
    <xf numFmtId="0" fontId="35" fillId="32" borderId="25" xfId="0" applyFont="1" applyFill="1" applyBorder="1" applyAlignment="1">
      <alignment horizontal="center"/>
    </xf>
  </cellXfs>
  <cellStyles count="14">
    <cellStyle name="20% - Accent2" xfId="7" builtinId="34"/>
    <cellStyle name="60% - Accent3" xfId="13" builtinId="40"/>
    <cellStyle name="60% - Accent4" xfId="12" builtinId="44"/>
    <cellStyle name="60% - Accent5" xfId="2" builtinId="48"/>
    <cellStyle name="60% - Accent6" xfId="9" builtinId="52"/>
    <cellStyle name="Accent1" xfId="3" builtinId="29"/>
    <cellStyle name="Accent5" xfId="10" builtinId="45"/>
    <cellStyle name="Accent6" xfId="8" builtinId="49"/>
    <cellStyle name="Bad" xfId="6" builtinId="27"/>
    <cellStyle name="Calculation" xfId="5" builtinId="22"/>
    <cellStyle name="Good" xfId="1" builtinId="26"/>
    <cellStyle name="Hyperlink" xfId="11" builtinId="8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DCF6F6"/>
      <color rgb="FF0000CC"/>
      <color rgb="FFA29B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ruka, Sridhar (GE Vernova, consultant)" id="{526D10B4-4ED9-4869-BD50-67F202DD6122}" userId="Peruka, Sridhar (GE Vernova, consultant)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6" dT="2023-06-20T04:26:29.57" personId="{526D10B4-4ED9-4869-BD50-67F202DD6122}" id="{F07C56C3-FA18-4DF3-AEF0-E93877FF741D}">
    <text>ROJL Stock 2000QTY -with 6.99 cost.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RIDHAR.PERUKA@CAPGEMINI.COM" TargetMode="External"/><Relationship Id="rId1" Type="http://schemas.openxmlformats.org/officeDocument/2006/relationships/hyperlink" Target="https://portal.mediassist.in/Home.asp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es-eli.hdfclife.com/selfServiceApp/selfServiceHome" TargetMode="External"/><Relationship Id="rId13" Type="http://schemas.openxmlformats.org/officeDocument/2006/relationships/hyperlink" Target="https://cdma.cgg.gov.in/cdma_arbs/CDMA_PG/PTMenu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mailto:psridharsiddhu@gmail.com" TargetMode="External"/><Relationship Id="rId7" Type="http://schemas.openxmlformats.org/officeDocument/2006/relationships/hyperlink" Target="https://www.amundi-ee.com/account/" TargetMode="External"/><Relationship Id="rId12" Type="http://schemas.openxmlformats.org/officeDocument/2006/relationships/hyperlink" Target="mailto:O@124SP" TargetMode="External"/><Relationship Id="rId17" Type="http://schemas.openxmlformats.org/officeDocument/2006/relationships/hyperlink" Target="mailto:s@124sp" TargetMode="External"/><Relationship Id="rId2" Type="http://schemas.openxmlformats.org/officeDocument/2006/relationships/hyperlink" Target="https://v1.life99.in/portal/employee/updateinvestments/nps" TargetMode="External"/><Relationship Id="rId16" Type="http://schemas.openxmlformats.org/officeDocument/2006/relationships/hyperlink" Target="https://ess.hgsbs.com/" TargetMode="External"/><Relationship Id="rId1" Type="http://schemas.openxmlformats.org/officeDocument/2006/relationships/hyperlink" Target="mailto:psridharsiddhu@gmail.com" TargetMode="External"/><Relationship Id="rId6" Type="http://schemas.openxmlformats.org/officeDocument/2006/relationships/hyperlink" Target="https://www.amundi-ee.com/account/" TargetMode="External"/><Relationship Id="rId11" Type="http://schemas.openxmlformats.org/officeDocument/2006/relationships/hyperlink" Target="mailto:Sep@2023sp" TargetMode="External"/><Relationship Id="rId5" Type="http://schemas.openxmlformats.org/officeDocument/2006/relationships/hyperlink" Target="mailto:M1@SP" TargetMode="External"/><Relationship Id="rId15" Type="http://schemas.openxmlformats.org/officeDocument/2006/relationships/hyperlink" Target="https://unifiedportal-mem.epfindia.gov.in/memberinterface/" TargetMode="External"/><Relationship Id="rId10" Type="http://schemas.openxmlformats.org/officeDocument/2006/relationships/hyperlink" Target="https://www.amundi-ee.com/account/" TargetMode="External"/><Relationship Id="rId4" Type="http://schemas.openxmlformats.org/officeDocument/2006/relationships/hyperlink" Target="https://nps.kfintech.com/login/login/" TargetMode="External"/><Relationship Id="rId9" Type="http://schemas.openxmlformats.org/officeDocument/2006/relationships/hyperlink" Target="mailto:S52996702-Igate@1sp" TargetMode="External"/><Relationship Id="rId14" Type="http://schemas.openxmlformats.org/officeDocument/2006/relationships/hyperlink" Target="mailto:/Siddhu@1@34s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33"/>
  <sheetViews>
    <sheetView workbookViewId="0"/>
  </sheetViews>
  <sheetFormatPr defaultRowHeight="14.4" x14ac:dyDescent="0.3"/>
  <cols>
    <col min="1" max="1" width="33.5546875" customWidth="1"/>
    <col min="2" max="2" width="17.88671875" bestFit="1" customWidth="1"/>
    <col min="3" max="3" width="22.109375" bestFit="1" customWidth="1"/>
    <col min="4" max="4" width="31.44140625" bestFit="1" customWidth="1"/>
    <col min="5" max="5" width="41.44140625" bestFit="1" customWidth="1"/>
    <col min="13" max="13" width="10" bestFit="1" customWidth="1"/>
    <col min="14" max="14" width="8" bestFit="1" customWidth="1"/>
  </cols>
  <sheetData>
    <row r="1" spans="1:18" ht="24" thickTop="1" thickBot="1" x14ac:dyDescent="0.45">
      <c r="A1" s="21" t="s">
        <v>28</v>
      </c>
      <c r="B1" s="10"/>
      <c r="C1" s="10"/>
      <c r="D1" s="21" t="s">
        <v>25</v>
      </c>
      <c r="E1" s="21" t="s">
        <v>29</v>
      </c>
    </row>
    <row r="2" spans="1:18" ht="24.6" thickTop="1" thickBot="1" x14ac:dyDescent="0.5">
      <c r="A2" s="4" t="s">
        <v>32</v>
      </c>
      <c r="B2" s="5" t="s">
        <v>1</v>
      </c>
      <c r="C2" s="22">
        <v>155000</v>
      </c>
      <c r="D2" s="4"/>
      <c r="E2" s="10" t="s">
        <v>30</v>
      </c>
    </row>
    <row r="3" spans="1:18" ht="24.6" thickTop="1" thickBot="1" x14ac:dyDescent="0.5">
      <c r="A3" s="4" t="s">
        <v>32</v>
      </c>
      <c r="B3" s="9" t="s">
        <v>0</v>
      </c>
      <c r="C3" s="23">
        <v>60000</v>
      </c>
      <c r="D3" s="8"/>
      <c r="E3" s="10" t="s">
        <v>30</v>
      </c>
      <c r="M3" t="s">
        <v>16</v>
      </c>
      <c r="N3">
        <v>2957500</v>
      </c>
    </row>
    <row r="4" spans="1:18" ht="24.6" thickTop="1" thickBot="1" x14ac:dyDescent="0.5">
      <c r="A4" s="4" t="s">
        <v>32</v>
      </c>
      <c r="B4" s="5" t="s">
        <v>9</v>
      </c>
      <c r="C4" s="22">
        <v>29000</v>
      </c>
      <c r="D4" s="4"/>
      <c r="E4" s="10" t="s">
        <v>30</v>
      </c>
      <c r="N4">
        <f>N3/2</f>
        <v>1478750</v>
      </c>
      <c r="R4">
        <v>120</v>
      </c>
    </row>
    <row r="5" spans="1:18" ht="24.6" thickTop="1" thickBot="1" x14ac:dyDescent="0.5">
      <c r="A5" s="4" t="s">
        <v>32</v>
      </c>
      <c r="B5" s="6" t="s">
        <v>2</v>
      </c>
      <c r="C5" s="24">
        <v>100000</v>
      </c>
      <c r="D5" s="3"/>
      <c r="E5" s="10" t="s">
        <v>30</v>
      </c>
      <c r="R5">
        <v>30</v>
      </c>
    </row>
    <row r="6" spans="1:18" ht="24.6" thickTop="1" thickBot="1" x14ac:dyDescent="0.5">
      <c r="A6" s="4" t="s">
        <v>33</v>
      </c>
      <c r="B6" s="7" t="s">
        <v>3</v>
      </c>
      <c r="C6" s="22">
        <v>400000</v>
      </c>
      <c r="D6" s="4"/>
      <c r="E6" s="10" t="s">
        <v>30</v>
      </c>
    </row>
    <row r="7" spans="1:18" ht="24.6" thickTop="1" thickBot="1" x14ac:dyDescent="0.5">
      <c r="A7" s="4" t="s">
        <v>32</v>
      </c>
      <c r="B7" s="7">
        <v>43683</v>
      </c>
      <c r="C7" s="22">
        <v>500000</v>
      </c>
      <c r="D7" s="4" t="s">
        <v>10</v>
      </c>
      <c r="E7" s="10" t="s">
        <v>30</v>
      </c>
      <c r="I7" s="2">
        <v>2957500</v>
      </c>
    </row>
    <row r="8" spans="1:18" ht="24.6" thickTop="1" thickBot="1" x14ac:dyDescent="0.5">
      <c r="A8" s="4" t="s">
        <v>32</v>
      </c>
      <c r="B8" s="7" t="s">
        <v>7</v>
      </c>
      <c r="C8" s="22">
        <v>100000</v>
      </c>
      <c r="D8" s="4"/>
      <c r="E8" s="10" t="s">
        <v>30</v>
      </c>
      <c r="I8" s="2">
        <v>62000</v>
      </c>
    </row>
    <row r="9" spans="1:18" ht="24.6" thickTop="1" thickBot="1" x14ac:dyDescent="0.5">
      <c r="A9" s="4" t="s">
        <v>32</v>
      </c>
      <c r="B9" s="7" t="s">
        <v>8</v>
      </c>
      <c r="C9" s="22">
        <v>500000</v>
      </c>
      <c r="D9" s="4" t="s">
        <v>11</v>
      </c>
      <c r="E9" s="10" t="s">
        <v>30</v>
      </c>
      <c r="I9" s="2">
        <f>I7+I8</f>
        <v>3019500</v>
      </c>
    </row>
    <row r="10" spans="1:18" ht="24.6" thickTop="1" thickBot="1" x14ac:dyDescent="0.5">
      <c r="A10" s="4" t="s">
        <v>32</v>
      </c>
      <c r="B10" s="7" t="s">
        <v>12</v>
      </c>
      <c r="C10" s="22">
        <v>100000</v>
      </c>
      <c r="D10" s="11" t="s">
        <v>13</v>
      </c>
      <c r="E10" s="10" t="s">
        <v>14</v>
      </c>
      <c r="I10" s="2">
        <f>I9-C13</f>
        <v>563500</v>
      </c>
    </row>
    <row r="11" spans="1:18" ht="24.6" thickTop="1" thickBot="1" x14ac:dyDescent="0.5">
      <c r="A11" s="4" t="s">
        <v>32</v>
      </c>
      <c r="B11" s="12">
        <v>43720</v>
      </c>
      <c r="C11" s="23">
        <v>450000</v>
      </c>
      <c r="D11" s="8" t="s">
        <v>15</v>
      </c>
      <c r="E11" s="10" t="s">
        <v>30</v>
      </c>
      <c r="I11" s="2"/>
    </row>
    <row r="12" spans="1:18" ht="24.6" thickTop="1" thickBot="1" x14ac:dyDescent="0.5">
      <c r="A12" s="8"/>
      <c r="B12" s="12" t="s">
        <v>4</v>
      </c>
      <c r="C12" s="23">
        <v>62000</v>
      </c>
      <c r="D12" s="8" t="s">
        <v>5</v>
      </c>
      <c r="E12" s="13"/>
      <c r="I12" s="2"/>
    </row>
    <row r="13" spans="1:18" ht="24.6" thickTop="1" thickBot="1" x14ac:dyDescent="0.5">
      <c r="A13" s="8" t="s">
        <v>26</v>
      </c>
      <c r="B13" s="12"/>
      <c r="C13" s="23">
        <f>SUM(C2:C12)</f>
        <v>2456000</v>
      </c>
      <c r="I13" s="2">
        <f>I9/2</f>
        <v>1509750</v>
      </c>
    </row>
    <row r="14" spans="1:18" ht="24.6" thickTop="1" thickBot="1" x14ac:dyDescent="0.5">
      <c r="A14" s="8" t="s">
        <v>16</v>
      </c>
      <c r="B14" s="12"/>
      <c r="C14" s="23">
        <v>2957500</v>
      </c>
      <c r="D14" s="1"/>
    </row>
    <row r="15" spans="1:18" ht="24.6" thickTop="1" thickBot="1" x14ac:dyDescent="0.5">
      <c r="D15" s="1"/>
      <c r="K15">
        <v>48000</v>
      </c>
    </row>
    <row r="16" spans="1:18" ht="24.6" thickTop="1" thickBot="1" x14ac:dyDescent="0.5">
      <c r="A16" s="1" t="s">
        <v>27</v>
      </c>
      <c r="C16" s="17">
        <v>-977326</v>
      </c>
      <c r="D16" s="1"/>
      <c r="K16">
        <v>12000</v>
      </c>
    </row>
    <row r="17" spans="1:11" ht="24.6" thickTop="1" thickBot="1" x14ac:dyDescent="0.5">
      <c r="C17" s="14">
        <f>C13+C16</f>
        <v>1478674</v>
      </c>
      <c r="D17" s="1"/>
      <c r="K17">
        <v>2500</v>
      </c>
    </row>
    <row r="18" spans="1:11" ht="24.6" thickTop="1" thickBot="1" x14ac:dyDescent="0.5">
      <c r="C18" s="17">
        <v>-60000</v>
      </c>
      <c r="D18" s="1" t="s">
        <v>21</v>
      </c>
    </row>
    <row r="19" spans="1:11" ht="24.6" thickTop="1" thickBot="1" x14ac:dyDescent="0.5">
      <c r="B19" s="1" t="s">
        <v>31</v>
      </c>
      <c r="C19" s="14">
        <f>C17+C18</f>
        <v>1418674</v>
      </c>
      <c r="D19" s="1"/>
    </row>
    <row r="20" spans="1:11" ht="24.6" thickTop="1" thickBot="1" x14ac:dyDescent="0.5">
      <c r="B20" t="s">
        <v>17</v>
      </c>
      <c r="C20" s="17">
        <v>2957500</v>
      </c>
      <c r="D20" s="19" t="s">
        <v>20</v>
      </c>
    </row>
    <row r="21" spans="1:11" ht="22.2" thickTop="1" thickBot="1" x14ac:dyDescent="0.35">
      <c r="B21" t="s">
        <v>18</v>
      </c>
      <c r="C21" s="15">
        <f>C20/2</f>
        <v>1478750</v>
      </c>
      <c r="D21" s="20">
        <f>C21-C19</f>
        <v>60076</v>
      </c>
    </row>
    <row r="22" spans="1:11" ht="15.6" thickTop="1" thickBot="1" x14ac:dyDescent="0.35">
      <c r="C22" s="18"/>
    </row>
    <row r="23" spans="1:11" ht="15.6" thickTop="1" thickBot="1" x14ac:dyDescent="0.35">
      <c r="B23" t="s">
        <v>19</v>
      </c>
      <c r="C23" s="16">
        <v>1478750</v>
      </c>
    </row>
    <row r="24" spans="1:11" ht="15" thickTop="1" x14ac:dyDescent="0.3"/>
    <row r="30" spans="1:11" x14ac:dyDescent="0.3">
      <c r="A30" s="114" t="s">
        <v>136</v>
      </c>
    </row>
    <row r="31" spans="1:11" x14ac:dyDescent="0.3">
      <c r="A31" s="113" t="s">
        <v>133</v>
      </c>
    </row>
    <row r="32" spans="1:11" x14ac:dyDescent="0.3">
      <c r="A32" s="113" t="s">
        <v>134</v>
      </c>
    </row>
    <row r="33" spans="1:1" x14ac:dyDescent="0.3">
      <c r="A33" s="112" t="s">
        <v>135</v>
      </c>
    </row>
  </sheetData>
  <hyperlinks>
    <hyperlink ref="A31" r:id="rId1" display="https://portal.mediassist.in/Home.aspx" xr:uid="{00000000-0004-0000-0000-000000000000}"/>
    <hyperlink ref="A32" r:id="rId2" display="mailto:SRIDHAR.PERUKA@CAPGEMINI.COM" xr:uid="{00000000-0004-0000-0000-000001000000}"/>
  </hyperlinks>
  <pageMargins left="0.7" right="0.7" top="0.75" bottom="0.75" header="0.3" footer="0.3"/>
  <pageSetup paperSize="9" orientation="portrait" r:id="rId3"/>
  <headerFooter>
    <oddFooter>&amp;CGE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C55"/>
  <sheetViews>
    <sheetView topLeftCell="A40" workbookViewId="0">
      <selection activeCell="L66" sqref="L66"/>
    </sheetView>
  </sheetViews>
  <sheetFormatPr defaultRowHeight="14.4" x14ac:dyDescent="0.3"/>
  <cols>
    <col min="1" max="1" width="10.33203125" bestFit="1" customWidth="1"/>
    <col min="2" max="2" width="10.6640625" bestFit="1" customWidth="1"/>
    <col min="3" max="3" width="10.33203125" bestFit="1" customWidth="1"/>
    <col min="4" max="4" width="11.109375" bestFit="1" customWidth="1"/>
    <col min="5" max="5" width="11.44140625" bestFit="1" customWidth="1"/>
    <col min="6" max="6" width="10.33203125" bestFit="1" customWidth="1"/>
    <col min="7" max="7" width="13.33203125" bestFit="1" customWidth="1"/>
    <col min="8" max="8" width="10.44140625" bestFit="1" customWidth="1"/>
    <col min="9" max="9" width="10.6640625" bestFit="1" customWidth="1"/>
    <col min="10" max="10" width="9.44140625" bestFit="1" customWidth="1"/>
    <col min="11" max="11" width="7.33203125" customWidth="1"/>
    <col min="12" max="13" width="9.6640625" bestFit="1" customWidth="1"/>
    <col min="14" max="14" width="11.44140625" customWidth="1"/>
    <col min="17" max="17" width="9.6640625" bestFit="1" customWidth="1"/>
    <col min="22" max="22" width="10.44140625" bestFit="1" customWidth="1"/>
    <col min="24" max="24" width="10.88671875" bestFit="1" customWidth="1"/>
    <col min="25" max="25" width="13.109375" bestFit="1" customWidth="1"/>
    <col min="26" max="26" width="12" bestFit="1" customWidth="1"/>
    <col min="27" max="27" width="8" bestFit="1" customWidth="1"/>
    <col min="28" max="28" width="12.5546875" bestFit="1" customWidth="1"/>
    <col min="29" max="29" width="13.6640625" bestFit="1" customWidth="1"/>
  </cols>
  <sheetData>
    <row r="1" spans="1:29" x14ac:dyDescent="0.3">
      <c r="AB1">
        <f>SUM(AB3:AB40)</f>
        <v>-3333.9999999999982</v>
      </c>
      <c r="AC1">
        <f>AB1-SUM(AC3:AC50)</f>
        <v>-12783.999999999998</v>
      </c>
    </row>
    <row r="2" spans="1:29" x14ac:dyDescent="0.3">
      <c r="X2" s="161" t="s">
        <v>169</v>
      </c>
      <c r="Y2" s="161" t="s">
        <v>26</v>
      </c>
      <c r="Z2" s="161" t="s">
        <v>170</v>
      </c>
      <c r="AA2" s="161" t="s">
        <v>167</v>
      </c>
      <c r="AB2" s="161" t="s">
        <v>205</v>
      </c>
      <c r="AC2" t="s">
        <v>199</v>
      </c>
    </row>
    <row r="3" spans="1:29" x14ac:dyDescent="0.3">
      <c r="C3" s="136" t="s">
        <v>169</v>
      </c>
      <c r="D3" s="124"/>
      <c r="E3" s="124" t="s">
        <v>170</v>
      </c>
      <c r="F3" s="124" t="s">
        <v>167</v>
      </c>
      <c r="G3" s="124" t="s">
        <v>168</v>
      </c>
      <c r="H3" s="124" t="s">
        <v>173</v>
      </c>
      <c r="L3" s="121" t="s">
        <v>141</v>
      </c>
      <c r="M3" s="121" t="s">
        <v>176</v>
      </c>
      <c r="N3" s="121" t="s">
        <v>142</v>
      </c>
      <c r="O3" s="121" t="s">
        <v>178</v>
      </c>
      <c r="P3" s="121" t="s">
        <v>143</v>
      </c>
      <c r="Q3" s="121" t="s">
        <v>179</v>
      </c>
      <c r="V3" s="29">
        <v>45194</v>
      </c>
      <c r="W3">
        <v>50000</v>
      </c>
      <c r="X3">
        <v>1599.6</v>
      </c>
      <c r="Y3">
        <f>W3+X3</f>
        <v>51599.6</v>
      </c>
      <c r="Z3">
        <v>51577.96</v>
      </c>
      <c r="AA3">
        <f>(W3+X3)-Z3</f>
        <v>21.639999999999418</v>
      </c>
      <c r="AB3">
        <f>X3-AA3</f>
        <v>1577.9600000000005</v>
      </c>
      <c r="AC3">
        <v>2650</v>
      </c>
    </row>
    <row r="4" spans="1:29" x14ac:dyDescent="0.3">
      <c r="C4" s="28">
        <f>SUM(C5:C251)</f>
        <v>-1697.9000000000005</v>
      </c>
      <c r="E4" s="130">
        <f>SUM(E5:E250)</f>
        <v>-13220.590000000004</v>
      </c>
      <c r="I4" s="129"/>
      <c r="L4" s="33">
        <v>45110</v>
      </c>
      <c r="M4" s="33" t="s">
        <v>177</v>
      </c>
      <c r="N4">
        <v>2000</v>
      </c>
      <c r="O4">
        <v>6.95</v>
      </c>
      <c r="P4">
        <f>O4*N4</f>
        <v>13900</v>
      </c>
      <c r="V4" s="29">
        <v>45195</v>
      </c>
      <c r="W4">
        <f t="shared" ref="W4:W10" si="0">Z3</f>
        <v>51577.96</v>
      </c>
      <c r="X4">
        <v>2697</v>
      </c>
      <c r="Y4">
        <f>W4+X4</f>
        <v>54274.96</v>
      </c>
      <c r="Z4">
        <v>54238.28</v>
      </c>
      <c r="AA4">
        <f>(W4+X4)-Z4</f>
        <v>36.680000000000291</v>
      </c>
      <c r="AB4">
        <f>X4-AA4</f>
        <v>2660.3199999999997</v>
      </c>
    </row>
    <row r="5" spans="1:29" x14ac:dyDescent="0.3">
      <c r="A5" s="29">
        <v>45062</v>
      </c>
      <c r="B5" s="25">
        <v>19562</v>
      </c>
      <c r="C5" s="127">
        <v>1658</v>
      </c>
      <c r="D5" s="132">
        <f t="shared" ref="D5:D23" si="1">B5+C5</f>
        <v>21220</v>
      </c>
      <c r="E5" s="133">
        <f t="shared" ref="E5:F8" si="2">C5-F5</f>
        <v>1556.4000000000015</v>
      </c>
      <c r="F5" s="134">
        <f t="shared" si="2"/>
        <v>101.59999999999854</v>
      </c>
      <c r="G5" s="25">
        <v>21118.400000000001</v>
      </c>
      <c r="L5" s="33">
        <v>45117</v>
      </c>
      <c r="M5" t="s">
        <v>180</v>
      </c>
      <c r="N5">
        <v>150</v>
      </c>
      <c r="O5">
        <f>P5/N5</f>
        <v>22.15</v>
      </c>
      <c r="P5">
        <v>3322.5</v>
      </c>
      <c r="V5" s="29">
        <v>45196</v>
      </c>
      <c r="W5">
        <f t="shared" si="0"/>
        <v>54238.28</v>
      </c>
      <c r="X5">
        <v>1777</v>
      </c>
      <c r="Y5">
        <f>W5+X5</f>
        <v>56015.28</v>
      </c>
      <c r="Z5">
        <v>55766.22</v>
      </c>
      <c r="AA5">
        <f>(W5+X5)-Z5</f>
        <v>249.05999999999767</v>
      </c>
      <c r="AB5">
        <f>X5-AA5</f>
        <v>1527.9400000000023</v>
      </c>
    </row>
    <row r="6" spans="1:29" x14ac:dyDescent="0.3">
      <c r="A6" s="29">
        <v>45063</v>
      </c>
      <c r="B6" s="25">
        <v>21118.400000000001</v>
      </c>
      <c r="C6" s="127">
        <v>1167.5</v>
      </c>
      <c r="D6" s="132">
        <f t="shared" si="1"/>
        <v>22285.9</v>
      </c>
      <c r="E6" s="133">
        <f t="shared" si="2"/>
        <v>931.19999999999709</v>
      </c>
      <c r="F6" s="134">
        <f t="shared" si="2"/>
        <v>236.30000000000291</v>
      </c>
      <c r="G6" s="25">
        <v>22049.599999999999</v>
      </c>
      <c r="L6" s="33">
        <v>45175</v>
      </c>
      <c r="M6" t="s">
        <v>197</v>
      </c>
      <c r="N6">
        <v>12</v>
      </c>
      <c r="O6">
        <v>130.15</v>
      </c>
      <c r="P6">
        <f>N6*O6</f>
        <v>1561.8000000000002</v>
      </c>
      <c r="V6" s="29">
        <v>45197</v>
      </c>
      <c r="W6">
        <f t="shared" si="0"/>
        <v>55766.22</v>
      </c>
      <c r="X6">
        <v>72</v>
      </c>
      <c r="Y6">
        <f>W6+X6</f>
        <v>55838.22</v>
      </c>
      <c r="Z6">
        <v>55833.45</v>
      </c>
      <c r="AA6">
        <f>(W6+X6)-Z6</f>
        <v>4.7700000000040745</v>
      </c>
      <c r="AB6">
        <f>X6-AA6</f>
        <v>67.229999999995925</v>
      </c>
    </row>
    <row r="7" spans="1:29" x14ac:dyDescent="0.3">
      <c r="A7" s="29">
        <v>45064</v>
      </c>
      <c r="B7" s="25">
        <v>22049.599999999999</v>
      </c>
      <c r="C7" s="127">
        <v>3412.5</v>
      </c>
      <c r="D7" s="132">
        <f t="shared" si="1"/>
        <v>25462.1</v>
      </c>
      <c r="E7" s="133">
        <f t="shared" si="2"/>
        <v>3323.4000000000015</v>
      </c>
      <c r="F7" s="134">
        <f t="shared" si="2"/>
        <v>89.099999999998545</v>
      </c>
      <c r="G7" s="25">
        <v>25373</v>
      </c>
      <c r="V7" s="29">
        <v>45198</v>
      </c>
      <c r="W7">
        <f t="shared" si="0"/>
        <v>55833.45</v>
      </c>
      <c r="X7">
        <v>0</v>
      </c>
      <c r="Y7">
        <f>W7+X7</f>
        <v>55833.45</v>
      </c>
      <c r="Z7">
        <v>55833.45</v>
      </c>
      <c r="AA7">
        <v>0</v>
      </c>
      <c r="AB7">
        <f t="shared" ref="AB7:AB9" si="3">X7-AA7</f>
        <v>0</v>
      </c>
      <c r="AC7">
        <v>1800</v>
      </c>
    </row>
    <row r="8" spans="1:29" x14ac:dyDescent="0.3">
      <c r="A8" s="29">
        <v>45065</v>
      </c>
      <c r="B8" s="25">
        <v>25373</v>
      </c>
      <c r="C8" s="127">
        <v>2255</v>
      </c>
      <c r="D8" s="132">
        <f t="shared" si="1"/>
        <v>27628</v>
      </c>
      <c r="E8" s="133">
        <f t="shared" si="2"/>
        <v>2074</v>
      </c>
      <c r="F8" s="134">
        <f t="shared" si="2"/>
        <v>181</v>
      </c>
      <c r="G8" s="25">
        <v>27447</v>
      </c>
      <c r="H8" s="25"/>
      <c r="V8" s="33">
        <v>45202</v>
      </c>
      <c r="W8">
        <f t="shared" si="0"/>
        <v>55833.45</v>
      </c>
      <c r="Z8">
        <v>50133.45</v>
      </c>
      <c r="AB8">
        <f t="shared" si="3"/>
        <v>0</v>
      </c>
      <c r="AC8">
        <v>5000</v>
      </c>
    </row>
    <row r="9" spans="1:29" x14ac:dyDescent="0.3">
      <c r="A9" s="29">
        <v>45068</v>
      </c>
      <c r="B9" s="25">
        <f>G8</f>
        <v>27447</v>
      </c>
      <c r="C9" s="127">
        <f>1362.5-192.5</f>
        <v>1170</v>
      </c>
      <c r="D9" s="132">
        <f t="shared" si="1"/>
        <v>28617</v>
      </c>
      <c r="E9" s="133">
        <v>933</v>
      </c>
      <c r="F9" s="134">
        <v>221</v>
      </c>
      <c r="G9" s="25">
        <v>79130.2</v>
      </c>
      <c r="V9" s="33">
        <v>45203</v>
      </c>
      <c r="W9">
        <f t="shared" si="0"/>
        <v>50133.45</v>
      </c>
      <c r="X9">
        <v>-8700</v>
      </c>
      <c r="Y9">
        <f>W9+X9</f>
        <v>41433.449999999997</v>
      </c>
      <c r="Z9">
        <v>40966</v>
      </c>
      <c r="AA9">
        <f>Y9-Z9</f>
        <v>467.44999999999709</v>
      </c>
      <c r="AB9">
        <f t="shared" si="3"/>
        <v>-9167.4499999999971</v>
      </c>
    </row>
    <row r="10" spans="1:29" x14ac:dyDescent="0.3">
      <c r="A10" s="29">
        <v>45069</v>
      </c>
      <c r="B10" s="25">
        <v>79130</v>
      </c>
      <c r="C10" s="131">
        <v>-25004</v>
      </c>
      <c r="D10" s="132">
        <f t="shared" si="1"/>
        <v>54126</v>
      </c>
      <c r="E10" s="131">
        <f>-25004-343</f>
        <v>-25347</v>
      </c>
      <c r="F10" s="134">
        <v>343</v>
      </c>
      <c r="G10" s="25">
        <v>53782.8</v>
      </c>
      <c r="H10" s="25">
        <f>B10-G10</f>
        <v>25347.199999999997</v>
      </c>
      <c r="V10" s="33">
        <v>45204</v>
      </c>
      <c r="W10">
        <f t="shared" si="0"/>
        <v>40966</v>
      </c>
      <c r="X10">
        <v>6</v>
      </c>
      <c r="Y10">
        <f>W10+X10</f>
        <v>40972</v>
      </c>
      <c r="Z10">
        <v>45070.04</v>
      </c>
      <c r="AA10">
        <f>Y10-Z10</f>
        <v>-4098.0400000000009</v>
      </c>
    </row>
    <row r="11" spans="1:29" x14ac:dyDescent="0.3">
      <c r="A11" s="29">
        <v>45070</v>
      </c>
      <c r="B11" s="25">
        <v>53782.8</v>
      </c>
      <c r="C11" s="127">
        <v>2346</v>
      </c>
      <c r="D11" s="132">
        <f t="shared" si="1"/>
        <v>56128.800000000003</v>
      </c>
      <c r="E11" s="133">
        <f t="shared" ref="E11:F13" si="4">C11-F11</f>
        <v>2221.1999999999971</v>
      </c>
      <c r="F11" s="135">
        <f t="shared" si="4"/>
        <v>124.80000000000291</v>
      </c>
      <c r="G11" s="25">
        <v>56004</v>
      </c>
      <c r="H11" s="124"/>
      <c r="V11" s="33">
        <v>45204</v>
      </c>
      <c r="W11">
        <v>45070</v>
      </c>
    </row>
    <row r="12" spans="1:29" x14ac:dyDescent="0.3">
      <c r="A12" s="29">
        <v>45071</v>
      </c>
      <c r="B12" s="25">
        <f>G11</f>
        <v>56004</v>
      </c>
      <c r="C12" s="127">
        <v>2850</v>
      </c>
      <c r="D12" s="132">
        <f t="shared" si="1"/>
        <v>58854</v>
      </c>
      <c r="E12" s="133">
        <f t="shared" si="4"/>
        <v>2399.5999999999985</v>
      </c>
      <c r="F12" s="135">
        <f t="shared" si="4"/>
        <v>450.40000000000146</v>
      </c>
      <c r="G12" s="25">
        <v>58403.6</v>
      </c>
    </row>
    <row r="13" spans="1:29" x14ac:dyDescent="0.3">
      <c r="A13" s="29">
        <v>45072</v>
      </c>
      <c r="B13" s="25">
        <f>G12</f>
        <v>58403.6</v>
      </c>
      <c r="C13" s="127">
        <v>-5072.5</v>
      </c>
      <c r="D13" s="28">
        <f t="shared" si="1"/>
        <v>53331.1</v>
      </c>
      <c r="E13" s="133">
        <f t="shared" si="4"/>
        <v>-5125.5999999999985</v>
      </c>
      <c r="F13" s="135">
        <f t="shared" si="4"/>
        <v>53.099999999998545</v>
      </c>
      <c r="G13" s="25">
        <v>53278</v>
      </c>
    </row>
    <row r="14" spans="1:29" x14ac:dyDescent="0.3">
      <c r="A14" s="29">
        <v>45075</v>
      </c>
      <c r="B14" s="25">
        <f t="shared" ref="B14:B47" si="5">G13</f>
        <v>53278</v>
      </c>
      <c r="C14" s="127">
        <v>4458.75</v>
      </c>
      <c r="D14" s="28">
        <f t="shared" si="1"/>
        <v>57736.75</v>
      </c>
      <c r="E14" s="133">
        <f t="shared" ref="E14" si="6">C14-F14</f>
        <v>3880</v>
      </c>
      <c r="F14" s="135">
        <f t="shared" ref="F14" si="7">D14-G14</f>
        <v>578.75</v>
      </c>
      <c r="G14" s="25">
        <v>57158</v>
      </c>
    </row>
    <row r="15" spans="1:29" x14ac:dyDescent="0.3">
      <c r="A15" s="29">
        <v>45076</v>
      </c>
      <c r="B15" s="25">
        <f t="shared" si="5"/>
        <v>57158</v>
      </c>
      <c r="C15" s="127">
        <v>512</v>
      </c>
      <c r="D15" s="28">
        <f t="shared" si="1"/>
        <v>57670</v>
      </c>
      <c r="E15" s="133">
        <f t="shared" ref="E15:E23" si="8">C15-F15</f>
        <v>512</v>
      </c>
      <c r="F15" s="135"/>
      <c r="G15" s="25"/>
    </row>
    <row r="16" spans="1:29" x14ac:dyDescent="0.3">
      <c r="A16" s="29">
        <v>45077</v>
      </c>
      <c r="B16" s="25">
        <f t="shared" si="5"/>
        <v>0</v>
      </c>
      <c r="C16" s="127">
        <v>-6638.75</v>
      </c>
      <c r="D16" s="28">
        <f t="shared" si="1"/>
        <v>-6638.75</v>
      </c>
      <c r="E16" s="133">
        <f t="shared" si="8"/>
        <v>-6638.75</v>
      </c>
      <c r="F16" s="135"/>
      <c r="G16" s="25">
        <v>50486.1</v>
      </c>
    </row>
    <row r="17" spans="1:16" x14ac:dyDescent="0.3">
      <c r="A17" s="29">
        <v>45078</v>
      </c>
      <c r="B17" s="25">
        <f t="shared" si="5"/>
        <v>50486.1</v>
      </c>
      <c r="C17" s="127">
        <v>696.25</v>
      </c>
      <c r="D17" s="28">
        <f t="shared" si="1"/>
        <v>51182.35</v>
      </c>
      <c r="E17" s="133">
        <f t="shared" si="8"/>
        <v>628.70000000000437</v>
      </c>
      <c r="F17" s="135">
        <f t="shared" ref="F17:F22" si="9">D17-G17</f>
        <v>67.549999999995634</v>
      </c>
      <c r="G17" s="25">
        <v>51114.8</v>
      </c>
    </row>
    <row r="18" spans="1:16" x14ac:dyDescent="0.3">
      <c r="A18" s="29">
        <v>45079</v>
      </c>
      <c r="B18" s="25">
        <f t="shared" si="5"/>
        <v>51114.8</v>
      </c>
      <c r="C18" s="127">
        <v>1258</v>
      </c>
      <c r="D18" s="28">
        <f t="shared" si="1"/>
        <v>52372.800000000003</v>
      </c>
      <c r="E18" s="133">
        <f t="shared" si="8"/>
        <v>1100.5999999999985</v>
      </c>
      <c r="F18" s="135">
        <f t="shared" si="9"/>
        <v>157.40000000000146</v>
      </c>
      <c r="G18" s="25">
        <v>52215.4</v>
      </c>
    </row>
    <row r="19" spans="1:16" x14ac:dyDescent="0.3">
      <c r="A19" s="29">
        <v>45082</v>
      </c>
      <c r="B19" s="25">
        <f t="shared" si="5"/>
        <v>52215.4</v>
      </c>
      <c r="C19" s="127">
        <v>0</v>
      </c>
      <c r="D19" s="28">
        <f t="shared" si="1"/>
        <v>52215.4</v>
      </c>
      <c r="E19" s="133">
        <f t="shared" si="8"/>
        <v>0</v>
      </c>
      <c r="F19" s="135">
        <f t="shared" si="9"/>
        <v>0</v>
      </c>
      <c r="G19" s="25">
        <v>52215.4</v>
      </c>
    </row>
    <row r="20" spans="1:16" x14ac:dyDescent="0.3">
      <c r="A20" s="29">
        <v>45083</v>
      </c>
      <c r="B20" s="25">
        <f t="shared" si="5"/>
        <v>52215.4</v>
      </c>
      <c r="C20" s="127">
        <v>632</v>
      </c>
      <c r="D20" s="28">
        <f t="shared" si="1"/>
        <v>52847.4</v>
      </c>
      <c r="E20" s="133">
        <f t="shared" si="8"/>
        <v>523.09999999999854</v>
      </c>
      <c r="F20" s="135">
        <f t="shared" si="9"/>
        <v>108.90000000000146</v>
      </c>
      <c r="G20" s="25">
        <v>52738.5</v>
      </c>
    </row>
    <row r="21" spans="1:16" x14ac:dyDescent="0.3">
      <c r="A21" s="29">
        <v>45084</v>
      </c>
      <c r="B21" s="25">
        <f t="shared" si="5"/>
        <v>52738.5</v>
      </c>
      <c r="C21" s="127">
        <v>152.5</v>
      </c>
      <c r="D21" s="28">
        <f t="shared" si="1"/>
        <v>52891</v>
      </c>
      <c r="E21" s="133">
        <f t="shared" si="8"/>
        <v>102.5</v>
      </c>
      <c r="F21" s="135">
        <v>50</v>
      </c>
      <c r="G21" s="25">
        <v>51663</v>
      </c>
    </row>
    <row r="22" spans="1:16" x14ac:dyDescent="0.3">
      <c r="A22" s="29">
        <v>45085</v>
      </c>
      <c r="B22" s="25">
        <f t="shared" si="5"/>
        <v>51663</v>
      </c>
      <c r="C22" s="28">
        <v>1215.1400000000001</v>
      </c>
      <c r="D22" s="28">
        <f t="shared" si="1"/>
        <v>52878.14</v>
      </c>
      <c r="E22" s="133">
        <f t="shared" si="8"/>
        <v>2084.9000000000024</v>
      </c>
      <c r="F22" s="135">
        <f t="shared" si="9"/>
        <v>-869.76000000000204</v>
      </c>
      <c r="G22" s="25">
        <v>53747.9</v>
      </c>
    </row>
    <row r="23" spans="1:16" x14ac:dyDescent="0.3">
      <c r="A23" s="29">
        <v>45086</v>
      </c>
      <c r="B23" s="25">
        <f t="shared" si="5"/>
        <v>53747.9</v>
      </c>
      <c r="C23" s="127">
        <v>1753</v>
      </c>
      <c r="D23" s="28">
        <f t="shared" si="1"/>
        <v>55500.9</v>
      </c>
      <c r="E23" s="133">
        <f t="shared" si="8"/>
        <v>1596</v>
      </c>
      <c r="F23" s="135">
        <v>157</v>
      </c>
      <c r="G23" s="25">
        <f>D23-F23</f>
        <v>55343.9</v>
      </c>
    </row>
    <row r="24" spans="1:16" x14ac:dyDescent="0.3">
      <c r="A24" s="29">
        <v>45087</v>
      </c>
      <c r="B24" s="25">
        <f t="shared" si="5"/>
        <v>55343.9</v>
      </c>
      <c r="D24" s="25">
        <f>B24-H24-I24</f>
        <v>49343.9</v>
      </c>
      <c r="E24" s="133"/>
      <c r="G24" s="25"/>
      <c r="H24">
        <f>33*100</f>
        <v>3300</v>
      </c>
      <c r="I24">
        <f>12*225</f>
        <v>2700</v>
      </c>
    </row>
    <row r="25" spans="1:16" x14ac:dyDescent="0.3">
      <c r="A25" s="29">
        <v>45089</v>
      </c>
      <c r="B25" s="25">
        <f t="shared" si="5"/>
        <v>0</v>
      </c>
      <c r="C25" s="127">
        <v>850</v>
      </c>
      <c r="D25" s="25"/>
      <c r="E25" s="133">
        <v>700</v>
      </c>
      <c r="F25" s="135">
        <v>150</v>
      </c>
      <c r="G25" s="25">
        <v>50419.4</v>
      </c>
      <c r="H25" s="25">
        <f>D24+C25</f>
        <v>50193.9</v>
      </c>
    </row>
    <row r="26" spans="1:16" x14ac:dyDescent="0.3">
      <c r="A26" s="29">
        <v>45096</v>
      </c>
      <c r="B26" s="25">
        <f t="shared" si="5"/>
        <v>50419.4</v>
      </c>
      <c r="C26" s="127">
        <v>766.25</v>
      </c>
      <c r="D26" s="25">
        <f t="shared" ref="D26:D49" si="10">B26+C26</f>
        <v>51185.65</v>
      </c>
      <c r="E26" s="133">
        <f>I26-H26</f>
        <v>510.79999999999563</v>
      </c>
      <c r="F26" s="135">
        <v>150</v>
      </c>
      <c r="G26" s="25">
        <v>50930</v>
      </c>
      <c r="H26" s="25">
        <f>B26-13980</f>
        <v>36439.4</v>
      </c>
      <c r="I26">
        <v>36950.199999999997</v>
      </c>
    </row>
    <row r="27" spans="1:16" x14ac:dyDescent="0.3">
      <c r="A27" s="29">
        <v>45097</v>
      </c>
      <c r="B27" s="25">
        <v>36950.199999999997</v>
      </c>
      <c r="C27" s="127">
        <v>1600</v>
      </c>
      <c r="D27" s="25">
        <f t="shared" si="10"/>
        <v>38550.199999999997</v>
      </c>
      <c r="E27" s="133">
        <f t="shared" ref="E27:E47" si="11">C27-F27</f>
        <v>1530</v>
      </c>
      <c r="F27" s="135">
        <f t="shared" ref="F27:F47" si="12">D27-G27</f>
        <v>70</v>
      </c>
      <c r="G27" s="25">
        <v>38480.199999999997</v>
      </c>
    </row>
    <row r="28" spans="1:16" x14ac:dyDescent="0.3">
      <c r="A28" s="29">
        <v>45098</v>
      </c>
      <c r="B28" s="25">
        <f t="shared" si="5"/>
        <v>38480.199999999997</v>
      </c>
      <c r="C28" s="127">
        <v>0</v>
      </c>
      <c r="D28" s="25">
        <f t="shared" si="10"/>
        <v>38480.199999999997</v>
      </c>
      <c r="E28" s="133">
        <f t="shared" si="11"/>
        <v>0</v>
      </c>
      <c r="F28" s="135">
        <f t="shared" si="12"/>
        <v>0</v>
      </c>
      <c r="G28" s="25">
        <v>38480.199999999997</v>
      </c>
    </row>
    <row r="29" spans="1:16" x14ac:dyDescent="0.3">
      <c r="A29" s="29">
        <v>45103</v>
      </c>
      <c r="B29" s="25">
        <v>38480.199999999997</v>
      </c>
      <c r="C29" s="127">
        <v>1695</v>
      </c>
      <c r="D29" s="25">
        <f t="shared" si="10"/>
        <v>40175.199999999997</v>
      </c>
      <c r="E29" s="133">
        <f t="shared" si="11"/>
        <v>1277.6000000000058</v>
      </c>
      <c r="F29" s="135">
        <f t="shared" si="12"/>
        <v>417.39999999999418</v>
      </c>
      <c r="G29" s="25">
        <v>39757.800000000003</v>
      </c>
      <c r="P29" s="25"/>
    </row>
    <row r="30" spans="1:16" x14ac:dyDescent="0.3">
      <c r="A30" s="29">
        <v>45100</v>
      </c>
      <c r="B30" s="25">
        <f t="shared" si="5"/>
        <v>39757.800000000003</v>
      </c>
      <c r="C30" s="127">
        <v>1782.75</v>
      </c>
      <c r="D30" s="25">
        <f t="shared" si="10"/>
        <v>41540.550000000003</v>
      </c>
      <c r="E30" s="133">
        <f t="shared" si="11"/>
        <v>1650.0999999999985</v>
      </c>
      <c r="F30" s="135">
        <f t="shared" si="12"/>
        <v>132.65000000000146</v>
      </c>
      <c r="G30" s="25">
        <v>41407.9</v>
      </c>
    </row>
    <row r="31" spans="1:16" x14ac:dyDescent="0.3">
      <c r="A31" s="29">
        <v>45105</v>
      </c>
      <c r="B31" s="25">
        <f t="shared" si="5"/>
        <v>41407.9</v>
      </c>
      <c r="C31" s="127">
        <v>1976.25</v>
      </c>
      <c r="D31" s="25">
        <f t="shared" si="10"/>
        <v>43384.15</v>
      </c>
      <c r="E31" s="133">
        <f t="shared" si="11"/>
        <v>1854.5999999999985</v>
      </c>
      <c r="F31" s="135">
        <f t="shared" si="12"/>
        <v>121.65000000000146</v>
      </c>
      <c r="G31" s="25">
        <v>43262.5</v>
      </c>
    </row>
    <row r="32" spans="1:16" x14ac:dyDescent="0.3">
      <c r="A32" s="29">
        <v>45107</v>
      </c>
      <c r="B32" s="25">
        <f t="shared" si="5"/>
        <v>43262.5</v>
      </c>
      <c r="C32" s="127">
        <v>1177.5</v>
      </c>
      <c r="D32" s="25">
        <f t="shared" si="10"/>
        <v>44440</v>
      </c>
      <c r="E32" s="133">
        <f t="shared" si="11"/>
        <v>1042.5</v>
      </c>
      <c r="F32" s="135">
        <f t="shared" si="12"/>
        <v>135</v>
      </c>
      <c r="G32" s="25">
        <v>44305</v>
      </c>
    </row>
    <row r="33" spans="1:10" x14ac:dyDescent="0.3">
      <c r="A33" s="139">
        <v>45110</v>
      </c>
      <c r="B33" s="140">
        <f t="shared" si="5"/>
        <v>44305</v>
      </c>
      <c r="C33" s="141">
        <v>1383.75</v>
      </c>
      <c r="D33" s="140">
        <f t="shared" si="10"/>
        <v>45688.75</v>
      </c>
      <c r="E33" s="142">
        <f t="shared" si="11"/>
        <v>1314.5999999999985</v>
      </c>
      <c r="F33" s="143">
        <f t="shared" si="12"/>
        <v>69.150000000001455</v>
      </c>
      <c r="G33" s="140">
        <v>45619.6</v>
      </c>
    </row>
    <row r="34" spans="1:10" x14ac:dyDescent="0.3">
      <c r="A34" s="139">
        <v>45111</v>
      </c>
      <c r="B34" s="140">
        <f t="shared" si="5"/>
        <v>45619.6</v>
      </c>
      <c r="C34" s="141">
        <v>6866</v>
      </c>
      <c r="D34" s="140">
        <f t="shared" si="10"/>
        <v>52485.599999999999</v>
      </c>
      <c r="E34" s="142">
        <f t="shared" si="11"/>
        <v>6686</v>
      </c>
      <c r="F34" s="143">
        <v>180</v>
      </c>
      <c r="G34" s="140">
        <v>52902.9</v>
      </c>
      <c r="H34" s="138">
        <f>17.85*150</f>
        <v>2677.5</v>
      </c>
      <c r="I34" s="25">
        <f>G34-D34</f>
        <v>417.30000000000291</v>
      </c>
      <c r="J34">
        <f>16.39*200</f>
        <v>3278</v>
      </c>
    </row>
    <row r="35" spans="1:10" x14ac:dyDescent="0.3">
      <c r="A35" s="139">
        <v>45112</v>
      </c>
      <c r="B35" s="140">
        <f t="shared" si="5"/>
        <v>52902.9</v>
      </c>
      <c r="C35" s="141">
        <v>2800</v>
      </c>
      <c r="D35" s="140">
        <f t="shared" si="10"/>
        <v>55702.9</v>
      </c>
      <c r="E35" s="142">
        <f t="shared" si="11"/>
        <v>2646</v>
      </c>
      <c r="F35" s="143">
        <f t="shared" si="12"/>
        <v>154</v>
      </c>
      <c r="G35" s="140">
        <v>55548.9</v>
      </c>
    </row>
    <row r="36" spans="1:10" x14ac:dyDescent="0.3">
      <c r="A36" s="139">
        <v>45113</v>
      </c>
      <c r="B36" s="140">
        <f t="shared" si="5"/>
        <v>55548.9</v>
      </c>
      <c r="C36" s="141">
        <v>2780</v>
      </c>
      <c r="D36" s="140">
        <f t="shared" si="10"/>
        <v>58328.9</v>
      </c>
      <c r="E36" s="142">
        <f t="shared" si="11"/>
        <v>2522.0999999999985</v>
      </c>
      <c r="F36" s="143">
        <f t="shared" si="12"/>
        <v>257.90000000000146</v>
      </c>
      <c r="G36" s="140">
        <v>58071</v>
      </c>
    </row>
    <row r="37" spans="1:10" x14ac:dyDescent="0.3">
      <c r="A37" s="139">
        <v>45114</v>
      </c>
      <c r="B37" s="140">
        <f t="shared" si="5"/>
        <v>58071</v>
      </c>
      <c r="C37" s="141">
        <v>-12449</v>
      </c>
      <c r="D37" s="140">
        <f t="shared" si="10"/>
        <v>45622</v>
      </c>
      <c r="E37" s="142">
        <f t="shared" si="11"/>
        <v>-13216.04</v>
      </c>
      <c r="F37" s="143">
        <f t="shared" si="12"/>
        <v>767.04000000000087</v>
      </c>
      <c r="G37" s="144">
        <v>44854.96</v>
      </c>
      <c r="H37" t="s">
        <v>175</v>
      </c>
    </row>
    <row r="38" spans="1:10" x14ac:dyDescent="0.3">
      <c r="A38" s="145">
        <v>45117</v>
      </c>
      <c r="B38" s="146">
        <v>40000</v>
      </c>
      <c r="C38" s="147">
        <v>-2328.75</v>
      </c>
      <c r="D38" s="146">
        <f t="shared" si="10"/>
        <v>37671.25</v>
      </c>
      <c r="E38" s="148">
        <f t="shared" si="11"/>
        <v>-4500</v>
      </c>
      <c r="F38" s="149">
        <f>D38-G38</f>
        <v>2171.25</v>
      </c>
      <c r="G38" s="146">
        <v>35500</v>
      </c>
      <c r="H38" t="s">
        <v>187</v>
      </c>
    </row>
    <row r="39" spans="1:10" x14ac:dyDescent="0.3">
      <c r="A39" s="145">
        <v>45118</v>
      </c>
      <c r="B39" s="146">
        <f t="shared" si="5"/>
        <v>35500</v>
      </c>
      <c r="C39" s="147">
        <v>-562.5</v>
      </c>
      <c r="D39" s="146">
        <f t="shared" si="10"/>
        <v>34937.5</v>
      </c>
      <c r="E39" s="148">
        <f t="shared" si="11"/>
        <v>-2003.3000000000029</v>
      </c>
      <c r="F39" s="149">
        <f t="shared" si="12"/>
        <v>1440.8000000000029</v>
      </c>
      <c r="G39" s="146">
        <v>33496.699999999997</v>
      </c>
    </row>
    <row r="40" spans="1:10" x14ac:dyDescent="0.3">
      <c r="A40" s="145">
        <v>45119</v>
      </c>
      <c r="B40" s="146">
        <f t="shared" si="5"/>
        <v>33496.699999999997</v>
      </c>
      <c r="C40" s="147">
        <v>501.21</v>
      </c>
      <c r="D40" s="146">
        <f t="shared" si="10"/>
        <v>33997.909999999996</v>
      </c>
      <c r="E40" s="148">
        <f t="shared" si="11"/>
        <v>368.30000000000376</v>
      </c>
      <c r="F40" s="149">
        <f t="shared" si="12"/>
        <v>132.90999999999622</v>
      </c>
      <c r="G40" s="146">
        <v>33865</v>
      </c>
    </row>
    <row r="41" spans="1:10" x14ac:dyDescent="0.3">
      <c r="A41" s="145">
        <v>45120</v>
      </c>
      <c r="B41" s="146">
        <f t="shared" si="5"/>
        <v>33865</v>
      </c>
      <c r="C41" s="147">
        <v>1030</v>
      </c>
      <c r="D41" s="146">
        <f t="shared" si="10"/>
        <v>34895</v>
      </c>
      <c r="E41" s="148">
        <f t="shared" si="11"/>
        <v>883.59999999999854</v>
      </c>
      <c r="F41" s="149">
        <f t="shared" si="12"/>
        <v>146.40000000000146</v>
      </c>
      <c r="G41" s="146">
        <v>34748.6</v>
      </c>
    </row>
    <row r="42" spans="1:10" x14ac:dyDescent="0.3">
      <c r="A42" s="145">
        <v>45121</v>
      </c>
      <c r="B42" s="146">
        <f t="shared" si="5"/>
        <v>34748.6</v>
      </c>
      <c r="C42" s="147">
        <v>1252</v>
      </c>
      <c r="D42" s="146">
        <f t="shared" si="10"/>
        <v>36000.6</v>
      </c>
      <c r="E42" s="148">
        <f t="shared" si="11"/>
        <v>925.40000000000146</v>
      </c>
      <c r="F42" s="149">
        <f t="shared" si="12"/>
        <v>326.59999999999854</v>
      </c>
      <c r="G42" s="146">
        <v>35674</v>
      </c>
      <c r="H42" t="s">
        <v>186</v>
      </c>
    </row>
    <row r="43" spans="1:10" x14ac:dyDescent="0.3">
      <c r="A43" s="150">
        <v>45124</v>
      </c>
      <c r="B43" s="151">
        <v>34674.400000000001</v>
      </c>
      <c r="C43" s="152">
        <v>1340</v>
      </c>
      <c r="D43" s="151">
        <f t="shared" si="10"/>
        <v>36014.400000000001</v>
      </c>
      <c r="E43" s="153">
        <f t="shared" si="11"/>
        <v>1180.5999999999985</v>
      </c>
      <c r="F43" s="151">
        <f t="shared" si="12"/>
        <v>159.40000000000146</v>
      </c>
      <c r="G43" s="151">
        <v>35855</v>
      </c>
    </row>
    <row r="44" spans="1:10" x14ac:dyDescent="0.3">
      <c r="A44" s="150">
        <v>45125</v>
      </c>
      <c r="B44" s="151">
        <f t="shared" si="5"/>
        <v>35855</v>
      </c>
      <c r="C44" s="152">
        <v>852</v>
      </c>
      <c r="D44" s="151">
        <f t="shared" si="10"/>
        <v>36707</v>
      </c>
      <c r="E44" s="153">
        <f t="shared" si="11"/>
        <v>793.69999999999709</v>
      </c>
      <c r="F44" s="151">
        <f t="shared" si="12"/>
        <v>58.30000000000291</v>
      </c>
      <c r="G44" s="151">
        <v>36648.699999999997</v>
      </c>
    </row>
    <row r="45" spans="1:10" x14ac:dyDescent="0.3">
      <c r="A45" s="150">
        <v>45126</v>
      </c>
      <c r="B45" s="151">
        <f t="shared" si="5"/>
        <v>36648.699999999997</v>
      </c>
      <c r="C45" s="152">
        <v>2473.75</v>
      </c>
      <c r="D45" s="151">
        <f t="shared" si="10"/>
        <v>39122.449999999997</v>
      </c>
      <c r="E45" s="153">
        <f t="shared" si="11"/>
        <v>2087.8000000000029</v>
      </c>
      <c r="F45" s="151">
        <f t="shared" si="12"/>
        <v>385.94999999999709</v>
      </c>
      <c r="G45" s="151">
        <v>38736.5</v>
      </c>
    </row>
    <row r="46" spans="1:10" x14ac:dyDescent="0.3">
      <c r="A46" s="150">
        <v>45127</v>
      </c>
      <c r="B46" s="151">
        <f t="shared" si="5"/>
        <v>38736.5</v>
      </c>
      <c r="C46" s="152">
        <v>782.5</v>
      </c>
      <c r="D46" s="151">
        <f t="shared" si="10"/>
        <v>39519</v>
      </c>
      <c r="E46" s="153">
        <f t="shared" si="11"/>
        <v>685.5</v>
      </c>
      <c r="F46" s="151">
        <f t="shared" si="12"/>
        <v>97</v>
      </c>
      <c r="G46" s="151">
        <v>39422</v>
      </c>
    </row>
    <row r="47" spans="1:10" x14ac:dyDescent="0.3">
      <c r="A47" s="150">
        <v>45128</v>
      </c>
      <c r="B47" s="151">
        <f t="shared" si="5"/>
        <v>39422</v>
      </c>
      <c r="C47" s="152">
        <v>-4010</v>
      </c>
      <c r="D47" s="151">
        <f t="shared" si="10"/>
        <v>35412</v>
      </c>
      <c r="E47" s="153">
        <f t="shared" si="11"/>
        <v>-4619.6999999999971</v>
      </c>
      <c r="F47" s="153">
        <f t="shared" si="12"/>
        <v>609.69999999999709</v>
      </c>
      <c r="G47" s="151">
        <v>34802.300000000003</v>
      </c>
    </row>
    <row r="48" spans="1:10" x14ac:dyDescent="0.3">
      <c r="A48" s="154">
        <v>45131</v>
      </c>
      <c r="B48" s="155">
        <f>G47</f>
        <v>34802.300000000003</v>
      </c>
      <c r="C48" s="156">
        <v>-3952</v>
      </c>
      <c r="D48" s="156">
        <f t="shared" si="10"/>
        <v>30850.300000000003</v>
      </c>
      <c r="E48" s="156">
        <v>-3952</v>
      </c>
      <c r="F48" s="156"/>
      <c r="G48" s="155"/>
    </row>
    <row r="49" spans="1:7" x14ac:dyDescent="0.3">
      <c r="A49" s="154">
        <v>45132</v>
      </c>
      <c r="B49" s="155">
        <f>G48</f>
        <v>0</v>
      </c>
      <c r="C49" s="156">
        <v>-821</v>
      </c>
      <c r="D49" s="156">
        <f t="shared" si="10"/>
        <v>-821</v>
      </c>
      <c r="E49" s="156">
        <v>-821</v>
      </c>
      <c r="F49" s="156"/>
      <c r="G49" s="155"/>
    </row>
    <row r="50" spans="1:7" x14ac:dyDescent="0.3">
      <c r="A50" s="154">
        <v>45133</v>
      </c>
      <c r="B50" s="155">
        <v>29693</v>
      </c>
      <c r="C50" s="156">
        <v>-723</v>
      </c>
      <c r="D50" s="156"/>
      <c r="E50" s="156">
        <v>-723</v>
      </c>
      <c r="F50" s="156"/>
      <c r="G50" s="155"/>
    </row>
    <row r="51" spans="1:7" x14ac:dyDescent="0.3">
      <c r="A51" s="154">
        <v>45134</v>
      </c>
      <c r="B51" s="155">
        <f>G50</f>
        <v>0</v>
      </c>
      <c r="C51" s="156">
        <v>1428</v>
      </c>
      <c r="D51" s="156"/>
      <c r="E51" s="156">
        <v>1200</v>
      </c>
      <c r="F51" s="156"/>
      <c r="G51" s="156"/>
    </row>
    <row r="52" spans="1:7" x14ac:dyDescent="0.3">
      <c r="A52" s="154">
        <v>45135</v>
      </c>
      <c r="B52" s="155">
        <v>30648</v>
      </c>
      <c r="C52" s="156">
        <v>-469</v>
      </c>
      <c r="D52" s="156"/>
      <c r="E52" s="156"/>
      <c r="F52" s="156"/>
      <c r="G52" s="156"/>
    </row>
    <row r="53" spans="1:7" x14ac:dyDescent="0.3">
      <c r="A53" s="154">
        <v>45136</v>
      </c>
      <c r="B53" s="155">
        <v>26476</v>
      </c>
      <c r="C53" s="156">
        <v>621</v>
      </c>
      <c r="D53" s="25">
        <f>B53+C53</f>
        <v>27097</v>
      </c>
    </row>
    <row r="54" spans="1:7" x14ac:dyDescent="0.3">
      <c r="A54" s="29">
        <v>45138</v>
      </c>
    </row>
    <row r="55" spans="1:7" x14ac:dyDescent="0.3">
      <c r="A55" s="154">
        <v>45139</v>
      </c>
      <c r="B55" s="155">
        <v>27029.4</v>
      </c>
      <c r="C55" s="155">
        <v>838</v>
      </c>
    </row>
  </sheetData>
  <phoneticPr fontId="32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V46"/>
  <sheetViews>
    <sheetView zoomScale="90" zoomScaleNormal="90" workbookViewId="0">
      <pane ySplit="4" topLeftCell="A5" activePane="bottomLeft" state="frozen"/>
      <selection pane="bottomLeft" activeCell="A5" sqref="A5"/>
    </sheetView>
  </sheetViews>
  <sheetFormatPr defaultRowHeight="14.4" x14ac:dyDescent="0.3"/>
  <cols>
    <col min="1" max="1" width="11.44140625" bestFit="1" customWidth="1"/>
    <col min="2" max="2" width="13.88671875" bestFit="1" customWidth="1"/>
    <col min="3" max="3" width="12.33203125" bestFit="1" customWidth="1"/>
    <col min="4" max="4" width="15.6640625" bestFit="1" customWidth="1"/>
    <col min="5" max="5" width="13.33203125" customWidth="1"/>
    <col min="6" max="6" width="12.21875" bestFit="1" customWidth="1"/>
    <col min="7" max="7" width="18.109375" bestFit="1" customWidth="1"/>
    <col min="8" max="8" width="12.5546875" bestFit="1" customWidth="1"/>
    <col min="9" max="9" width="13.33203125" bestFit="1" customWidth="1"/>
    <col min="10" max="10" width="10.33203125" bestFit="1" customWidth="1"/>
    <col min="11" max="11" width="11.21875" bestFit="1" customWidth="1"/>
    <col min="12" max="12" width="16" bestFit="1" customWidth="1"/>
    <col min="15" max="15" width="15.6640625" bestFit="1" customWidth="1"/>
    <col min="16" max="16" width="15.6640625" customWidth="1"/>
    <col min="17" max="17" width="14.33203125" bestFit="1" customWidth="1"/>
    <col min="18" max="18" width="9.88671875" bestFit="1" customWidth="1"/>
    <col min="19" max="19" width="8.6640625" bestFit="1" customWidth="1"/>
    <col min="20" max="20" width="12.44140625" bestFit="1" customWidth="1"/>
  </cols>
  <sheetData>
    <row r="1" spans="1:22" ht="15" thickBot="1" x14ac:dyDescent="0.35">
      <c r="J1" s="165" t="s">
        <v>178</v>
      </c>
      <c r="K1" s="165" t="s">
        <v>141</v>
      </c>
      <c r="L1" s="165" t="s">
        <v>225</v>
      </c>
      <c r="O1" s="117" t="s">
        <v>68</v>
      </c>
      <c r="P1" s="117"/>
      <c r="Q1" s="117" t="s">
        <v>144</v>
      </c>
      <c r="R1" s="117" t="s">
        <v>45</v>
      </c>
      <c r="S1" s="117" t="s">
        <v>145</v>
      </c>
      <c r="T1" s="117" t="s">
        <v>146</v>
      </c>
    </row>
    <row r="2" spans="1:22" ht="22.2" thickTop="1" thickBot="1" x14ac:dyDescent="0.45">
      <c r="C2" t="s">
        <v>140</v>
      </c>
      <c r="D2" s="217">
        <v>154702.96</v>
      </c>
      <c r="E2" s="218"/>
      <c r="J2" s="51">
        <v>1560</v>
      </c>
      <c r="K2" s="33">
        <v>45189</v>
      </c>
      <c r="L2" s="166">
        <v>12</v>
      </c>
      <c r="O2" s="118">
        <v>30000</v>
      </c>
      <c r="P2" s="118"/>
      <c r="Q2" s="119">
        <v>6.5</v>
      </c>
      <c r="R2" s="119">
        <v>6</v>
      </c>
      <c r="S2" s="119">
        <v>975</v>
      </c>
      <c r="T2" s="120">
        <f>O2+S2</f>
        <v>30975</v>
      </c>
    </row>
    <row r="3" spans="1:22" ht="22.2" thickTop="1" thickBot="1" x14ac:dyDescent="0.45">
      <c r="C3" s="97" t="s">
        <v>147</v>
      </c>
      <c r="D3" s="217">
        <f>D2+SUM(D5:D500)</f>
        <v>319581.03000000003</v>
      </c>
      <c r="E3" s="218"/>
      <c r="J3" s="122">
        <v>1261</v>
      </c>
      <c r="K3" s="47"/>
      <c r="L3" s="166">
        <v>10</v>
      </c>
    </row>
    <row r="4" spans="1:22" ht="15" thickTop="1" x14ac:dyDescent="0.3">
      <c r="A4" s="121" t="s">
        <v>305</v>
      </c>
      <c r="B4" s="121" t="s">
        <v>291</v>
      </c>
      <c r="C4" s="121" t="s">
        <v>141</v>
      </c>
      <c r="D4" s="121" t="s">
        <v>143</v>
      </c>
      <c r="E4" s="121" t="s">
        <v>142</v>
      </c>
      <c r="F4" s="121" t="s">
        <v>148</v>
      </c>
      <c r="G4" s="121" t="s">
        <v>309</v>
      </c>
      <c r="H4" s="121" t="s">
        <v>236</v>
      </c>
      <c r="I4" s="121" t="s">
        <v>279</v>
      </c>
      <c r="J4" s="51">
        <v>1500</v>
      </c>
      <c r="K4" s="33">
        <v>45233</v>
      </c>
      <c r="L4" s="166">
        <v>13</v>
      </c>
      <c r="O4" t="s">
        <v>237</v>
      </c>
      <c r="P4" t="s">
        <v>243</v>
      </c>
      <c r="Q4" t="s">
        <v>244</v>
      </c>
      <c r="R4" t="s">
        <v>178</v>
      </c>
      <c r="S4" t="s">
        <v>240</v>
      </c>
      <c r="T4" t="s">
        <v>239</v>
      </c>
      <c r="U4" t="s">
        <v>241</v>
      </c>
      <c r="V4" t="s">
        <v>242</v>
      </c>
    </row>
    <row r="5" spans="1:22" x14ac:dyDescent="0.3">
      <c r="A5">
        <v>12</v>
      </c>
      <c r="B5" s="203" t="s">
        <v>184</v>
      </c>
      <c r="C5" s="204">
        <v>44942</v>
      </c>
      <c r="D5" s="205">
        <v>20320.5</v>
      </c>
      <c r="E5" s="206">
        <v>95</v>
      </c>
      <c r="F5" s="205">
        <v>213.9</v>
      </c>
      <c r="G5" s="47"/>
      <c r="H5" s="47"/>
      <c r="I5" s="26">
        <f>((D5*25)/100)+D5</f>
        <v>25400.625</v>
      </c>
      <c r="J5" s="168">
        <f>131.35*11</f>
        <v>1444.85</v>
      </c>
      <c r="K5" s="159">
        <v>45264</v>
      </c>
      <c r="L5" s="166">
        <v>11</v>
      </c>
      <c r="O5" t="s">
        <v>238</v>
      </c>
      <c r="P5">
        <v>1011</v>
      </c>
      <c r="Q5">
        <v>950</v>
      </c>
      <c r="R5">
        <v>32</v>
      </c>
      <c r="S5">
        <f>Q5*R5</f>
        <v>30400</v>
      </c>
      <c r="T5">
        <f>1011*26</f>
        <v>26286</v>
      </c>
      <c r="U5">
        <f>S5-T5</f>
        <v>4114</v>
      </c>
      <c r="V5">
        <f>P5-Q5</f>
        <v>61</v>
      </c>
    </row>
    <row r="6" spans="1:22" x14ac:dyDescent="0.3">
      <c r="A6">
        <v>14.5</v>
      </c>
      <c r="B6" s="48" t="s">
        <v>177</v>
      </c>
      <c r="C6" s="48">
        <v>45110</v>
      </c>
      <c r="D6" s="207">
        <f>E6*F6</f>
        <v>14615.119999999999</v>
      </c>
      <c r="E6" s="166">
        <v>2162</v>
      </c>
      <c r="F6" s="205">
        <v>6.76</v>
      </c>
      <c r="G6" s="47"/>
      <c r="H6" s="47"/>
      <c r="I6" s="26">
        <f t="shared" ref="I6:I25" si="0">((D6*25)/100)+D6</f>
        <v>18268.899999999998</v>
      </c>
      <c r="J6" s="168">
        <v>1360</v>
      </c>
      <c r="K6" s="33">
        <v>45294</v>
      </c>
      <c r="L6" s="137">
        <v>10</v>
      </c>
    </row>
    <row r="7" spans="1:22" x14ac:dyDescent="0.3">
      <c r="B7" s="47" t="s">
        <v>180</v>
      </c>
      <c r="C7" s="48">
        <v>45117</v>
      </c>
      <c r="D7" s="207">
        <f>E7*F7</f>
        <v>3322.5</v>
      </c>
      <c r="E7" s="166">
        <v>150</v>
      </c>
      <c r="F7" s="205">
        <v>22.15</v>
      </c>
      <c r="G7" s="47"/>
      <c r="H7" s="47"/>
      <c r="I7" s="26">
        <f t="shared" si="0"/>
        <v>4153.125</v>
      </c>
      <c r="J7" s="168">
        <v>1410</v>
      </c>
      <c r="K7" s="33">
        <v>45326</v>
      </c>
      <c r="L7" s="137">
        <v>10</v>
      </c>
    </row>
    <row r="8" spans="1:22" x14ac:dyDescent="0.3">
      <c r="A8">
        <v>118</v>
      </c>
      <c r="B8" s="47" t="s">
        <v>197</v>
      </c>
      <c r="C8" s="48">
        <v>45189</v>
      </c>
      <c r="D8" s="207">
        <f>12*130</f>
        <v>1560</v>
      </c>
      <c r="E8" s="166">
        <v>12</v>
      </c>
      <c r="F8" s="205">
        <f>D8/E8</f>
        <v>130</v>
      </c>
      <c r="G8" s="47"/>
      <c r="H8" s="47"/>
      <c r="I8" s="26">
        <f t="shared" si="0"/>
        <v>1950</v>
      </c>
      <c r="J8" s="201">
        <v>5844.6</v>
      </c>
      <c r="K8" s="33">
        <v>45482</v>
      </c>
      <c r="L8" s="137">
        <v>34</v>
      </c>
    </row>
    <row r="9" spans="1:22" x14ac:dyDescent="0.3">
      <c r="A9">
        <v>118</v>
      </c>
      <c r="B9" s="47" t="s">
        <v>197</v>
      </c>
      <c r="C9" s="47"/>
      <c r="D9" s="207">
        <v>1261</v>
      </c>
      <c r="E9" s="166">
        <v>10</v>
      </c>
      <c r="F9" s="205">
        <f>D9/E9</f>
        <v>126.1</v>
      </c>
      <c r="G9" s="47"/>
      <c r="H9" s="47"/>
      <c r="I9" s="26">
        <f t="shared" si="0"/>
        <v>1576.25</v>
      </c>
    </row>
    <row r="10" spans="1:22" x14ac:dyDescent="0.3">
      <c r="A10">
        <v>118</v>
      </c>
      <c r="B10" s="47" t="s">
        <v>197</v>
      </c>
      <c r="C10" s="48">
        <v>45233</v>
      </c>
      <c r="D10" s="207">
        <f>E10*F10</f>
        <v>1521</v>
      </c>
      <c r="E10" s="166">
        <v>13</v>
      </c>
      <c r="F10" s="205">
        <v>117</v>
      </c>
      <c r="G10" s="47"/>
      <c r="H10" s="47"/>
      <c r="I10" s="26">
        <f t="shared" si="0"/>
        <v>1901.25</v>
      </c>
    </row>
    <row r="11" spans="1:22" x14ac:dyDescent="0.3">
      <c r="A11">
        <v>118</v>
      </c>
      <c r="B11" s="47" t="s">
        <v>197</v>
      </c>
      <c r="C11" s="159">
        <v>45264</v>
      </c>
      <c r="D11" s="207">
        <f>131.35*11</f>
        <v>1444.85</v>
      </c>
      <c r="E11" s="166">
        <v>11</v>
      </c>
      <c r="F11" s="205">
        <f>D11/L5</f>
        <v>131.35</v>
      </c>
      <c r="G11" s="47"/>
      <c r="H11" s="47"/>
      <c r="I11" s="26">
        <f t="shared" si="0"/>
        <v>1806.0625</v>
      </c>
    </row>
    <row r="12" spans="1:22" x14ac:dyDescent="0.3">
      <c r="A12">
        <v>118</v>
      </c>
      <c r="B12" s="47" t="s">
        <v>197</v>
      </c>
      <c r="C12" s="48">
        <v>45294</v>
      </c>
      <c r="D12" s="207">
        <f>L6*F12</f>
        <v>1360</v>
      </c>
      <c r="E12" s="166">
        <v>10</v>
      </c>
      <c r="F12" s="205">
        <v>136</v>
      </c>
      <c r="G12" s="47">
        <v>237</v>
      </c>
      <c r="H12" s="47">
        <f>237/100</f>
        <v>2.37</v>
      </c>
      <c r="I12" s="26">
        <f t="shared" si="0"/>
        <v>1700</v>
      </c>
    </row>
    <row r="13" spans="1:22" x14ac:dyDescent="0.3">
      <c r="A13">
        <v>14.5</v>
      </c>
      <c r="B13" s="48" t="s">
        <v>177</v>
      </c>
      <c r="C13" s="48">
        <v>45295</v>
      </c>
      <c r="D13" s="207">
        <f t="shared" ref="D13:D39" si="1">E13*F13</f>
        <v>44</v>
      </c>
      <c r="E13" s="166">
        <v>10</v>
      </c>
      <c r="F13" s="205">
        <v>4.4000000000000004</v>
      </c>
      <c r="G13" s="47"/>
      <c r="H13" s="47"/>
      <c r="I13" s="26">
        <f t="shared" si="0"/>
        <v>55</v>
      </c>
    </row>
    <row r="14" spans="1:22" x14ac:dyDescent="0.3">
      <c r="B14" s="203" t="s">
        <v>230</v>
      </c>
      <c r="C14" s="208">
        <v>45303</v>
      </c>
      <c r="D14" s="207">
        <f t="shared" si="1"/>
        <v>2150.3999999999996</v>
      </c>
      <c r="E14" s="166">
        <v>96</v>
      </c>
      <c r="F14" s="205">
        <v>22.4</v>
      </c>
      <c r="G14" s="47"/>
      <c r="H14" s="47"/>
      <c r="I14" s="26">
        <f t="shared" si="0"/>
        <v>2687.9999999999995</v>
      </c>
    </row>
    <row r="15" spans="1:22" x14ac:dyDescent="0.3">
      <c r="A15">
        <v>97</v>
      </c>
      <c r="B15" s="203" t="s">
        <v>231</v>
      </c>
      <c r="C15" s="208">
        <v>45303</v>
      </c>
      <c r="D15" s="207">
        <f t="shared" si="1"/>
        <v>3452.8</v>
      </c>
      <c r="E15" s="166">
        <v>830</v>
      </c>
      <c r="F15" s="205">
        <v>4.16</v>
      </c>
      <c r="G15" s="47"/>
      <c r="H15" s="47"/>
      <c r="I15" s="26">
        <f t="shared" si="0"/>
        <v>4316</v>
      </c>
    </row>
    <row r="16" spans="1:22" x14ac:dyDescent="0.3">
      <c r="B16" s="203" t="s">
        <v>180</v>
      </c>
      <c r="C16" s="208">
        <v>45307</v>
      </c>
      <c r="D16" s="207">
        <f t="shared" si="1"/>
        <v>1092</v>
      </c>
      <c r="E16" s="166">
        <v>100</v>
      </c>
      <c r="F16" s="205">
        <v>10.92</v>
      </c>
      <c r="G16" s="47"/>
      <c r="H16" s="47"/>
      <c r="I16" s="26">
        <f t="shared" si="0"/>
        <v>1365</v>
      </c>
    </row>
    <row r="17" spans="1:10" x14ac:dyDescent="0.3">
      <c r="B17" s="203" t="s">
        <v>232</v>
      </c>
      <c r="C17" s="208">
        <v>45307</v>
      </c>
      <c r="D17" s="207">
        <f t="shared" si="1"/>
        <v>13950</v>
      </c>
      <c r="E17" s="166">
        <v>100</v>
      </c>
      <c r="F17" s="205">
        <v>139.5</v>
      </c>
      <c r="G17" s="47"/>
      <c r="H17" s="47"/>
      <c r="I17" s="26">
        <f t="shared" si="0"/>
        <v>17437.5</v>
      </c>
    </row>
    <row r="18" spans="1:10" x14ac:dyDescent="0.3">
      <c r="A18">
        <v>7.9</v>
      </c>
      <c r="B18" s="203" t="s">
        <v>233</v>
      </c>
      <c r="C18" s="208">
        <v>45307</v>
      </c>
      <c r="D18" s="207">
        <f t="shared" si="1"/>
        <v>1160.2</v>
      </c>
      <c r="E18" s="166">
        <v>2</v>
      </c>
      <c r="F18" s="205">
        <v>580.1</v>
      </c>
      <c r="G18" s="47"/>
      <c r="H18" s="47"/>
      <c r="I18" s="26">
        <f t="shared" si="0"/>
        <v>1450.25</v>
      </c>
    </row>
    <row r="19" spans="1:10" x14ac:dyDescent="0.3">
      <c r="B19" s="203" t="s">
        <v>234</v>
      </c>
      <c r="C19" s="208">
        <v>45310</v>
      </c>
      <c r="D19" s="207">
        <f t="shared" si="1"/>
        <v>939.4</v>
      </c>
      <c r="E19" s="166">
        <v>2135</v>
      </c>
      <c r="F19" s="205">
        <v>0.44</v>
      </c>
      <c r="G19" s="47"/>
      <c r="H19" s="47"/>
      <c r="I19" s="26">
        <f t="shared" si="0"/>
        <v>1174.25</v>
      </c>
    </row>
    <row r="20" spans="1:10" x14ac:dyDescent="0.3">
      <c r="A20">
        <v>20</v>
      </c>
      <c r="B20" s="203" t="s">
        <v>235</v>
      </c>
      <c r="C20" s="208">
        <v>45310</v>
      </c>
      <c r="D20" s="207">
        <f t="shared" si="1"/>
        <v>1246</v>
      </c>
      <c r="E20" s="166">
        <v>10</v>
      </c>
      <c r="F20" s="205">
        <v>124.6</v>
      </c>
      <c r="G20" s="47">
        <v>10</v>
      </c>
      <c r="H20" s="47">
        <v>1</v>
      </c>
      <c r="I20" s="26">
        <f t="shared" si="0"/>
        <v>1557.5</v>
      </c>
    </row>
    <row r="21" spans="1:10" x14ac:dyDescent="0.3">
      <c r="A21">
        <v>118</v>
      </c>
      <c r="B21" s="203" t="s">
        <v>197</v>
      </c>
      <c r="C21" s="47"/>
      <c r="D21" s="207">
        <f t="shared" si="1"/>
        <v>1410</v>
      </c>
      <c r="E21" s="166">
        <v>10</v>
      </c>
      <c r="F21" s="205">
        <v>141</v>
      </c>
      <c r="G21" s="47"/>
      <c r="H21" s="47"/>
      <c r="I21" s="26">
        <f t="shared" si="0"/>
        <v>1762.5</v>
      </c>
    </row>
    <row r="22" spans="1:10" x14ac:dyDescent="0.3">
      <c r="B22" s="203" t="s">
        <v>277</v>
      </c>
      <c r="C22" s="48">
        <v>45446</v>
      </c>
      <c r="D22" s="207">
        <f t="shared" si="1"/>
        <v>3795.75</v>
      </c>
      <c r="E22" s="166">
        <v>15</v>
      </c>
      <c r="F22" s="205">
        <v>253.05</v>
      </c>
      <c r="G22" s="47"/>
      <c r="H22" s="47"/>
      <c r="I22" s="26">
        <f t="shared" si="0"/>
        <v>4744.6875</v>
      </c>
    </row>
    <row r="23" spans="1:10" x14ac:dyDescent="0.3">
      <c r="B23" s="203" t="s">
        <v>278</v>
      </c>
      <c r="C23" s="48">
        <v>45446</v>
      </c>
      <c r="D23" s="207">
        <f t="shared" si="1"/>
        <v>5070.6000000000004</v>
      </c>
      <c r="E23" s="166">
        <v>10</v>
      </c>
      <c r="F23" s="205">
        <v>507.06</v>
      </c>
      <c r="G23" s="47"/>
      <c r="H23" s="47"/>
      <c r="I23" s="26">
        <f t="shared" si="0"/>
        <v>6338.25</v>
      </c>
    </row>
    <row r="24" spans="1:10" x14ac:dyDescent="0.3">
      <c r="A24">
        <v>36.5</v>
      </c>
      <c r="B24" s="203" t="s">
        <v>232</v>
      </c>
      <c r="C24" s="48">
        <v>45481</v>
      </c>
      <c r="D24" s="207">
        <f t="shared" si="1"/>
        <v>9022.5</v>
      </c>
      <c r="E24" s="166">
        <v>45</v>
      </c>
      <c r="F24" s="205">
        <v>200.5</v>
      </c>
      <c r="G24" s="47"/>
      <c r="H24" s="47"/>
      <c r="I24" s="26">
        <f t="shared" si="0"/>
        <v>11278.125</v>
      </c>
    </row>
    <row r="25" spans="1:10" x14ac:dyDescent="0.3">
      <c r="B25" s="203" t="s">
        <v>234</v>
      </c>
      <c r="C25" s="48">
        <v>45482</v>
      </c>
      <c r="D25" s="207">
        <f t="shared" si="1"/>
        <v>195</v>
      </c>
      <c r="E25" s="166">
        <v>500</v>
      </c>
      <c r="F25" s="205">
        <v>0.39</v>
      </c>
      <c r="G25" s="47"/>
      <c r="H25" s="47"/>
      <c r="I25" s="26">
        <f t="shared" si="0"/>
        <v>243.75</v>
      </c>
    </row>
    <row r="26" spans="1:10" x14ac:dyDescent="0.3">
      <c r="A26">
        <v>18.399999999999999</v>
      </c>
      <c r="B26" s="203" t="s">
        <v>280</v>
      </c>
      <c r="C26" s="48">
        <v>45482</v>
      </c>
      <c r="D26" s="207">
        <f t="shared" si="1"/>
        <v>1641</v>
      </c>
      <c r="E26" s="166">
        <v>1</v>
      </c>
      <c r="F26" s="205">
        <v>1641</v>
      </c>
      <c r="G26" s="47">
        <v>176</v>
      </c>
      <c r="H26" s="47">
        <f>176/9</f>
        <v>19.555555555555557</v>
      </c>
      <c r="I26" s="47"/>
    </row>
    <row r="27" spans="1:10" x14ac:dyDescent="0.3">
      <c r="A27">
        <v>36.5</v>
      </c>
      <c r="B27" s="203" t="s">
        <v>232</v>
      </c>
      <c r="C27" s="48">
        <v>45482</v>
      </c>
      <c r="D27" s="207">
        <f t="shared" si="1"/>
        <v>2742.6</v>
      </c>
      <c r="E27" s="166">
        <v>14</v>
      </c>
      <c r="F27" s="205">
        <v>195.9</v>
      </c>
      <c r="G27" s="47"/>
      <c r="H27" s="47"/>
      <c r="I27" s="47"/>
    </row>
    <row r="28" spans="1:10" x14ac:dyDescent="0.3">
      <c r="B28" s="203" t="s">
        <v>180</v>
      </c>
      <c r="C28" s="48">
        <v>45482</v>
      </c>
      <c r="D28" s="207">
        <f t="shared" si="1"/>
        <v>605</v>
      </c>
      <c r="E28" s="166">
        <v>100</v>
      </c>
      <c r="F28" s="205">
        <v>6.05</v>
      </c>
      <c r="G28" s="47"/>
      <c r="H28" s="47"/>
      <c r="I28" s="47"/>
    </row>
    <row r="29" spans="1:10" x14ac:dyDescent="0.3">
      <c r="A29">
        <v>37.5</v>
      </c>
      <c r="B29" s="203" t="s">
        <v>281</v>
      </c>
      <c r="C29" s="48">
        <v>45482</v>
      </c>
      <c r="D29" s="207">
        <f t="shared" si="1"/>
        <v>2190.5</v>
      </c>
      <c r="E29" s="166">
        <v>5</v>
      </c>
      <c r="F29" s="205">
        <v>438.1</v>
      </c>
      <c r="G29" s="47"/>
      <c r="H29" s="47"/>
      <c r="I29" s="47"/>
    </row>
    <row r="30" spans="1:10" x14ac:dyDescent="0.3">
      <c r="A30">
        <v>19.2</v>
      </c>
      <c r="B30" s="203" t="s">
        <v>282</v>
      </c>
      <c r="C30" s="48">
        <v>45482</v>
      </c>
      <c r="D30" s="207">
        <f t="shared" si="1"/>
        <v>871.75</v>
      </c>
      <c r="E30" s="166">
        <v>11</v>
      </c>
      <c r="F30" s="205">
        <v>79.25</v>
      </c>
      <c r="G30" s="47"/>
      <c r="H30" s="47"/>
      <c r="I30" s="47"/>
    </row>
    <row r="31" spans="1:10" x14ac:dyDescent="0.3">
      <c r="A31">
        <v>118</v>
      </c>
      <c r="B31" s="203" t="s">
        <v>197</v>
      </c>
      <c r="C31" s="48">
        <v>45482</v>
      </c>
      <c r="D31" s="207">
        <f t="shared" si="1"/>
        <v>5844.6</v>
      </c>
      <c r="E31" s="166">
        <v>34</v>
      </c>
      <c r="F31" s="205">
        <v>171.9</v>
      </c>
      <c r="G31" s="47"/>
      <c r="H31" s="47"/>
      <c r="I31" s="51">
        <v>100000</v>
      </c>
      <c r="J31">
        <v>715</v>
      </c>
    </row>
    <row r="32" spans="1:10" x14ac:dyDescent="0.3">
      <c r="A32">
        <v>37.5</v>
      </c>
      <c r="B32" s="203" t="s">
        <v>283</v>
      </c>
      <c r="C32" s="48">
        <v>45489</v>
      </c>
      <c r="D32" s="207">
        <f t="shared" si="1"/>
        <v>2223</v>
      </c>
      <c r="E32" s="166">
        <v>5</v>
      </c>
      <c r="F32" s="205">
        <v>444.6</v>
      </c>
      <c r="G32" s="47">
        <v>120</v>
      </c>
      <c r="H32" s="47">
        <f>120/70</f>
        <v>1.7142857142857142</v>
      </c>
      <c r="I32" s="47"/>
    </row>
    <row r="33" spans="1:9" x14ac:dyDescent="0.3">
      <c r="A33">
        <v>63</v>
      </c>
      <c r="B33" s="203" t="s">
        <v>284</v>
      </c>
      <c r="C33" s="48">
        <v>45489</v>
      </c>
      <c r="D33" s="207">
        <f t="shared" si="1"/>
        <v>2835</v>
      </c>
      <c r="E33" s="166">
        <v>15</v>
      </c>
      <c r="F33" s="205">
        <v>189</v>
      </c>
      <c r="G33" s="47"/>
      <c r="H33" s="47"/>
      <c r="I33" s="47"/>
    </row>
    <row r="34" spans="1:9" x14ac:dyDescent="0.3">
      <c r="B34" s="203" t="s">
        <v>180</v>
      </c>
      <c r="C34" s="48">
        <v>45500</v>
      </c>
      <c r="D34" s="207">
        <f t="shared" si="1"/>
        <v>599</v>
      </c>
      <c r="E34" s="166">
        <v>100</v>
      </c>
      <c r="F34" s="205">
        <v>5.99</v>
      </c>
      <c r="G34" s="47"/>
      <c r="H34" s="47"/>
      <c r="I34" s="47"/>
    </row>
    <row r="35" spans="1:9" x14ac:dyDescent="0.3">
      <c r="A35">
        <v>8.1999999999999993</v>
      </c>
      <c r="B35" s="203" t="s">
        <v>290</v>
      </c>
      <c r="C35" s="48">
        <v>45500</v>
      </c>
      <c r="D35" s="207">
        <f t="shared" si="1"/>
        <v>8400</v>
      </c>
      <c r="E35" s="166">
        <v>50</v>
      </c>
      <c r="F35" s="205">
        <v>168</v>
      </c>
      <c r="G35" s="47">
        <v>350</v>
      </c>
      <c r="H35" s="47">
        <f>350/100</f>
        <v>3.5</v>
      </c>
      <c r="I35" s="47"/>
    </row>
    <row r="36" spans="1:9" x14ac:dyDescent="0.3">
      <c r="A36">
        <v>118</v>
      </c>
      <c r="B36" s="203" t="s">
        <v>197</v>
      </c>
      <c r="C36" s="48">
        <v>45500</v>
      </c>
      <c r="D36" s="207">
        <f t="shared" si="1"/>
        <v>10465</v>
      </c>
      <c r="E36" s="166">
        <v>65</v>
      </c>
      <c r="F36" s="205">
        <v>161</v>
      </c>
      <c r="G36" s="47"/>
      <c r="H36" s="47"/>
      <c r="I36" s="47">
        <f>I31/J31</f>
        <v>139.86013986013987</v>
      </c>
    </row>
    <row r="37" spans="1:9" x14ac:dyDescent="0.3">
      <c r="A37">
        <v>14.4</v>
      </c>
      <c r="B37" s="203" t="s">
        <v>292</v>
      </c>
      <c r="C37" s="48">
        <v>45502</v>
      </c>
      <c r="D37" s="207">
        <f t="shared" si="1"/>
        <v>37250</v>
      </c>
      <c r="E37" s="166">
        <v>250</v>
      </c>
      <c r="F37" s="205">
        <v>149</v>
      </c>
      <c r="G37" s="47"/>
      <c r="H37" s="47"/>
      <c r="I37" s="47"/>
    </row>
    <row r="38" spans="1:9" x14ac:dyDescent="0.3">
      <c r="A38">
        <v>26.5</v>
      </c>
      <c r="B38" s="203" t="s">
        <v>293</v>
      </c>
      <c r="C38" s="48">
        <v>45502</v>
      </c>
      <c r="D38" s="207">
        <f t="shared" si="1"/>
        <v>1050</v>
      </c>
      <c r="E38" s="166">
        <v>10</v>
      </c>
      <c r="F38" s="205">
        <v>105</v>
      </c>
      <c r="G38" s="47"/>
      <c r="H38" s="47"/>
      <c r="I38" s="47"/>
    </row>
    <row r="39" spans="1:9" x14ac:dyDescent="0.3">
      <c r="A39">
        <v>7.9</v>
      </c>
      <c r="B39" s="203" t="s">
        <v>294</v>
      </c>
      <c r="C39" s="48">
        <v>45502</v>
      </c>
      <c r="D39" s="207">
        <f t="shared" si="1"/>
        <v>588</v>
      </c>
      <c r="E39" s="166">
        <v>30</v>
      </c>
      <c r="F39" s="205">
        <v>19.600000000000001</v>
      </c>
      <c r="G39" s="47"/>
      <c r="H39" s="47"/>
      <c r="I39" s="47"/>
    </row>
    <row r="40" spans="1:9" x14ac:dyDescent="0.3">
      <c r="A40">
        <v>7.9</v>
      </c>
      <c r="B40" s="203" t="s">
        <v>233</v>
      </c>
      <c r="C40" s="48">
        <v>45502</v>
      </c>
      <c r="D40" s="209">
        <f>-(E40*F40)</f>
        <v>-795</v>
      </c>
      <c r="E40" s="166">
        <v>1</v>
      </c>
      <c r="F40" s="205">
        <v>795</v>
      </c>
      <c r="G40" s="47"/>
      <c r="H40" s="47"/>
      <c r="I40" s="47"/>
    </row>
    <row r="41" spans="1:9" x14ac:dyDescent="0.3">
      <c r="A41">
        <v>118</v>
      </c>
      <c r="B41" s="203" t="s">
        <v>197</v>
      </c>
      <c r="C41" s="48">
        <v>45505</v>
      </c>
      <c r="D41" s="207">
        <f>E41*F41</f>
        <v>2254</v>
      </c>
      <c r="E41" s="166">
        <v>14</v>
      </c>
      <c r="F41" s="205">
        <v>161</v>
      </c>
      <c r="G41" s="47"/>
      <c r="H41" s="47"/>
      <c r="I41" s="47"/>
    </row>
    <row r="42" spans="1:9" x14ac:dyDescent="0.3">
      <c r="B42" s="203" t="s">
        <v>295</v>
      </c>
      <c r="C42" s="48">
        <v>45505</v>
      </c>
      <c r="D42" s="207">
        <f>-(E42*F42)</f>
        <v>-2820</v>
      </c>
      <c r="E42" s="166">
        <v>30</v>
      </c>
      <c r="F42" s="205">
        <v>94</v>
      </c>
      <c r="G42" s="47"/>
      <c r="H42" s="47"/>
      <c r="I42" s="47">
        <f>100*700</f>
        <v>70000</v>
      </c>
    </row>
    <row r="43" spans="1:9" x14ac:dyDescent="0.3">
      <c r="B43" s="210" t="s">
        <v>310</v>
      </c>
      <c r="C43" s="33"/>
      <c r="D43" s="201"/>
      <c r="E43" s="213">
        <v>16</v>
      </c>
      <c r="F43" s="211"/>
      <c r="G43">
        <v>56</v>
      </c>
      <c r="H43">
        <f>56/16</f>
        <v>3.5</v>
      </c>
    </row>
    <row r="44" spans="1:9" x14ac:dyDescent="0.3">
      <c r="B44" s="210" t="s">
        <v>306</v>
      </c>
      <c r="E44" s="213">
        <v>100</v>
      </c>
      <c r="F44" s="211">
        <v>70000</v>
      </c>
    </row>
    <row r="45" spans="1:9" x14ac:dyDescent="0.3">
      <c r="B45" s="210" t="s">
        <v>290</v>
      </c>
      <c r="E45" s="213">
        <v>400</v>
      </c>
      <c r="F45" s="211">
        <v>70000</v>
      </c>
    </row>
    <row r="46" spans="1:9" x14ac:dyDescent="0.3">
      <c r="B46" s="210" t="s">
        <v>292</v>
      </c>
      <c r="E46" s="212">
        <v>250</v>
      </c>
      <c r="F46" s="211">
        <v>35000</v>
      </c>
    </row>
  </sheetData>
  <autoFilter ref="A4:I46" xr:uid="{00000000-0001-0000-0100-000000000000}"/>
  <mergeCells count="2">
    <mergeCell ref="D2:E2"/>
    <mergeCell ref="D3:E3"/>
  </mergeCells>
  <pageMargins left="0.7" right="0.7" top="0.75" bottom="0.75" header="0.3" footer="0.3"/>
  <pageSetup orientation="portrait" r:id="rId1"/>
  <headerFooter>
    <oddFooter>&amp;CGE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W67"/>
  <sheetViews>
    <sheetView workbookViewId="0"/>
  </sheetViews>
  <sheetFormatPr defaultRowHeight="14.4" x14ac:dyDescent="0.3"/>
  <cols>
    <col min="1" max="1" width="7.6640625" style="38" bestFit="1" customWidth="1"/>
    <col min="2" max="2" width="11.5546875" style="37" bestFit="1" customWidth="1"/>
    <col min="3" max="3" width="13.44140625" style="38" bestFit="1" customWidth="1"/>
    <col min="4" max="4" width="10.5546875" bestFit="1" customWidth="1"/>
    <col min="5" max="5" width="15.88671875" bestFit="1" customWidth="1"/>
    <col min="6" max="6" width="13.44140625" style="38" bestFit="1" customWidth="1"/>
    <col min="7" max="7" width="9.33203125" bestFit="1" customWidth="1"/>
    <col min="8" max="8" width="15.44140625" bestFit="1" customWidth="1"/>
    <col min="9" max="9" width="9.6640625" bestFit="1" customWidth="1"/>
    <col min="10" max="10" width="10.44140625" bestFit="1" customWidth="1"/>
    <col min="11" max="11" width="16" bestFit="1" customWidth="1"/>
    <col min="12" max="12" width="10.6640625" bestFit="1" customWidth="1"/>
    <col min="13" max="13" width="14.33203125" bestFit="1" customWidth="1"/>
    <col min="14" max="14" width="10.6640625" bestFit="1" customWidth="1"/>
    <col min="15" max="15" width="12.33203125" bestFit="1" customWidth="1"/>
    <col min="16" max="16" width="6.109375" bestFit="1" customWidth="1"/>
    <col min="17" max="17" width="12.109375" bestFit="1" customWidth="1"/>
    <col min="20" max="20" width="10.6640625" bestFit="1" customWidth="1"/>
    <col min="21" max="21" width="14.6640625" customWidth="1"/>
  </cols>
  <sheetData>
    <row r="1" spans="1:23" x14ac:dyDescent="0.3">
      <c r="A1" s="39" t="s">
        <v>45</v>
      </c>
      <c r="B1" s="40" t="s">
        <v>44</v>
      </c>
      <c r="C1" s="39" t="s">
        <v>46</v>
      </c>
      <c r="D1" s="41">
        <v>977326</v>
      </c>
      <c r="E1" s="41"/>
      <c r="F1" s="39" t="s">
        <v>48</v>
      </c>
      <c r="G1" s="41"/>
      <c r="H1" s="41"/>
      <c r="M1" s="35" t="s">
        <v>24</v>
      </c>
      <c r="N1" s="35">
        <v>43886</v>
      </c>
      <c r="O1" s="35"/>
      <c r="P1" s="34" t="s">
        <v>20</v>
      </c>
      <c r="Q1" s="36">
        <v>29000</v>
      </c>
    </row>
    <row r="2" spans="1:23" x14ac:dyDescent="0.3">
      <c r="A2" s="38">
        <v>1</v>
      </c>
      <c r="B2" s="107">
        <v>43743</v>
      </c>
      <c r="C2" s="108">
        <v>22000</v>
      </c>
      <c r="D2" s="109" t="s">
        <v>46</v>
      </c>
      <c r="F2" s="45">
        <v>21618</v>
      </c>
      <c r="G2" s="45">
        <f>C2-F2</f>
        <v>382</v>
      </c>
      <c r="H2" s="46" t="s">
        <v>47</v>
      </c>
      <c r="M2" s="35" t="s">
        <v>22</v>
      </c>
      <c r="N2" s="35">
        <v>44040</v>
      </c>
      <c r="O2" s="35" t="s">
        <v>23</v>
      </c>
      <c r="P2" s="34" t="s">
        <v>20</v>
      </c>
      <c r="Q2" s="36">
        <v>35000</v>
      </c>
    </row>
    <row r="3" spans="1:23" x14ac:dyDescent="0.3">
      <c r="A3" s="38">
        <v>2</v>
      </c>
      <c r="B3" s="107">
        <v>43774</v>
      </c>
      <c r="C3" s="108">
        <v>22000</v>
      </c>
      <c r="D3" s="109" t="s">
        <v>46</v>
      </c>
      <c r="F3" s="45">
        <v>21618</v>
      </c>
      <c r="G3" s="45">
        <f t="shared" ref="G3:G62" si="0">C3-F3</f>
        <v>382</v>
      </c>
      <c r="H3" s="46" t="s">
        <v>47</v>
      </c>
      <c r="Q3" s="36"/>
      <c r="T3" s="29">
        <v>44136</v>
      </c>
      <c r="U3" s="29">
        <f>T3-T6</f>
        <v>42311</v>
      </c>
    </row>
    <row r="4" spans="1:23" x14ac:dyDescent="0.3">
      <c r="A4" s="38">
        <v>3</v>
      </c>
      <c r="B4" s="107">
        <v>43804</v>
      </c>
      <c r="C4" s="108">
        <v>22000</v>
      </c>
      <c r="D4" s="109" t="s">
        <v>46</v>
      </c>
      <c r="F4" s="45">
        <v>21618</v>
      </c>
      <c r="G4" s="45">
        <f t="shared" si="0"/>
        <v>382</v>
      </c>
      <c r="H4" s="46" t="s">
        <v>47</v>
      </c>
    </row>
    <row r="5" spans="1:23" x14ac:dyDescent="0.3">
      <c r="A5" s="38">
        <v>4</v>
      </c>
      <c r="B5" s="107">
        <v>43835</v>
      </c>
      <c r="C5" s="108">
        <v>22000</v>
      </c>
      <c r="D5" s="109" t="s">
        <v>46</v>
      </c>
      <c r="F5" s="45">
        <v>21618</v>
      </c>
      <c r="G5" s="45">
        <f t="shared" si="0"/>
        <v>382</v>
      </c>
      <c r="H5" s="46" t="s">
        <v>47</v>
      </c>
    </row>
    <row r="6" spans="1:23" x14ac:dyDescent="0.3">
      <c r="A6" s="38">
        <v>5</v>
      </c>
      <c r="B6" s="107">
        <v>43866</v>
      </c>
      <c r="C6" s="108">
        <v>22000</v>
      </c>
      <c r="D6" s="109" t="s">
        <v>46</v>
      </c>
      <c r="F6" s="45">
        <v>21618</v>
      </c>
      <c r="G6" s="45">
        <f t="shared" si="0"/>
        <v>382</v>
      </c>
      <c r="H6" s="46" t="s">
        <v>47</v>
      </c>
      <c r="T6">
        <f>365*5</f>
        <v>1825</v>
      </c>
    </row>
    <row r="7" spans="1:23" x14ac:dyDescent="0.3">
      <c r="A7" s="38">
        <v>6</v>
      </c>
      <c r="B7" s="107">
        <v>43895</v>
      </c>
      <c r="C7" s="108">
        <v>22000</v>
      </c>
      <c r="D7" s="109" t="s">
        <v>46</v>
      </c>
      <c r="F7" s="45">
        <v>21618</v>
      </c>
      <c r="G7" s="45">
        <f t="shared" si="0"/>
        <v>382</v>
      </c>
      <c r="H7" s="46" t="s">
        <v>47</v>
      </c>
    </row>
    <row r="8" spans="1:23" x14ac:dyDescent="0.3">
      <c r="A8" s="38">
        <v>7</v>
      </c>
      <c r="B8" s="107">
        <v>43926</v>
      </c>
      <c r="C8" s="108">
        <v>22000</v>
      </c>
      <c r="D8" s="109" t="s">
        <v>46</v>
      </c>
      <c r="F8" s="45">
        <v>21618</v>
      </c>
      <c r="G8" s="45">
        <f t="shared" si="0"/>
        <v>382</v>
      </c>
      <c r="H8" s="46" t="s">
        <v>47</v>
      </c>
    </row>
    <row r="9" spans="1:23" x14ac:dyDescent="0.3">
      <c r="A9" s="38">
        <v>8</v>
      </c>
      <c r="B9" s="107">
        <v>43956</v>
      </c>
      <c r="C9" s="108">
        <v>22000</v>
      </c>
      <c r="D9" s="109" t="s">
        <v>46</v>
      </c>
      <c r="F9" s="45">
        <v>21618</v>
      </c>
      <c r="G9" s="45">
        <f t="shared" si="0"/>
        <v>382</v>
      </c>
      <c r="H9" s="46" t="s">
        <v>47</v>
      </c>
    </row>
    <row r="10" spans="1:23" x14ac:dyDescent="0.3">
      <c r="A10" s="38">
        <v>9</v>
      </c>
      <c r="B10" s="107">
        <v>43987</v>
      </c>
      <c r="C10" s="108">
        <v>22000</v>
      </c>
      <c r="D10" s="109" t="s">
        <v>46</v>
      </c>
      <c r="F10" s="45">
        <v>21618</v>
      </c>
      <c r="G10" s="45">
        <f t="shared" si="0"/>
        <v>382</v>
      </c>
      <c r="H10" s="46" t="s">
        <v>47</v>
      </c>
    </row>
    <row r="11" spans="1:23" x14ac:dyDescent="0.3">
      <c r="A11" s="38">
        <v>10</v>
      </c>
      <c r="B11" s="107">
        <v>44017</v>
      </c>
      <c r="C11" s="108">
        <v>22000</v>
      </c>
      <c r="D11" s="109" t="s">
        <v>46</v>
      </c>
      <c r="F11" s="45">
        <v>21618</v>
      </c>
      <c r="G11" s="45">
        <f t="shared" si="0"/>
        <v>382</v>
      </c>
      <c r="H11" s="46" t="s">
        <v>47</v>
      </c>
      <c r="M11" t="s">
        <v>34</v>
      </c>
      <c r="N11" t="s">
        <v>35</v>
      </c>
      <c r="O11">
        <v>0.13500000000000001</v>
      </c>
    </row>
    <row r="12" spans="1:23" x14ac:dyDescent="0.3">
      <c r="A12" s="38">
        <v>11</v>
      </c>
      <c r="B12" s="107">
        <v>44048</v>
      </c>
      <c r="C12" s="108">
        <v>22000</v>
      </c>
      <c r="D12" s="109" t="s">
        <v>46</v>
      </c>
      <c r="F12" s="45">
        <v>21618</v>
      </c>
      <c r="G12" s="45">
        <f t="shared" si="0"/>
        <v>382</v>
      </c>
      <c r="H12" s="46" t="s">
        <v>47</v>
      </c>
      <c r="M12" t="s">
        <v>36</v>
      </c>
      <c r="N12" t="s">
        <v>35</v>
      </c>
      <c r="O12">
        <v>0.19500000000000001</v>
      </c>
      <c r="V12">
        <v>15</v>
      </c>
      <c r="W12">
        <v>70000</v>
      </c>
    </row>
    <row r="13" spans="1:23" x14ac:dyDescent="0.3">
      <c r="A13" s="38">
        <v>12</v>
      </c>
      <c r="B13" s="107">
        <v>44079</v>
      </c>
      <c r="C13" s="108">
        <v>22000</v>
      </c>
      <c r="D13" s="109" t="s">
        <v>46</v>
      </c>
      <c r="F13" s="45">
        <v>21618</v>
      </c>
      <c r="G13" s="45">
        <f t="shared" si="0"/>
        <v>382</v>
      </c>
      <c r="H13" s="46" t="s">
        <v>47</v>
      </c>
      <c r="M13" t="s">
        <v>37</v>
      </c>
      <c r="N13" t="s">
        <v>35</v>
      </c>
      <c r="O13">
        <v>1.0049999999999999</v>
      </c>
    </row>
    <row r="14" spans="1:23" x14ac:dyDescent="0.3">
      <c r="A14" s="38">
        <v>13</v>
      </c>
      <c r="B14" s="107">
        <v>44109</v>
      </c>
      <c r="C14" s="108">
        <v>22000</v>
      </c>
      <c r="D14" s="109" t="s">
        <v>46</v>
      </c>
      <c r="E14" s="33">
        <v>44154</v>
      </c>
      <c r="F14" s="45">
        <v>21618</v>
      </c>
      <c r="G14" s="45">
        <f t="shared" si="0"/>
        <v>382</v>
      </c>
      <c r="H14" s="46" t="s">
        <v>50</v>
      </c>
      <c r="M14" t="s">
        <v>38</v>
      </c>
      <c r="N14" t="s">
        <v>35</v>
      </c>
      <c r="O14">
        <v>4.4999999999999998E-2</v>
      </c>
    </row>
    <row r="15" spans="1:23" x14ac:dyDescent="0.3">
      <c r="A15" s="38">
        <v>14</v>
      </c>
      <c r="B15" s="107">
        <v>44140</v>
      </c>
      <c r="C15" s="108">
        <v>22000</v>
      </c>
      <c r="D15" s="109" t="s">
        <v>46</v>
      </c>
      <c r="E15" s="33">
        <v>44154</v>
      </c>
      <c r="F15" s="45">
        <v>21618</v>
      </c>
      <c r="G15" s="45">
        <f t="shared" si="0"/>
        <v>382</v>
      </c>
      <c r="M15" t="s">
        <v>39</v>
      </c>
      <c r="N15" t="s">
        <v>35</v>
      </c>
      <c r="O15">
        <v>0.29499999999999998</v>
      </c>
    </row>
    <row r="16" spans="1:23" x14ac:dyDescent="0.3">
      <c r="A16" s="38">
        <v>15</v>
      </c>
      <c r="B16" s="107">
        <v>44170</v>
      </c>
      <c r="C16" s="108">
        <v>22000</v>
      </c>
      <c r="D16" s="109" t="s">
        <v>46</v>
      </c>
      <c r="E16" s="33">
        <v>44221</v>
      </c>
      <c r="F16" s="45">
        <v>20467</v>
      </c>
      <c r="G16" s="45">
        <v>382</v>
      </c>
    </row>
    <row r="17" spans="1:15" x14ac:dyDescent="0.3">
      <c r="A17" s="89">
        <v>16</v>
      </c>
      <c r="B17" s="90">
        <v>44201</v>
      </c>
      <c r="C17" s="91">
        <v>22000</v>
      </c>
      <c r="D17" s="89" t="s">
        <v>46</v>
      </c>
      <c r="E17" s="92">
        <v>44221</v>
      </c>
      <c r="F17" s="91">
        <v>21618</v>
      </c>
      <c r="G17" s="93">
        <f t="shared" si="0"/>
        <v>382</v>
      </c>
      <c r="O17">
        <f>SUM(O11:O15)</f>
        <v>1.6749999999999998</v>
      </c>
    </row>
    <row r="18" spans="1:15" x14ac:dyDescent="0.3">
      <c r="A18" s="38">
        <v>17</v>
      </c>
      <c r="B18" s="106">
        <v>44232</v>
      </c>
      <c r="C18" s="43">
        <v>0</v>
      </c>
      <c r="D18" s="42" t="s">
        <v>96</v>
      </c>
      <c r="F18" s="45">
        <v>21618</v>
      </c>
      <c r="G18" s="28">
        <f t="shared" si="0"/>
        <v>-21618</v>
      </c>
    </row>
    <row r="19" spans="1:15" x14ac:dyDescent="0.3">
      <c r="A19" s="38">
        <v>18</v>
      </c>
      <c r="B19" s="106">
        <v>44260</v>
      </c>
      <c r="C19" s="43">
        <v>0</v>
      </c>
      <c r="D19" s="42" t="s">
        <v>96</v>
      </c>
      <c r="F19" s="45">
        <v>21618</v>
      </c>
      <c r="G19" s="28">
        <f t="shared" si="0"/>
        <v>-21618</v>
      </c>
      <c r="H19" s="28"/>
    </row>
    <row r="20" spans="1:15" x14ac:dyDescent="0.3">
      <c r="A20" s="38">
        <v>19</v>
      </c>
      <c r="B20" s="106">
        <v>44291</v>
      </c>
      <c r="C20" s="43">
        <v>0</v>
      </c>
      <c r="D20" s="42" t="s">
        <v>96</v>
      </c>
      <c r="F20" s="45">
        <v>21618</v>
      </c>
      <c r="G20" s="28">
        <f t="shared" si="0"/>
        <v>-21618</v>
      </c>
    </row>
    <row r="21" spans="1:15" x14ac:dyDescent="0.3">
      <c r="A21" s="38">
        <v>20</v>
      </c>
      <c r="B21" s="106">
        <v>44321</v>
      </c>
      <c r="C21" s="43">
        <v>0</v>
      </c>
      <c r="D21" s="42" t="s">
        <v>96</v>
      </c>
      <c r="F21" s="45">
        <v>21618</v>
      </c>
      <c r="G21" s="28">
        <f t="shared" si="0"/>
        <v>-21618</v>
      </c>
    </row>
    <row r="22" spans="1:15" x14ac:dyDescent="0.3">
      <c r="A22" s="38">
        <v>21</v>
      </c>
      <c r="B22" s="106">
        <v>44352</v>
      </c>
      <c r="C22" s="43">
        <v>0</v>
      </c>
      <c r="D22" s="42" t="s">
        <v>96</v>
      </c>
      <c r="F22" s="45">
        <v>21618</v>
      </c>
      <c r="G22" s="28">
        <f t="shared" si="0"/>
        <v>-21618</v>
      </c>
    </row>
    <row r="23" spans="1:15" x14ac:dyDescent="0.3">
      <c r="A23" s="38">
        <v>22</v>
      </c>
      <c r="B23" s="106">
        <v>44382</v>
      </c>
      <c r="C23" s="43">
        <v>0</v>
      </c>
      <c r="D23" s="42" t="s">
        <v>96</v>
      </c>
      <c r="F23" s="45">
        <v>21618</v>
      </c>
      <c r="G23" s="28">
        <f t="shared" si="0"/>
        <v>-21618</v>
      </c>
    </row>
    <row r="24" spans="1:15" x14ac:dyDescent="0.3">
      <c r="A24" s="38">
        <v>23</v>
      </c>
      <c r="B24" s="106">
        <v>44413</v>
      </c>
      <c r="C24" s="43">
        <v>0</v>
      </c>
      <c r="D24" s="42" t="s">
        <v>96</v>
      </c>
      <c r="F24" s="45">
        <v>21618</v>
      </c>
      <c r="G24" s="28">
        <f t="shared" si="0"/>
        <v>-21618</v>
      </c>
      <c r="I24" s="44"/>
      <c r="K24" s="25"/>
      <c r="L24" s="25"/>
      <c r="M24" s="25"/>
      <c r="N24" s="25"/>
      <c r="O24" s="25"/>
    </row>
    <row r="25" spans="1:15" x14ac:dyDescent="0.3">
      <c r="A25" s="38">
        <v>24</v>
      </c>
      <c r="B25" s="106">
        <v>44444</v>
      </c>
      <c r="C25" s="43">
        <v>0</v>
      </c>
      <c r="D25" s="42" t="s">
        <v>96</v>
      </c>
      <c r="F25" s="45">
        <v>21618</v>
      </c>
      <c r="G25" s="28">
        <f t="shared" si="0"/>
        <v>-21618</v>
      </c>
      <c r="H25" t="s">
        <v>94</v>
      </c>
      <c r="I25" s="44"/>
      <c r="O25" s="25"/>
    </row>
    <row r="26" spans="1:15" x14ac:dyDescent="0.3">
      <c r="A26" s="38">
        <v>25</v>
      </c>
      <c r="B26" s="106">
        <v>44474</v>
      </c>
      <c r="C26" s="43">
        <v>0</v>
      </c>
      <c r="D26" s="42" t="s">
        <v>96</v>
      </c>
      <c r="F26" s="45">
        <v>21618</v>
      </c>
      <c r="G26" s="28">
        <f t="shared" si="0"/>
        <v>-21618</v>
      </c>
      <c r="H26" t="s">
        <v>94</v>
      </c>
      <c r="I26" s="44"/>
    </row>
    <row r="27" spans="1:15" x14ac:dyDescent="0.3">
      <c r="A27" s="38">
        <v>26</v>
      </c>
      <c r="B27" s="106">
        <v>44505</v>
      </c>
      <c r="C27" s="43">
        <v>0</v>
      </c>
      <c r="D27" s="42" t="s">
        <v>96</v>
      </c>
      <c r="F27" s="45">
        <v>21618</v>
      </c>
      <c r="G27" s="28">
        <f t="shared" si="0"/>
        <v>-21618</v>
      </c>
    </row>
    <row r="28" spans="1:15" x14ac:dyDescent="0.3">
      <c r="A28" s="38">
        <v>27</v>
      </c>
      <c r="B28" s="106">
        <v>44535</v>
      </c>
      <c r="C28" s="43">
        <v>0</v>
      </c>
      <c r="D28" s="42" t="s">
        <v>96</v>
      </c>
      <c r="F28" s="45">
        <v>21618</v>
      </c>
      <c r="G28" s="28">
        <f t="shared" si="0"/>
        <v>-21618</v>
      </c>
    </row>
    <row r="29" spans="1:15" x14ac:dyDescent="0.3">
      <c r="A29" s="38">
        <v>28</v>
      </c>
      <c r="B29" s="106">
        <v>44566</v>
      </c>
      <c r="C29" s="43">
        <v>0</v>
      </c>
      <c r="D29" s="42" t="s">
        <v>96</v>
      </c>
      <c r="F29" s="45">
        <v>21618</v>
      </c>
      <c r="G29" s="28">
        <f t="shared" si="0"/>
        <v>-21618</v>
      </c>
    </row>
    <row r="30" spans="1:15" x14ac:dyDescent="0.3">
      <c r="A30" s="38">
        <v>29</v>
      </c>
      <c r="B30" s="106">
        <v>44597</v>
      </c>
      <c r="C30" s="43">
        <v>0</v>
      </c>
      <c r="D30" s="42" t="s">
        <v>96</v>
      </c>
      <c r="F30" s="45">
        <v>21618</v>
      </c>
      <c r="G30" s="28">
        <f t="shared" si="0"/>
        <v>-21618</v>
      </c>
    </row>
    <row r="31" spans="1:15" x14ac:dyDescent="0.3">
      <c r="A31" s="38">
        <v>30</v>
      </c>
      <c r="B31" s="106">
        <v>44625</v>
      </c>
      <c r="C31" s="43">
        <v>0</v>
      </c>
      <c r="D31" s="42" t="s">
        <v>96</v>
      </c>
      <c r="F31" s="45">
        <v>21618</v>
      </c>
      <c r="G31" s="28">
        <f t="shared" si="0"/>
        <v>-21618</v>
      </c>
      <c r="K31" s="25"/>
    </row>
    <row r="32" spans="1:15" x14ac:dyDescent="0.3">
      <c r="A32" s="38">
        <v>31</v>
      </c>
      <c r="B32" s="106">
        <v>44656</v>
      </c>
      <c r="C32" s="43">
        <v>0</v>
      </c>
      <c r="D32" s="42" t="s">
        <v>96</v>
      </c>
      <c r="F32" s="45">
        <v>21618</v>
      </c>
      <c r="G32" s="28">
        <f t="shared" si="0"/>
        <v>-21618</v>
      </c>
    </row>
    <row r="33" spans="1:10" x14ac:dyDescent="0.3">
      <c r="A33" s="89">
        <v>32</v>
      </c>
      <c r="B33" s="90">
        <v>44686</v>
      </c>
      <c r="C33" s="91">
        <v>22000</v>
      </c>
      <c r="D33" s="89" t="s">
        <v>46</v>
      </c>
      <c r="E33" s="92"/>
      <c r="F33" s="91">
        <v>21618</v>
      </c>
      <c r="G33" s="93">
        <f t="shared" si="0"/>
        <v>382</v>
      </c>
    </row>
    <row r="34" spans="1:10" x14ac:dyDescent="0.3">
      <c r="A34" s="38">
        <v>33</v>
      </c>
      <c r="B34" s="106">
        <v>44717</v>
      </c>
      <c r="C34" s="43">
        <v>0</v>
      </c>
      <c r="D34" s="42" t="s">
        <v>96</v>
      </c>
      <c r="F34" s="45">
        <v>21618</v>
      </c>
      <c r="G34" s="28">
        <f t="shared" si="0"/>
        <v>-21618</v>
      </c>
    </row>
    <row r="35" spans="1:10" x14ac:dyDescent="0.3">
      <c r="A35" s="38">
        <v>34</v>
      </c>
      <c r="B35" s="106">
        <v>44747</v>
      </c>
      <c r="C35" s="43">
        <v>0</v>
      </c>
      <c r="D35" s="42" t="s">
        <v>96</v>
      </c>
      <c r="F35" s="45">
        <v>21618</v>
      </c>
      <c r="G35" s="28">
        <f t="shared" si="0"/>
        <v>-21618</v>
      </c>
    </row>
    <row r="36" spans="1:10" x14ac:dyDescent="0.3">
      <c r="A36" s="38">
        <v>35</v>
      </c>
      <c r="B36" s="106">
        <v>44778</v>
      </c>
      <c r="C36" s="43">
        <v>0</v>
      </c>
      <c r="D36" s="42" t="s">
        <v>96</v>
      </c>
      <c r="F36" s="45">
        <v>21618</v>
      </c>
      <c r="G36" s="28">
        <f t="shared" si="0"/>
        <v>-21618</v>
      </c>
    </row>
    <row r="37" spans="1:10" x14ac:dyDescent="0.3">
      <c r="A37" s="38">
        <v>36</v>
      </c>
      <c r="B37" s="106">
        <v>44809</v>
      </c>
      <c r="C37" s="43">
        <v>0</v>
      </c>
      <c r="D37" s="42" t="s">
        <v>96</v>
      </c>
      <c r="F37" s="45">
        <v>21618</v>
      </c>
      <c r="G37" s="28">
        <f t="shared" si="0"/>
        <v>-21618</v>
      </c>
    </row>
    <row r="38" spans="1:10" x14ac:dyDescent="0.3">
      <c r="A38" s="38">
        <v>37</v>
      </c>
      <c r="B38" s="106">
        <v>44839</v>
      </c>
      <c r="C38" s="43">
        <v>0</v>
      </c>
      <c r="D38" s="42" t="s">
        <v>96</v>
      </c>
      <c r="F38" s="45">
        <v>21618</v>
      </c>
      <c r="G38" s="28">
        <f t="shared" si="0"/>
        <v>-21618</v>
      </c>
    </row>
    <row r="39" spans="1:10" x14ac:dyDescent="0.3">
      <c r="A39" s="38">
        <v>38</v>
      </c>
      <c r="B39" s="106">
        <v>44870</v>
      </c>
      <c r="C39" s="43">
        <v>0</v>
      </c>
      <c r="D39" s="42" t="s">
        <v>96</v>
      </c>
      <c r="F39" s="45">
        <v>21618</v>
      </c>
      <c r="G39" s="28">
        <f t="shared" si="0"/>
        <v>-21618</v>
      </c>
    </row>
    <row r="40" spans="1:10" x14ac:dyDescent="0.3">
      <c r="A40" s="38">
        <v>39</v>
      </c>
      <c r="B40" s="106">
        <v>44900</v>
      </c>
      <c r="C40" s="43">
        <v>0</v>
      </c>
      <c r="D40" s="42" t="s">
        <v>96</v>
      </c>
      <c r="F40" s="45">
        <v>21618</v>
      </c>
      <c r="G40" s="28">
        <f t="shared" si="0"/>
        <v>-21618</v>
      </c>
    </row>
    <row r="41" spans="1:10" x14ac:dyDescent="0.3">
      <c r="A41" s="38">
        <v>40</v>
      </c>
      <c r="B41" s="106">
        <v>44931</v>
      </c>
      <c r="C41" s="43">
        <v>0</v>
      </c>
      <c r="D41" s="42" t="s">
        <v>96</v>
      </c>
      <c r="F41" s="45">
        <v>21618</v>
      </c>
      <c r="G41" s="28">
        <f t="shared" si="0"/>
        <v>-21618</v>
      </c>
    </row>
    <row r="42" spans="1:10" x14ac:dyDescent="0.3">
      <c r="A42" s="38">
        <v>41</v>
      </c>
      <c r="B42" s="106">
        <v>44962</v>
      </c>
      <c r="C42" s="43">
        <v>0</v>
      </c>
      <c r="D42" s="42" t="s">
        <v>96</v>
      </c>
      <c r="E42">
        <v>384931</v>
      </c>
      <c r="F42" s="45">
        <v>21618</v>
      </c>
      <c r="G42" s="28">
        <f t="shared" si="0"/>
        <v>-21618</v>
      </c>
      <c r="J42">
        <f>5000*12</f>
        <v>60000</v>
      </c>
    </row>
    <row r="43" spans="1:10" x14ac:dyDescent="0.3">
      <c r="A43" s="38">
        <v>42</v>
      </c>
      <c r="B43" s="106">
        <v>44990</v>
      </c>
      <c r="C43" s="43">
        <v>0</v>
      </c>
      <c r="D43" s="42" t="s">
        <v>96</v>
      </c>
      <c r="F43" s="45">
        <v>21618</v>
      </c>
      <c r="G43" s="28">
        <f t="shared" si="0"/>
        <v>-21618</v>
      </c>
      <c r="J43">
        <v>100000</v>
      </c>
    </row>
    <row r="44" spans="1:10" x14ac:dyDescent="0.3">
      <c r="A44" s="38">
        <v>43</v>
      </c>
      <c r="B44" s="106">
        <v>45021</v>
      </c>
      <c r="C44" s="43">
        <v>0</v>
      </c>
      <c r="D44" s="42" t="s">
        <v>96</v>
      </c>
      <c r="F44" s="45">
        <v>21618</v>
      </c>
      <c r="G44" s="28">
        <f t="shared" si="0"/>
        <v>-21618</v>
      </c>
    </row>
    <row r="45" spans="1:10" x14ac:dyDescent="0.3">
      <c r="A45" s="38">
        <v>44</v>
      </c>
      <c r="B45" s="106">
        <v>45051</v>
      </c>
      <c r="C45" s="43">
        <v>0</v>
      </c>
      <c r="D45" s="42" t="s">
        <v>96</v>
      </c>
      <c r="F45" s="45">
        <v>21618</v>
      </c>
      <c r="G45" s="28">
        <f t="shared" si="0"/>
        <v>-21618</v>
      </c>
    </row>
    <row r="46" spans="1:10" x14ac:dyDescent="0.3">
      <c r="A46" s="38">
        <v>45</v>
      </c>
      <c r="B46" s="106">
        <v>45082</v>
      </c>
      <c r="C46" s="43">
        <v>0</v>
      </c>
      <c r="D46" s="42" t="s">
        <v>96</v>
      </c>
      <c r="F46" s="45">
        <v>21618</v>
      </c>
      <c r="G46" s="28">
        <f t="shared" si="0"/>
        <v>-21618</v>
      </c>
    </row>
    <row r="47" spans="1:10" x14ac:dyDescent="0.3">
      <c r="A47" s="38">
        <v>46</v>
      </c>
      <c r="B47" s="106">
        <v>45112</v>
      </c>
      <c r="C47" s="43">
        <v>0</v>
      </c>
      <c r="D47" s="42" t="s">
        <v>96</v>
      </c>
      <c r="F47" s="45">
        <v>21618</v>
      </c>
      <c r="G47" s="28">
        <f t="shared" si="0"/>
        <v>-21618</v>
      </c>
    </row>
    <row r="48" spans="1:10" x14ac:dyDescent="0.3">
      <c r="A48" s="38">
        <v>47</v>
      </c>
      <c r="B48" s="106">
        <v>45143</v>
      </c>
      <c r="C48" s="43">
        <v>0</v>
      </c>
      <c r="D48" s="42" t="s">
        <v>96</v>
      </c>
      <c r="F48" s="45">
        <v>21618</v>
      </c>
      <c r="G48" s="28">
        <f t="shared" si="0"/>
        <v>-21618</v>
      </c>
    </row>
    <row r="49" spans="1:13" x14ac:dyDescent="0.3">
      <c r="A49" s="38">
        <v>48</v>
      </c>
      <c r="B49" s="106">
        <v>45174</v>
      </c>
      <c r="C49" s="43">
        <v>0</v>
      </c>
      <c r="D49" s="42" t="s">
        <v>96</v>
      </c>
      <c r="F49" s="45">
        <v>21618</v>
      </c>
      <c r="G49" s="28">
        <f t="shared" si="0"/>
        <v>-21618</v>
      </c>
    </row>
    <row r="50" spans="1:13" x14ac:dyDescent="0.3">
      <c r="A50" s="38">
        <v>49</v>
      </c>
      <c r="B50" s="106">
        <v>45204</v>
      </c>
      <c r="C50" s="43">
        <v>0</v>
      </c>
      <c r="D50" s="42" t="s">
        <v>96</v>
      </c>
      <c r="F50" s="45">
        <v>21618</v>
      </c>
      <c r="G50" s="28">
        <f t="shared" si="0"/>
        <v>-21618</v>
      </c>
    </row>
    <row r="51" spans="1:13" x14ac:dyDescent="0.3">
      <c r="A51" s="38">
        <v>50</v>
      </c>
      <c r="B51" s="106">
        <v>45235</v>
      </c>
      <c r="C51" s="43">
        <v>0</v>
      </c>
      <c r="D51" s="42" t="s">
        <v>96</v>
      </c>
      <c r="F51" s="45">
        <v>21618</v>
      </c>
      <c r="G51" s="28">
        <f t="shared" si="0"/>
        <v>-21618</v>
      </c>
    </row>
    <row r="52" spans="1:13" x14ac:dyDescent="0.3">
      <c r="A52" s="38">
        <v>51</v>
      </c>
      <c r="B52" s="106">
        <v>45265</v>
      </c>
      <c r="C52" s="43">
        <v>0</v>
      </c>
      <c r="D52" s="42" t="s">
        <v>96</v>
      </c>
      <c r="F52" s="45">
        <v>21618</v>
      </c>
      <c r="G52" s="28">
        <f t="shared" si="0"/>
        <v>-21618</v>
      </c>
    </row>
    <row r="53" spans="1:13" x14ac:dyDescent="0.3">
      <c r="A53" s="38">
        <v>52</v>
      </c>
      <c r="B53" s="106">
        <v>45296</v>
      </c>
      <c r="C53" s="43">
        <v>0</v>
      </c>
      <c r="D53" s="42" t="s">
        <v>96</v>
      </c>
      <c r="F53" s="45">
        <v>21618</v>
      </c>
      <c r="G53" s="28">
        <f t="shared" si="0"/>
        <v>-21618</v>
      </c>
    </row>
    <row r="54" spans="1:13" x14ac:dyDescent="0.3">
      <c r="A54" s="38">
        <v>53</v>
      </c>
      <c r="B54" s="106">
        <v>45327</v>
      </c>
      <c r="C54" s="43">
        <v>0</v>
      </c>
      <c r="D54" s="42" t="s">
        <v>96</v>
      </c>
      <c r="F54" s="45">
        <v>21618</v>
      </c>
      <c r="G54" s="28">
        <f t="shared" si="0"/>
        <v>-21618</v>
      </c>
    </row>
    <row r="55" spans="1:13" x14ac:dyDescent="0.3">
      <c r="A55" s="38">
        <v>54</v>
      </c>
      <c r="B55" s="106">
        <v>45356</v>
      </c>
      <c r="C55" s="43">
        <v>0</v>
      </c>
      <c r="D55" s="42" t="s">
        <v>96</v>
      </c>
      <c r="F55" s="45">
        <v>21618</v>
      </c>
      <c r="G55" s="28">
        <f t="shared" si="0"/>
        <v>-21618</v>
      </c>
      <c r="H55">
        <f>(81400+21618)</f>
        <v>103018</v>
      </c>
      <c r="I55">
        <f>E56-H55</f>
        <v>12182</v>
      </c>
      <c r="K55">
        <f>SUM(K56:K61)</f>
        <v>118593</v>
      </c>
      <c r="L55">
        <v>116060</v>
      </c>
    </row>
    <row r="56" spans="1:13" x14ac:dyDescent="0.3">
      <c r="A56" s="38">
        <v>55</v>
      </c>
      <c r="B56" s="106">
        <v>45387</v>
      </c>
      <c r="C56" s="43">
        <v>0</v>
      </c>
      <c r="D56" s="42" t="s">
        <v>96</v>
      </c>
      <c r="E56">
        <v>115200</v>
      </c>
      <c r="F56" s="45">
        <v>21618</v>
      </c>
      <c r="G56" s="28">
        <f t="shared" si="0"/>
        <v>-21618</v>
      </c>
      <c r="H56">
        <v>12</v>
      </c>
      <c r="I56">
        <f>(E56*H56)/100</f>
        <v>13824</v>
      </c>
      <c r="J56">
        <v>1032</v>
      </c>
      <c r="K56">
        <v>21618</v>
      </c>
      <c r="M56">
        <v>118593</v>
      </c>
    </row>
    <row r="57" spans="1:13" x14ac:dyDescent="0.3">
      <c r="A57" s="38">
        <v>56</v>
      </c>
      <c r="B57" s="106">
        <v>45417</v>
      </c>
      <c r="C57" s="43">
        <v>0</v>
      </c>
      <c r="D57" s="42" t="s">
        <v>96</v>
      </c>
      <c r="F57" s="45">
        <v>21618</v>
      </c>
      <c r="G57" s="28">
        <f t="shared" si="0"/>
        <v>-21618</v>
      </c>
      <c r="J57">
        <v>848</v>
      </c>
      <c r="K57">
        <v>21618</v>
      </c>
    </row>
    <row r="58" spans="1:13" x14ac:dyDescent="0.3">
      <c r="A58" s="38">
        <v>57</v>
      </c>
      <c r="B58" s="106">
        <v>45448</v>
      </c>
      <c r="C58" s="43">
        <v>0</v>
      </c>
      <c r="D58" s="42" t="s">
        <v>96</v>
      </c>
      <c r="F58" s="45">
        <v>21618</v>
      </c>
      <c r="G58" s="28">
        <f t="shared" si="0"/>
        <v>-21618</v>
      </c>
      <c r="J58">
        <v>662</v>
      </c>
      <c r="K58">
        <v>21618</v>
      </c>
    </row>
    <row r="59" spans="1:13" x14ac:dyDescent="0.3">
      <c r="A59" s="38">
        <v>58</v>
      </c>
      <c r="B59" s="106">
        <v>45478</v>
      </c>
      <c r="C59" s="43">
        <v>0</v>
      </c>
      <c r="D59" s="42" t="s">
        <v>96</v>
      </c>
      <c r="F59" s="45">
        <v>21618</v>
      </c>
      <c r="G59" s="28">
        <f t="shared" si="0"/>
        <v>-21618</v>
      </c>
      <c r="J59">
        <v>474</v>
      </c>
      <c r="K59">
        <v>21618</v>
      </c>
    </row>
    <row r="60" spans="1:13" x14ac:dyDescent="0.3">
      <c r="A60" s="38">
        <v>59</v>
      </c>
      <c r="B60" s="106">
        <v>45509</v>
      </c>
      <c r="C60" s="43">
        <v>0</v>
      </c>
      <c r="D60" s="42" t="s">
        <v>96</v>
      </c>
      <c r="F60" s="45">
        <v>21618</v>
      </c>
      <c r="G60" s="28">
        <f t="shared" si="0"/>
        <v>-21618</v>
      </c>
      <c r="J60">
        <v>284</v>
      </c>
      <c r="K60">
        <v>21618</v>
      </c>
    </row>
    <row r="61" spans="1:13" x14ac:dyDescent="0.3">
      <c r="A61" s="38">
        <v>60</v>
      </c>
      <c r="B61" s="94">
        <v>45540</v>
      </c>
      <c r="C61" s="44">
        <v>0</v>
      </c>
      <c r="F61" s="44">
        <v>21618</v>
      </c>
      <c r="G61" s="28">
        <f t="shared" si="0"/>
        <v>-21618</v>
      </c>
      <c r="J61">
        <v>93</v>
      </c>
      <c r="K61">
        <v>10503</v>
      </c>
    </row>
    <row r="62" spans="1:13" x14ac:dyDescent="0.3">
      <c r="A62" s="38">
        <v>61</v>
      </c>
      <c r="B62" s="94">
        <v>45570</v>
      </c>
      <c r="C62" s="44">
        <v>0</v>
      </c>
      <c r="F62" s="44">
        <v>10503</v>
      </c>
      <c r="G62" s="28">
        <f t="shared" si="0"/>
        <v>-10503</v>
      </c>
    </row>
    <row r="63" spans="1:13" x14ac:dyDescent="0.3">
      <c r="B63" s="37" t="s">
        <v>55</v>
      </c>
      <c r="C63" s="44">
        <f>SUM(C2:C61)</f>
        <v>374000</v>
      </c>
      <c r="E63" s="95" t="s">
        <v>97</v>
      </c>
      <c r="F63" s="44">
        <f>SUM(F1:F62)</f>
        <v>1306432</v>
      </c>
    </row>
    <row r="64" spans="1:13" x14ac:dyDescent="0.3">
      <c r="C64" s="44"/>
      <c r="F64" s="44"/>
    </row>
    <row r="65" spans="2:7" x14ac:dyDescent="0.3">
      <c r="B65" s="37" t="s">
        <v>98</v>
      </c>
      <c r="C65" s="44">
        <f>F65-SUM(C2:C61)</f>
        <v>932432</v>
      </c>
      <c r="F65" s="44">
        <f>SUM(F2:F62)</f>
        <v>1306432</v>
      </c>
      <c r="G65">
        <f>SUM(G1:G62)</f>
        <v>-933583</v>
      </c>
    </row>
    <row r="66" spans="2:7" x14ac:dyDescent="0.3">
      <c r="C66" s="44"/>
    </row>
    <row r="67" spans="2:7" x14ac:dyDescent="0.3">
      <c r="D67" s="115">
        <f>SUM(F42:F62)-E42</f>
        <v>57932</v>
      </c>
    </row>
  </sheetData>
  <pageMargins left="0.7" right="0.7" top="0.75" bottom="0.75" header="0.3" footer="0.3"/>
  <pageSetup paperSize="9" orientation="portrait" r:id="rId1"/>
  <headerFooter>
    <oddFooter>&amp;CGE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Z73"/>
  <sheetViews>
    <sheetView zoomScale="120" zoomScaleNormal="120" workbookViewId="0">
      <selection activeCell="F8" sqref="F8"/>
    </sheetView>
  </sheetViews>
  <sheetFormatPr defaultRowHeight="14.4" x14ac:dyDescent="0.3"/>
  <cols>
    <col min="1" max="1" width="12.6640625" bestFit="1" customWidth="1"/>
    <col min="2" max="2" width="13" bestFit="1" customWidth="1"/>
    <col min="3" max="3" width="20.5546875" bestFit="1" customWidth="1"/>
    <col min="4" max="4" width="17" bestFit="1" customWidth="1"/>
    <col min="5" max="5" width="14" bestFit="1" customWidth="1"/>
    <col min="6" max="6" width="12.6640625" bestFit="1" customWidth="1"/>
    <col min="7" max="7" width="14.5546875" customWidth="1"/>
    <col min="8" max="8" width="12.6640625" bestFit="1" customWidth="1"/>
    <col min="9" max="9" width="18.88671875" bestFit="1" customWidth="1"/>
    <col min="10" max="10" width="19.6640625" customWidth="1"/>
    <col min="11" max="11" width="14" bestFit="1" customWidth="1"/>
    <col min="12" max="12" width="8.5546875" bestFit="1" customWidth="1"/>
    <col min="13" max="13" width="10.44140625" bestFit="1" customWidth="1"/>
    <col min="14" max="14" width="9.6640625" bestFit="1" customWidth="1"/>
    <col min="17" max="17" width="13.88671875" bestFit="1" customWidth="1"/>
    <col min="18" max="18" width="10.6640625" bestFit="1" customWidth="1"/>
    <col min="19" max="19" width="19.88671875" bestFit="1" customWidth="1"/>
    <col min="21" max="21" width="10.44140625" bestFit="1" customWidth="1"/>
    <col min="22" max="22" width="9.88671875" bestFit="1" customWidth="1"/>
    <col min="26" max="26" width="12.6640625" bestFit="1" customWidth="1"/>
  </cols>
  <sheetData>
    <row r="1" spans="1:4" x14ac:dyDescent="0.3">
      <c r="A1" s="219" t="s">
        <v>250</v>
      </c>
      <c r="B1" s="220"/>
      <c r="C1" s="220"/>
      <c r="D1" s="221"/>
    </row>
    <row r="2" spans="1:4" x14ac:dyDescent="0.3">
      <c r="A2" s="102" t="s">
        <v>111</v>
      </c>
      <c r="B2" s="160">
        <f>SUM(B3:B17)</f>
        <v>150000</v>
      </c>
      <c r="C2" s="173" t="s">
        <v>248</v>
      </c>
      <c r="D2" s="103" t="s">
        <v>112</v>
      </c>
    </row>
    <row r="3" spans="1:4" x14ac:dyDescent="0.3">
      <c r="A3" s="172">
        <v>45371</v>
      </c>
      <c r="B3" s="190">
        <v>10000</v>
      </c>
      <c r="C3" t="s">
        <v>249</v>
      </c>
      <c r="D3" s="128">
        <v>147000</v>
      </c>
    </row>
    <row r="4" spans="1:4" x14ac:dyDescent="0.3">
      <c r="A4" s="172">
        <v>45402</v>
      </c>
      <c r="B4" s="190">
        <v>10000</v>
      </c>
      <c r="C4" t="s">
        <v>249</v>
      </c>
      <c r="D4" s="128">
        <v>148000</v>
      </c>
    </row>
    <row r="5" spans="1:4" x14ac:dyDescent="0.3">
      <c r="A5" s="172">
        <v>45432</v>
      </c>
      <c r="B5" s="190">
        <v>10000</v>
      </c>
      <c r="C5" t="s">
        <v>249</v>
      </c>
      <c r="D5" s="128">
        <v>149000</v>
      </c>
    </row>
    <row r="6" spans="1:4" x14ac:dyDescent="0.3">
      <c r="A6" s="172">
        <v>45463</v>
      </c>
      <c r="B6" s="190">
        <v>10000</v>
      </c>
      <c r="C6" t="s">
        <v>267</v>
      </c>
      <c r="D6" s="128">
        <v>150000</v>
      </c>
    </row>
    <row r="7" spans="1:4" x14ac:dyDescent="0.3">
      <c r="A7" s="172">
        <v>45493</v>
      </c>
      <c r="B7" s="190">
        <v>10000</v>
      </c>
      <c r="C7" t="s">
        <v>273</v>
      </c>
      <c r="D7" s="128">
        <v>151000</v>
      </c>
    </row>
    <row r="8" spans="1:4" x14ac:dyDescent="0.3">
      <c r="A8" s="172">
        <v>45524</v>
      </c>
      <c r="B8" s="190">
        <v>10000</v>
      </c>
      <c r="C8" t="s">
        <v>296</v>
      </c>
      <c r="D8" s="128">
        <v>152000</v>
      </c>
    </row>
    <row r="9" spans="1:4" x14ac:dyDescent="0.3">
      <c r="A9" s="172">
        <v>45555</v>
      </c>
      <c r="B9" s="101">
        <v>10000</v>
      </c>
      <c r="D9" s="128">
        <v>153000</v>
      </c>
    </row>
    <row r="10" spans="1:4" x14ac:dyDescent="0.3">
      <c r="A10" s="172">
        <v>45585</v>
      </c>
      <c r="B10" s="101">
        <v>10000</v>
      </c>
      <c r="D10" s="128">
        <v>154000</v>
      </c>
    </row>
    <row r="11" spans="1:4" x14ac:dyDescent="0.3">
      <c r="A11" s="172">
        <v>45616</v>
      </c>
      <c r="B11" s="101">
        <v>10000</v>
      </c>
      <c r="D11" s="128">
        <v>155000</v>
      </c>
    </row>
    <row r="12" spans="1:4" x14ac:dyDescent="0.3">
      <c r="A12" s="172">
        <v>45646</v>
      </c>
      <c r="B12" s="101">
        <v>10000</v>
      </c>
      <c r="D12" s="128">
        <v>156000</v>
      </c>
    </row>
    <row r="13" spans="1:4" x14ac:dyDescent="0.3">
      <c r="A13" s="172">
        <v>45677</v>
      </c>
      <c r="B13" s="101">
        <v>10000</v>
      </c>
      <c r="D13" s="128">
        <v>157000</v>
      </c>
    </row>
    <row r="14" spans="1:4" x14ac:dyDescent="0.3">
      <c r="A14" s="172">
        <v>45708</v>
      </c>
      <c r="B14" s="101">
        <v>10000</v>
      </c>
      <c r="D14" s="128">
        <v>158000</v>
      </c>
    </row>
    <row r="15" spans="1:4" x14ac:dyDescent="0.3">
      <c r="A15" s="172">
        <v>45736</v>
      </c>
      <c r="B15" s="101">
        <v>10000</v>
      </c>
      <c r="D15" s="128">
        <v>159000</v>
      </c>
    </row>
    <row r="16" spans="1:4" x14ac:dyDescent="0.3">
      <c r="A16" s="172">
        <v>45767</v>
      </c>
      <c r="B16" s="101">
        <v>10000</v>
      </c>
      <c r="D16" s="128">
        <v>160000</v>
      </c>
    </row>
    <row r="17" spans="1:26" x14ac:dyDescent="0.3">
      <c r="A17" s="172">
        <v>45797</v>
      </c>
      <c r="B17" s="101">
        <v>10000</v>
      </c>
      <c r="D17" s="128">
        <v>161000</v>
      </c>
    </row>
    <row r="18" spans="1:26" ht="15" thickBot="1" x14ac:dyDescent="0.35"/>
    <row r="19" spans="1:26" ht="15" thickBot="1" x14ac:dyDescent="0.35">
      <c r="A19" s="227" t="s">
        <v>90</v>
      </c>
      <c r="B19" s="227"/>
      <c r="C19" s="227"/>
      <c r="D19" s="227"/>
      <c r="F19" s="219" t="s">
        <v>91</v>
      </c>
      <c r="G19" s="220"/>
      <c r="H19" s="220"/>
      <c r="I19" s="221"/>
      <c r="Z19" s="25"/>
    </row>
    <row r="20" spans="1:26" x14ac:dyDescent="0.3">
      <c r="A20" s="30" t="s">
        <v>40</v>
      </c>
      <c r="B20" s="31" t="s">
        <v>41</v>
      </c>
      <c r="C20" s="31" t="s">
        <v>6</v>
      </c>
      <c r="D20" s="32" t="s">
        <v>42</v>
      </c>
      <c r="F20" s="81" t="s">
        <v>40</v>
      </c>
      <c r="G20" s="82" t="s">
        <v>41</v>
      </c>
      <c r="H20" s="84" t="s">
        <v>6</v>
      </c>
      <c r="I20" s="82" t="s">
        <v>42</v>
      </c>
    </row>
    <row r="21" spans="1:26" x14ac:dyDescent="0.3">
      <c r="A21" s="73">
        <v>43728</v>
      </c>
      <c r="B21" s="74">
        <v>5000</v>
      </c>
      <c r="C21" s="75" t="s">
        <v>43</v>
      </c>
      <c r="D21" s="76">
        <v>43726</v>
      </c>
      <c r="F21" s="86">
        <v>44336</v>
      </c>
      <c r="G21" s="74">
        <v>5000</v>
      </c>
      <c r="H21" s="88" t="s">
        <v>6</v>
      </c>
      <c r="I21" s="104">
        <v>44319</v>
      </c>
      <c r="K21">
        <f>SUM(K23:K35)</f>
        <v>23196.11</v>
      </c>
      <c r="L21">
        <v>51047.24</v>
      </c>
      <c r="M21">
        <f>L21+K21</f>
        <v>74243.350000000006</v>
      </c>
      <c r="O21" s="223"/>
      <c r="P21" s="223"/>
      <c r="Q21" s="223"/>
      <c r="R21" s="223"/>
    </row>
    <row r="22" spans="1:26" x14ac:dyDescent="0.3">
      <c r="A22" s="73">
        <v>43758</v>
      </c>
      <c r="B22" s="74">
        <v>5000</v>
      </c>
      <c r="C22" s="75" t="s">
        <v>43</v>
      </c>
      <c r="D22" s="76">
        <v>43743</v>
      </c>
      <c r="F22" s="86">
        <v>44367</v>
      </c>
      <c r="G22" s="74">
        <v>5000</v>
      </c>
      <c r="H22" s="88" t="s">
        <v>6</v>
      </c>
      <c r="I22" s="105">
        <v>44349</v>
      </c>
      <c r="K22" s="223"/>
      <c r="L22" s="223"/>
      <c r="M22" s="223"/>
      <c r="N22" s="223"/>
      <c r="S22" s="223"/>
      <c r="T22" s="223"/>
      <c r="U22" s="223"/>
      <c r="V22" s="223"/>
    </row>
    <row r="23" spans="1:26" x14ac:dyDescent="0.3">
      <c r="A23" s="73">
        <v>43789</v>
      </c>
      <c r="B23" s="74">
        <v>5000</v>
      </c>
      <c r="C23" s="75" t="s">
        <v>43</v>
      </c>
      <c r="D23" s="76">
        <v>43688</v>
      </c>
      <c r="F23" s="86">
        <v>44397</v>
      </c>
      <c r="G23" s="74">
        <v>5000</v>
      </c>
      <c r="H23" s="88" t="s">
        <v>6</v>
      </c>
      <c r="I23" s="104">
        <v>44380</v>
      </c>
      <c r="K23">
        <v>836.62</v>
      </c>
      <c r="L23">
        <v>19000</v>
      </c>
      <c r="Y23" s="33"/>
    </row>
    <row r="24" spans="1:26" x14ac:dyDescent="0.3">
      <c r="A24" s="73">
        <v>43819</v>
      </c>
      <c r="B24" s="74">
        <v>5000</v>
      </c>
      <c r="C24" s="75" t="s">
        <v>43</v>
      </c>
      <c r="D24" s="76">
        <v>43801</v>
      </c>
      <c r="F24" s="86">
        <v>44428</v>
      </c>
      <c r="G24" s="74">
        <v>5000</v>
      </c>
      <c r="H24" s="88" t="s">
        <v>6</v>
      </c>
      <c r="I24" s="104">
        <v>44415</v>
      </c>
      <c r="K24">
        <v>1300</v>
      </c>
      <c r="L24">
        <v>29000</v>
      </c>
      <c r="M24">
        <f>M21-SUM(L23:L25)</f>
        <v>26243.350000000006</v>
      </c>
      <c r="N24" t="s">
        <v>150</v>
      </c>
      <c r="O24">
        <v>22500</v>
      </c>
      <c r="P24">
        <f>O24-7700</f>
        <v>14800</v>
      </c>
      <c r="Y24" s="33"/>
    </row>
    <row r="25" spans="1:26" x14ac:dyDescent="0.3">
      <c r="A25" s="73">
        <v>43850</v>
      </c>
      <c r="B25" s="74">
        <v>5000</v>
      </c>
      <c r="C25" s="75" t="s">
        <v>43</v>
      </c>
      <c r="D25" s="76">
        <v>43836</v>
      </c>
      <c r="F25" s="86">
        <v>44459</v>
      </c>
      <c r="G25" s="74">
        <v>5000</v>
      </c>
      <c r="H25" s="88" t="s">
        <v>6</v>
      </c>
      <c r="I25" s="104">
        <v>44440</v>
      </c>
      <c r="K25">
        <v>317</v>
      </c>
      <c r="M25">
        <v>11250</v>
      </c>
      <c r="N25" t="s">
        <v>149</v>
      </c>
    </row>
    <row r="26" spans="1:26" x14ac:dyDescent="0.3">
      <c r="A26" s="73">
        <v>43881</v>
      </c>
      <c r="B26" s="74">
        <v>5000</v>
      </c>
      <c r="C26" s="75" t="s">
        <v>43</v>
      </c>
      <c r="D26" s="76">
        <v>43862</v>
      </c>
      <c r="F26" s="86">
        <v>44489</v>
      </c>
      <c r="G26" s="74">
        <v>10000</v>
      </c>
      <c r="H26" s="88" t="s">
        <v>6</v>
      </c>
      <c r="I26" s="104">
        <v>44471</v>
      </c>
      <c r="K26">
        <v>1799</v>
      </c>
      <c r="M26">
        <f>M24-M25</f>
        <v>14993.350000000006</v>
      </c>
      <c r="N26" t="s">
        <v>151</v>
      </c>
      <c r="O26">
        <f>O24-M26</f>
        <v>7506.6499999999942</v>
      </c>
    </row>
    <row r="27" spans="1:26" x14ac:dyDescent="0.3">
      <c r="A27" s="73">
        <v>43910</v>
      </c>
      <c r="B27" s="74">
        <v>5000</v>
      </c>
      <c r="C27" s="75" t="s">
        <v>43</v>
      </c>
      <c r="D27" s="76">
        <v>43892</v>
      </c>
      <c r="F27" s="86">
        <v>44520</v>
      </c>
      <c r="G27" s="74">
        <v>10000</v>
      </c>
      <c r="H27" s="88" t="s">
        <v>6</v>
      </c>
      <c r="I27" s="104">
        <v>44501</v>
      </c>
      <c r="K27">
        <v>505.9</v>
      </c>
    </row>
    <row r="28" spans="1:26" x14ac:dyDescent="0.3">
      <c r="A28" s="73">
        <v>43941</v>
      </c>
      <c r="B28" s="74">
        <v>5000</v>
      </c>
      <c r="C28" s="75" t="s">
        <v>43</v>
      </c>
      <c r="D28" s="76">
        <v>43925</v>
      </c>
      <c r="F28" s="86">
        <v>44550</v>
      </c>
      <c r="G28" s="74">
        <v>10000</v>
      </c>
      <c r="H28" s="88" t="s">
        <v>6</v>
      </c>
      <c r="I28" s="104">
        <v>44531</v>
      </c>
      <c r="K28">
        <v>10052</v>
      </c>
    </row>
    <row r="29" spans="1:26" x14ac:dyDescent="0.3">
      <c r="A29" s="73">
        <v>43971</v>
      </c>
      <c r="B29" s="74">
        <v>5000</v>
      </c>
      <c r="C29" s="75" t="s">
        <v>43</v>
      </c>
      <c r="D29" s="76">
        <v>43957</v>
      </c>
      <c r="F29" s="86">
        <v>44581</v>
      </c>
      <c r="G29" s="74">
        <v>10000</v>
      </c>
      <c r="H29" s="88" t="s">
        <v>6</v>
      </c>
      <c r="I29" s="104">
        <v>44562</v>
      </c>
      <c r="K29">
        <v>599</v>
      </c>
    </row>
    <row r="30" spans="1:26" x14ac:dyDescent="0.3">
      <c r="A30" s="73">
        <v>44002</v>
      </c>
      <c r="B30" s="74">
        <v>5000</v>
      </c>
      <c r="C30" s="75" t="s">
        <v>43</v>
      </c>
      <c r="D30" s="76"/>
      <c r="F30" s="86">
        <v>44612</v>
      </c>
      <c r="G30" s="74">
        <v>10000</v>
      </c>
      <c r="H30" s="88" t="s">
        <v>6</v>
      </c>
      <c r="I30" s="104">
        <v>44593</v>
      </c>
      <c r="K30">
        <v>499</v>
      </c>
    </row>
    <row r="31" spans="1:26" x14ac:dyDescent="0.3">
      <c r="A31" s="73">
        <v>44032</v>
      </c>
      <c r="B31" s="74">
        <v>5000</v>
      </c>
      <c r="C31" s="75" t="s">
        <v>43</v>
      </c>
      <c r="D31" s="76"/>
      <c r="F31" s="86">
        <v>44640</v>
      </c>
      <c r="G31" s="74">
        <v>10000</v>
      </c>
      <c r="H31" s="88" t="s">
        <v>6</v>
      </c>
      <c r="I31" s="104">
        <v>44621</v>
      </c>
      <c r="K31">
        <v>324</v>
      </c>
    </row>
    <row r="32" spans="1:26" x14ac:dyDescent="0.3">
      <c r="A32" s="73">
        <v>44063</v>
      </c>
      <c r="B32" s="74">
        <v>5000</v>
      </c>
      <c r="C32" s="75" t="s">
        <v>43</v>
      </c>
      <c r="D32" s="76"/>
      <c r="F32" s="86">
        <v>44671</v>
      </c>
      <c r="G32" s="74">
        <v>10000</v>
      </c>
      <c r="H32" s="88" t="s">
        <v>6</v>
      </c>
      <c r="I32" s="104">
        <v>44652</v>
      </c>
      <c r="K32">
        <v>1175.0899999999999</v>
      </c>
    </row>
    <row r="33" spans="1:11" x14ac:dyDescent="0.3">
      <c r="A33" s="73">
        <v>44094</v>
      </c>
      <c r="B33" s="74">
        <v>5000</v>
      </c>
      <c r="C33" s="75" t="s">
        <v>43</v>
      </c>
      <c r="D33" s="76">
        <v>44075</v>
      </c>
      <c r="F33" s="86">
        <v>44701</v>
      </c>
      <c r="G33" s="74">
        <v>10000</v>
      </c>
      <c r="H33" s="88" t="s">
        <v>6</v>
      </c>
      <c r="I33" s="104">
        <v>44682</v>
      </c>
      <c r="K33">
        <v>395</v>
      </c>
    </row>
    <row r="34" spans="1:11" x14ac:dyDescent="0.3">
      <c r="A34" s="73">
        <v>44124</v>
      </c>
      <c r="B34" s="74">
        <v>5000</v>
      </c>
      <c r="C34" s="75" t="s">
        <v>43</v>
      </c>
      <c r="D34" s="76">
        <v>44109</v>
      </c>
      <c r="F34" s="86">
        <v>44732</v>
      </c>
      <c r="G34" s="74">
        <v>10000</v>
      </c>
      <c r="H34" s="88" t="s">
        <v>6</v>
      </c>
      <c r="I34" s="104">
        <v>44713</v>
      </c>
      <c r="K34">
        <v>4370</v>
      </c>
    </row>
    <row r="35" spans="1:11" x14ac:dyDescent="0.3">
      <c r="A35" s="73">
        <v>44155</v>
      </c>
      <c r="B35" s="74">
        <v>5000</v>
      </c>
      <c r="C35" s="75" t="s">
        <v>43</v>
      </c>
      <c r="D35" s="76">
        <v>44137</v>
      </c>
      <c r="F35" s="86">
        <v>44762</v>
      </c>
      <c r="G35" s="74">
        <v>10000</v>
      </c>
      <c r="H35" s="88" t="s">
        <v>6</v>
      </c>
      <c r="I35" s="104">
        <v>44743</v>
      </c>
      <c r="K35">
        <v>1023.5</v>
      </c>
    </row>
    <row r="36" spans="1:11" x14ac:dyDescent="0.3">
      <c r="A36" s="73">
        <v>44185</v>
      </c>
      <c r="B36" s="74">
        <v>5000</v>
      </c>
      <c r="C36" s="75" t="s">
        <v>43</v>
      </c>
      <c r="D36" s="76">
        <v>44168</v>
      </c>
      <c r="F36" s="86">
        <v>44793</v>
      </c>
      <c r="G36" s="74">
        <v>10000</v>
      </c>
      <c r="H36" s="88" t="s">
        <v>6</v>
      </c>
      <c r="I36" s="104">
        <v>44774</v>
      </c>
    </row>
    <row r="37" spans="1:11" x14ac:dyDescent="0.3">
      <c r="A37" s="73">
        <v>44216</v>
      </c>
      <c r="B37" s="74">
        <v>5000</v>
      </c>
      <c r="C37" s="75" t="s">
        <v>43</v>
      </c>
      <c r="D37" s="76">
        <v>44198</v>
      </c>
      <c r="F37" s="86">
        <v>44824</v>
      </c>
      <c r="G37" s="74">
        <v>10000</v>
      </c>
      <c r="H37" s="88" t="s">
        <v>6</v>
      </c>
      <c r="I37" s="104">
        <v>44805</v>
      </c>
    </row>
    <row r="38" spans="1:11" x14ac:dyDescent="0.3">
      <c r="A38" s="73">
        <v>44247</v>
      </c>
      <c r="B38" s="74">
        <v>5000</v>
      </c>
      <c r="C38" s="75" t="s">
        <v>43</v>
      </c>
      <c r="D38" s="76">
        <v>44245</v>
      </c>
      <c r="F38" s="86">
        <v>44854</v>
      </c>
      <c r="G38" s="74">
        <v>10000</v>
      </c>
      <c r="H38" s="88" t="s">
        <v>6</v>
      </c>
      <c r="I38" s="104">
        <v>44835</v>
      </c>
    </row>
    <row r="39" spans="1:11" x14ac:dyDescent="0.3">
      <c r="A39" s="73">
        <v>44275</v>
      </c>
      <c r="B39" s="74">
        <v>5000</v>
      </c>
      <c r="C39" s="75" t="s">
        <v>43</v>
      </c>
      <c r="D39" s="76">
        <v>44256</v>
      </c>
      <c r="F39" s="86">
        <v>44885</v>
      </c>
      <c r="G39" s="74">
        <v>6000</v>
      </c>
      <c r="H39" s="88" t="s">
        <v>6</v>
      </c>
      <c r="I39" s="104">
        <v>44866</v>
      </c>
    </row>
    <row r="40" spans="1:11" ht="15" thickBot="1" x14ac:dyDescent="0.35">
      <c r="A40" s="73">
        <v>44306</v>
      </c>
      <c r="B40" s="77">
        <v>5000</v>
      </c>
      <c r="C40" s="225" t="s">
        <v>89</v>
      </c>
      <c r="D40" s="226"/>
      <c r="F40" s="87">
        <v>44915</v>
      </c>
      <c r="G40" s="74">
        <v>6000</v>
      </c>
      <c r="H40" s="88" t="s">
        <v>6</v>
      </c>
      <c r="I40" s="104">
        <v>44900</v>
      </c>
    </row>
    <row r="41" spans="1:11" ht="15" thickBot="1" x14ac:dyDescent="0.35">
      <c r="A41" s="78" t="s">
        <v>55</v>
      </c>
      <c r="B41" s="79">
        <f>SUM(B21:B40)</f>
        <v>100000</v>
      </c>
      <c r="C41" s="79" t="s">
        <v>46</v>
      </c>
      <c r="D41" s="79">
        <v>109000</v>
      </c>
      <c r="F41" s="80" t="s">
        <v>55</v>
      </c>
      <c r="G41" s="83">
        <f>SUM(G21:G40)</f>
        <v>167000</v>
      </c>
      <c r="H41" s="85" t="s">
        <v>92</v>
      </c>
      <c r="I41" s="83">
        <v>228000</v>
      </c>
    </row>
    <row r="43" spans="1:11" x14ac:dyDescent="0.3">
      <c r="A43" s="224" t="s">
        <v>113</v>
      </c>
      <c r="B43" s="224"/>
      <c r="C43" s="224"/>
      <c r="D43" s="224"/>
    </row>
    <row r="44" spans="1:11" x14ac:dyDescent="0.3">
      <c r="A44" s="175" t="s">
        <v>111</v>
      </c>
      <c r="B44" s="175" t="s">
        <v>110</v>
      </c>
      <c r="C44" s="176">
        <f>SUM(B45:B56)</f>
        <v>124000</v>
      </c>
      <c r="D44" s="175" t="s">
        <v>109</v>
      </c>
      <c r="E44" s="177" t="s">
        <v>112</v>
      </c>
      <c r="G44" s="102" t="s">
        <v>111</v>
      </c>
      <c r="H44" s="160">
        <f>SUM(H45:H59)</f>
        <v>150000</v>
      </c>
      <c r="I44" s="173" t="s">
        <v>248</v>
      </c>
      <c r="J44" s="103" t="s">
        <v>112</v>
      </c>
    </row>
    <row r="45" spans="1:11" x14ac:dyDescent="0.3">
      <c r="A45" s="178">
        <v>44640</v>
      </c>
      <c r="B45" s="179">
        <v>10000</v>
      </c>
      <c r="C45" s="180" t="s">
        <v>6</v>
      </c>
      <c r="D45" s="180"/>
      <c r="E45" s="179">
        <v>117000</v>
      </c>
      <c r="G45" s="172">
        <v>45371</v>
      </c>
      <c r="H45" s="174">
        <v>10000</v>
      </c>
      <c r="I45" t="s">
        <v>249</v>
      </c>
      <c r="J45" s="128">
        <v>147000</v>
      </c>
    </row>
    <row r="46" spans="1:11" x14ac:dyDescent="0.3">
      <c r="A46" s="178">
        <v>44671</v>
      </c>
      <c r="B46" s="179">
        <v>10000</v>
      </c>
      <c r="C46" s="180" t="s">
        <v>6</v>
      </c>
      <c r="D46" s="180"/>
      <c r="E46" s="179">
        <v>118000</v>
      </c>
      <c r="G46" s="172">
        <v>45402</v>
      </c>
      <c r="H46" s="174">
        <v>10000</v>
      </c>
      <c r="I46" t="s">
        <v>249</v>
      </c>
      <c r="J46" s="128">
        <v>148000</v>
      </c>
    </row>
    <row r="47" spans="1:11" x14ac:dyDescent="0.3">
      <c r="A47" s="178">
        <v>44701</v>
      </c>
      <c r="B47" s="179">
        <v>10000</v>
      </c>
      <c r="C47" s="180" t="s">
        <v>6</v>
      </c>
      <c r="D47" s="180"/>
      <c r="E47" s="179">
        <v>119000</v>
      </c>
      <c r="G47" s="172">
        <v>45432</v>
      </c>
      <c r="H47" s="101">
        <v>10000</v>
      </c>
      <c r="J47" s="128">
        <v>149000</v>
      </c>
    </row>
    <row r="48" spans="1:11" x14ac:dyDescent="0.3">
      <c r="A48" s="178">
        <v>44732</v>
      </c>
      <c r="B48" s="179">
        <v>10000</v>
      </c>
      <c r="C48" s="180" t="s">
        <v>6</v>
      </c>
      <c r="D48" s="180"/>
      <c r="E48" s="179">
        <v>120000</v>
      </c>
      <c r="G48" s="172">
        <v>45463</v>
      </c>
      <c r="H48" s="101">
        <v>10000</v>
      </c>
      <c r="J48" s="128">
        <v>150000</v>
      </c>
    </row>
    <row r="49" spans="1:10" x14ac:dyDescent="0.3">
      <c r="A49" s="178">
        <v>44762</v>
      </c>
      <c r="B49" s="179">
        <v>10000</v>
      </c>
      <c r="C49" s="180" t="s">
        <v>6</v>
      </c>
      <c r="D49" s="180"/>
      <c r="E49" s="179">
        <v>121000</v>
      </c>
      <c r="G49" s="172">
        <v>45493</v>
      </c>
      <c r="H49" s="101">
        <v>10000</v>
      </c>
      <c r="J49" s="128">
        <v>151000</v>
      </c>
    </row>
    <row r="50" spans="1:10" x14ac:dyDescent="0.3">
      <c r="A50" s="178">
        <v>44793</v>
      </c>
      <c r="B50" s="179">
        <v>10000</v>
      </c>
      <c r="C50" s="180" t="s">
        <v>6</v>
      </c>
      <c r="D50" s="180"/>
      <c r="E50" s="179">
        <v>122000</v>
      </c>
      <c r="G50" s="172">
        <v>45524</v>
      </c>
      <c r="H50" s="101">
        <v>10000</v>
      </c>
      <c r="J50" s="128">
        <v>152000</v>
      </c>
    </row>
    <row r="51" spans="1:10" x14ac:dyDescent="0.3">
      <c r="A51" s="178">
        <v>44824</v>
      </c>
      <c r="B51" s="179">
        <v>10000</v>
      </c>
      <c r="C51" s="180" t="s">
        <v>6</v>
      </c>
      <c r="D51" s="180"/>
      <c r="E51" s="179">
        <v>123000</v>
      </c>
      <c r="G51" s="172">
        <v>45555</v>
      </c>
      <c r="H51" s="101">
        <v>10000</v>
      </c>
      <c r="J51" s="128">
        <v>153000</v>
      </c>
    </row>
    <row r="52" spans="1:10" x14ac:dyDescent="0.3">
      <c r="A52" s="178">
        <v>44854</v>
      </c>
      <c r="B52" s="179">
        <v>10000</v>
      </c>
      <c r="C52" s="180" t="s">
        <v>6</v>
      </c>
      <c r="D52" s="180"/>
      <c r="E52" s="179">
        <v>124000</v>
      </c>
      <c r="G52" s="172">
        <v>45585</v>
      </c>
      <c r="H52" s="101">
        <v>10000</v>
      </c>
      <c r="J52" s="128">
        <v>154000</v>
      </c>
    </row>
    <row r="53" spans="1:10" x14ac:dyDescent="0.3">
      <c r="A53" s="178">
        <v>44885</v>
      </c>
      <c r="B53" s="179">
        <v>11000</v>
      </c>
      <c r="C53" s="180" t="s">
        <v>6</v>
      </c>
      <c r="D53" s="180"/>
      <c r="E53" s="179">
        <v>125000</v>
      </c>
      <c r="G53" s="172">
        <v>45616</v>
      </c>
      <c r="H53" s="101">
        <v>10000</v>
      </c>
      <c r="J53" s="128">
        <v>155000</v>
      </c>
    </row>
    <row r="54" spans="1:10" ht="15" thickBot="1" x14ac:dyDescent="0.35">
      <c r="A54" s="178">
        <v>44915</v>
      </c>
      <c r="B54" s="179">
        <v>11000</v>
      </c>
      <c r="C54" s="181" t="s">
        <v>6</v>
      </c>
      <c r="D54" s="182">
        <v>44900</v>
      </c>
      <c r="E54" s="179">
        <v>126000</v>
      </c>
      <c r="G54" s="172">
        <v>45646</v>
      </c>
      <c r="H54" s="101">
        <v>10000</v>
      </c>
      <c r="J54" s="128">
        <v>156000</v>
      </c>
    </row>
    <row r="55" spans="1:10" ht="15" thickBot="1" x14ac:dyDescent="0.35">
      <c r="A55" s="178">
        <v>44946</v>
      </c>
      <c r="B55" s="179">
        <v>11000</v>
      </c>
      <c r="C55" s="181" t="s">
        <v>6</v>
      </c>
      <c r="D55" s="182">
        <v>44931</v>
      </c>
      <c r="E55" s="179">
        <v>127000</v>
      </c>
      <c r="G55" s="172">
        <v>45677</v>
      </c>
      <c r="H55" s="101">
        <v>10000</v>
      </c>
      <c r="J55" s="128">
        <v>157000</v>
      </c>
    </row>
    <row r="56" spans="1:10" x14ac:dyDescent="0.3">
      <c r="A56" s="178">
        <v>44977</v>
      </c>
      <c r="B56" s="179">
        <v>11000</v>
      </c>
      <c r="C56" s="181" t="s">
        <v>6</v>
      </c>
      <c r="D56" s="180"/>
      <c r="E56" s="179">
        <v>128000</v>
      </c>
      <c r="G56" s="172">
        <v>45708</v>
      </c>
      <c r="H56" s="101">
        <v>10000</v>
      </c>
      <c r="J56" s="128">
        <v>158000</v>
      </c>
    </row>
    <row r="57" spans="1:10" x14ac:dyDescent="0.3">
      <c r="A57" s="222" t="s">
        <v>166</v>
      </c>
      <c r="B57" s="222"/>
      <c r="C57" s="222"/>
      <c r="D57" s="222"/>
      <c r="E57" s="222"/>
      <c r="G57" s="172">
        <v>45736</v>
      </c>
      <c r="H57" s="101">
        <v>10000</v>
      </c>
      <c r="J57" s="128">
        <v>159000</v>
      </c>
    </row>
    <row r="58" spans="1:10" x14ac:dyDescent="0.3">
      <c r="A58" s="183" t="s">
        <v>111</v>
      </c>
      <c r="B58" s="183" t="s">
        <v>110</v>
      </c>
      <c r="C58" s="184">
        <f>SUM(B59:B541)</f>
        <v>121000</v>
      </c>
      <c r="D58" s="183" t="s">
        <v>109</v>
      </c>
      <c r="E58" s="185" t="s">
        <v>112</v>
      </c>
      <c r="G58" s="172">
        <v>45767</v>
      </c>
      <c r="H58" s="101">
        <v>10000</v>
      </c>
      <c r="J58" s="128">
        <v>160000</v>
      </c>
    </row>
    <row r="59" spans="1:10" x14ac:dyDescent="0.3">
      <c r="A59" s="186">
        <v>45000</v>
      </c>
      <c r="B59" s="187">
        <v>0</v>
      </c>
      <c r="C59" s="188" t="s">
        <v>6</v>
      </c>
      <c r="D59" s="188"/>
      <c r="E59" s="179">
        <v>117000</v>
      </c>
      <c r="G59" s="172">
        <v>45797</v>
      </c>
      <c r="H59" s="101">
        <v>10000</v>
      </c>
      <c r="J59" s="128">
        <v>161000</v>
      </c>
    </row>
    <row r="60" spans="1:10" x14ac:dyDescent="0.3">
      <c r="A60" s="186">
        <v>45032</v>
      </c>
      <c r="B60" s="187">
        <v>0</v>
      </c>
      <c r="C60" s="188" t="s">
        <v>6</v>
      </c>
      <c r="D60" s="188"/>
      <c r="E60" s="179">
        <v>118000</v>
      </c>
    </row>
    <row r="61" spans="1:10" x14ac:dyDescent="0.3">
      <c r="A61" s="186">
        <v>45061</v>
      </c>
      <c r="B61" s="187">
        <v>10000</v>
      </c>
      <c r="C61" s="188" t="s">
        <v>6</v>
      </c>
      <c r="D61" s="188"/>
      <c r="E61" s="179">
        <v>119000</v>
      </c>
    </row>
    <row r="62" spans="1:10" x14ac:dyDescent="0.3">
      <c r="A62" s="186">
        <v>45078</v>
      </c>
      <c r="B62" s="187">
        <v>10000</v>
      </c>
      <c r="C62" s="188" t="s">
        <v>6</v>
      </c>
      <c r="D62" s="188"/>
      <c r="E62" s="179">
        <v>120000</v>
      </c>
    </row>
    <row r="63" spans="1:10" x14ac:dyDescent="0.3">
      <c r="A63" s="186">
        <v>45120</v>
      </c>
      <c r="B63" s="187">
        <v>10000</v>
      </c>
      <c r="C63" s="188" t="s">
        <v>6</v>
      </c>
      <c r="D63" s="188"/>
      <c r="E63" s="179">
        <v>121000</v>
      </c>
    </row>
    <row r="64" spans="1:10" x14ac:dyDescent="0.3">
      <c r="A64" s="186">
        <v>45139</v>
      </c>
      <c r="B64" s="187">
        <v>20000</v>
      </c>
      <c r="C64" s="188" t="s">
        <v>6</v>
      </c>
      <c r="D64" s="188"/>
      <c r="E64" s="179">
        <v>122000</v>
      </c>
    </row>
    <row r="65" spans="1:14" x14ac:dyDescent="0.3">
      <c r="A65" s="186">
        <v>45184</v>
      </c>
      <c r="B65" s="187">
        <v>10000</v>
      </c>
      <c r="C65" s="188" t="s">
        <v>6</v>
      </c>
      <c r="D65" s="188"/>
      <c r="E65" s="179">
        <v>123000</v>
      </c>
    </row>
    <row r="66" spans="1:14" x14ac:dyDescent="0.3">
      <c r="A66" s="186">
        <v>45214</v>
      </c>
      <c r="B66" s="187">
        <v>20000</v>
      </c>
      <c r="C66" s="188" t="s">
        <v>6</v>
      </c>
      <c r="D66" s="189">
        <v>45201</v>
      </c>
      <c r="E66" s="179">
        <v>124000</v>
      </c>
    </row>
    <row r="67" spans="1:14" x14ac:dyDescent="0.3">
      <c r="A67" s="186">
        <v>45245</v>
      </c>
      <c r="B67" s="187">
        <v>10000</v>
      </c>
      <c r="C67" s="188" t="s">
        <v>6</v>
      </c>
      <c r="D67" s="188"/>
      <c r="E67" s="179">
        <v>125000</v>
      </c>
    </row>
    <row r="68" spans="1:14" x14ac:dyDescent="0.3">
      <c r="A68" s="186">
        <v>45275</v>
      </c>
      <c r="B68" s="187">
        <v>10000</v>
      </c>
      <c r="C68" s="188" t="s">
        <v>6</v>
      </c>
      <c r="D68" s="189">
        <v>45262</v>
      </c>
      <c r="E68" s="179">
        <v>126000</v>
      </c>
    </row>
    <row r="69" spans="1:14" x14ac:dyDescent="0.3">
      <c r="A69" s="186">
        <v>45306</v>
      </c>
      <c r="B69" s="187">
        <v>10000</v>
      </c>
      <c r="C69" s="188" t="s">
        <v>6</v>
      </c>
      <c r="D69" s="188" t="s">
        <v>245</v>
      </c>
      <c r="E69" s="179">
        <v>127000</v>
      </c>
    </row>
    <row r="70" spans="1:14" x14ac:dyDescent="0.3">
      <c r="A70" s="186">
        <v>45337</v>
      </c>
      <c r="B70" s="187">
        <v>11000</v>
      </c>
      <c r="C70" s="188" t="s">
        <v>6</v>
      </c>
      <c r="D70" s="186">
        <v>45327</v>
      </c>
      <c r="E70" s="179">
        <v>128000</v>
      </c>
    </row>
    <row r="71" spans="1:14" x14ac:dyDescent="0.3">
      <c r="B71" s="167"/>
    </row>
    <row r="73" spans="1:14" x14ac:dyDescent="0.3">
      <c r="A73" s="34"/>
      <c r="G73" s="111"/>
      <c r="J73" s="125" t="s">
        <v>159</v>
      </c>
      <c r="K73" t="s">
        <v>160</v>
      </c>
      <c r="L73" t="s">
        <v>161</v>
      </c>
      <c r="M73" t="s">
        <v>162</v>
      </c>
      <c r="N73" t="s">
        <v>163</v>
      </c>
    </row>
  </sheetData>
  <mergeCells count="9">
    <mergeCell ref="A1:D1"/>
    <mergeCell ref="A57:E57"/>
    <mergeCell ref="F19:I19"/>
    <mergeCell ref="S22:V22"/>
    <mergeCell ref="O21:R21"/>
    <mergeCell ref="K22:N22"/>
    <mergeCell ref="A43:D43"/>
    <mergeCell ref="C40:D40"/>
    <mergeCell ref="A19:D19"/>
  </mergeCells>
  <pageMargins left="0.7" right="0.7" top="0.75" bottom="0.75" header="0.3" footer="0.3"/>
  <pageSetup paperSize="9" orientation="portrait" r:id="rId1"/>
  <headerFooter>
    <oddFooter>&amp;CGE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V76"/>
  <sheetViews>
    <sheetView workbookViewId="0">
      <selection activeCell="E22" sqref="E22"/>
    </sheetView>
  </sheetViews>
  <sheetFormatPr defaultRowHeight="14.4" x14ac:dyDescent="0.3"/>
  <cols>
    <col min="1" max="1" width="10" bestFit="1" customWidth="1"/>
    <col min="2" max="2" width="14.109375" style="65" bestFit="1" customWidth="1"/>
    <col min="3" max="3" width="13.44140625" bestFit="1" customWidth="1"/>
    <col min="4" max="4" width="13.5546875" customWidth="1"/>
    <col min="5" max="5" width="13.44140625" style="69" bestFit="1" customWidth="1"/>
    <col min="6" max="6" width="13.44140625" bestFit="1" customWidth="1"/>
    <col min="7" max="7" width="15.88671875" bestFit="1" customWidth="1"/>
    <col min="8" max="8" width="13.44140625" bestFit="1" customWidth="1"/>
    <col min="9" max="9" width="14.109375" bestFit="1" customWidth="1"/>
    <col min="10" max="10" width="13.44140625" bestFit="1" customWidth="1"/>
    <col min="11" max="11" width="14.88671875" bestFit="1" customWidth="1"/>
    <col min="12" max="12" width="18.6640625" bestFit="1" customWidth="1"/>
    <col min="15" max="15" width="17.88671875" bestFit="1" customWidth="1"/>
    <col min="16" max="16" width="13.44140625" bestFit="1" customWidth="1"/>
    <col min="17" max="17" width="9.6640625" bestFit="1" customWidth="1"/>
    <col min="19" max="19" width="16" bestFit="1" customWidth="1"/>
    <col min="20" max="20" width="12.6640625" bestFit="1" customWidth="1"/>
    <col min="21" max="21" width="10" bestFit="1" customWidth="1"/>
    <col min="22" max="22" width="15" bestFit="1" customWidth="1"/>
  </cols>
  <sheetData>
    <row r="1" spans="1:22" x14ac:dyDescent="0.3">
      <c r="A1" s="228" t="s">
        <v>51</v>
      </c>
      <c r="B1" s="228"/>
      <c r="C1" s="228" t="s">
        <v>52</v>
      </c>
      <c r="D1" s="228"/>
      <c r="K1" s="44"/>
      <c r="O1" s="98" t="s">
        <v>99</v>
      </c>
      <c r="P1" s="99" t="s">
        <v>101</v>
      </c>
      <c r="Q1" s="97" t="s">
        <v>138</v>
      </c>
      <c r="S1" s="97" t="s">
        <v>51</v>
      </c>
      <c r="T1" s="97" t="s">
        <v>106</v>
      </c>
      <c r="U1" s="97" t="s">
        <v>102</v>
      </c>
      <c r="V1" s="97" t="s">
        <v>103</v>
      </c>
    </row>
    <row r="2" spans="1:22" x14ac:dyDescent="0.3">
      <c r="A2" s="48">
        <v>44270</v>
      </c>
      <c r="B2" s="64">
        <v>0</v>
      </c>
      <c r="C2" s="55">
        <v>44283</v>
      </c>
      <c r="D2" s="53">
        <v>385000</v>
      </c>
      <c r="F2" s="51">
        <v>2000000</v>
      </c>
      <c r="G2" s="44" t="s">
        <v>95</v>
      </c>
      <c r="K2" s="44">
        <v>2830000</v>
      </c>
      <c r="L2">
        <f>K2+1%</f>
        <v>2830000.01</v>
      </c>
      <c r="O2" t="s">
        <v>100</v>
      </c>
      <c r="P2" s="96">
        <v>162000</v>
      </c>
      <c r="S2" t="s">
        <v>107</v>
      </c>
      <c r="T2" s="44">
        <v>11250</v>
      </c>
      <c r="U2" s="33">
        <v>44884</v>
      </c>
      <c r="V2" s="33">
        <v>44884</v>
      </c>
    </row>
    <row r="3" spans="1:22" x14ac:dyDescent="0.3">
      <c r="A3" s="48"/>
      <c r="B3" s="64"/>
      <c r="C3" s="55">
        <v>44284</v>
      </c>
      <c r="D3" s="51">
        <v>200000</v>
      </c>
      <c r="F3">
        <v>29780</v>
      </c>
      <c r="G3" s="44"/>
      <c r="K3" s="44"/>
      <c r="O3" s="34">
        <v>44805</v>
      </c>
      <c r="P3" s="44">
        <v>22500</v>
      </c>
      <c r="S3" t="s">
        <v>114</v>
      </c>
      <c r="T3" s="44">
        <v>11250</v>
      </c>
      <c r="U3" s="33">
        <v>44907</v>
      </c>
      <c r="V3" s="33">
        <v>44909</v>
      </c>
    </row>
    <row r="4" spans="1:22" x14ac:dyDescent="0.3">
      <c r="A4" s="48">
        <v>44292</v>
      </c>
      <c r="B4" s="64">
        <v>1900000</v>
      </c>
      <c r="C4" s="55">
        <v>44286</v>
      </c>
      <c r="D4" s="51">
        <v>1365000</v>
      </c>
      <c r="F4">
        <v>30354</v>
      </c>
      <c r="G4" s="44">
        <f>F4-F3</f>
        <v>574</v>
      </c>
      <c r="K4" s="44">
        <v>2768523</v>
      </c>
      <c r="O4" s="34">
        <v>44835</v>
      </c>
      <c r="P4" s="44">
        <v>22500</v>
      </c>
      <c r="S4" t="s">
        <v>137</v>
      </c>
      <c r="T4" s="44">
        <v>11250</v>
      </c>
      <c r="U4" s="33">
        <v>44931</v>
      </c>
      <c r="V4" s="33">
        <v>44937</v>
      </c>
    </row>
    <row r="5" spans="1:22" x14ac:dyDescent="0.3">
      <c r="A5" s="48">
        <v>44292</v>
      </c>
      <c r="B5" s="64">
        <v>0</v>
      </c>
      <c r="C5" s="55">
        <v>44292</v>
      </c>
      <c r="D5" s="51">
        <v>2800000</v>
      </c>
      <c r="G5" s="44"/>
      <c r="H5" s="29"/>
      <c r="K5" s="44"/>
      <c r="O5" s="34">
        <v>44866</v>
      </c>
      <c r="P5" s="44">
        <v>22500</v>
      </c>
      <c r="Q5" s="33">
        <v>44909</v>
      </c>
      <c r="S5" t="s">
        <v>152</v>
      </c>
      <c r="T5" s="44">
        <v>11250</v>
      </c>
      <c r="U5" s="33">
        <v>44975</v>
      </c>
      <c r="V5" s="33">
        <v>44976</v>
      </c>
    </row>
    <row r="6" spans="1:22" x14ac:dyDescent="0.3">
      <c r="A6" s="48"/>
      <c r="B6" s="64"/>
      <c r="C6" s="48">
        <v>44293</v>
      </c>
      <c r="D6" s="51">
        <v>95000</v>
      </c>
      <c r="G6" s="44"/>
      <c r="H6" s="29"/>
      <c r="K6" s="44"/>
      <c r="O6" s="34">
        <v>44896</v>
      </c>
      <c r="P6" s="44">
        <v>22500</v>
      </c>
      <c r="Q6" s="33">
        <v>44939</v>
      </c>
    </row>
    <row r="7" spans="1:22" x14ac:dyDescent="0.3">
      <c r="A7" s="48">
        <v>44293</v>
      </c>
      <c r="B7" s="64">
        <v>1565000</v>
      </c>
      <c r="C7" s="55">
        <v>44294</v>
      </c>
      <c r="D7" s="51">
        <v>500000</v>
      </c>
      <c r="F7">
        <v>30000</v>
      </c>
      <c r="G7" s="44">
        <v>574</v>
      </c>
      <c r="K7" s="44"/>
      <c r="O7" s="34">
        <v>44927</v>
      </c>
      <c r="P7" s="44">
        <v>22500</v>
      </c>
      <c r="Q7" t="s">
        <v>20</v>
      </c>
    </row>
    <row r="8" spans="1:22" x14ac:dyDescent="0.3">
      <c r="C8" s="56" t="s">
        <v>61</v>
      </c>
      <c r="D8" s="51">
        <v>194200</v>
      </c>
      <c r="F8">
        <v>30000</v>
      </c>
      <c r="G8" s="44">
        <v>574</v>
      </c>
      <c r="K8" s="44"/>
      <c r="P8" s="44"/>
    </row>
    <row r="9" spans="1:22" x14ac:dyDescent="0.3">
      <c r="A9" s="47"/>
      <c r="B9" s="64"/>
      <c r="C9" s="56" t="s">
        <v>61</v>
      </c>
      <c r="D9" s="51">
        <v>97100</v>
      </c>
      <c r="F9">
        <v>30000</v>
      </c>
      <c r="G9" s="44">
        <v>574</v>
      </c>
      <c r="K9" s="44"/>
      <c r="P9" s="44"/>
    </row>
    <row r="10" spans="1:22" x14ac:dyDescent="0.3">
      <c r="A10" s="47"/>
      <c r="B10" s="64"/>
      <c r="C10" s="56" t="s">
        <v>62</v>
      </c>
      <c r="D10" s="51">
        <v>26000</v>
      </c>
      <c r="F10">
        <v>30000</v>
      </c>
      <c r="G10" s="44">
        <v>574</v>
      </c>
      <c r="K10" s="44"/>
      <c r="P10" s="44"/>
    </row>
    <row r="11" spans="1:22" x14ac:dyDescent="0.3">
      <c r="A11" s="47"/>
      <c r="B11" s="64"/>
      <c r="C11" s="56"/>
      <c r="D11" s="51">
        <v>658000</v>
      </c>
      <c r="F11">
        <v>30000</v>
      </c>
      <c r="G11" s="44">
        <v>574</v>
      </c>
      <c r="I11" s="25"/>
      <c r="K11" s="44"/>
      <c r="P11" s="44"/>
    </row>
    <row r="12" spans="1:22" x14ac:dyDescent="0.3">
      <c r="A12" s="27" t="s">
        <v>55</v>
      </c>
      <c r="B12" s="66">
        <f>SUM(B2:B11)</f>
        <v>3465000</v>
      </c>
      <c r="C12" s="27" t="s">
        <v>55</v>
      </c>
      <c r="D12" s="54">
        <f>SUM(D2:D11)</f>
        <v>6320300</v>
      </c>
      <c r="F12">
        <v>30000</v>
      </c>
      <c r="G12" s="44">
        <v>574</v>
      </c>
      <c r="K12" s="44"/>
      <c r="O12" s="44"/>
      <c r="P12" s="25"/>
    </row>
    <row r="13" spans="1:22" x14ac:dyDescent="0.3">
      <c r="A13" s="47"/>
      <c r="B13" s="64"/>
      <c r="C13" s="47"/>
      <c r="D13" s="47"/>
      <c r="F13">
        <v>30000</v>
      </c>
      <c r="G13" s="44">
        <v>574</v>
      </c>
      <c r="K13" s="44"/>
    </row>
    <row r="14" spans="1:22" x14ac:dyDescent="0.3">
      <c r="A14" s="47"/>
      <c r="B14" s="64"/>
      <c r="C14" s="47"/>
      <c r="D14" s="47"/>
      <c r="F14">
        <v>30000</v>
      </c>
      <c r="G14" s="44">
        <v>574</v>
      </c>
      <c r="H14" s="62"/>
      <c r="I14" s="63"/>
      <c r="K14" s="44"/>
      <c r="P14" s="25"/>
    </row>
    <row r="15" spans="1:22" x14ac:dyDescent="0.3">
      <c r="A15" s="47" t="s">
        <v>56</v>
      </c>
      <c r="B15" s="64">
        <v>3150000</v>
      </c>
      <c r="C15" s="47" t="s">
        <v>56</v>
      </c>
      <c r="D15" s="51">
        <v>3150000</v>
      </c>
      <c r="F15">
        <v>30000</v>
      </c>
      <c r="G15" s="44">
        <v>574</v>
      </c>
      <c r="H15" s="62"/>
      <c r="I15" s="63"/>
      <c r="K15" s="44"/>
      <c r="P15" s="25"/>
    </row>
    <row r="16" spans="1:22" x14ac:dyDescent="0.3">
      <c r="A16" s="47" t="s">
        <v>57</v>
      </c>
      <c r="B16" s="64">
        <v>3150000</v>
      </c>
      <c r="C16" s="47" t="s">
        <v>57</v>
      </c>
      <c r="D16" s="51">
        <v>3150000</v>
      </c>
      <c r="F16">
        <v>30000</v>
      </c>
      <c r="G16" s="44">
        <v>574</v>
      </c>
      <c r="H16" s="62"/>
      <c r="I16" s="63"/>
      <c r="K16" s="44"/>
    </row>
    <row r="17" spans="1:19" x14ac:dyDescent="0.3">
      <c r="A17" s="47" t="s">
        <v>58</v>
      </c>
      <c r="B17" s="64">
        <v>97100</v>
      </c>
      <c r="C17" s="47" t="s">
        <v>58</v>
      </c>
      <c r="D17" s="51">
        <v>97100</v>
      </c>
      <c r="F17">
        <v>30000</v>
      </c>
      <c r="G17" s="44">
        <v>574</v>
      </c>
      <c r="H17" s="62"/>
      <c r="I17" s="63"/>
      <c r="K17" s="44"/>
    </row>
    <row r="18" spans="1:19" x14ac:dyDescent="0.3">
      <c r="A18" s="47" t="s">
        <v>59</v>
      </c>
      <c r="B18" s="64">
        <v>13000</v>
      </c>
      <c r="C18" s="47" t="s">
        <v>62</v>
      </c>
      <c r="D18" s="51">
        <v>8000</v>
      </c>
      <c r="F18">
        <v>30000</v>
      </c>
      <c r="G18" s="44">
        <v>574</v>
      </c>
      <c r="H18" s="62"/>
      <c r="I18" s="63"/>
      <c r="K18" s="44"/>
      <c r="P18" s="25"/>
    </row>
    <row r="19" spans="1:19" x14ac:dyDescent="0.3">
      <c r="A19" s="47" t="s">
        <v>63</v>
      </c>
      <c r="B19" s="64">
        <v>2000</v>
      </c>
      <c r="C19" s="47"/>
      <c r="D19" s="47"/>
      <c r="H19" s="62"/>
      <c r="I19" s="63"/>
      <c r="K19" s="44"/>
    </row>
    <row r="20" spans="1:19" x14ac:dyDescent="0.3">
      <c r="A20" s="27" t="s">
        <v>60</v>
      </c>
      <c r="B20" s="66">
        <f>SUM(B15:B19)</f>
        <v>6412100</v>
      </c>
      <c r="C20" s="27" t="s">
        <v>60</v>
      </c>
      <c r="D20" s="54">
        <f>SUM(D15:D19)</f>
        <v>6405100</v>
      </c>
      <c r="K20" s="44"/>
      <c r="S20" s="49"/>
    </row>
    <row r="21" spans="1:19" x14ac:dyDescent="0.3">
      <c r="A21" s="47" t="s">
        <v>6</v>
      </c>
      <c r="B21" s="64">
        <f>B12</f>
        <v>3465000</v>
      </c>
      <c r="C21" s="47" t="s">
        <v>6</v>
      </c>
      <c r="D21" s="26">
        <f>D12</f>
        <v>6320300</v>
      </c>
      <c r="I21" s="57"/>
      <c r="K21" s="44"/>
      <c r="S21" s="49"/>
    </row>
    <row r="22" spans="1:19" x14ac:dyDescent="0.3">
      <c r="A22" s="47" t="s">
        <v>66</v>
      </c>
      <c r="B22" s="67">
        <f>B20-B21</f>
        <v>2947100</v>
      </c>
      <c r="C22" s="47" t="s">
        <v>20</v>
      </c>
      <c r="D22" s="52">
        <f>D20-D21</f>
        <v>84800</v>
      </c>
      <c r="G22" s="50"/>
      <c r="S22" s="49"/>
    </row>
    <row r="23" spans="1:19" x14ac:dyDescent="0.3">
      <c r="A23" s="59" t="s">
        <v>65</v>
      </c>
      <c r="B23" s="68">
        <v>2850000</v>
      </c>
      <c r="G23" s="50"/>
      <c r="S23" s="49"/>
    </row>
    <row r="24" spans="1:19" x14ac:dyDescent="0.3">
      <c r="A24" s="59" t="s">
        <v>20</v>
      </c>
      <c r="B24" s="68">
        <f>B22-B23</f>
        <v>97100</v>
      </c>
      <c r="I24" s="58"/>
      <c r="S24" s="49"/>
    </row>
    <row r="25" spans="1:19" x14ac:dyDescent="0.3">
      <c r="B25" s="68"/>
      <c r="I25" s="58"/>
      <c r="S25" s="49"/>
    </row>
    <row r="26" spans="1:19" x14ac:dyDescent="0.3">
      <c r="B26" s="68"/>
      <c r="I26" s="58"/>
      <c r="S26" s="49"/>
    </row>
    <row r="27" spans="1:19" x14ac:dyDescent="0.3">
      <c r="B27" s="68"/>
      <c r="D27" s="61">
        <v>3030000</v>
      </c>
      <c r="I27" s="58"/>
      <c r="S27" s="49"/>
    </row>
    <row r="28" spans="1:19" x14ac:dyDescent="0.3">
      <c r="B28" s="68"/>
      <c r="I28" s="58"/>
      <c r="S28" s="49"/>
    </row>
    <row r="29" spans="1:19" x14ac:dyDescent="0.3">
      <c r="B29" s="68"/>
      <c r="I29" s="60"/>
      <c r="S29" s="49"/>
    </row>
    <row r="30" spans="1:19" x14ac:dyDescent="0.3">
      <c r="B30" s="68"/>
      <c r="I30" s="58"/>
      <c r="O30" s="51"/>
      <c r="S30" s="49"/>
    </row>
    <row r="31" spans="1:19" x14ac:dyDescent="0.3">
      <c r="B31" s="68"/>
      <c r="C31" s="44"/>
      <c r="O31" s="51"/>
      <c r="S31" s="49"/>
    </row>
    <row r="32" spans="1:19" x14ac:dyDescent="0.3">
      <c r="B32" s="68"/>
      <c r="C32" s="44"/>
      <c r="O32" s="51"/>
      <c r="S32" s="49"/>
    </row>
    <row r="33" spans="2:19" x14ac:dyDescent="0.3">
      <c r="B33" s="68"/>
      <c r="C33" s="44"/>
      <c r="D33" s="44"/>
      <c r="L33" s="51"/>
      <c r="O33" s="51"/>
      <c r="S33" s="49"/>
    </row>
    <row r="34" spans="2:19" x14ac:dyDescent="0.3">
      <c r="B34" s="68"/>
      <c r="C34" s="44"/>
      <c r="D34" s="44"/>
      <c r="L34" s="51"/>
      <c r="O34" s="51"/>
      <c r="S34" s="49"/>
    </row>
    <row r="35" spans="2:19" x14ac:dyDescent="0.3">
      <c r="B35" s="68"/>
      <c r="C35" s="44"/>
      <c r="D35" s="44"/>
      <c r="L35" s="51"/>
      <c r="O35" s="51"/>
      <c r="S35" s="49"/>
    </row>
    <row r="36" spans="2:19" x14ac:dyDescent="0.3">
      <c r="B36" s="68"/>
      <c r="C36" s="44"/>
      <c r="D36" s="44"/>
      <c r="L36" s="51"/>
      <c r="O36" s="51"/>
      <c r="S36" s="49"/>
    </row>
    <row r="37" spans="2:19" x14ac:dyDescent="0.3">
      <c r="B37" s="68"/>
      <c r="C37" s="44"/>
      <c r="D37" s="44"/>
      <c r="L37" s="51"/>
      <c r="O37" s="51"/>
      <c r="S37" s="49"/>
    </row>
    <row r="38" spans="2:19" x14ac:dyDescent="0.3">
      <c r="B38" s="68"/>
      <c r="C38" s="44"/>
      <c r="D38" s="44"/>
      <c r="L38" s="51"/>
      <c r="O38" s="51"/>
    </row>
    <row r="39" spans="2:19" x14ac:dyDescent="0.3">
      <c r="B39" s="68"/>
      <c r="C39" s="44"/>
      <c r="D39" s="44"/>
      <c r="L39" s="51"/>
      <c r="O39" s="51"/>
    </row>
    <row r="40" spans="2:19" x14ac:dyDescent="0.3">
      <c r="B40" s="68"/>
      <c r="C40" s="44"/>
      <c r="D40" s="44"/>
      <c r="L40" s="51"/>
      <c r="O40" s="51"/>
    </row>
    <row r="41" spans="2:19" x14ac:dyDescent="0.3">
      <c r="B41" s="68"/>
      <c r="C41" s="44"/>
      <c r="D41" s="44"/>
      <c r="L41" s="51"/>
      <c r="O41" s="51"/>
    </row>
    <row r="42" spans="2:19" x14ac:dyDescent="0.3">
      <c r="B42" s="68"/>
      <c r="C42" s="44"/>
      <c r="D42" s="44"/>
      <c r="L42" s="51"/>
      <c r="O42" s="51"/>
    </row>
    <row r="43" spans="2:19" x14ac:dyDescent="0.3">
      <c r="B43" s="68"/>
      <c r="C43" s="44"/>
      <c r="D43" s="44"/>
      <c r="L43" s="51"/>
      <c r="O43" s="51"/>
    </row>
    <row r="44" spans="2:19" x14ac:dyDescent="0.3">
      <c r="C44" s="44"/>
      <c r="D44" s="44"/>
      <c r="O44" s="51"/>
    </row>
    <row r="45" spans="2:19" x14ac:dyDescent="0.3">
      <c r="O45" s="51"/>
    </row>
    <row r="46" spans="2:19" x14ac:dyDescent="0.3">
      <c r="E46" s="69">
        <f>6300000</f>
        <v>6300000</v>
      </c>
      <c r="O46" s="51"/>
    </row>
    <row r="48" spans="2:19" x14ac:dyDescent="0.3">
      <c r="E48" s="69" t="s">
        <v>51</v>
      </c>
      <c r="F48" t="s">
        <v>84</v>
      </c>
      <c r="G48" s="70">
        <v>3000000</v>
      </c>
      <c r="H48" t="s">
        <v>80</v>
      </c>
      <c r="I48" t="s">
        <v>85</v>
      </c>
      <c r="J48" s="70">
        <f>3500000+350000</f>
        <v>3850000</v>
      </c>
      <c r="K48" t="s">
        <v>86</v>
      </c>
      <c r="L48" s="70">
        <v>3000000</v>
      </c>
    </row>
    <row r="49" spans="2:12" x14ac:dyDescent="0.3">
      <c r="B49" s="69">
        <v>500000</v>
      </c>
      <c r="C49" t="s">
        <v>54</v>
      </c>
      <c r="E49" s="69">
        <v>1900000</v>
      </c>
      <c r="G49" s="69">
        <v>2800000</v>
      </c>
      <c r="H49" s="25">
        <f>E46-SUM(E49:E50)</f>
        <v>2835000</v>
      </c>
      <c r="I49" t="s">
        <v>88</v>
      </c>
      <c r="J49" s="25">
        <f>J48-L49</f>
        <v>3685000</v>
      </c>
      <c r="K49" t="s">
        <v>87</v>
      </c>
      <c r="L49" s="72">
        <f>L48-H49</f>
        <v>165000</v>
      </c>
    </row>
    <row r="50" spans="2:12" x14ac:dyDescent="0.3">
      <c r="B50" s="69">
        <v>300000</v>
      </c>
      <c r="C50" t="s">
        <v>64</v>
      </c>
      <c r="E50" s="69">
        <v>1565000</v>
      </c>
      <c r="F50" t="s">
        <v>20</v>
      </c>
      <c r="G50" s="71">
        <f>G48-G49</f>
        <v>200000</v>
      </c>
    </row>
    <row r="51" spans="2:12" x14ac:dyDescent="0.3">
      <c r="B51" s="69">
        <v>0</v>
      </c>
      <c r="C51" t="s">
        <v>68</v>
      </c>
      <c r="E51" s="69">
        <v>450000</v>
      </c>
      <c r="F51" t="s">
        <v>81</v>
      </c>
      <c r="G51" s="69">
        <v>-95000</v>
      </c>
    </row>
    <row r="52" spans="2:12" x14ac:dyDescent="0.3">
      <c r="B52" s="69">
        <v>200000</v>
      </c>
      <c r="C52" t="s">
        <v>69</v>
      </c>
      <c r="E52" s="69">
        <v>500000</v>
      </c>
      <c r="G52" s="69">
        <v>-97000</v>
      </c>
    </row>
    <row r="53" spans="2:12" x14ac:dyDescent="0.3">
      <c r="B53" s="69">
        <v>97022</v>
      </c>
      <c r="C53" t="s">
        <v>58</v>
      </c>
      <c r="E53" s="69">
        <v>2000000</v>
      </c>
      <c r="G53" s="69">
        <v>-13000</v>
      </c>
    </row>
    <row r="54" spans="2:12" x14ac:dyDescent="0.3">
      <c r="B54" s="69">
        <v>100000</v>
      </c>
      <c r="C54" t="s">
        <v>70</v>
      </c>
      <c r="D54" t="s">
        <v>71</v>
      </c>
      <c r="F54" t="s">
        <v>83</v>
      </c>
      <c r="G54" s="69">
        <f>SUM(G51:G53)</f>
        <v>-205000</v>
      </c>
    </row>
    <row r="55" spans="2:12" x14ac:dyDescent="0.3">
      <c r="B55" s="69">
        <v>1365000</v>
      </c>
      <c r="C55" t="s">
        <v>53</v>
      </c>
      <c r="F55" t="s">
        <v>82</v>
      </c>
      <c r="G55" s="69">
        <f>G50+SUM(G51:G53)</f>
        <v>-5000</v>
      </c>
    </row>
    <row r="56" spans="2:12" x14ac:dyDescent="0.3">
      <c r="B56" s="69">
        <v>500000</v>
      </c>
      <c r="C56" t="s">
        <v>72</v>
      </c>
      <c r="G56" s="69"/>
    </row>
    <row r="57" spans="2:12" x14ac:dyDescent="0.3">
      <c r="B57" s="69">
        <v>500000</v>
      </c>
      <c r="C57" t="s">
        <v>73</v>
      </c>
      <c r="G57" s="69"/>
    </row>
    <row r="58" spans="2:12" x14ac:dyDescent="0.3">
      <c r="B58" s="69">
        <v>-10500</v>
      </c>
      <c r="C58" t="s">
        <v>74</v>
      </c>
      <c r="G58" s="69"/>
    </row>
    <row r="59" spans="2:12" x14ac:dyDescent="0.3">
      <c r="B59" s="69">
        <v>-10000</v>
      </c>
      <c r="C59" t="s">
        <v>67</v>
      </c>
      <c r="G59" s="69"/>
    </row>
    <row r="60" spans="2:12" x14ac:dyDescent="0.3">
      <c r="B60" s="69">
        <v>200000</v>
      </c>
      <c r="C60" t="s">
        <v>75</v>
      </c>
      <c r="G60" s="69"/>
    </row>
    <row r="61" spans="2:12" x14ac:dyDescent="0.3">
      <c r="B61" s="69">
        <v>500000</v>
      </c>
      <c r="C61" t="s">
        <v>72</v>
      </c>
      <c r="G61" s="69"/>
    </row>
    <row r="62" spans="2:12" x14ac:dyDescent="0.3">
      <c r="B62" s="69">
        <v>75000</v>
      </c>
      <c r="C62" t="s">
        <v>70</v>
      </c>
      <c r="G62" s="69"/>
    </row>
    <row r="63" spans="2:12" x14ac:dyDescent="0.3">
      <c r="B63" s="69">
        <v>75000</v>
      </c>
      <c r="C63" t="s">
        <v>70</v>
      </c>
      <c r="G63" s="69"/>
    </row>
    <row r="64" spans="2:12" x14ac:dyDescent="0.3">
      <c r="B64" s="69">
        <v>-21618</v>
      </c>
      <c r="C64" t="s">
        <v>76</v>
      </c>
      <c r="G64" s="69"/>
    </row>
    <row r="65" spans="1:7" x14ac:dyDescent="0.3">
      <c r="B65" s="69">
        <v>500000</v>
      </c>
      <c r="C65" t="s">
        <v>77</v>
      </c>
      <c r="G65" s="69"/>
    </row>
    <row r="66" spans="1:7" x14ac:dyDescent="0.3">
      <c r="B66" s="69">
        <v>950000</v>
      </c>
      <c r="C66" t="s">
        <v>72</v>
      </c>
      <c r="G66" s="69"/>
    </row>
    <row r="67" spans="1:7" x14ac:dyDescent="0.3">
      <c r="B67" s="69">
        <v>97022</v>
      </c>
      <c r="C67" t="s">
        <v>58</v>
      </c>
      <c r="G67" s="69"/>
    </row>
    <row r="68" spans="1:7" x14ac:dyDescent="0.3">
      <c r="B68" s="69">
        <v>97022</v>
      </c>
      <c r="C68" t="s">
        <v>58</v>
      </c>
      <c r="G68" s="69"/>
    </row>
    <row r="69" spans="1:7" x14ac:dyDescent="0.3">
      <c r="B69" s="69">
        <v>10000</v>
      </c>
      <c r="C69" t="s">
        <v>78</v>
      </c>
      <c r="G69" s="69"/>
    </row>
    <row r="70" spans="1:7" x14ac:dyDescent="0.3">
      <c r="B70" s="69">
        <v>500000</v>
      </c>
      <c r="C70" t="s">
        <v>79</v>
      </c>
      <c r="G70" s="69"/>
    </row>
    <row r="71" spans="1:7" x14ac:dyDescent="0.3">
      <c r="G71" s="69"/>
    </row>
    <row r="72" spans="1:7" x14ac:dyDescent="0.3">
      <c r="A72" t="s">
        <v>49</v>
      </c>
      <c r="B72" s="69">
        <f>SUM(B49:B70)</f>
        <v>6523948</v>
      </c>
      <c r="G72" s="69"/>
    </row>
    <row r="73" spans="1:7" x14ac:dyDescent="0.3">
      <c r="B73" s="69"/>
      <c r="G73" s="69"/>
    </row>
    <row r="74" spans="1:7" x14ac:dyDescent="0.3">
      <c r="G74" s="69"/>
    </row>
    <row r="75" spans="1:7" x14ac:dyDescent="0.3">
      <c r="A75" t="s">
        <v>20</v>
      </c>
      <c r="B75" s="69">
        <f>SUM(B72:B73)</f>
        <v>6523948</v>
      </c>
      <c r="G75" s="69"/>
    </row>
    <row r="76" spans="1:7" x14ac:dyDescent="0.3">
      <c r="G76" s="69"/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  <headerFooter>
    <oddFooter>&amp;CGE Internal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79"/>
  <sheetViews>
    <sheetView workbookViewId="0">
      <selection activeCell="F1" sqref="F1:F4"/>
    </sheetView>
  </sheetViews>
  <sheetFormatPr defaultRowHeight="14.4" x14ac:dyDescent="0.3"/>
  <cols>
    <col min="1" max="1" width="5.44140625" bestFit="1" customWidth="1"/>
    <col min="2" max="2" width="10.44140625" bestFit="1" customWidth="1"/>
    <col min="3" max="3" width="20.88671875" bestFit="1" customWidth="1"/>
    <col min="4" max="4" width="13.109375" bestFit="1" customWidth="1"/>
    <col min="5" max="5" width="12.33203125" bestFit="1" customWidth="1"/>
    <col min="6" max="6" width="11" bestFit="1" customWidth="1"/>
    <col min="7" max="7" width="10.33203125" bestFit="1" customWidth="1"/>
    <col min="8" max="8" width="14.109375" bestFit="1" customWidth="1"/>
    <col min="9" max="9" width="10.6640625" bestFit="1" customWidth="1"/>
    <col min="10" max="10" width="12.33203125" bestFit="1" customWidth="1"/>
    <col min="15" max="15" width="9.5546875" bestFit="1" customWidth="1"/>
    <col min="16" max="16" width="18.5546875" bestFit="1" customWidth="1"/>
    <col min="17" max="17" width="11.44140625" bestFit="1" customWidth="1"/>
    <col min="20" max="20" width="10.44140625" bestFit="1" customWidth="1"/>
  </cols>
  <sheetData>
    <row r="1" spans="1:20" x14ac:dyDescent="0.3">
      <c r="A1" s="224" t="s">
        <v>108</v>
      </c>
      <c r="B1" s="224"/>
      <c r="C1" s="224"/>
      <c r="D1" s="224"/>
      <c r="E1" s="33"/>
      <c r="F1" s="33"/>
    </row>
    <row r="2" spans="1:20" x14ac:dyDescent="0.3">
      <c r="A2" s="100" t="s">
        <v>104</v>
      </c>
      <c r="B2" s="229">
        <v>44866</v>
      </c>
      <c r="C2" s="229"/>
      <c r="D2" s="229"/>
      <c r="E2" s="33"/>
      <c r="F2" s="116"/>
    </row>
    <row r="3" spans="1:20" x14ac:dyDescent="0.3">
      <c r="A3" s="38">
        <v>1</v>
      </c>
      <c r="B3" s="33">
        <v>44883</v>
      </c>
      <c r="C3" t="s">
        <v>105</v>
      </c>
      <c r="D3" s="44">
        <f>500+500</f>
        <v>1000</v>
      </c>
      <c r="F3" s="116"/>
    </row>
    <row r="4" spans="1:20" x14ac:dyDescent="0.3">
      <c r="F4" s="116"/>
    </row>
    <row r="7" spans="1:20" x14ac:dyDescent="0.3">
      <c r="A7" s="100" t="s">
        <v>104</v>
      </c>
      <c r="B7" s="229">
        <v>44896</v>
      </c>
      <c r="C7" s="229"/>
      <c r="D7" s="110">
        <f>109253-SUM(D8:D17)</f>
        <v>92750</v>
      </c>
      <c r="R7">
        <v>38648</v>
      </c>
    </row>
    <row r="8" spans="1:20" x14ac:dyDescent="0.3">
      <c r="A8">
        <v>1</v>
      </c>
      <c r="C8" t="s">
        <v>93</v>
      </c>
      <c r="D8">
        <v>6000</v>
      </c>
    </row>
    <row r="9" spans="1:20" x14ac:dyDescent="0.3">
      <c r="C9" t="s">
        <v>67</v>
      </c>
      <c r="D9">
        <v>15000</v>
      </c>
    </row>
    <row r="10" spans="1:20" x14ac:dyDescent="0.3">
      <c r="C10" t="s">
        <v>115</v>
      </c>
      <c r="D10">
        <v>21618</v>
      </c>
    </row>
    <row r="11" spans="1:20" x14ac:dyDescent="0.3">
      <c r="C11" t="s">
        <v>116</v>
      </c>
      <c r="D11">
        <v>29500</v>
      </c>
    </row>
    <row r="12" spans="1:20" x14ac:dyDescent="0.3">
      <c r="C12" t="s">
        <v>117</v>
      </c>
      <c r="D12">
        <v>11000</v>
      </c>
    </row>
    <row r="13" spans="1:20" x14ac:dyDescent="0.3">
      <c r="C13" t="s">
        <v>118</v>
      </c>
      <c r="D13">
        <v>6000</v>
      </c>
      <c r="T13" s="29"/>
    </row>
    <row r="14" spans="1:20" x14ac:dyDescent="0.3">
      <c r="C14" t="s">
        <v>119</v>
      </c>
      <c r="D14">
        <v>-30354</v>
      </c>
      <c r="T14" s="29"/>
    </row>
    <row r="17" spans="1:10" x14ac:dyDescent="0.3">
      <c r="A17" s="100" t="s">
        <v>104</v>
      </c>
      <c r="B17" s="229">
        <v>44927</v>
      </c>
      <c r="C17" s="229"/>
      <c r="D17" s="110">
        <f>109253-SUM(D18:D27)</f>
        <v>-42261</v>
      </c>
      <c r="F17" s="100" t="s">
        <v>104</v>
      </c>
      <c r="G17" s="229">
        <v>45108</v>
      </c>
      <c r="H17" s="229"/>
      <c r="I17" s="110">
        <f>J17-SUM(I18:I26)</f>
        <v>-4924</v>
      </c>
      <c r="J17" s="101">
        <v>111299</v>
      </c>
    </row>
    <row r="18" spans="1:10" x14ac:dyDescent="0.3">
      <c r="A18">
        <v>1</v>
      </c>
      <c r="C18" t="s">
        <v>101</v>
      </c>
      <c r="D18" s="116">
        <v>12000</v>
      </c>
      <c r="F18">
        <v>1</v>
      </c>
      <c r="G18" s="29">
        <v>45108</v>
      </c>
      <c r="H18" t="s">
        <v>101</v>
      </c>
      <c r="I18" s="116">
        <v>10000</v>
      </c>
    </row>
    <row r="19" spans="1:10" x14ac:dyDescent="0.3">
      <c r="A19">
        <v>2</v>
      </c>
      <c r="C19" t="s">
        <v>67</v>
      </c>
      <c r="D19" s="116">
        <v>10000</v>
      </c>
      <c r="F19">
        <v>2</v>
      </c>
      <c r="H19" t="s">
        <v>67</v>
      </c>
      <c r="I19" s="116">
        <v>10000</v>
      </c>
    </row>
    <row r="20" spans="1:10" x14ac:dyDescent="0.3">
      <c r="A20">
        <v>3</v>
      </c>
      <c r="C20" t="s">
        <v>115</v>
      </c>
      <c r="D20" s="116">
        <v>21618</v>
      </c>
      <c r="F20">
        <v>3</v>
      </c>
      <c r="H20" t="s">
        <v>115</v>
      </c>
      <c r="I20" s="116">
        <v>21618</v>
      </c>
    </row>
    <row r="21" spans="1:10" x14ac:dyDescent="0.3">
      <c r="A21">
        <v>4</v>
      </c>
      <c r="C21" t="s">
        <v>116</v>
      </c>
      <c r="D21" s="116">
        <v>29500</v>
      </c>
      <c r="F21">
        <v>4</v>
      </c>
      <c r="H21" t="s">
        <v>116</v>
      </c>
      <c r="I21" s="116">
        <v>30000</v>
      </c>
    </row>
    <row r="22" spans="1:10" x14ac:dyDescent="0.3">
      <c r="A22">
        <v>5</v>
      </c>
      <c r="C22" t="s">
        <v>117</v>
      </c>
      <c r="D22" s="116">
        <v>11000</v>
      </c>
      <c r="F22">
        <v>5</v>
      </c>
      <c r="H22" t="s">
        <v>117</v>
      </c>
      <c r="I22" s="116">
        <v>10000</v>
      </c>
    </row>
    <row r="23" spans="1:10" x14ac:dyDescent="0.3">
      <c r="A23">
        <v>5</v>
      </c>
      <c r="C23" t="s">
        <v>120</v>
      </c>
      <c r="D23" s="116">
        <v>5000</v>
      </c>
      <c r="F23">
        <v>6</v>
      </c>
      <c r="H23" t="s">
        <v>121</v>
      </c>
      <c r="I23" s="116">
        <v>34605</v>
      </c>
    </row>
    <row r="24" spans="1:10" x14ac:dyDescent="0.3">
      <c r="A24">
        <v>7</v>
      </c>
      <c r="C24" t="s">
        <v>121</v>
      </c>
      <c r="D24" s="116">
        <v>35000</v>
      </c>
      <c r="F24">
        <v>7</v>
      </c>
      <c r="H24" t="s">
        <v>172</v>
      </c>
      <c r="I24" s="126">
        <v>0</v>
      </c>
      <c r="J24">
        <v>5402</v>
      </c>
    </row>
    <row r="25" spans="1:10" x14ac:dyDescent="0.3">
      <c r="A25">
        <v>8</v>
      </c>
      <c r="B25" s="33">
        <v>44939</v>
      </c>
      <c r="C25" t="s">
        <v>139</v>
      </c>
      <c r="D25" s="116">
        <v>5000</v>
      </c>
      <c r="F25">
        <v>8</v>
      </c>
      <c r="G25" s="33">
        <v>45108</v>
      </c>
      <c r="H25" t="s">
        <v>174</v>
      </c>
      <c r="I25" s="126">
        <v>0</v>
      </c>
      <c r="J25">
        <v>60250</v>
      </c>
    </row>
    <row r="26" spans="1:10" x14ac:dyDescent="0.3">
      <c r="I26" s="126">
        <v>0</v>
      </c>
    </row>
    <row r="27" spans="1:10" x14ac:dyDescent="0.3">
      <c r="A27" s="100" t="s">
        <v>104</v>
      </c>
      <c r="B27" s="229">
        <v>45047</v>
      </c>
      <c r="C27" s="229"/>
      <c r="D27" s="110">
        <f>109253-SUM(D28:D37)</f>
        <v>22396</v>
      </c>
      <c r="F27" s="100" t="s">
        <v>104</v>
      </c>
      <c r="G27" s="229">
        <v>45139</v>
      </c>
      <c r="H27" s="229"/>
      <c r="I27" s="110">
        <f>J27-SUM(I28:I36)</f>
        <v>-6947.4400000000023</v>
      </c>
      <c r="J27" s="101">
        <v>111299</v>
      </c>
    </row>
    <row r="28" spans="1:10" x14ac:dyDescent="0.3">
      <c r="A28">
        <v>1</v>
      </c>
      <c r="C28" t="s">
        <v>101</v>
      </c>
      <c r="D28" s="116">
        <v>12000</v>
      </c>
      <c r="F28">
        <v>1</v>
      </c>
      <c r="G28" s="29">
        <v>45108</v>
      </c>
      <c r="H28" t="s">
        <v>101</v>
      </c>
      <c r="I28" s="116">
        <v>12000</v>
      </c>
    </row>
    <row r="29" spans="1:10" x14ac:dyDescent="0.3">
      <c r="A29">
        <v>2</v>
      </c>
      <c r="C29" t="s">
        <v>67</v>
      </c>
      <c r="D29" s="116">
        <v>10000</v>
      </c>
      <c r="F29">
        <v>2</v>
      </c>
      <c r="H29" t="s">
        <v>67</v>
      </c>
      <c r="I29" s="116">
        <v>9000</v>
      </c>
    </row>
    <row r="30" spans="1:10" x14ac:dyDescent="0.3">
      <c r="A30">
        <v>3</v>
      </c>
      <c r="C30" t="s">
        <v>115</v>
      </c>
      <c r="D30" s="116">
        <v>21618</v>
      </c>
      <c r="F30">
        <v>3</v>
      </c>
      <c r="H30" t="s">
        <v>115</v>
      </c>
      <c r="I30" s="116">
        <v>21618</v>
      </c>
    </row>
    <row r="31" spans="1:10" x14ac:dyDescent="0.3">
      <c r="A31">
        <v>4</v>
      </c>
      <c r="C31" t="s">
        <v>116</v>
      </c>
      <c r="D31" s="116">
        <v>30000</v>
      </c>
      <c r="F31">
        <v>4</v>
      </c>
      <c r="H31" t="s">
        <v>116</v>
      </c>
      <c r="I31" s="116">
        <v>29000</v>
      </c>
    </row>
    <row r="32" spans="1:10" x14ac:dyDescent="0.3">
      <c r="A32">
        <v>5</v>
      </c>
      <c r="C32" t="s">
        <v>117</v>
      </c>
      <c r="D32" s="116">
        <v>0</v>
      </c>
      <c r="F32">
        <v>5</v>
      </c>
      <c r="H32" t="s">
        <v>117</v>
      </c>
      <c r="I32" s="116">
        <v>20000</v>
      </c>
    </row>
    <row r="33" spans="1:13" x14ac:dyDescent="0.3">
      <c r="A33">
        <v>6</v>
      </c>
      <c r="C33" t="s">
        <v>158</v>
      </c>
      <c r="D33" s="116">
        <v>1500</v>
      </c>
      <c r="F33">
        <v>6</v>
      </c>
      <c r="H33" t="s">
        <v>121</v>
      </c>
      <c r="I33" s="116">
        <v>26628.44</v>
      </c>
    </row>
    <row r="34" spans="1:13" x14ac:dyDescent="0.3">
      <c r="A34">
        <v>7</v>
      </c>
      <c r="C34" t="s">
        <v>121</v>
      </c>
      <c r="D34" s="116">
        <v>10239</v>
      </c>
      <c r="F34">
        <v>7</v>
      </c>
      <c r="H34" t="s">
        <v>172</v>
      </c>
      <c r="I34" s="126">
        <v>0</v>
      </c>
    </row>
    <row r="35" spans="1:13" x14ac:dyDescent="0.3">
      <c r="A35">
        <v>8</v>
      </c>
      <c r="B35" s="33">
        <v>44939</v>
      </c>
      <c r="C35" t="s">
        <v>139</v>
      </c>
      <c r="D35" s="116">
        <v>0</v>
      </c>
      <c r="F35">
        <v>8</v>
      </c>
      <c r="G35" s="33"/>
      <c r="I35" s="126">
        <v>0</v>
      </c>
    </row>
    <row r="36" spans="1:13" x14ac:dyDescent="0.3">
      <c r="C36" t="s">
        <v>164</v>
      </c>
      <c r="D36" s="126">
        <v>1500</v>
      </c>
      <c r="I36" s="126">
        <v>0</v>
      </c>
    </row>
    <row r="37" spans="1:13" x14ac:dyDescent="0.3">
      <c r="F37" t="s">
        <v>104</v>
      </c>
      <c r="G37" s="229">
        <v>45170</v>
      </c>
      <c r="H37" s="229"/>
      <c r="I37" s="110">
        <f>J37-SUM(I38:I46)</f>
        <v>13744</v>
      </c>
      <c r="J37" s="101">
        <v>111299</v>
      </c>
    </row>
    <row r="38" spans="1:13" x14ac:dyDescent="0.3">
      <c r="A38" s="100" t="s">
        <v>104</v>
      </c>
      <c r="B38" s="229">
        <v>45047</v>
      </c>
      <c r="C38" s="229"/>
      <c r="D38" s="110">
        <f>111299-SUM(D39:D48)</f>
        <v>9539</v>
      </c>
      <c r="F38">
        <v>1</v>
      </c>
      <c r="H38" t="s">
        <v>193</v>
      </c>
      <c r="I38">
        <v>56055</v>
      </c>
      <c r="L38">
        <f>SUM(L40:L45)</f>
        <v>29500</v>
      </c>
      <c r="M38">
        <f>L39-L38</f>
        <v>22475</v>
      </c>
    </row>
    <row r="39" spans="1:13" x14ac:dyDescent="0.3">
      <c r="A39">
        <v>1</v>
      </c>
      <c r="C39" t="s">
        <v>101</v>
      </c>
      <c r="D39" s="116">
        <v>12000</v>
      </c>
      <c r="F39">
        <v>2</v>
      </c>
      <c r="H39" t="s">
        <v>194</v>
      </c>
      <c r="I39" s="157">
        <v>0</v>
      </c>
      <c r="L39">
        <v>51975</v>
      </c>
    </row>
    <row r="40" spans="1:13" x14ac:dyDescent="0.3">
      <c r="A40">
        <v>2</v>
      </c>
      <c r="C40" t="s">
        <v>67</v>
      </c>
      <c r="D40" s="116">
        <v>10000</v>
      </c>
      <c r="H40" t="s">
        <v>195</v>
      </c>
      <c r="I40" s="157">
        <v>12000</v>
      </c>
      <c r="L40">
        <v>29500</v>
      </c>
    </row>
    <row r="41" spans="1:13" x14ac:dyDescent="0.3">
      <c r="A41">
        <v>3</v>
      </c>
      <c r="C41" t="s">
        <v>115</v>
      </c>
      <c r="D41" s="116">
        <v>21618</v>
      </c>
      <c r="H41" t="s">
        <v>196</v>
      </c>
      <c r="I41" s="157">
        <v>29500</v>
      </c>
    </row>
    <row r="42" spans="1:13" x14ac:dyDescent="0.3">
      <c r="A42">
        <v>4</v>
      </c>
      <c r="C42" t="s">
        <v>116</v>
      </c>
      <c r="D42" s="116">
        <v>30000</v>
      </c>
    </row>
    <row r="43" spans="1:13" x14ac:dyDescent="0.3">
      <c r="A43">
        <v>5</v>
      </c>
      <c r="C43" t="s">
        <v>117</v>
      </c>
      <c r="D43" s="116">
        <v>10000</v>
      </c>
    </row>
    <row r="44" spans="1:13" x14ac:dyDescent="0.3">
      <c r="A44">
        <v>6</v>
      </c>
      <c r="C44" t="s">
        <v>158</v>
      </c>
      <c r="D44" s="116">
        <v>0</v>
      </c>
    </row>
    <row r="45" spans="1:13" x14ac:dyDescent="0.3">
      <c r="A45">
        <v>7</v>
      </c>
      <c r="C45" t="s">
        <v>121</v>
      </c>
      <c r="D45" s="116">
        <v>12879</v>
      </c>
    </row>
    <row r="46" spans="1:13" x14ac:dyDescent="0.3">
      <c r="A46">
        <v>8</v>
      </c>
      <c r="B46" s="33"/>
      <c r="C46" t="s">
        <v>172</v>
      </c>
      <c r="D46" s="116">
        <v>5263</v>
      </c>
    </row>
    <row r="47" spans="1:13" x14ac:dyDescent="0.3">
      <c r="C47" t="s">
        <v>164</v>
      </c>
      <c r="D47" s="126">
        <v>0</v>
      </c>
    </row>
    <row r="49" spans="1:10" x14ac:dyDescent="0.3">
      <c r="A49" s="100" t="s">
        <v>104</v>
      </c>
      <c r="B49" s="229">
        <v>45078</v>
      </c>
      <c r="C49" s="229"/>
      <c r="D49" s="110">
        <f>111299-SUM(D50:D59)</f>
        <v>-11178</v>
      </c>
      <c r="F49" t="s">
        <v>104</v>
      </c>
      <c r="G49" s="229">
        <v>45200</v>
      </c>
      <c r="H49" s="229"/>
      <c r="I49" s="110">
        <f>J49-SUM(I50:I58)</f>
        <v>18299</v>
      </c>
      <c r="J49" s="101">
        <v>111299</v>
      </c>
    </row>
    <row r="50" spans="1:10" x14ac:dyDescent="0.3">
      <c r="A50">
        <v>1</v>
      </c>
      <c r="C50" t="s">
        <v>101</v>
      </c>
      <c r="D50" s="116">
        <v>12000</v>
      </c>
      <c r="F50">
        <v>1</v>
      </c>
      <c r="G50" s="29">
        <v>45200</v>
      </c>
      <c r="H50" t="s">
        <v>93</v>
      </c>
      <c r="I50" s="158">
        <v>12000</v>
      </c>
    </row>
    <row r="51" spans="1:10" x14ac:dyDescent="0.3">
      <c r="A51">
        <v>2</v>
      </c>
      <c r="C51" t="s">
        <v>67</v>
      </c>
      <c r="D51" s="116">
        <v>10000</v>
      </c>
      <c r="F51">
        <v>2</v>
      </c>
      <c r="H51" t="s">
        <v>206</v>
      </c>
      <c r="I51" s="158">
        <v>1500</v>
      </c>
    </row>
    <row r="52" spans="1:10" x14ac:dyDescent="0.3">
      <c r="A52">
        <v>3</v>
      </c>
      <c r="C52" t="s">
        <v>115</v>
      </c>
      <c r="D52" s="116">
        <v>21618</v>
      </c>
      <c r="F52">
        <v>3</v>
      </c>
      <c r="G52" s="29">
        <v>45201</v>
      </c>
      <c r="H52" t="s">
        <v>207</v>
      </c>
      <c r="I52" s="158">
        <v>7500</v>
      </c>
    </row>
    <row r="53" spans="1:10" x14ac:dyDescent="0.3">
      <c r="A53">
        <v>4</v>
      </c>
      <c r="C53" t="s">
        <v>116</v>
      </c>
      <c r="D53" s="116">
        <v>30000</v>
      </c>
      <c r="F53">
        <v>4</v>
      </c>
      <c r="G53" s="29">
        <v>45201</v>
      </c>
      <c r="H53" t="s">
        <v>208</v>
      </c>
      <c r="I53" s="158">
        <v>25000</v>
      </c>
    </row>
    <row r="54" spans="1:10" x14ac:dyDescent="0.3">
      <c r="A54">
        <v>5</v>
      </c>
      <c r="C54" t="s">
        <v>117</v>
      </c>
      <c r="D54" s="116">
        <v>10000</v>
      </c>
      <c r="F54">
        <v>5</v>
      </c>
      <c r="H54" t="s">
        <v>76</v>
      </c>
      <c r="I54" s="157">
        <v>22000</v>
      </c>
    </row>
    <row r="55" spans="1:10" x14ac:dyDescent="0.3">
      <c r="A55">
        <v>6</v>
      </c>
      <c r="C55" t="s">
        <v>172</v>
      </c>
      <c r="D55" s="116">
        <v>5403</v>
      </c>
      <c r="F55">
        <v>6</v>
      </c>
      <c r="G55" s="29">
        <v>45201</v>
      </c>
      <c r="H55" t="s">
        <v>209</v>
      </c>
      <c r="I55" s="158">
        <v>20000</v>
      </c>
    </row>
    <row r="56" spans="1:10" x14ac:dyDescent="0.3">
      <c r="A56">
        <v>7</v>
      </c>
      <c r="C56" t="s">
        <v>121</v>
      </c>
      <c r="D56" s="116">
        <v>12879</v>
      </c>
      <c r="F56">
        <v>7</v>
      </c>
      <c r="H56" t="s">
        <v>210</v>
      </c>
      <c r="I56" s="157">
        <v>5000</v>
      </c>
    </row>
    <row r="57" spans="1:10" x14ac:dyDescent="0.3">
      <c r="A57">
        <v>8</v>
      </c>
      <c r="B57" s="33">
        <v>44939</v>
      </c>
      <c r="C57" t="s">
        <v>139</v>
      </c>
      <c r="D57" s="116">
        <v>0</v>
      </c>
      <c r="I57" s="157"/>
    </row>
    <row r="58" spans="1:10" x14ac:dyDescent="0.3">
      <c r="C58" t="s">
        <v>164</v>
      </c>
      <c r="D58" s="126">
        <v>0</v>
      </c>
    </row>
    <row r="59" spans="1:10" x14ac:dyDescent="0.3">
      <c r="A59" t="s">
        <v>104</v>
      </c>
      <c r="B59" s="229">
        <v>45231</v>
      </c>
      <c r="C59" s="229"/>
      <c r="D59" s="110">
        <f>E59-SUM(D60:D68)</f>
        <v>20577</v>
      </c>
      <c r="E59" s="101">
        <v>111299</v>
      </c>
      <c r="I59">
        <f>SUM(I60:I77)</f>
        <v>107850</v>
      </c>
    </row>
    <row r="60" spans="1:10" x14ac:dyDescent="0.3">
      <c r="A60">
        <v>1</v>
      </c>
      <c r="B60" s="29"/>
      <c r="C60" t="s">
        <v>93</v>
      </c>
      <c r="D60" s="162">
        <v>12000</v>
      </c>
      <c r="H60" t="s">
        <v>93</v>
      </c>
      <c r="I60">
        <v>12000</v>
      </c>
    </row>
    <row r="61" spans="1:10" x14ac:dyDescent="0.3">
      <c r="A61">
        <v>2</v>
      </c>
      <c r="C61" t="s">
        <v>206</v>
      </c>
      <c r="D61" s="162"/>
      <c r="H61" t="s">
        <v>211</v>
      </c>
      <c r="I61">
        <f>50*35</f>
        <v>1750</v>
      </c>
    </row>
    <row r="62" spans="1:10" x14ac:dyDescent="0.3">
      <c r="A62">
        <v>3</v>
      </c>
      <c r="B62" s="29"/>
      <c r="C62" t="s">
        <v>207</v>
      </c>
      <c r="D62" s="162">
        <v>7500</v>
      </c>
      <c r="H62" t="s">
        <v>212</v>
      </c>
      <c r="I62">
        <f>20*20</f>
        <v>400</v>
      </c>
    </row>
    <row r="63" spans="1:10" x14ac:dyDescent="0.3">
      <c r="A63">
        <v>4</v>
      </c>
      <c r="B63" s="29"/>
      <c r="C63" t="s">
        <v>208</v>
      </c>
      <c r="D63" s="162">
        <v>29000</v>
      </c>
      <c r="H63" t="s">
        <v>213</v>
      </c>
      <c r="I63">
        <f>3*500</f>
        <v>1500</v>
      </c>
    </row>
    <row r="64" spans="1:10" x14ac:dyDescent="0.3">
      <c r="A64">
        <v>5</v>
      </c>
      <c r="C64" t="s">
        <v>76</v>
      </c>
      <c r="D64" s="162">
        <v>22000</v>
      </c>
      <c r="H64" t="s">
        <v>214</v>
      </c>
      <c r="I64">
        <f>4*500</f>
        <v>2000</v>
      </c>
    </row>
    <row r="65" spans="1:9" x14ac:dyDescent="0.3">
      <c r="A65">
        <v>6</v>
      </c>
      <c r="B65" s="29"/>
      <c r="C65" t="s">
        <v>209</v>
      </c>
      <c r="D65" s="158">
        <v>10000</v>
      </c>
      <c r="H65" t="s">
        <v>215</v>
      </c>
      <c r="I65">
        <v>29000</v>
      </c>
    </row>
    <row r="66" spans="1:9" x14ac:dyDescent="0.3">
      <c r="A66">
        <v>7</v>
      </c>
      <c r="C66" t="s">
        <v>164</v>
      </c>
      <c r="D66" s="162">
        <v>625</v>
      </c>
      <c r="H66" t="s">
        <v>216</v>
      </c>
      <c r="I66">
        <v>22000</v>
      </c>
    </row>
    <row r="67" spans="1:9" x14ac:dyDescent="0.3">
      <c r="D67" s="163"/>
      <c r="H67" t="s">
        <v>67</v>
      </c>
      <c r="I67">
        <v>7500</v>
      </c>
    </row>
    <row r="68" spans="1:9" x14ac:dyDescent="0.3">
      <c r="A68" t="s">
        <v>104</v>
      </c>
      <c r="B68" s="229">
        <v>45261</v>
      </c>
      <c r="C68" s="229"/>
      <c r="D68" s="110">
        <f>E68-SUM(D69:D80)</f>
        <v>9597</v>
      </c>
      <c r="E68" s="101">
        <v>110922</v>
      </c>
      <c r="H68" t="s">
        <v>67</v>
      </c>
      <c r="I68">
        <v>1500</v>
      </c>
    </row>
    <row r="69" spans="1:9" x14ac:dyDescent="0.3">
      <c r="A69">
        <v>1</v>
      </c>
      <c r="B69" s="29"/>
      <c r="C69" t="s">
        <v>93</v>
      </c>
      <c r="D69" s="162">
        <v>12000</v>
      </c>
      <c r="H69" t="s">
        <v>217</v>
      </c>
      <c r="I69">
        <v>10000</v>
      </c>
    </row>
    <row r="70" spans="1:9" x14ac:dyDescent="0.3">
      <c r="A70">
        <v>2</v>
      </c>
      <c r="C70" t="s">
        <v>206</v>
      </c>
      <c r="D70" s="162">
        <v>1000</v>
      </c>
      <c r="H70" s="164" t="s">
        <v>218</v>
      </c>
      <c r="I70" s="164">
        <v>18000</v>
      </c>
    </row>
    <row r="71" spans="1:9" x14ac:dyDescent="0.3">
      <c r="A71">
        <v>3</v>
      </c>
      <c r="B71" s="29"/>
      <c r="C71" t="s">
        <v>207</v>
      </c>
      <c r="D71" s="158">
        <v>7500</v>
      </c>
      <c r="H71" t="s">
        <v>219</v>
      </c>
      <c r="I71">
        <f>3*500</f>
        <v>1500</v>
      </c>
    </row>
    <row r="72" spans="1:9" x14ac:dyDescent="0.3">
      <c r="A72">
        <v>4</v>
      </c>
      <c r="B72" s="29"/>
      <c r="C72" t="s">
        <v>208</v>
      </c>
      <c r="D72" s="158">
        <v>29000</v>
      </c>
      <c r="H72" t="s">
        <v>220</v>
      </c>
      <c r="I72">
        <v>700</v>
      </c>
    </row>
    <row r="73" spans="1:9" x14ac:dyDescent="0.3">
      <c r="A73">
        <v>5</v>
      </c>
      <c r="C73" t="s">
        <v>76</v>
      </c>
      <c r="D73" s="158">
        <v>22000</v>
      </c>
    </row>
    <row r="74" spans="1:9" x14ac:dyDescent="0.3">
      <c r="A74">
        <v>6</v>
      </c>
      <c r="B74" s="29"/>
      <c r="C74" t="s">
        <v>209</v>
      </c>
      <c r="D74" s="158">
        <v>10000</v>
      </c>
    </row>
    <row r="75" spans="1:9" x14ac:dyDescent="0.3">
      <c r="A75">
        <v>7</v>
      </c>
      <c r="C75" t="s">
        <v>164</v>
      </c>
      <c r="D75" s="162">
        <v>625</v>
      </c>
    </row>
    <row r="76" spans="1:9" x14ac:dyDescent="0.3">
      <c r="A76">
        <v>8</v>
      </c>
      <c r="C76" t="s">
        <v>221</v>
      </c>
      <c r="D76" s="158">
        <v>1500</v>
      </c>
    </row>
    <row r="77" spans="1:9" x14ac:dyDescent="0.3">
      <c r="A77">
        <v>9</v>
      </c>
      <c r="C77" t="s">
        <v>222</v>
      </c>
      <c r="D77" s="158">
        <v>1500</v>
      </c>
    </row>
    <row r="78" spans="1:9" x14ac:dyDescent="0.3">
      <c r="A78">
        <v>10</v>
      </c>
      <c r="C78" t="s">
        <v>223</v>
      </c>
      <c r="D78" s="158">
        <v>3800</v>
      </c>
    </row>
    <row r="79" spans="1:9" x14ac:dyDescent="0.3">
      <c r="A79">
        <v>11</v>
      </c>
      <c r="C79" t="s">
        <v>224</v>
      </c>
      <c r="D79" s="162">
        <v>12400</v>
      </c>
    </row>
  </sheetData>
  <mergeCells count="13">
    <mergeCell ref="B68:C68"/>
    <mergeCell ref="G49:H49"/>
    <mergeCell ref="G17:H17"/>
    <mergeCell ref="B38:C38"/>
    <mergeCell ref="B27:C27"/>
    <mergeCell ref="B2:D2"/>
    <mergeCell ref="G27:H27"/>
    <mergeCell ref="G37:H37"/>
    <mergeCell ref="B59:C59"/>
    <mergeCell ref="A1:D1"/>
    <mergeCell ref="B7:C7"/>
    <mergeCell ref="B17:C17"/>
    <mergeCell ref="B49:C49"/>
  </mergeCells>
  <pageMargins left="0.7" right="0.7" top="0.75" bottom="0.75" header="0.3" footer="0.3"/>
  <pageSetup paperSize="9" orientation="portrait" r:id="rId1"/>
  <headerFooter>
    <oddFooter>&amp;CGE Internal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P38"/>
  <sheetViews>
    <sheetView workbookViewId="0">
      <selection activeCell="B23" sqref="B23"/>
    </sheetView>
  </sheetViews>
  <sheetFormatPr defaultRowHeight="14.4" x14ac:dyDescent="0.3"/>
  <cols>
    <col min="2" max="2" width="36.88671875" bestFit="1" customWidth="1"/>
    <col min="3" max="3" width="55.109375" bestFit="1" customWidth="1"/>
    <col min="4" max="4" width="25.88671875" bestFit="1" customWidth="1"/>
    <col min="5" max="5" width="31.109375" customWidth="1"/>
    <col min="11" max="11" width="17.88671875" bestFit="1" customWidth="1"/>
    <col min="13" max="13" width="11.5546875" bestFit="1" customWidth="1"/>
    <col min="16" max="16" width="10.44140625" bestFit="1" customWidth="1"/>
  </cols>
  <sheetData>
    <row r="1" spans="1:16" x14ac:dyDescent="0.3">
      <c r="C1" s="111" t="s">
        <v>203</v>
      </c>
      <c r="F1" t="s">
        <v>307</v>
      </c>
      <c r="G1">
        <v>50000</v>
      </c>
      <c r="H1" s="33">
        <v>45477</v>
      </c>
    </row>
    <row r="2" spans="1:16" x14ac:dyDescent="0.3">
      <c r="B2" t="s">
        <v>125</v>
      </c>
      <c r="C2" t="s">
        <v>122</v>
      </c>
      <c r="D2" s="111" t="s">
        <v>123</v>
      </c>
      <c r="F2" t="s">
        <v>308</v>
      </c>
      <c r="G2">
        <v>120000</v>
      </c>
      <c r="K2" t="s">
        <v>127</v>
      </c>
    </row>
    <row r="3" spans="1:16" x14ac:dyDescent="0.3">
      <c r="B3" t="s">
        <v>126</v>
      </c>
      <c r="C3" s="111" t="s">
        <v>124</v>
      </c>
      <c r="D3" t="s">
        <v>312</v>
      </c>
      <c r="J3" s="199" t="s">
        <v>128</v>
      </c>
      <c r="K3" s="199" t="s">
        <v>129</v>
      </c>
      <c r="L3" s="199" t="s">
        <v>130</v>
      </c>
      <c r="M3" s="199" t="s">
        <v>41</v>
      </c>
      <c r="P3" s="29"/>
    </row>
    <row r="4" spans="1:16" ht="16.8" x14ac:dyDescent="0.4">
      <c r="B4" t="s">
        <v>156</v>
      </c>
      <c r="C4" s="111" t="s">
        <v>153</v>
      </c>
      <c r="D4" s="111" t="s">
        <v>123</v>
      </c>
      <c r="E4" s="123" t="s">
        <v>154</v>
      </c>
      <c r="J4" s="166">
        <v>1</v>
      </c>
      <c r="K4" s="166" t="s">
        <v>131</v>
      </c>
      <c r="L4" s="166">
        <v>2021</v>
      </c>
      <c r="M4" s="200">
        <v>22500</v>
      </c>
      <c r="O4" s="137"/>
      <c r="P4" s="29"/>
    </row>
    <row r="5" spans="1:16" ht="16.8" x14ac:dyDescent="0.4">
      <c r="B5" t="s">
        <v>157</v>
      </c>
      <c r="C5" s="111" t="s">
        <v>155</v>
      </c>
      <c r="D5" s="123" t="s">
        <v>154</v>
      </c>
      <c r="E5" s="111" t="s">
        <v>229</v>
      </c>
      <c r="J5" s="166">
        <v>2</v>
      </c>
      <c r="K5" s="166" t="s">
        <v>131</v>
      </c>
      <c r="L5" s="166">
        <v>2022</v>
      </c>
      <c r="M5" s="200">
        <v>63300</v>
      </c>
      <c r="O5" s="137"/>
      <c r="P5" s="29"/>
    </row>
    <row r="6" spans="1:16" x14ac:dyDescent="0.3">
      <c r="B6" t="s">
        <v>94</v>
      </c>
      <c r="C6" t="s">
        <v>192</v>
      </c>
      <c r="D6" t="s">
        <v>165</v>
      </c>
      <c r="E6" s="111" t="s">
        <v>247</v>
      </c>
      <c r="J6" s="166">
        <v>3</v>
      </c>
      <c r="K6" s="166" t="s">
        <v>132</v>
      </c>
      <c r="L6" s="166">
        <v>2021</v>
      </c>
      <c r="M6" s="200">
        <v>0</v>
      </c>
      <c r="O6" s="137"/>
      <c r="P6" s="29"/>
    </row>
    <row r="7" spans="1:16" x14ac:dyDescent="0.3">
      <c r="A7" t="s">
        <v>183</v>
      </c>
      <c r="B7" t="s">
        <v>204</v>
      </c>
      <c r="C7" s="111" t="s">
        <v>182</v>
      </c>
      <c r="D7">
        <v>111452374</v>
      </c>
      <c r="E7" s="198">
        <v>502323</v>
      </c>
      <c r="J7" s="166">
        <v>4</v>
      </c>
      <c r="K7" s="166" t="s">
        <v>132</v>
      </c>
      <c r="L7" s="166">
        <v>2022</v>
      </c>
      <c r="M7" s="200">
        <v>57200</v>
      </c>
      <c r="O7" s="137"/>
      <c r="P7" s="29"/>
    </row>
    <row r="8" spans="1:16" x14ac:dyDescent="0.3">
      <c r="C8" t="s">
        <v>185</v>
      </c>
      <c r="D8">
        <v>6462820</v>
      </c>
      <c r="E8" s="111" t="s">
        <v>315</v>
      </c>
      <c r="J8" s="137"/>
      <c r="O8" s="137"/>
      <c r="P8" s="29"/>
    </row>
    <row r="9" spans="1:16" x14ac:dyDescent="0.3">
      <c r="C9" t="s">
        <v>221</v>
      </c>
      <c r="D9" t="s">
        <v>313</v>
      </c>
      <c r="E9" s="111" t="s">
        <v>314</v>
      </c>
      <c r="J9" s="137"/>
      <c r="O9" s="137"/>
      <c r="P9" s="29"/>
    </row>
    <row r="10" spans="1:16" x14ac:dyDescent="0.3">
      <c r="C10" t="s">
        <v>304</v>
      </c>
      <c r="D10">
        <v>1765763</v>
      </c>
      <c r="O10" s="137"/>
      <c r="P10" s="29"/>
    </row>
    <row r="11" spans="1:16" x14ac:dyDescent="0.3">
      <c r="B11" t="s">
        <v>311</v>
      </c>
      <c r="C11" t="s">
        <v>188</v>
      </c>
      <c r="O11" s="137"/>
      <c r="P11" s="29"/>
    </row>
    <row r="12" spans="1:16" x14ac:dyDescent="0.3">
      <c r="B12" t="s">
        <v>285</v>
      </c>
      <c r="C12" s="113" t="s">
        <v>286</v>
      </c>
      <c r="O12" s="137"/>
      <c r="P12" s="29"/>
    </row>
    <row r="13" spans="1:16" x14ac:dyDescent="0.3">
      <c r="C13" t="s">
        <v>191</v>
      </c>
      <c r="O13" s="137"/>
      <c r="P13" s="29"/>
    </row>
    <row r="14" spans="1:16" x14ac:dyDescent="0.3">
      <c r="B14" t="s">
        <v>190</v>
      </c>
      <c r="C14" t="s">
        <v>189</v>
      </c>
      <c r="O14" s="137"/>
      <c r="P14" s="29"/>
    </row>
    <row r="15" spans="1:16" x14ac:dyDescent="0.3">
      <c r="C15" t="s">
        <v>227</v>
      </c>
      <c r="O15" s="137"/>
      <c r="P15" s="29"/>
    </row>
    <row r="16" spans="1:16" x14ac:dyDescent="0.3">
      <c r="B16" t="s">
        <v>198</v>
      </c>
      <c r="C16" s="111" t="s">
        <v>202</v>
      </c>
      <c r="O16" s="137"/>
      <c r="P16" s="29"/>
    </row>
    <row r="17" spans="1:9" x14ac:dyDescent="0.3">
      <c r="A17" t="s">
        <v>263</v>
      </c>
      <c r="B17" t="s">
        <v>262</v>
      </c>
      <c r="C17" s="111" t="s">
        <v>265</v>
      </c>
      <c r="D17" s="195" t="s">
        <v>264</v>
      </c>
      <c r="E17" s="111" t="s">
        <v>302</v>
      </c>
    </row>
    <row r="22" spans="1:9" x14ac:dyDescent="0.3">
      <c r="D22" s="214" t="s">
        <v>316</v>
      </c>
      <c r="E22" s="214" t="s">
        <v>317</v>
      </c>
      <c r="F22" s="214" t="s">
        <v>318</v>
      </c>
      <c r="G22" s="216" t="s">
        <v>329</v>
      </c>
      <c r="H22" s="216" t="s">
        <v>330</v>
      </c>
      <c r="I22" s="216" t="s">
        <v>328</v>
      </c>
    </row>
    <row r="23" spans="1:9" x14ac:dyDescent="0.3">
      <c r="D23" s="215">
        <f>SUM(D24+D25+D26)</f>
        <v>117912.6</v>
      </c>
      <c r="E23" s="215" t="s">
        <v>301</v>
      </c>
      <c r="F23" s="215">
        <f>4326*93</f>
        <v>402318</v>
      </c>
      <c r="G23">
        <f>3982*93</f>
        <v>370326</v>
      </c>
    </row>
    <row r="24" spans="1:9" x14ac:dyDescent="0.3">
      <c r="D24" s="215">
        <v>29999.61</v>
      </c>
      <c r="E24" s="215" t="s">
        <v>298</v>
      </c>
      <c r="F24" s="215">
        <v>2020</v>
      </c>
      <c r="G24">
        <v>1854.47</v>
      </c>
      <c r="H24">
        <f>G24*92</f>
        <v>170611.24</v>
      </c>
      <c r="I24">
        <f>H24/D24</f>
        <v>5.6871152658317889</v>
      </c>
    </row>
    <row r="25" spans="1:9" x14ac:dyDescent="0.3">
      <c r="D25" s="215">
        <v>42913</v>
      </c>
      <c r="E25" s="215" t="s">
        <v>299</v>
      </c>
      <c r="F25" s="215">
        <v>2022</v>
      </c>
      <c r="G25">
        <v>1152.9100000000001</v>
      </c>
      <c r="H25">
        <f>G25*92</f>
        <v>106067.72</v>
      </c>
      <c r="I25">
        <f>H25/D25</f>
        <v>2.4716920280567662</v>
      </c>
    </row>
    <row r="26" spans="1:9" x14ac:dyDescent="0.3">
      <c r="D26" s="215">
        <v>44999.99</v>
      </c>
      <c r="E26" s="215" t="s">
        <v>300</v>
      </c>
      <c r="F26" s="215">
        <v>2023</v>
      </c>
      <c r="G26">
        <v>975.5</v>
      </c>
      <c r="H26">
        <f>G26*92</f>
        <v>89746</v>
      </c>
      <c r="I26">
        <f>H26/D26</f>
        <v>1.9943559987457775</v>
      </c>
    </row>
    <row r="28" spans="1:9" x14ac:dyDescent="0.3">
      <c r="D28" s="29"/>
      <c r="E28" s="29"/>
    </row>
    <row r="29" spans="1:9" x14ac:dyDescent="0.3">
      <c r="C29" s="197"/>
      <c r="D29" s="29"/>
      <c r="E29" s="29"/>
    </row>
    <row r="30" spans="1:9" x14ac:dyDescent="0.3">
      <c r="B30" s="193" t="s">
        <v>261</v>
      </c>
      <c r="C30" s="194" t="s">
        <v>260</v>
      </c>
    </row>
    <row r="31" spans="1:9" x14ac:dyDescent="0.3">
      <c r="B31" s="47" t="s">
        <v>257</v>
      </c>
      <c r="C31" s="47">
        <v>1102001345</v>
      </c>
    </row>
    <row r="32" spans="1:9" x14ac:dyDescent="0.3">
      <c r="B32" s="47" t="s">
        <v>258</v>
      </c>
      <c r="C32" s="47">
        <v>1102001425</v>
      </c>
    </row>
    <row r="33" spans="2:3" x14ac:dyDescent="0.3">
      <c r="B33" s="47" t="s">
        <v>259</v>
      </c>
      <c r="C33" s="47">
        <v>1102001370</v>
      </c>
    </row>
    <row r="34" spans="2:3" ht="15.6" x14ac:dyDescent="0.3">
      <c r="B34" s="230" t="s">
        <v>287</v>
      </c>
      <c r="C34" s="230"/>
    </row>
    <row r="35" spans="2:3" x14ac:dyDescent="0.3">
      <c r="B35" s="47" t="s">
        <v>272</v>
      </c>
      <c r="C35" s="202">
        <v>457630731968</v>
      </c>
    </row>
    <row r="36" spans="2:3" x14ac:dyDescent="0.3">
      <c r="B36" s="47" t="s">
        <v>271</v>
      </c>
      <c r="C36" s="202">
        <v>444152404717</v>
      </c>
    </row>
    <row r="37" spans="2:3" x14ac:dyDescent="0.3">
      <c r="B37" s="47" t="s">
        <v>269</v>
      </c>
      <c r="C37" s="202">
        <v>742879848714</v>
      </c>
    </row>
    <row r="38" spans="2:3" x14ac:dyDescent="0.3">
      <c r="B38" s="47" t="s">
        <v>270</v>
      </c>
      <c r="C38" s="202">
        <v>372511869744</v>
      </c>
    </row>
  </sheetData>
  <autoFilter ref="J3:M7" xr:uid="{00000000-0009-0000-0000-000006000000}"/>
  <mergeCells count="1">
    <mergeCell ref="B34:C34"/>
  </mergeCells>
  <hyperlinks>
    <hyperlink ref="D2" r:id="rId1" xr:uid="{00000000-0004-0000-0600-000000000000}"/>
    <hyperlink ref="C4" r:id="rId2" xr:uid="{00000000-0004-0000-0600-000001000000}"/>
    <hyperlink ref="D4" r:id="rId3" xr:uid="{00000000-0004-0000-0600-000002000000}"/>
    <hyperlink ref="C5" r:id="rId4" xr:uid="{00000000-0004-0000-0600-000003000000}"/>
    <hyperlink ref="E6" r:id="rId5" xr:uid="{00000000-0004-0000-0600-000004000000}"/>
    <hyperlink ref="C7" r:id="rId6" location="login" display="https://www.amundi-ee.com/account/ - login" xr:uid="{704D15C5-7B15-4E5C-8F08-B4ED8488E841}"/>
    <hyperlink ref="B7" r:id="rId7" location="login" display="https://www.amundi-ee.com/account/ - login" xr:uid="{455E1992-3EAB-47F3-BB5B-7DB8FDF3450D}"/>
    <hyperlink ref="C3" r:id="rId8" xr:uid="{4A22EC43-01E9-451B-8CC5-30FBFDC31A4D}"/>
    <hyperlink ref="C16" r:id="rId9" xr:uid="{1E7D7F80-0914-4C1D-9FE7-E98F4D64B988}"/>
    <hyperlink ref="C1" r:id="rId10" location="login" display="https://www.amundi-ee.com/account/ - login" xr:uid="{6FF9ABC2-6082-45DF-8AA4-305C8F5E950E}"/>
    <hyperlink ref="E5" r:id="rId11" xr:uid="{F8D99C8A-072E-40B7-9284-99793E58E5D1}"/>
    <hyperlink ref="E8" r:id="rId12" xr:uid="{F85435EE-2385-4B9F-A713-746777A54E68}"/>
    <hyperlink ref="C30" r:id="rId13" xr:uid="{178BC03F-9512-469E-BF26-F55DFDF1B278}"/>
    <hyperlink ref="E17" r:id="rId14" xr:uid="{ECBA5823-E27A-4C62-8C6A-6F51CC7822A1}"/>
    <hyperlink ref="C17" r:id="rId15" xr:uid="{AAA6C5FD-4667-4A9F-A08B-1742631818A3}"/>
    <hyperlink ref="C12" r:id="rId16" tooltip="https://ess.hgsbs.com/" display="https://ess.hgsbs.com/" xr:uid="{20E805DA-22C2-4C6E-82C7-1E21039058AE}"/>
    <hyperlink ref="E9" r:id="rId17" xr:uid="{F4D06A2F-5530-4218-97FB-D68FA8A43F40}"/>
  </hyperlinks>
  <pageMargins left="0.7" right="0.7" top="0.75" bottom="0.75" header="0.3" footer="0.3"/>
  <pageSetup orientation="portrait" r:id="rId18"/>
  <headerFooter>
    <oddFooter>&amp;CGE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64F-E1CF-4276-9CC6-6AFE1CEF3EFD}">
  <sheetPr codeName="Sheet8"/>
  <dimension ref="A1:N32"/>
  <sheetViews>
    <sheetView tabSelected="1" workbookViewId="0">
      <selection activeCell="P5" sqref="P5"/>
    </sheetView>
  </sheetViews>
  <sheetFormatPr defaultRowHeight="14.4" x14ac:dyDescent="0.3"/>
  <cols>
    <col min="1" max="1" width="9.109375" style="137"/>
    <col min="2" max="2" width="10.44140625" bestFit="1" customWidth="1"/>
    <col min="3" max="3" width="16" bestFit="1" customWidth="1"/>
    <col min="4" max="4" width="12.33203125" bestFit="1" customWidth="1"/>
    <col min="6" max="6" width="9.109375" style="38"/>
    <col min="7" max="7" width="10.44140625" bestFit="1" customWidth="1"/>
    <col min="8" max="8" width="21.6640625" bestFit="1" customWidth="1"/>
    <col min="9" max="9" width="11.109375" bestFit="1" customWidth="1"/>
    <col min="12" max="12" width="10.33203125" bestFit="1" customWidth="1"/>
    <col min="13" max="13" width="20.6640625" bestFit="1" customWidth="1"/>
    <col min="14" max="14" width="10.44140625" bestFit="1" customWidth="1"/>
    <col min="19" max="19" width="25.88671875" bestFit="1" customWidth="1"/>
    <col min="20" max="20" width="127.33203125" bestFit="1" customWidth="1"/>
  </cols>
  <sheetData>
    <row r="1" spans="1:14" x14ac:dyDescent="0.3">
      <c r="A1" s="191" t="s">
        <v>104</v>
      </c>
      <c r="B1" s="229">
        <v>45505</v>
      </c>
      <c r="C1" s="229"/>
      <c r="D1" s="192">
        <f>109500-SUM(D2:D12)</f>
        <v>-43572</v>
      </c>
      <c r="F1" s="191" t="s">
        <v>104</v>
      </c>
      <c r="G1" s="229">
        <v>45505</v>
      </c>
      <c r="H1" s="229"/>
      <c r="I1" s="192">
        <f>110000-SUM(I2:I12)</f>
        <v>3500</v>
      </c>
      <c r="K1" s="191" t="s">
        <v>104</v>
      </c>
      <c r="L1" s="229">
        <v>45536</v>
      </c>
      <c r="M1" s="229"/>
      <c r="N1" s="192">
        <f>110000-SUM(N2:N12)</f>
        <v>6000</v>
      </c>
    </row>
    <row r="2" spans="1:14" x14ac:dyDescent="0.3">
      <c r="A2" s="137">
        <v>1</v>
      </c>
      <c r="B2" s="29">
        <v>45474</v>
      </c>
      <c r="C2" t="s">
        <v>266</v>
      </c>
      <c r="D2" s="196">
        <f>12000</f>
        <v>12000</v>
      </c>
      <c r="F2" s="137">
        <v>1</v>
      </c>
      <c r="G2" s="29">
        <v>45474</v>
      </c>
      <c r="H2" t="s">
        <v>266</v>
      </c>
      <c r="I2" s="196">
        <f>12000</f>
        <v>12000</v>
      </c>
      <c r="K2" s="137">
        <v>1</v>
      </c>
      <c r="L2" s="29">
        <v>45474</v>
      </c>
      <c r="M2" t="s">
        <v>266</v>
      </c>
      <c r="N2" s="196">
        <f>12000</f>
        <v>12000</v>
      </c>
    </row>
    <row r="3" spans="1:14" x14ac:dyDescent="0.3">
      <c r="A3" s="137">
        <v>2</v>
      </c>
      <c r="B3" s="29">
        <v>45474</v>
      </c>
      <c r="C3" t="s">
        <v>275</v>
      </c>
      <c r="D3">
        <f>10000+3000</f>
        <v>13000</v>
      </c>
      <c r="F3" s="137">
        <v>2</v>
      </c>
      <c r="G3" s="29">
        <v>45474</v>
      </c>
      <c r="H3" t="s">
        <v>275</v>
      </c>
      <c r="I3">
        <v>10000</v>
      </c>
      <c r="K3" s="137">
        <v>2</v>
      </c>
      <c r="L3" s="29">
        <v>45474</v>
      </c>
      <c r="M3" t="s">
        <v>275</v>
      </c>
    </row>
    <row r="4" spans="1:14" x14ac:dyDescent="0.3">
      <c r="A4" s="137">
        <v>3</v>
      </c>
      <c r="B4" s="29">
        <v>45474</v>
      </c>
      <c r="C4" t="s">
        <v>208</v>
      </c>
      <c r="D4">
        <v>30000</v>
      </c>
      <c r="F4" s="137">
        <v>3</v>
      </c>
      <c r="G4" s="29">
        <v>45474</v>
      </c>
      <c r="H4" t="s">
        <v>208</v>
      </c>
      <c r="I4">
        <v>30000</v>
      </c>
      <c r="K4" s="137">
        <v>3</v>
      </c>
      <c r="L4" s="29">
        <v>45474</v>
      </c>
      <c r="M4" t="s">
        <v>208</v>
      </c>
      <c r="N4">
        <v>30000</v>
      </c>
    </row>
    <row r="5" spans="1:14" x14ac:dyDescent="0.3">
      <c r="A5" s="137">
        <v>4</v>
      </c>
      <c r="B5" s="29">
        <v>45474</v>
      </c>
      <c r="C5" t="s">
        <v>254</v>
      </c>
      <c r="F5" s="137">
        <v>4</v>
      </c>
      <c r="G5" s="29">
        <v>45474</v>
      </c>
      <c r="H5" t="s">
        <v>254</v>
      </c>
      <c r="I5">
        <v>25000</v>
      </c>
      <c r="K5" s="137">
        <v>4</v>
      </c>
      <c r="L5" s="29">
        <v>45474</v>
      </c>
      <c r="M5" t="s">
        <v>254</v>
      </c>
      <c r="N5">
        <v>25000</v>
      </c>
    </row>
    <row r="6" spans="1:14" x14ac:dyDescent="0.3">
      <c r="A6" s="137">
        <v>5</v>
      </c>
      <c r="B6" s="29">
        <v>45478</v>
      </c>
      <c r="C6" t="s">
        <v>276</v>
      </c>
      <c r="D6">
        <v>1072</v>
      </c>
      <c r="F6" s="137">
        <v>5</v>
      </c>
      <c r="G6" s="29">
        <v>45478</v>
      </c>
      <c r="H6" t="s">
        <v>276</v>
      </c>
      <c r="K6" s="137">
        <v>5</v>
      </c>
      <c r="L6" s="29">
        <v>45478</v>
      </c>
      <c r="M6" t="s">
        <v>276</v>
      </c>
    </row>
    <row r="7" spans="1:14" x14ac:dyDescent="0.3">
      <c r="A7" s="137">
        <v>6</v>
      </c>
      <c r="B7" s="29">
        <v>45474</v>
      </c>
      <c r="C7" t="s">
        <v>256</v>
      </c>
      <c r="D7">
        <v>22000</v>
      </c>
      <c r="F7" s="137">
        <v>6</v>
      </c>
      <c r="G7" s="29">
        <v>45474</v>
      </c>
      <c r="H7" t="s">
        <v>256</v>
      </c>
      <c r="I7">
        <v>22000</v>
      </c>
      <c r="K7" s="137">
        <v>6</v>
      </c>
      <c r="L7" s="29">
        <v>45474</v>
      </c>
      <c r="M7" t="s">
        <v>256</v>
      </c>
      <c r="N7">
        <v>22000</v>
      </c>
    </row>
    <row r="8" spans="1:14" x14ac:dyDescent="0.3">
      <c r="A8" s="137">
        <v>7</v>
      </c>
      <c r="B8" s="29">
        <v>45478</v>
      </c>
      <c r="C8" t="s">
        <v>297</v>
      </c>
      <c r="D8">
        <v>7500</v>
      </c>
      <c r="F8" s="137">
        <v>7</v>
      </c>
      <c r="G8" s="29">
        <v>45478</v>
      </c>
      <c r="H8" t="s">
        <v>297</v>
      </c>
      <c r="I8">
        <v>7500</v>
      </c>
      <c r="K8" s="137">
        <v>7</v>
      </c>
      <c r="L8" s="29">
        <v>45478</v>
      </c>
      <c r="M8" t="s">
        <v>297</v>
      </c>
      <c r="N8">
        <v>7500</v>
      </c>
    </row>
    <row r="9" spans="1:14" x14ac:dyDescent="0.3">
      <c r="A9" s="137">
        <v>8</v>
      </c>
      <c r="B9" s="29">
        <v>45478</v>
      </c>
      <c r="C9" t="s">
        <v>297</v>
      </c>
      <c r="D9">
        <v>7500</v>
      </c>
      <c r="F9" s="137">
        <v>8</v>
      </c>
      <c r="G9" s="29">
        <v>45478</v>
      </c>
      <c r="H9" t="s">
        <v>297</v>
      </c>
      <c r="K9" s="137">
        <v>8</v>
      </c>
      <c r="L9" s="29">
        <v>45478</v>
      </c>
      <c r="M9" t="s">
        <v>297</v>
      </c>
      <c r="N9">
        <v>7500</v>
      </c>
    </row>
    <row r="10" spans="1:14" x14ac:dyDescent="0.3">
      <c r="A10" s="137">
        <v>9</v>
      </c>
      <c r="B10" s="29"/>
      <c r="C10" t="s">
        <v>15</v>
      </c>
      <c r="D10" s="164">
        <v>20000</v>
      </c>
      <c r="F10" s="137">
        <v>9</v>
      </c>
      <c r="G10" s="29"/>
      <c r="K10" s="137">
        <v>9</v>
      </c>
      <c r="L10" s="29"/>
    </row>
    <row r="11" spans="1:14" x14ac:dyDescent="0.3">
      <c r="C11" t="s">
        <v>69</v>
      </c>
      <c r="D11" s="164">
        <v>20000</v>
      </c>
    </row>
    <row r="12" spans="1:14" x14ac:dyDescent="0.3">
      <c r="C12" t="s">
        <v>303</v>
      </c>
      <c r="D12" s="164">
        <v>20000</v>
      </c>
    </row>
    <row r="13" spans="1:14" x14ac:dyDescent="0.3">
      <c r="A13" s="191" t="s">
        <v>104</v>
      </c>
      <c r="B13" s="229">
        <v>45413</v>
      </c>
      <c r="C13" s="229"/>
      <c r="D13" s="192">
        <f>109500-SUM(D14:D21)</f>
        <v>3000</v>
      </c>
      <c r="F13" s="191" t="s">
        <v>104</v>
      </c>
      <c r="G13" s="229">
        <v>45444</v>
      </c>
      <c r="H13" s="229"/>
      <c r="I13" s="192">
        <f>109500-SUM(I14:I21)</f>
        <v>13000</v>
      </c>
      <c r="K13" s="191" t="s">
        <v>104</v>
      </c>
      <c r="L13" s="229">
        <v>45474</v>
      </c>
      <c r="M13" s="229"/>
      <c r="N13" s="192">
        <f>109500-SUM(N14:N21)</f>
        <v>4328</v>
      </c>
    </row>
    <row r="14" spans="1:14" x14ac:dyDescent="0.3">
      <c r="A14" s="137">
        <v>1</v>
      </c>
      <c r="B14" s="29">
        <v>45413</v>
      </c>
      <c r="C14" t="s">
        <v>251</v>
      </c>
      <c r="D14">
        <v>12000</v>
      </c>
      <c r="F14" s="137">
        <v>1</v>
      </c>
      <c r="G14" s="29">
        <v>45444</v>
      </c>
      <c r="H14" t="s">
        <v>266</v>
      </c>
      <c r="I14" s="196">
        <v>12000</v>
      </c>
      <c r="K14" s="137">
        <v>1</v>
      </c>
      <c r="L14" s="29">
        <v>45474</v>
      </c>
      <c r="M14" t="s">
        <v>266</v>
      </c>
      <c r="N14" s="196">
        <f>12000+1000</f>
        <v>13000</v>
      </c>
    </row>
    <row r="15" spans="1:14" x14ac:dyDescent="0.3">
      <c r="A15" s="137">
        <v>2</v>
      </c>
      <c r="B15" s="29">
        <v>45413</v>
      </c>
      <c r="C15" t="s">
        <v>252</v>
      </c>
      <c r="D15">
        <v>20000</v>
      </c>
      <c r="F15" s="137">
        <v>2</v>
      </c>
      <c r="G15" s="29">
        <v>45444</v>
      </c>
      <c r="H15" t="s">
        <v>268</v>
      </c>
      <c r="I15">
        <v>15000</v>
      </c>
      <c r="K15" s="137">
        <v>2</v>
      </c>
      <c r="L15" s="29">
        <v>45474</v>
      </c>
      <c r="M15" t="s">
        <v>275</v>
      </c>
      <c r="N15">
        <v>10000</v>
      </c>
    </row>
    <row r="16" spans="1:14" x14ac:dyDescent="0.3">
      <c r="A16" s="137">
        <v>3</v>
      </c>
      <c r="B16" s="29">
        <v>45413</v>
      </c>
      <c r="C16" t="s">
        <v>253</v>
      </c>
      <c r="D16">
        <v>5000</v>
      </c>
      <c r="F16" s="137">
        <v>3</v>
      </c>
      <c r="G16" s="29">
        <v>45444</v>
      </c>
      <c r="H16" t="s">
        <v>208</v>
      </c>
      <c r="I16">
        <v>30000</v>
      </c>
      <c r="K16" s="137">
        <v>3</v>
      </c>
      <c r="L16" s="29">
        <v>45474</v>
      </c>
      <c r="M16" t="s">
        <v>208</v>
      </c>
      <c r="N16">
        <v>34000</v>
      </c>
    </row>
    <row r="17" spans="1:14" x14ac:dyDescent="0.3">
      <c r="A17" s="137">
        <v>4</v>
      </c>
      <c r="B17" s="29">
        <v>45413</v>
      </c>
      <c r="C17" t="s">
        <v>254</v>
      </c>
      <c r="D17">
        <v>10000</v>
      </c>
      <c r="F17" s="137">
        <v>4</v>
      </c>
      <c r="G17" s="29">
        <v>45444</v>
      </c>
      <c r="H17" t="s">
        <v>254</v>
      </c>
      <c r="I17">
        <v>10000</v>
      </c>
      <c r="K17" s="137">
        <v>4</v>
      </c>
      <c r="L17" s="29">
        <v>45474</v>
      </c>
      <c r="M17" t="s">
        <v>254</v>
      </c>
      <c r="N17">
        <v>20000</v>
      </c>
    </row>
    <row r="18" spans="1:14" x14ac:dyDescent="0.3">
      <c r="A18" s="137">
        <v>5</v>
      </c>
      <c r="B18" s="29">
        <v>45413</v>
      </c>
      <c r="C18" t="s">
        <v>208</v>
      </c>
      <c r="D18">
        <v>30000</v>
      </c>
      <c r="F18" s="137">
        <v>5</v>
      </c>
      <c r="G18" s="29">
        <v>45444</v>
      </c>
      <c r="H18" t="s">
        <v>255</v>
      </c>
      <c r="I18">
        <v>7500</v>
      </c>
      <c r="K18" s="137">
        <v>5</v>
      </c>
      <c r="L18" s="29">
        <v>45478</v>
      </c>
      <c r="M18" t="s">
        <v>276</v>
      </c>
      <c r="N18">
        <v>1072</v>
      </c>
    </row>
    <row r="19" spans="1:14" x14ac:dyDescent="0.3">
      <c r="A19" s="137">
        <v>6</v>
      </c>
      <c r="B19" s="29">
        <v>45413</v>
      </c>
      <c r="C19" t="s">
        <v>255</v>
      </c>
      <c r="D19">
        <v>7500</v>
      </c>
      <c r="F19" s="137">
        <v>6</v>
      </c>
      <c r="G19" s="29">
        <v>45448</v>
      </c>
      <c r="H19" t="s">
        <v>256</v>
      </c>
      <c r="I19">
        <v>22000</v>
      </c>
      <c r="K19" s="137">
        <v>6</v>
      </c>
      <c r="L19" s="29">
        <v>45474</v>
      </c>
      <c r="M19" t="s">
        <v>256</v>
      </c>
      <c r="N19">
        <v>22000</v>
      </c>
    </row>
    <row r="20" spans="1:14" x14ac:dyDescent="0.3">
      <c r="A20" s="137">
        <v>7</v>
      </c>
      <c r="B20" s="29">
        <v>45417</v>
      </c>
      <c r="C20" t="s">
        <v>256</v>
      </c>
      <c r="D20">
        <v>22000</v>
      </c>
      <c r="F20" s="137">
        <v>7</v>
      </c>
      <c r="K20" s="137">
        <v>7</v>
      </c>
      <c r="L20" s="29">
        <v>45474</v>
      </c>
      <c r="M20" t="s">
        <v>274</v>
      </c>
      <c r="N20">
        <v>5100</v>
      </c>
    </row>
    <row r="24" spans="1:14" x14ac:dyDescent="0.3">
      <c r="A24" s="191" t="s">
        <v>104</v>
      </c>
      <c r="B24" s="229">
        <v>45292</v>
      </c>
      <c r="C24" s="229"/>
      <c r="D24" s="192">
        <f>SUM(D25:D32)</f>
        <v>93101</v>
      </c>
      <c r="F24" s="191" t="s">
        <v>104</v>
      </c>
      <c r="G24" s="229">
        <v>45383</v>
      </c>
      <c r="H24" s="229"/>
      <c r="I24" s="110">
        <f>80278+38648-SUM(I25:I32)</f>
        <v>36426</v>
      </c>
    </row>
    <row r="25" spans="1:14" x14ac:dyDescent="0.3">
      <c r="A25" s="137">
        <v>1</v>
      </c>
      <c r="C25" t="s">
        <v>101</v>
      </c>
      <c r="D25" s="116">
        <v>12000</v>
      </c>
      <c r="F25" s="38">
        <v>1</v>
      </c>
      <c r="H25" t="s">
        <v>101</v>
      </c>
      <c r="I25" s="116">
        <v>12000</v>
      </c>
    </row>
    <row r="26" spans="1:14" x14ac:dyDescent="0.3">
      <c r="A26" s="137">
        <v>2</v>
      </c>
      <c r="C26" t="s">
        <v>67</v>
      </c>
      <c r="D26" s="116">
        <v>7500</v>
      </c>
      <c r="F26" s="38">
        <v>2</v>
      </c>
      <c r="H26" t="s">
        <v>67</v>
      </c>
      <c r="I26" s="116"/>
    </row>
    <row r="27" spans="1:14" x14ac:dyDescent="0.3">
      <c r="A27" s="137">
        <v>3</v>
      </c>
      <c r="C27" t="s">
        <v>115</v>
      </c>
      <c r="D27" s="116">
        <v>21618</v>
      </c>
      <c r="F27" s="38">
        <v>3</v>
      </c>
      <c r="H27" t="s">
        <v>115</v>
      </c>
      <c r="I27" s="116"/>
    </row>
    <row r="28" spans="1:14" x14ac:dyDescent="0.3">
      <c r="A28" s="137">
        <v>4</v>
      </c>
      <c r="C28" t="s">
        <v>116</v>
      </c>
      <c r="D28" s="116">
        <v>29000</v>
      </c>
      <c r="F28" s="38">
        <v>4</v>
      </c>
      <c r="H28" t="s">
        <v>116</v>
      </c>
      <c r="I28" s="116">
        <v>0</v>
      </c>
    </row>
    <row r="29" spans="1:14" x14ac:dyDescent="0.3">
      <c r="A29" s="137">
        <v>5</v>
      </c>
      <c r="C29" t="s">
        <v>117</v>
      </c>
      <c r="D29" s="116">
        <v>10000</v>
      </c>
      <c r="F29" s="38">
        <v>5</v>
      </c>
      <c r="H29" t="s">
        <v>117</v>
      </c>
      <c r="I29" s="116">
        <v>0</v>
      </c>
    </row>
    <row r="30" spans="1:14" x14ac:dyDescent="0.3">
      <c r="A30" s="137">
        <v>5</v>
      </c>
      <c r="C30" t="s">
        <v>228</v>
      </c>
      <c r="D30" s="116">
        <v>12983</v>
      </c>
      <c r="F30" s="38">
        <v>5</v>
      </c>
      <c r="I30" s="116"/>
    </row>
    <row r="31" spans="1:14" x14ac:dyDescent="0.3">
      <c r="A31" s="137">
        <v>7</v>
      </c>
      <c r="D31" s="116"/>
      <c r="F31" s="38">
        <v>7</v>
      </c>
      <c r="H31" t="s">
        <v>121</v>
      </c>
      <c r="I31" s="116">
        <v>50900</v>
      </c>
    </row>
    <row r="32" spans="1:14" x14ac:dyDescent="0.3">
      <c r="A32" s="137">
        <v>8</v>
      </c>
      <c r="B32" s="33"/>
      <c r="D32" s="116"/>
      <c r="F32" s="38">
        <v>8</v>
      </c>
      <c r="G32" s="33">
        <v>45383</v>
      </c>
      <c r="H32" t="s">
        <v>246</v>
      </c>
      <c r="I32" s="116">
        <v>19600</v>
      </c>
    </row>
  </sheetData>
  <mergeCells count="8">
    <mergeCell ref="L13:M13"/>
    <mergeCell ref="B1:C1"/>
    <mergeCell ref="G1:H1"/>
    <mergeCell ref="B24:C24"/>
    <mergeCell ref="G24:H24"/>
    <mergeCell ref="B13:C13"/>
    <mergeCell ref="G13:H13"/>
    <mergeCell ref="L1:M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05BF-0435-4861-9D68-2AC875EAEB72}">
  <sheetPr codeName="Sheet9" filterMode="1"/>
  <dimension ref="A1:H31"/>
  <sheetViews>
    <sheetView workbookViewId="0">
      <selection activeCell="G31" sqref="G31"/>
    </sheetView>
  </sheetViews>
  <sheetFormatPr defaultRowHeight="14.4" x14ac:dyDescent="0.3"/>
  <cols>
    <col min="1" max="1" width="10.44140625" bestFit="1" customWidth="1"/>
    <col min="2" max="2" width="14.109375" bestFit="1" customWidth="1"/>
    <col min="3" max="3" width="13.88671875" bestFit="1" customWidth="1"/>
  </cols>
  <sheetData>
    <row r="1" spans="1:4" x14ac:dyDescent="0.3">
      <c r="A1" s="156" t="s">
        <v>42</v>
      </c>
      <c r="B1" s="156" t="s">
        <v>226</v>
      </c>
      <c r="C1" s="156" t="s">
        <v>171</v>
      </c>
    </row>
    <row r="2" spans="1:4" hidden="1" x14ac:dyDescent="0.3">
      <c r="A2" s="33">
        <v>45019</v>
      </c>
      <c r="B2" t="s">
        <v>200</v>
      </c>
      <c r="C2" s="44">
        <v>18600</v>
      </c>
    </row>
    <row r="3" spans="1:4" hidden="1" x14ac:dyDescent="0.3">
      <c r="A3" s="33">
        <v>45099</v>
      </c>
      <c r="B3" t="s">
        <v>201</v>
      </c>
      <c r="C3" s="44">
        <v>12700</v>
      </c>
    </row>
    <row r="4" spans="1:4" hidden="1" x14ac:dyDescent="0.3">
      <c r="A4" s="33">
        <v>45117</v>
      </c>
      <c r="B4" t="s">
        <v>200</v>
      </c>
      <c r="C4" s="44">
        <v>10600</v>
      </c>
    </row>
    <row r="5" spans="1:4" hidden="1" x14ac:dyDescent="0.3">
      <c r="A5" s="33">
        <v>45117</v>
      </c>
      <c r="B5" t="s">
        <v>201</v>
      </c>
      <c r="C5" s="44">
        <v>12440</v>
      </c>
    </row>
    <row r="6" spans="1:4" hidden="1" x14ac:dyDescent="0.3">
      <c r="A6" s="33">
        <v>45117</v>
      </c>
      <c r="B6" t="s">
        <v>181</v>
      </c>
      <c r="C6" s="44">
        <v>1800</v>
      </c>
    </row>
    <row r="7" spans="1:4" hidden="1" x14ac:dyDescent="0.3">
      <c r="A7" s="33">
        <v>45190</v>
      </c>
      <c r="B7" t="s">
        <v>200</v>
      </c>
      <c r="C7" s="44">
        <v>12400</v>
      </c>
    </row>
    <row r="8" spans="1:4" hidden="1" x14ac:dyDescent="0.3">
      <c r="A8" s="33">
        <v>45190</v>
      </c>
      <c r="B8" t="s">
        <v>201</v>
      </c>
      <c r="C8" s="44">
        <v>8245</v>
      </c>
    </row>
    <row r="9" spans="1:4" hidden="1" x14ac:dyDescent="0.3">
      <c r="A9" s="33">
        <v>45264</v>
      </c>
      <c r="B9" t="s">
        <v>200</v>
      </c>
      <c r="C9" s="44">
        <v>10600</v>
      </c>
      <c r="D9">
        <v>12400</v>
      </c>
    </row>
    <row r="10" spans="1:4" hidden="1" x14ac:dyDescent="0.3">
      <c r="A10" s="33">
        <v>45278</v>
      </c>
      <c r="B10" t="s">
        <v>201</v>
      </c>
      <c r="C10" s="44">
        <v>8400</v>
      </c>
    </row>
    <row r="11" spans="1:4" x14ac:dyDescent="0.3">
      <c r="A11" s="170">
        <v>45383</v>
      </c>
      <c r="B11" s="169" t="s">
        <v>201</v>
      </c>
      <c r="C11" s="171">
        <v>19600</v>
      </c>
    </row>
    <row r="12" spans="1:4" x14ac:dyDescent="0.3">
      <c r="A12" s="170">
        <v>45325</v>
      </c>
      <c r="B12" s="169" t="s">
        <v>200</v>
      </c>
      <c r="C12" s="171">
        <v>10000</v>
      </c>
    </row>
    <row r="13" spans="1:4" x14ac:dyDescent="0.3">
      <c r="A13" s="170">
        <v>45398</v>
      </c>
      <c r="B13" s="169" t="s">
        <v>200</v>
      </c>
      <c r="C13" s="171">
        <v>14000</v>
      </c>
    </row>
    <row r="14" spans="1:4" x14ac:dyDescent="0.3">
      <c r="A14" s="170">
        <v>45481</v>
      </c>
      <c r="B14" s="169" t="s">
        <v>201</v>
      </c>
      <c r="C14" s="171">
        <v>11200</v>
      </c>
    </row>
    <row r="15" spans="1:4" hidden="1" x14ac:dyDescent="0.3">
      <c r="A15" s="170">
        <v>45481</v>
      </c>
      <c r="B15" s="169" t="s">
        <v>288</v>
      </c>
      <c r="C15" s="171">
        <v>5700</v>
      </c>
    </row>
    <row r="16" spans="1:4" x14ac:dyDescent="0.3">
      <c r="A16" s="170">
        <v>45493</v>
      </c>
      <c r="B16" s="169" t="s">
        <v>200</v>
      </c>
      <c r="C16" s="171">
        <v>14000</v>
      </c>
    </row>
    <row r="17" spans="1:8" hidden="1" x14ac:dyDescent="0.3">
      <c r="A17" s="170">
        <v>45493</v>
      </c>
      <c r="B17" s="169" t="s">
        <v>289</v>
      </c>
      <c r="C17" s="171">
        <v>6000</v>
      </c>
    </row>
    <row r="19" spans="1:8" x14ac:dyDescent="0.3">
      <c r="F19" t="s">
        <v>217</v>
      </c>
      <c r="G19">
        <f>10000*12</f>
        <v>120000</v>
      </c>
      <c r="H19">
        <f t="shared" ref="H19:H30" si="0">G19/12</f>
        <v>10000</v>
      </c>
    </row>
    <row r="20" spans="1:8" x14ac:dyDescent="0.3">
      <c r="F20" t="s">
        <v>322</v>
      </c>
      <c r="G20">
        <v>150000</v>
      </c>
      <c r="H20">
        <f t="shared" si="0"/>
        <v>12500</v>
      </c>
    </row>
    <row r="21" spans="1:8" x14ac:dyDescent="0.3">
      <c r="F21" t="s">
        <v>321</v>
      </c>
      <c r="G21">
        <v>150000</v>
      </c>
      <c r="H21">
        <f t="shared" si="0"/>
        <v>12500</v>
      </c>
    </row>
    <row r="22" spans="1:8" x14ac:dyDescent="0.3">
      <c r="F22" t="s">
        <v>320</v>
      </c>
      <c r="G22">
        <v>150000</v>
      </c>
      <c r="H22">
        <f t="shared" si="0"/>
        <v>12500</v>
      </c>
    </row>
    <row r="23" spans="1:8" x14ac:dyDescent="0.3">
      <c r="F23" t="s">
        <v>319</v>
      </c>
      <c r="G23">
        <v>150000</v>
      </c>
      <c r="H23">
        <f t="shared" si="0"/>
        <v>12500</v>
      </c>
    </row>
    <row r="24" spans="1:8" x14ac:dyDescent="0.3">
      <c r="F24" t="s">
        <v>93</v>
      </c>
      <c r="G24">
        <f>18000*12</f>
        <v>216000</v>
      </c>
      <c r="H24">
        <f t="shared" si="0"/>
        <v>18000</v>
      </c>
    </row>
    <row r="25" spans="1:8" x14ac:dyDescent="0.3">
      <c r="F25" t="s">
        <v>323</v>
      </c>
      <c r="G25">
        <f>1500*12</f>
        <v>18000</v>
      </c>
      <c r="H25">
        <f t="shared" si="0"/>
        <v>1500</v>
      </c>
    </row>
    <row r="26" spans="1:8" x14ac:dyDescent="0.3">
      <c r="F26" t="s">
        <v>324</v>
      </c>
      <c r="G26">
        <f>2000*12+10000</f>
        <v>34000</v>
      </c>
      <c r="H26">
        <f t="shared" si="0"/>
        <v>2833.3333333333335</v>
      </c>
    </row>
    <row r="27" spans="1:8" x14ac:dyDescent="0.3">
      <c r="F27" t="s">
        <v>325</v>
      </c>
      <c r="G27">
        <f>6*1000</f>
        <v>6000</v>
      </c>
      <c r="H27">
        <f t="shared" si="0"/>
        <v>500</v>
      </c>
    </row>
    <row r="28" spans="1:8" x14ac:dyDescent="0.3">
      <c r="F28" t="s">
        <v>326</v>
      </c>
      <c r="G28">
        <f>60050+20480+11000</f>
        <v>91530</v>
      </c>
      <c r="H28">
        <f t="shared" si="0"/>
        <v>7627.5</v>
      </c>
    </row>
    <row r="29" spans="1:8" x14ac:dyDescent="0.3">
      <c r="F29" t="s">
        <v>76</v>
      </c>
      <c r="G29">
        <v>35000</v>
      </c>
      <c r="H29">
        <f t="shared" si="0"/>
        <v>2916.6666666666665</v>
      </c>
    </row>
    <row r="30" spans="1:8" x14ac:dyDescent="0.3">
      <c r="F30" t="s">
        <v>327</v>
      </c>
      <c r="G30">
        <f>5000*12</f>
        <v>60000</v>
      </c>
      <c r="H30">
        <f t="shared" si="0"/>
        <v>5000</v>
      </c>
    </row>
    <row r="31" spans="1:8" x14ac:dyDescent="0.3">
      <c r="G31">
        <f>SUM(G10:G29)</f>
        <v>1120530</v>
      </c>
      <c r="H31">
        <f>SUM(H10:H29)</f>
        <v>93377.5</v>
      </c>
    </row>
  </sheetData>
  <autoFilter ref="A1:C17" xr:uid="{393E05BF-0435-4861-9D68-2AC875EAEB72}">
    <filterColumn colId="0">
      <filters>
        <dateGroupItem year="2024" dateTimeGrouping="year"/>
      </filters>
    </filterColumn>
    <filterColumn colId="1">
      <filters>
        <filter val="P Gayathri"/>
        <filter val="P Santoshi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Shares</vt:lpstr>
      <vt:lpstr>EMI</vt:lpstr>
      <vt:lpstr>Chandu_Vikram</vt:lpstr>
      <vt:lpstr>Sheet2</vt:lpstr>
      <vt:lpstr>Monthly</vt:lpstr>
      <vt:lpstr>My Links</vt:lpstr>
      <vt:lpstr>2024</vt:lpstr>
      <vt:lpstr>SCHOOL</vt:lpstr>
      <vt:lpstr>Zerodha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Peruka</dc:creator>
  <cp:lastModifiedBy>Peruka, Sridhar</cp:lastModifiedBy>
  <dcterms:created xsi:type="dcterms:W3CDTF">2020-07-16T09:30:56Z</dcterms:created>
  <dcterms:modified xsi:type="dcterms:W3CDTF">2024-09-15T07:26:31Z</dcterms:modified>
</cp:coreProperties>
</file>