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4"/>
  <workbookPr filterPrivacy="1"/>
  <xr:revisionPtr revIDLastSave="0" documentId="13_ncr:1_{B4068DC5-5BD0-46A3-A307-7C214CA83790}" xr6:coauthVersionLast="36" xr6:coauthVersionMax="36" xr10:uidLastSave="{00000000-0000-0000-0000-000000000000}"/>
  <bookViews>
    <workbookView xWindow="0" yWindow="0" windowWidth="22260" windowHeight="12647" firstSheet="1" activeTab="4" xr2:uid="{00000000-000D-0000-FFFF-FFFF00000000}"/>
  </bookViews>
  <sheets>
    <sheet name="Development notes" sheetId="6" r:id="rId1"/>
    <sheet name="Instructions" sheetId="3" r:id="rId2"/>
    <sheet name="Normalize" sheetId="1" r:id="rId3"/>
    <sheet name="Measure Unknown " sheetId="4" r:id="rId4"/>
    <sheet name="Guinier+NonlinSphere" sheetId="5" r:id="rId5"/>
    <sheet name="Parameters" sheetId="2" r:id="rId6"/>
  </sheets>
  <definedNames>
    <definedName name="Guinslope">'Guinier+NonlinSphere'!$N$24</definedName>
    <definedName name="Guintercept">'Guinier+NonlinSphere'!$N$23</definedName>
    <definedName name="Izero">'Guinier+NonlinSphere'!$N$30</definedName>
    <definedName name="Lamcm">Parameters!$B$4</definedName>
    <definedName name="Lamnm">Parameters!$B$3</definedName>
    <definedName name="Refin">Parameters!$B$5</definedName>
    <definedName name="Rgyration">Normalize!$J$8</definedName>
    <definedName name="Rhydro">Normalize!$J$7</definedName>
    <definedName name="Rsphere">'Guinier+NonlinSphere'!$N$31</definedName>
    <definedName name="Solvent">Parameters!$B$2</definedName>
    <definedName name="solver_adj" localSheetId="4" hidden="1">'Guinier+NonlinSphere'!$N$30:$N$31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'Guinier+NonlinSphere'!$K$46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/>
</workbook>
</file>

<file path=xl/calcChain.xml><?xml version="1.0" encoding="utf-8"?>
<calcChain xmlns="http://schemas.openxmlformats.org/spreadsheetml/2006/main">
  <c r="I31" i="5" l="1"/>
  <c r="J31" i="5" s="1"/>
  <c r="K31" i="5" s="1"/>
  <c r="I32" i="5"/>
  <c r="I33" i="5"/>
  <c r="J33" i="5" s="1"/>
  <c r="K33" i="5" s="1"/>
  <c r="I34" i="5"/>
  <c r="J34" i="5" s="1"/>
  <c r="K34" i="5" s="1"/>
  <c r="I35" i="5"/>
  <c r="J35" i="5" s="1"/>
  <c r="K35" i="5" s="1"/>
  <c r="I36" i="5"/>
  <c r="J36" i="5" s="1"/>
  <c r="K36" i="5" s="1"/>
  <c r="I37" i="5"/>
  <c r="J37" i="5" s="1"/>
  <c r="K37" i="5" s="1"/>
  <c r="I38" i="5"/>
  <c r="J38" i="5" s="1"/>
  <c r="K38" i="5" s="1"/>
  <c r="I39" i="5"/>
  <c r="I40" i="5"/>
  <c r="J40" i="5" s="1"/>
  <c r="K40" i="5" s="1"/>
  <c r="I41" i="5"/>
  <c r="J41" i="5" s="1"/>
  <c r="K41" i="5" s="1"/>
  <c r="I42" i="5"/>
  <c r="J42" i="5" s="1"/>
  <c r="K42" i="5" s="1"/>
  <c r="I43" i="5"/>
  <c r="J43" i="5" s="1"/>
  <c r="K43" i="5" s="1"/>
  <c r="I44" i="5"/>
  <c r="J44" i="5" s="1"/>
  <c r="K44" i="5" s="1"/>
  <c r="I45" i="5"/>
  <c r="J45" i="5" s="1"/>
  <c r="K45" i="5" s="1"/>
  <c r="J32" i="5"/>
  <c r="K32" i="5" s="1"/>
  <c r="J39" i="5"/>
  <c r="K39" i="5" s="1"/>
  <c r="I30" i="5"/>
  <c r="J30" i="5" s="1"/>
  <c r="K30" i="5" s="1"/>
  <c r="H42" i="5"/>
  <c r="H43" i="5"/>
  <c r="H44" i="5"/>
  <c r="H45" i="5"/>
  <c r="H41" i="5"/>
  <c r="H40" i="5"/>
  <c r="H39" i="5"/>
  <c r="H34" i="5"/>
  <c r="H35" i="5"/>
  <c r="H36" i="5"/>
  <c r="H37" i="5"/>
  <c r="H38" i="5"/>
  <c r="H33" i="5"/>
  <c r="H31" i="5"/>
  <c r="H32" i="5"/>
  <c r="H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30" i="5"/>
  <c r="D31" i="5"/>
  <c r="E31" i="5" s="1"/>
  <c r="F31" i="5" s="1"/>
  <c r="D32" i="5"/>
  <c r="E32" i="5" s="1"/>
  <c r="F32" i="5" s="1"/>
  <c r="D33" i="5"/>
  <c r="E33" i="5" s="1"/>
  <c r="F33" i="5" s="1"/>
  <c r="D34" i="5"/>
  <c r="E34" i="5" s="1"/>
  <c r="F34" i="5" s="1"/>
  <c r="D35" i="5"/>
  <c r="E35" i="5" s="1"/>
  <c r="F35" i="5" s="1"/>
  <c r="D36" i="5"/>
  <c r="E36" i="5" s="1"/>
  <c r="F36" i="5" s="1"/>
  <c r="D37" i="5"/>
  <c r="E37" i="5" s="1"/>
  <c r="F37" i="5" s="1"/>
  <c r="D38" i="5"/>
  <c r="E38" i="5" s="1"/>
  <c r="F38" i="5" s="1"/>
  <c r="D39" i="5"/>
  <c r="E39" i="5" s="1"/>
  <c r="F39" i="5" s="1"/>
  <c r="D40" i="5"/>
  <c r="E40" i="5" s="1"/>
  <c r="F40" i="5" s="1"/>
  <c r="D41" i="5"/>
  <c r="E41" i="5" s="1"/>
  <c r="F41" i="5" s="1"/>
  <c r="D42" i="5"/>
  <c r="E42" i="5" s="1"/>
  <c r="F42" i="5" s="1"/>
  <c r="D43" i="5"/>
  <c r="E43" i="5" s="1"/>
  <c r="F43" i="5" s="1"/>
  <c r="D44" i="5"/>
  <c r="E44" i="5" s="1"/>
  <c r="F44" i="5" s="1"/>
  <c r="D45" i="5"/>
  <c r="E45" i="5" s="1"/>
  <c r="F45" i="5" s="1"/>
  <c r="D46" i="5"/>
  <c r="E46" i="5" s="1"/>
  <c r="F46" i="5" s="1"/>
  <c r="D47" i="5"/>
  <c r="E47" i="5" s="1"/>
  <c r="F47" i="5" s="1"/>
  <c r="D48" i="5"/>
  <c r="E48" i="5" s="1"/>
  <c r="F48" i="5" s="1"/>
  <c r="D49" i="5"/>
  <c r="E49" i="5" s="1"/>
  <c r="F49" i="5" s="1"/>
  <c r="D50" i="5"/>
  <c r="E50" i="5" s="1"/>
  <c r="F50" i="5" s="1"/>
  <c r="D51" i="5"/>
  <c r="E51" i="5" s="1"/>
  <c r="F51" i="5" s="1"/>
  <c r="D52" i="5"/>
  <c r="E52" i="5" s="1"/>
  <c r="F52" i="5" s="1"/>
  <c r="D53" i="5"/>
  <c r="E53" i="5" s="1"/>
  <c r="F53" i="5" s="1"/>
  <c r="D54" i="5"/>
  <c r="E54" i="5" s="1"/>
  <c r="F54" i="5" s="1"/>
  <c r="D55" i="5"/>
  <c r="E55" i="5" s="1"/>
  <c r="F55" i="5" s="1"/>
  <c r="D56" i="5"/>
  <c r="E56" i="5" s="1"/>
  <c r="F56" i="5" s="1"/>
  <c r="D57" i="5"/>
  <c r="E57" i="5" s="1"/>
  <c r="F57" i="5" s="1"/>
  <c r="D58" i="5"/>
  <c r="E58" i="5" s="1"/>
  <c r="F58" i="5" s="1"/>
  <c r="D59" i="5"/>
  <c r="E59" i="5" s="1"/>
  <c r="F59" i="5" s="1"/>
  <c r="D60" i="5"/>
  <c r="E60" i="5" s="1"/>
  <c r="F60" i="5" s="1"/>
  <c r="D61" i="5"/>
  <c r="E61" i="5" s="1"/>
  <c r="F61" i="5" s="1"/>
  <c r="D62" i="5"/>
  <c r="E62" i="5" s="1"/>
  <c r="F62" i="5" s="1"/>
  <c r="D63" i="5"/>
  <c r="E63" i="5" s="1"/>
  <c r="F63" i="5" s="1"/>
  <c r="D64" i="5"/>
  <c r="E64" i="5" s="1"/>
  <c r="F64" i="5" s="1"/>
  <c r="D65" i="5"/>
  <c r="E65" i="5" s="1"/>
  <c r="F65" i="5" s="1"/>
  <c r="D66" i="5"/>
  <c r="E66" i="5" s="1"/>
  <c r="F66" i="5" s="1"/>
  <c r="D67" i="5"/>
  <c r="E67" i="5" s="1"/>
  <c r="F67" i="5" s="1"/>
  <c r="D68" i="5"/>
  <c r="E68" i="5" s="1"/>
  <c r="F68" i="5" s="1"/>
  <c r="D69" i="5"/>
  <c r="E69" i="5" s="1"/>
  <c r="F69" i="5" s="1"/>
  <c r="D70" i="5"/>
  <c r="E70" i="5" s="1"/>
  <c r="F70" i="5" s="1"/>
  <c r="D71" i="5"/>
  <c r="E71" i="5" s="1"/>
  <c r="F71" i="5" s="1"/>
  <c r="D72" i="5"/>
  <c r="E72" i="5" s="1"/>
  <c r="F72" i="5" s="1"/>
  <c r="D73" i="5"/>
  <c r="E73" i="5" s="1"/>
  <c r="F73" i="5" s="1"/>
  <c r="D74" i="5"/>
  <c r="E74" i="5" s="1"/>
  <c r="F74" i="5" s="1"/>
  <c r="D75" i="5"/>
  <c r="E75" i="5" s="1"/>
  <c r="F75" i="5" s="1"/>
  <c r="D76" i="5"/>
  <c r="E76" i="5" s="1"/>
  <c r="F76" i="5" s="1"/>
  <c r="D77" i="5"/>
  <c r="E77" i="5" s="1"/>
  <c r="F77" i="5" s="1"/>
  <c r="D78" i="5"/>
  <c r="E78" i="5" s="1"/>
  <c r="F78" i="5" s="1"/>
  <c r="D79" i="5"/>
  <c r="E79" i="5" s="1"/>
  <c r="F79" i="5" s="1"/>
  <c r="D30" i="5"/>
  <c r="E30" i="5" s="1"/>
  <c r="F30" i="5" s="1"/>
  <c r="K46" i="5" l="1"/>
  <c r="J9" i="4"/>
  <c r="N25" i="5"/>
  <c r="N26" i="5" s="1"/>
  <c r="K32" i="4"/>
  <c r="K30" i="4"/>
  <c r="K28" i="4"/>
  <c r="K26" i="4"/>
  <c r="K24" i="4"/>
  <c r="K22" i="4"/>
  <c r="K20" i="4"/>
  <c r="L20" i="4" s="1"/>
  <c r="K19" i="4"/>
  <c r="N27" i="5"/>
  <c r="L15" i="4"/>
  <c r="K32" i="1"/>
  <c r="L32" i="1" s="1"/>
  <c r="K30" i="1"/>
  <c r="K28" i="1"/>
  <c r="K26" i="1"/>
  <c r="K24" i="1"/>
  <c r="L24" i="1" s="1"/>
  <c r="K22" i="1"/>
  <c r="K20" i="1"/>
  <c r="K19" i="1"/>
  <c r="C22" i="5"/>
  <c r="D22" i="5" s="1"/>
  <c r="G45" i="5" s="1"/>
  <c r="B4" i="2"/>
  <c r="B22" i="5"/>
  <c r="C10" i="5"/>
  <c r="D10" i="5" s="1"/>
  <c r="G33" i="5" s="1"/>
  <c r="C11" i="5"/>
  <c r="D11" i="5" s="1"/>
  <c r="G34" i="5" s="1"/>
  <c r="C12" i="5"/>
  <c r="D12" i="5"/>
  <c r="C13" i="5"/>
  <c r="D13" i="5" s="1"/>
  <c r="G36" i="5" s="1"/>
  <c r="C14" i="5"/>
  <c r="D14" i="5" s="1"/>
  <c r="F14" i="5" s="1"/>
  <c r="C15" i="5"/>
  <c r="D15" i="5" s="1"/>
  <c r="G38" i="5" s="1"/>
  <c r="C16" i="5"/>
  <c r="D16" i="5" s="1"/>
  <c r="G39" i="5" s="1"/>
  <c r="C17" i="5"/>
  <c r="D17" i="5" s="1"/>
  <c r="G40" i="5" s="1"/>
  <c r="C18" i="5"/>
  <c r="D18" i="5" s="1"/>
  <c r="G41" i="5" s="1"/>
  <c r="C19" i="5"/>
  <c r="D19" i="5" s="1"/>
  <c r="C20" i="5"/>
  <c r="D20" i="5" s="1"/>
  <c r="C21" i="5"/>
  <c r="D21" i="5" s="1"/>
  <c r="B11" i="5"/>
  <c r="B12" i="5"/>
  <c r="B13" i="5"/>
  <c r="B14" i="5"/>
  <c r="B15" i="5"/>
  <c r="B16" i="5"/>
  <c r="B17" i="5"/>
  <c r="B18" i="5"/>
  <c r="B19" i="5"/>
  <c r="B20" i="5"/>
  <c r="B21" i="5"/>
  <c r="C8" i="5"/>
  <c r="D8" i="5" s="1"/>
  <c r="G31" i="5" s="1"/>
  <c r="C9" i="5"/>
  <c r="D9" i="5" s="1"/>
  <c r="G32" i="5" s="1"/>
  <c r="C7" i="5"/>
  <c r="D7" i="5" s="1"/>
  <c r="G30" i="5" s="1"/>
  <c r="B10" i="5"/>
  <c r="B8" i="5"/>
  <c r="B9" i="5"/>
  <c r="B7" i="5"/>
  <c r="M18" i="4"/>
  <c r="M27" i="4"/>
  <c r="H32" i="4"/>
  <c r="L32" i="4" s="1"/>
  <c r="L31" i="4"/>
  <c r="H30" i="4"/>
  <c r="L30" i="4"/>
  <c r="L29" i="4"/>
  <c r="H28" i="4"/>
  <c r="L28" i="4" s="1"/>
  <c r="H26" i="4"/>
  <c r="L26" i="4" s="1"/>
  <c r="L25" i="4"/>
  <c r="H24" i="4"/>
  <c r="L24" i="4"/>
  <c r="L23" i="4"/>
  <c r="H22" i="4"/>
  <c r="L22" i="4" s="1"/>
  <c r="L21" i="4"/>
  <c r="H20" i="4"/>
  <c r="H19" i="4"/>
  <c r="L19" i="4"/>
  <c r="L17" i="4"/>
  <c r="L16" i="4"/>
  <c r="J8" i="4"/>
  <c r="J10" i="4" s="1"/>
  <c r="J11" i="4" s="1"/>
  <c r="H22" i="1"/>
  <c r="L22" i="1"/>
  <c r="H20" i="1"/>
  <c r="L20" i="1"/>
  <c r="H19" i="1"/>
  <c r="H32" i="1"/>
  <c r="H30" i="1"/>
  <c r="L30" i="1"/>
  <c r="H28" i="1"/>
  <c r="L28" i="1"/>
  <c r="H26" i="1"/>
  <c r="L26" i="1"/>
  <c r="H24" i="1"/>
  <c r="L19" i="1"/>
  <c r="L16" i="1"/>
  <c r="L17" i="1"/>
  <c r="L21" i="1"/>
  <c r="L23" i="1"/>
  <c r="L25" i="1"/>
  <c r="L29" i="1"/>
  <c r="L31" i="1"/>
  <c r="L15" i="1"/>
  <c r="J8" i="1"/>
  <c r="M30" i="1" s="1"/>
  <c r="N30" i="1" s="1"/>
  <c r="M30" i="4" s="1"/>
  <c r="G20" i="5" s="1"/>
  <c r="H20" i="5" s="1"/>
  <c r="J9" i="1"/>
  <c r="M26" i="1"/>
  <c r="N26" i="1" s="1"/>
  <c r="M21" i="1"/>
  <c r="N21" i="1" s="1"/>
  <c r="M21" i="4" s="1"/>
  <c r="G12" i="5" s="1"/>
  <c r="H12" i="5" s="1"/>
  <c r="J10" i="1"/>
  <c r="J11" i="1" s="1"/>
  <c r="M31" i="1"/>
  <c r="N31" i="1" s="1"/>
  <c r="M31" i="4" s="1"/>
  <c r="G21" i="5" s="1"/>
  <c r="H21" i="5" s="1"/>
  <c r="G43" i="5" l="1"/>
  <c r="F20" i="5"/>
  <c r="E20" i="5"/>
  <c r="E21" i="5"/>
  <c r="G44" i="5"/>
  <c r="F19" i="5"/>
  <c r="G42" i="5"/>
  <c r="F12" i="5"/>
  <c r="G35" i="5"/>
  <c r="F21" i="5"/>
  <c r="E14" i="5"/>
  <c r="G37" i="5"/>
  <c r="E12" i="5"/>
  <c r="F8" i="5"/>
  <c r="E8" i="5"/>
  <c r="E13" i="5"/>
  <c r="F13" i="5"/>
  <c r="F7" i="5"/>
  <c r="E7" i="5"/>
  <c r="E18" i="5"/>
  <c r="F18" i="5"/>
  <c r="F16" i="5"/>
  <c r="E16" i="5"/>
  <c r="E10" i="5"/>
  <c r="F10" i="5"/>
  <c r="F15" i="5"/>
  <c r="E15" i="5"/>
  <c r="M26" i="4"/>
  <c r="G17" i="5" s="1"/>
  <c r="H17" i="5" s="1"/>
  <c r="F9" i="5"/>
  <c r="E9" i="5"/>
  <c r="E17" i="5"/>
  <c r="F17" i="5"/>
  <c r="F11" i="5"/>
  <c r="E11" i="5"/>
  <c r="E22" i="5"/>
  <c r="F22" i="5"/>
  <c r="M15" i="1"/>
  <c r="N15" i="1" s="1"/>
  <c r="M15" i="4" s="1"/>
  <c r="G7" i="5" s="1"/>
  <c r="H7" i="5" s="1"/>
  <c r="M19" i="1"/>
  <c r="N19" i="1" s="1"/>
  <c r="M19" i="4" s="1"/>
  <c r="G10" i="5" s="1"/>
  <c r="H10" i="5" s="1"/>
  <c r="M24" i="1"/>
  <c r="N24" i="1" s="1"/>
  <c r="M24" i="4" s="1"/>
  <c r="G15" i="5" s="1"/>
  <c r="H15" i="5" s="1"/>
  <c r="M16" i="1"/>
  <c r="N16" i="1" s="1"/>
  <c r="M16" i="4" s="1"/>
  <c r="G8" i="5" s="1"/>
  <c r="H8" i="5" s="1"/>
  <c r="M32" i="1"/>
  <c r="N32" i="1" s="1"/>
  <c r="M32" i="4" s="1"/>
  <c r="G22" i="5" s="1"/>
  <c r="H22" i="5" s="1"/>
  <c r="M23" i="1"/>
  <c r="N23" i="1" s="1"/>
  <c r="M23" i="4" s="1"/>
  <c r="G14" i="5" s="1"/>
  <c r="H14" i="5" s="1"/>
  <c r="M29" i="1"/>
  <c r="N29" i="1" s="1"/>
  <c r="M29" i="4" s="1"/>
  <c r="G19" i="5" s="1"/>
  <c r="H19" i="5" s="1"/>
  <c r="M17" i="1"/>
  <c r="N17" i="1" s="1"/>
  <c r="M17" i="4" s="1"/>
  <c r="G9" i="5" s="1"/>
  <c r="H9" i="5" s="1"/>
  <c r="M22" i="1"/>
  <c r="N22" i="1" s="1"/>
  <c r="M22" i="4" s="1"/>
  <c r="G13" i="5" s="1"/>
  <c r="H13" i="5" s="1"/>
  <c r="E19" i="5"/>
  <c r="M20" i="1"/>
  <c r="N20" i="1" s="1"/>
  <c r="M20" i="4" s="1"/>
  <c r="G11" i="5" s="1"/>
  <c r="H11" i="5" s="1"/>
  <c r="M28" i="1"/>
  <c r="N28" i="1" s="1"/>
  <c r="M28" i="4" s="1"/>
  <c r="G18" i="5" s="1"/>
  <c r="H18" i="5" s="1"/>
  <c r="M14" i="1"/>
  <c r="M25" i="1"/>
  <c r="N25" i="1" s="1"/>
  <c r="M25" i="4" s="1"/>
  <c r="G16" i="5" s="1"/>
  <c r="H16" i="5" s="1"/>
</calcChain>
</file>

<file path=xl/sharedStrings.xml><?xml version="1.0" encoding="utf-8"?>
<sst xmlns="http://schemas.openxmlformats.org/spreadsheetml/2006/main" count="248" uniqueCount="127">
  <si>
    <t>Detector type</t>
  </si>
  <si>
    <t>Fiber/APD</t>
  </si>
  <si>
    <t>Wyatt diode</t>
  </si>
  <si>
    <t>Wyatt Reading</t>
  </si>
  <si>
    <t>ALV Reading</t>
  </si>
  <si>
    <t>Front</t>
  </si>
  <si>
    <t>beam stop (y/n)</t>
  </si>
  <si>
    <t>y</t>
  </si>
  <si>
    <t>Wavelength/nm</t>
  </si>
  <si>
    <t>Refractive index</t>
  </si>
  <si>
    <t>Solvent</t>
  </si>
  <si>
    <t>Wavelength/cm</t>
  </si>
  <si>
    <t>Water</t>
  </si>
  <si>
    <t>p1</t>
  </si>
  <si>
    <t>p2</t>
  </si>
  <si>
    <t>p3</t>
  </si>
  <si>
    <t>LC</t>
  </si>
  <si>
    <t>L</t>
  </si>
  <si>
    <t>Port #</t>
  </si>
  <si>
    <t>Monitors</t>
  </si>
  <si>
    <r>
      <t>Comment</t>
    </r>
    <r>
      <rPr>
        <b/>
        <sz val="11"/>
        <color indexed="8"/>
        <rFont val="Symbol"/>
        <family val="1"/>
        <charset val="2"/>
      </rPr>
      <t>¯</t>
    </r>
  </si>
  <si>
    <t>Normalizing standard</t>
  </si>
  <si>
    <t>nm</t>
  </si>
  <si>
    <r>
      <rPr>
        <sz val="11"/>
        <color indexed="8"/>
        <rFont val="Symbol"/>
        <family val="1"/>
        <charset val="2"/>
      </rPr>
      <t>l</t>
    </r>
    <r>
      <rPr>
        <vertAlign val="subscript"/>
        <sz val="11"/>
        <color indexed="8"/>
        <rFont val="Symbol"/>
        <family val="1"/>
        <charset val="2"/>
      </rPr>
      <t>o</t>
    </r>
    <r>
      <rPr>
        <sz val="11"/>
        <color theme="1"/>
        <rFont val="Calibri"/>
        <family val="2"/>
        <scheme val="minor"/>
      </rPr>
      <t>/(n*DLS radius)</t>
    </r>
  </si>
  <si>
    <r>
      <t>R</t>
    </r>
    <r>
      <rPr>
        <vertAlign val="subscript"/>
        <sz val="11"/>
        <color indexed="8"/>
        <rFont val="Calibri"/>
        <family val="2"/>
      </rPr>
      <t>h</t>
    </r>
  </si>
  <si>
    <r>
      <t>R</t>
    </r>
    <r>
      <rPr>
        <vertAlign val="subscript"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 xml:space="preserve"> (sphere)</t>
    </r>
  </si>
  <si>
    <t>Brij microemulsion</t>
  </si>
  <si>
    <t>Signal</t>
  </si>
  <si>
    <t>Date of normalization</t>
  </si>
  <si>
    <t>Russo</t>
  </si>
  <si>
    <t>ALV Reading/kHz</t>
  </si>
  <si>
    <t>MeanCR1 [kHz]   :</t>
  </si>
  <si>
    <t>MeanCR2 [kHz]   :</t>
  </si>
  <si>
    <t>MeanCR3 [kHz]   :</t>
  </si>
  <si>
    <t>MeanCR4 [kHz]   :</t>
  </si>
  <si>
    <t>MeanCR5 [kHz]   :</t>
  </si>
  <si>
    <t>MeanCR6 [kHz]   :</t>
  </si>
  <si>
    <t>MeanCR7 [kHz]   :</t>
  </si>
  <si>
    <t>MeanCR8 [kHz]   :</t>
  </si>
  <si>
    <t>here from .ASC file</t>
  </si>
  <si>
    <t>Angle/degrees</t>
  </si>
  <si>
    <t>Zero-ref</t>
  </si>
  <si>
    <t>----</t>
  </si>
  <si>
    <t>a small latex particle, bovine serum albumen, or Brij-97 microemulsion.</t>
  </si>
  <si>
    <t xml:space="preserve">The instrument has two kinds of detectors: Wyatt pin photodiodes plus </t>
  </si>
  <si>
    <t xml:space="preserve">avalanche photodiode light sensors. </t>
  </si>
  <si>
    <t>The Wyatt detectors can most easily be read from the front panel display.</t>
  </si>
  <si>
    <t xml:space="preserve">The unit of measurement is probably in volts, but it does not matter. </t>
  </si>
  <si>
    <t xml:space="preserve">The APD detectors measure in kHz, a totally different thing. </t>
  </si>
  <si>
    <t xml:space="preserve">The objective is to figure out what factor puts the measured intensities on the </t>
  </si>
  <si>
    <t>That will be good enough for any sensible normalization standard, but the equation</t>
  </si>
  <si>
    <t xml:space="preserve">could be replaced with a detailed expression for, say, a larger latex sphere. </t>
  </si>
  <si>
    <t xml:space="preserve">stray light. </t>
  </si>
  <si>
    <t xml:space="preserve">To use: </t>
  </si>
  <si>
    <t>Make a DLS run on your normalization standard, save as .ASC file</t>
  </si>
  <si>
    <t>Drop those data into the green-shaded cells at the top right; the results are copied where they need to go.</t>
  </si>
  <si>
    <t>Repeat the previous 2 steps for the solvent (likely a much weaker scatterer).</t>
  </si>
  <si>
    <t xml:space="preserve">Enter the type of normalization standard. </t>
  </si>
  <si>
    <t xml:space="preserve">Enter your name and date. </t>
  </si>
  <si>
    <r>
      <t>q</t>
    </r>
    <r>
      <rPr>
        <vertAlign val="subscript"/>
        <sz val="11"/>
        <color indexed="8"/>
        <rFont val="Calibri"/>
        <family val="2"/>
      </rPr>
      <t>max</t>
    </r>
    <r>
      <rPr>
        <sz val="11"/>
        <color theme="1"/>
        <rFont val="Calibri"/>
        <family val="2"/>
        <scheme val="minor"/>
      </rPr>
      <t>R</t>
    </r>
    <r>
      <rPr>
        <vertAlign val="subscript"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 xml:space="preserve"> </t>
    </r>
  </si>
  <si>
    <r>
      <t>1-(q</t>
    </r>
    <r>
      <rPr>
        <vertAlign val="subscript"/>
        <sz val="11"/>
        <color indexed="8"/>
        <rFont val="Calibri"/>
        <family val="2"/>
      </rPr>
      <t>max</t>
    </r>
    <r>
      <rPr>
        <sz val="11"/>
        <color theme="1"/>
        <rFont val="Calibri"/>
        <family val="2"/>
        <scheme val="minor"/>
      </rPr>
      <t>R</t>
    </r>
    <r>
      <rPr>
        <vertAlign val="subscript"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/3</t>
    </r>
  </si>
  <si>
    <t>Normalization</t>
  </si>
  <si>
    <t>Factor</t>
  </si>
  <si>
    <t xml:space="preserve">       Solvent background</t>
  </si>
  <si>
    <t xml:space="preserve">          Normalizing solution</t>
  </si>
  <si>
    <r>
      <t>P(</t>
    </r>
    <r>
      <rPr>
        <b/>
        <sz val="11"/>
        <color indexed="8"/>
        <rFont val="Symbol"/>
        <family val="1"/>
        <charset val="2"/>
      </rPr>
      <t>q</t>
    </r>
    <r>
      <rPr>
        <b/>
        <sz val="11"/>
        <color indexed="8"/>
        <rFont val="Calibri"/>
        <family val="2"/>
      </rPr>
      <t>)</t>
    </r>
  </si>
  <si>
    <r>
      <t xml:space="preserve">Drop </t>
    </r>
    <r>
      <rPr>
        <b/>
        <u/>
        <sz val="11"/>
        <color indexed="22"/>
        <rFont val="Calibri"/>
        <family val="2"/>
      </rPr>
      <t>solution</t>
    </r>
    <r>
      <rPr>
        <b/>
        <sz val="11"/>
        <color indexed="22"/>
        <rFont val="Calibri"/>
        <family val="2"/>
      </rPr>
      <t xml:space="preserve"> count rates </t>
    </r>
  </si>
  <si>
    <r>
      <t xml:space="preserve">Drop </t>
    </r>
    <r>
      <rPr>
        <b/>
        <u/>
        <sz val="11"/>
        <color indexed="43"/>
        <rFont val="Calibri"/>
        <family val="2"/>
      </rPr>
      <t>solvent</t>
    </r>
    <r>
      <rPr>
        <b/>
        <sz val="11"/>
        <color indexed="22"/>
        <rFont val="Calibri"/>
        <family val="2"/>
      </rPr>
      <t xml:space="preserve"> count rates </t>
    </r>
  </si>
  <si>
    <r>
      <t>Enter the R</t>
    </r>
    <r>
      <rPr>
        <vertAlign val="sub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value from the DLS run.</t>
    </r>
  </si>
  <si>
    <t>At this point, your normalization constants should be ready.</t>
  </si>
  <si>
    <r>
      <t>correct P(</t>
    </r>
    <r>
      <rPr>
        <sz val="11"/>
        <color indexed="8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) curve. We calculate the curve from the low-order P(</t>
    </r>
    <r>
      <rPr>
        <sz val="11"/>
        <color indexed="8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) expansion, 1-q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R</t>
    </r>
    <r>
      <rPr>
        <vertAlign val="subscript"/>
        <sz val="11"/>
        <color indexed="8"/>
        <rFont val="Calibri"/>
        <family val="2"/>
      </rPr>
      <t>g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/3.</t>
    </r>
  </si>
  <si>
    <t xml:space="preserve">Normally, this will give you a cumulants Gamma value and Rh value. </t>
  </si>
  <si>
    <t>Read the ALV's red panel display for all the laser and angles by gently pressing the selection button; type the results into the appropriate cells (color-coded).</t>
  </si>
  <si>
    <t xml:space="preserve"> button; type the results into the appropriate cells.</t>
  </si>
  <si>
    <t xml:space="preserve">Apply the normalization factors to the intensities. </t>
  </si>
  <si>
    <t xml:space="preserve">You can then measure something known, preferably in a solvent with the same refractive index (subtract the solvent). </t>
  </si>
  <si>
    <r>
      <t>A Guinier plot or similar should give you the size expected for the known (if it's a sphere, don't forget to convert the DLS results to R</t>
    </r>
    <r>
      <rPr>
        <vertAlign val="subscript"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>).</t>
    </r>
  </si>
  <si>
    <t>Empty</t>
  </si>
  <si>
    <t>---</t>
  </si>
  <si>
    <t xml:space="preserve">Operator                           </t>
  </si>
  <si>
    <t>Parameter</t>
  </si>
  <si>
    <t>Purpose:</t>
  </si>
  <si>
    <t>This workbook permits us to normalize detectors to a standard of finite size.</t>
  </si>
  <si>
    <t>Principle:</t>
  </si>
  <si>
    <t>You can include the Rh value from DLS, but be careful about single-angle DLS (see Gather program for multiangle)</t>
  </si>
  <si>
    <t>Then you can get Rg/Rh for shape analysis (e.g., should be sqrt(3/5) for solid, uniform spheres)</t>
  </si>
  <si>
    <t>Port</t>
  </si>
  <si>
    <t>Normalized</t>
  </si>
  <si>
    <t>Intensity</t>
  </si>
  <si>
    <r>
      <t>q/cm</t>
    </r>
    <r>
      <rPr>
        <vertAlign val="superscript"/>
        <sz val="11"/>
        <color indexed="8"/>
        <rFont val="Calibri"/>
        <family val="2"/>
      </rPr>
      <t>-1</t>
    </r>
  </si>
  <si>
    <t>intensity, I</t>
  </si>
  <si>
    <r>
      <t xml:space="preserve"> </t>
    </r>
    <r>
      <rPr>
        <sz val="11"/>
        <color indexed="8"/>
        <rFont val="Script MT Bold"/>
        <family val="4"/>
      </rPr>
      <t xml:space="preserve"> </t>
    </r>
    <r>
      <rPr>
        <b/>
        <sz val="11"/>
        <color indexed="8"/>
        <rFont val="Script MT Bold"/>
        <family val="4"/>
      </rPr>
      <t>ln</t>
    </r>
    <r>
      <rPr>
        <b/>
        <sz val="11"/>
        <color indexed="8"/>
        <rFont val="script"/>
      </rPr>
      <t xml:space="preserve"> </t>
    </r>
    <r>
      <rPr>
        <sz val="11"/>
        <color theme="1"/>
        <rFont val="Calibri"/>
        <family val="2"/>
        <scheme val="minor"/>
      </rPr>
      <t>(I)</t>
    </r>
  </si>
  <si>
    <r>
      <t>q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/10</t>
    </r>
    <r>
      <rPr>
        <vertAlign val="superscript"/>
        <sz val="11"/>
        <color indexed="8"/>
        <rFont val="Calibri"/>
        <family val="2"/>
      </rPr>
      <t>10</t>
    </r>
    <r>
      <rPr>
        <sz val="11"/>
        <color theme="1"/>
        <rFont val="Calibri"/>
        <family val="2"/>
        <scheme val="minor"/>
      </rPr>
      <t>cm</t>
    </r>
    <r>
      <rPr>
        <vertAlign val="superscript"/>
        <sz val="11"/>
        <color indexed="8"/>
        <rFont val="Calibri"/>
        <family val="2"/>
      </rPr>
      <t>-2</t>
    </r>
  </si>
  <si>
    <r>
      <t>q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/10</t>
    </r>
    <r>
      <rPr>
        <vertAlign val="superscript"/>
        <sz val="11"/>
        <color indexed="8"/>
        <rFont val="Calibri"/>
        <family val="2"/>
      </rPr>
      <t>-4</t>
    </r>
    <r>
      <rPr>
        <sz val="11"/>
        <color theme="1"/>
        <rFont val="Calibri"/>
        <family val="2"/>
        <scheme val="minor"/>
      </rPr>
      <t>nm</t>
    </r>
    <r>
      <rPr>
        <vertAlign val="superscript"/>
        <sz val="11"/>
        <color indexed="8"/>
        <rFont val="Calibri"/>
        <family val="2"/>
      </rPr>
      <t>-2</t>
    </r>
  </si>
  <si>
    <t>Intercept</t>
  </si>
  <si>
    <t>Slope</t>
  </si>
  <si>
    <r>
      <t>R</t>
    </r>
    <r>
      <rPr>
        <vertAlign val="subscript"/>
        <sz val="11"/>
        <color indexed="8"/>
        <rFont val="Calibri"/>
        <family val="2"/>
      </rPr>
      <t>g,Guinier</t>
    </r>
  </si>
  <si>
    <t>R if sphere</t>
  </si>
  <si>
    <r>
      <t>R</t>
    </r>
    <r>
      <rPr>
        <vertAlign val="sub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from DLS</t>
    </r>
  </si>
  <si>
    <t xml:space="preserve">the measured intensities and come up with smallish errors that might trace to the validity of Rh. </t>
  </si>
  <si>
    <t xml:space="preserve">measurement in DLS (i.e., given the viscosity of the microemulsion,  the true Rh of Brij blobs might be </t>
  </si>
  <si>
    <t xml:space="preserve">smaller than measured. </t>
  </si>
  <si>
    <t xml:space="preserve">Thus, Brij is probably perfect for getting the fudge factors right, but agreement between SLS and DLS might be imperfect. </t>
  </si>
  <si>
    <t>Developed May-June 2022 by Paul Russo</t>
  </si>
  <si>
    <t>Solution reading</t>
  </si>
  <si>
    <t>Date of measurement</t>
  </si>
  <si>
    <t>Sample</t>
  </si>
  <si>
    <t>June 22 2022</t>
  </si>
  <si>
    <t xml:space="preserve">Using the normalization, you can then push ahead to measure  Rg using Guinier </t>
  </si>
  <si>
    <t xml:space="preserve">There is no such thing as a perfect Rayleigh scatterer. Typically, we might use </t>
  </si>
  <si>
    <t xml:space="preserve">The idea is to use something small that scatters a lot, well above solvent level and any </t>
  </si>
  <si>
    <t>More accurate readings can be obtained by collecting data using the Astra software (requires Win98)</t>
  </si>
  <si>
    <t>Testing:</t>
  </si>
  <si>
    <t xml:space="preserve">"Circular logic" tests (normalizing with Brij microemulsion, then feeding the same data as an unknown) suggest the normalization factors were determined well enough to feed back into </t>
  </si>
  <si>
    <t>Latex_3A_1:20 dilution</t>
  </si>
  <si>
    <r>
      <t>q/cm</t>
    </r>
    <r>
      <rPr>
        <vertAlign val="superscript"/>
        <sz val="11"/>
        <color theme="1"/>
        <rFont val="Calibri"/>
        <family val="2"/>
        <scheme val="minor"/>
      </rPr>
      <t>-1</t>
    </r>
  </si>
  <si>
    <t>PthetaCalc</t>
  </si>
  <si>
    <t>x=qR</t>
  </si>
  <si>
    <r>
      <t>R</t>
    </r>
    <r>
      <rPr>
        <vertAlign val="subscript"/>
        <sz val="11"/>
        <color theme="1"/>
        <rFont val="Calibri"/>
        <family val="2"/>
        <scheme val="minor"/>
      </rPr>
      <t>sphere</t>
    </r>
    <r>
      <rPr>
        <sz val="11"/>
        <color theme="1"/>
        <rFont val="Calibri"/>
        <family val="2"/>
        <scheme val="minor"/>
      </rPr>
      <t>/nm</t>
    </r>
  </si>
  <si>
    <r>
      <t>I</t>
    </r>
    <r>
      <rPr>
        <vertAlign val="subscript"/>
        <sz val="11"/>
        <color theme="1"/>
        <rFont val="Calibri"/>
        <family val="2"/>
        <scheme val="minor"/>
      </rPr>
      <t>zero</t>
    </r>
    <r>
      <rPr>
        <sz val="11"/>
        <color theme="1"/>
        <rFont val="Calibri"/>
        <family val="2"/>
        <scheme val="minor"/>
      </rPr>
      <t>/Arbitrary</t>
    </r>
  </si>
  <si>
    <r>
      <t>q/nm</t>
    </r>
    <r>
      <rPr>
        <vertAlign val="superscript"/>
        <sz val="11"/>
        <color theme="1"/>
        <rFont val="Calibri"/>
        <family val="2"/>
        <scheme val="minor"/>
      </rPr>
      <t>-1</t>
    </r>
  </si>
  <si>
    <t>Icalc</t>
  </si>
  <si>
    <t>Measured</t>
  </si>
  <si>
    <t>Sq.Err.</t>
  </si>
  <si>
    <t>SSE--&gt;</t>
  </si>
  <si>
    <t>CalcInten</t>
  </si>
  <si>
    <t>Izero*Icalc,pt by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</si>
</sst>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"/>
    <numFmt numFmtId="166" formatCode="0.0"/>
    <numFmt numFmtId="167" formatCode="[$-409]d\-mmm\-yy;@"/>
  </numFmts>
  <fonts count="16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Symbol"/>
      <family val="1"/>
      <charset val="2"/>
    </font>
    <font>
      <b/>
      <sz val="11"/>
      <color indexed="8"/>
      <name val="Symbol"/>
      <family val="1"/>
      <charset val="2"/>
    </font>
    <font>
      <vertAlign val="subscript"/>
      <sz val="11"/>
      <color indexed="8"/>
      <name val="Symbol"/>
      <family val="1"/>
      <charset val="2"/>
    </font>
    <font>
      <vertAlign val="subscript"/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b/>
      <sz val="11"/>
      <color indexed="22"/>
      <name val="Calibri"/>
      <family val="2"/>
    </font>
    <font>
      <b/>
      <u/>
      <sz val="11"/>
      <color indexed="22"/>
      <name val="Calibri"/>
      <family val="2"/>
    </font>
    <font>
      <b/>
      <u/>
      <sz val="11"/>
      <color indexed="43"/>
      <name val="Calibri"/>
      <family val="2"/>
    </font>
    <font>
      <b/>
      <sz val="11"/>
      <color indexed="8"/>
      <name val="script"/>
    </font>
    <font>
      <sz val="11"/>
      <color indexed="8"/>
      <name val="Script MT Bold"/>
      <family val="4"/>
    </font>
    <font>
      <b/>
      <sz val="11"/>
      <color indexed="8"/>
      <name val="Script MT Bold"/>
      <family val="4"/>
    </font>
    <font>
      <sz val="8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10" xfId="0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164" fontId="0" fillId="2" borderId="1" xfId="0" applyNumberFormat="1" applyFill="1" applyBorder="1"/>
    <xf numFmtId="164" fontId="0" fillId="3" borderId="1" xfId="0" applyNumberFormat="1" applyFill="1" applyBorder="1"/>
    <xf numFmtId="0" fontId="7" fillId="5" borderId="11" xfId="0" applyFont="1" applyFill="1" applyBorder="1"/>
    <xf numFmtId="0" fontId="7" fillId="5" borderId="12" xfId="0" applyFont="1" applyFill="1" applyBorder="1"/>
    <xf numFmtId="0" fontId="7" fillId="5" borderId="6" xfId="0" applyFont="1" applyFill="1" applyBorder="1"/>
    <xf numFmtId="0" fontId="7" fillId="5" borderId="7" xfId="0" applyFont="1" applyFill="1" applyBorder="1"/>
    <xf numFmtId="0" fontId="0" fillId="6" borderId="1" xfId="0" applyFill="1" applyBorder="1"/>
    <xf numFmtId="0" fontId="0" fillId="6" borderId="1" xfId="0" quotePrefix="1" applyFill="1" applyBorder="1" applyAlignment="1">
      <alignment horizontal="center"/>
    </xf>
    <xf numFmtId="0" fontId="0" fillId="7" borderId="1" xfId="0" applyFill="1" applyBorder="1"/>
    <xf numFmtId="0" fontId="1" fillId="8" borderId="1" xfId="0" applyFont="1" applyFill="1" applyBorder="1"/>
    <xf numFmtId="0" fontId="0" fillId="8" borderId="1" xfId="0" applyFill="1" applyBorder="1"/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9" borderId="1" xfId="0" applyFill="1" applyBorder="1"/>
    <xf numFmtId="11" fontId="0" fillId="3" borderId="1" xfId="0" applyNumberFormat="1" applyFill="1" applyBorder="1"/>
    <xf numFmtId="2" fontId="0" fillId="9" borderId="1" xfId="0" applyNumberFormat="1" applyFill="1" applyBorder="1"/>
    <xf numFmtId="0" fontId="0" fillId="10" borderId="0" xfId="0" applyFill="1"/>
    <xf numFmtId="0" fontId="0" fillId="6" borderId="0" xfId="0" applyFill="1"/>
    <xf numFmtId="167" fontId="0" fillId="10" borderId="14" xfId="0" applyNumberFormat="1" applyFill="1" applyBorder="1"/>
    <xf numFmtId="15" fontId="0" fillId="10" borderId="14" xfId="0" applyNumberFormat="1" applyFill="1" applyBorder="1"/>
    <xf numFmtId="0" fontId="0" fillId="10" borderId="14" xfId="0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17" xfId="0" applyFill="1" applyBorder="1"/>
    <xf numFmtId="0" fontId="0" fillId="10" borderId="1" xfId="0" applyFill="1" applyBorder="1" applyAlignment="1">
      <alignment horizontal="center"/>
    </xf>
    <xf numFmtId="15" fontId="0" fillId="10" borderId="14" xfId="0" applyNumberFormat="1" applyFont="1" applyFill="1" applyBorder="1"/>
    <xf numFmtId="0" fontId="0" fillId="11" borderId="1" xfId="0" applyFill="1" applyBorder="1"/>
    <xf numFmtId="1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0" xfId="0" applyAlignment="1">
      <alignment horizontal="right" vertical="center"/>
    </xf>
    <xf numFmtId="0" fontId="0" fillId="0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Guinier plot</a:t>
            </a:r>
          </a:p>
        </c:rich>
      </c:tx>
      <c:layout>
        <c:manualLayout>
          <c:xMode val="edge"/>
          <c:yMode val="edge"/>
          <c:x val="2.0542228139849867E-2"/>
          <c:y val="2.1897783610382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74927113702707E-2"/>
          <c:y val="7.4652904345880136E-2"/>
          <c:w val="0.88192419825072887"/>
          <c:h val="0.8454875445684553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backward val="1"/>
            <c:dispRSqr val="1"/>
            <c:dispEq val="1"/>
            <c:trendlineLbl>
              <c:layout>
                <c:manualLayout>
                  <c:x val="7.8211205075720991E-2"/>
                  <c:y val="4.8824046756602006E-2"/>
                </c:manualLayout>
              </c:layout>
              <c:numFmt formatCode="0.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'Guinier+NonlinSphere'!$F$7:$F$22</c:f>
              <c:numCache>
                <c:formatCode>General</c:formatCode>
                <c:ptCount val="16"/>
                <c:pt idx="0">
                  <c:v>0.22657569360064439</c:v>
                </c:pt>
                <c:pt idx="1">
                  <c:v>0.34841129082064676</c:v>
                </c:pt>
                <c:pt idx="2">
                  <c:v>0.45229107417661507</c:v>
                </c:pt>
                <c:pt idx="3">
                  <c:v>0.83539659571578939</c:v>
                </c:pt>
                <c:pt idx="4">
                  <c:v>1.0632573310196394</c:v>
                </c:pt>
                <c:pt idx="5">
                  <c:v>1.3554005891441361</c:v>
                </c:pt>
                <c:pt idx="6">
                  <c:v>1.6717113170812763</c:v>
                </c:pt>
                <c:pt idx="7">
                  <c:v>2.0567392572696455</c:v>
                </c:pt>
                <c:pt idx="8">
                  <c:v>2.5109074140860774</c:v>
                </c:pt>
                <c:pt idx="9">
                  <c:v>2.9765410155191163</c:v>
                </c:pt>
                <c:pt idx="10">
                  <c:v>3.4421746169521548</c:v>
                </c:pt>
                <c:pt idx="11">
                  <c:v>4.3278623586498988</c:v>
                </c:pt>
                <c:pt idx="12">
                  <c:v>4.7261079272849127</c:v>
                </c:pt>
                <c:pt idx="13">
                  <c:v>5.0442201469639949</c:v>
                </c:pt>
                <c:pt idx="14">
                  <c:v>5.2897478448408304</c:v>
                </c:pt>
                <c:pt idx="15">
                  <c:v>5.4728783595173853</c:v>
                </c:pt>
              </c:numCache>
            </c:numRef>
          </c:xVal>
          <c:yVal>
            <c:numRef>
              <c:f>'Guinier+NonlinSphere'!$H$7:$H$22</c:f>
              <c:numCache>
                <c:formatCode>General</c:formatCode>
                <c:ptCount val="16"/>
                <c:pt idx="0">
                  <c:v>1.0908633742394491</c:v>
                </c:pt>
                <c:pt idx="1">
                  <c:v>1.0480632591678476</c:v>
                </c:pt>
                <c:pt idx="2">
                  <c:v>1.0182621716782454</c:v>
                </c:pt>
                <c:pt idx="3">
                  <c:v>0.8825045937085112</c:v>
                </c:pt>
                <c:pt idx="4">
                  <c:v>0.83207330232293519</c:v>
                </c:pt>
                <c:pt idx="5">
                  <c:v>0.93367389797705291</c:v>
                </c:pt>
                <c:pt idx="6">
                  <c:v>0.8093440449454804</c:v>
                </c:pt>
                <c:pt idx="7">
                  <c:v>0.86251954134692133</c:v>
                </c:pt>
                <c:pt idx="8">
                  <c:v>0.73636936238901041</c:v>
                </c:pt>
                <c:pt idx="9">
                  <c:v>0.77071630673673974</c:v>
                </c:pt>
                <c:pt idx="10">
                  <c:v>0.70380156497032464</c:v>
                </c:pt>
                <c:pt idx="11">
                  <c:v>0.60070115430678495</c:v>
                </c:pt>
                <c:pt idx="12">
                  <c:v>0.6120941184866765</c:v>
                </c:pt>
                <c:pt idx="13">
                  <c:v>0.56088059546891966</c:v>
                </c:pt>
                <c:pt idx="14">
                  <c:v>0.54559054316235467</c:v>
                </c:pt>
                <c:pt idx="15">
                  <c:v>0.48284858891108129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4-4241-BC5E-803CCABC8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5840"/>
        <c:axId val="40998016"/>
      </c:scatterChart>
      <c:valAx>
        <c:axId val="4099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Calibri"/>
                  </a:rPr>
                  <a:t>q</a:t>
                </a:r>
                <a:r>
                  <a:rPr lang="en-US" sz="1000" b="0" i="0" u="none" strike="noStrike" baseline="30000">
                    <a:solidFill>
                      <a:srgbClr val="333333"/>
                    </a:solidFill>
                    <a:latin typeface="Calibri"/>
                  </a:rPr>
                  <a:t>2</a:t>
                </a: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Calibri"/>
                  </a:rPr>
                  <a:t>/nm</a:t>
                </a:r>
                <a:r>
                  <a:rPr lang="en-US" sz="1000" b="0" i="0" u="none" strike="noStrike" baseline="30000">
                    <a:solidFill>
                      <a:srgbClr val="333333"/>
                    </a:solidFill>
                    <a:latin typeface="Calibri"/>
                  </a:rPr>
                  <a:t>-2</a:t>
                </a:r>
              </a:p>
            </c:rich>
          </c:tx>
          <c:layout>
            <c:manualLayout>
              <c:xMode val="edge"/>
              <c:yMode val="edge"/>
              <c:x val="0.47025902374448092"/>
              <c:y val="3.427529892096820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998016"/>
        <c:crosses val="autoZero"/>
        <c:crossBetween val="midCat"/>
      </c:valAx>
      <c:valAx>
        <c:axId val="409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Script MT Bold"/>
                  </a:rPr>
                  <a:t>ln</a:t>
                </a: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Calibri"/>
                  </a:rPr>
                  <a:t>(Intensity)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58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Sphere plot</a:t>
            </a:r>
          </a:p>
        </c:rich>
      </c:tx>
      <c:layout>
        <c:manualLayout>
          <c:xMode val="edge"/>
          <c:yMode val="edge"/>
          <c:x val="2.0542228139849867E-2"/>
          <c:y val="2.1897783610382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74927113702707E-2"/>
          <c:y val="7.4652904345880136E-2"/>
          <c:w val="0.88192419825072887"/>
          <c:h val="0.8454875445684553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'Guinier+NonlinSphere'!$D$7:$D$22</c:f>
              <c:numCache>
                <c:formatCode>General</c:formatCode>
                <c:ptCount val="16"/>
                <c:pt idx="0">
                  <c:v>47599.967815182856</c:v>
                </c:pt>
                <c:pt idx="1">
                  <c:v>59026.37468290313</c:v>
                </c:pt>
                <c:pt idx="2">
                  <c:v>67252.58910827263</c:v>
                </c:pt>
                <c:pt idx="3">
                  <c:v>91400.032588385293</c:v>
                </c:pt>
                <c:pt idx="4">
                  <c:v>103114.3700470327</c:v>
                </c:pt>
                <c:pt idx="5">
                  <c:v>116421.67277376392</c:v>
                </c:pt>
                <c:pt idx="6">
                  <c:v>129294.67572492211</c:v>
                </c:pt>
                <c:pt idx="7">
                  <c:v>143413.36260159462</c:v>
                </c:pt>
                <c:pt idx="8">
                  <c:v>158458.4303243623</c:v>
                </c:pt>
                <c:pt idx="9">
                  <c:v>172526.54913140516</c:v>
                </c:pt>
                <c:pt idx="10">
                  <c:v>185530.98439215362</c:v>
                </c:pt>
                <c:pt idx="11">
                  <c:v>208035.14988217491</c:v>
                </c:pt>
                <c:pt idx="12">
                  <c:v>217396.13444780736</c:v>
                </c:pt>
                <c:pt idx="13">
                  <c:v>224593.41368268116</c:v>
                </c:pt>
                <c:pt idx="14">
                  <c:v>229994.51830078103</c:v>
                </c:pt>
                <c:pt idx="15">
                  <c:v>233941.83806060397</c:v>
                </c:pt>
              </c:numCache>
            </c:numRef>
          </c:xVal>
          <c:yVal>
            <c:numRef>
              <c:f>'Guinier+NonlinSphere'!$G$7:$G$22</c:f>
              <c:numCache>
                <c:formatCode>General</c:formatCode>
                <c:ptCount val="16"/>
                <c:pt idx="0">
                  <c:v>12.327169687839959</c:v>
                </c:pt>
                <c:pt idx="1">
                  <c:v>11.170259415020061</c:v>
                </c:pt>
                <c:pt idx="2">
                  <c:v>10.429468378231823</c:v>
                </c:pt>
                <c:pt idx="3">
                  <c:v>7.6296496130805007</c:v>
                </c:pt>
                <c:pt idx="4">
                  <c:v>6.7931828156620551</c:v>
                </c:pt>
                <c:pt idx="5">
                  <c:v>8.5836874954790261</c:v>
                </c:pt>
                <c:pt idx="6">
                  <c:v>6.446797739291628</c:v>
                </c:pt>
                <c:pt idx="7">
                  <c:v>7.2865095987304063</c:v>
                </c:pt>
                <c:pt idx="8">
                  <c:v>5.4496594297828063</c:v>
                </c:pt>
                <c:pt idx="9">
                  <c:v>5.8981567026603265</c:v>
                </c:pt>
                <c:pt idx="10">
                  <c:v>5.0559359665800487</c:v>
                </c:pt>
                <c:pt idx="11">
                  <c:v>3.9875042073735916</c:v>
                </c:pt>
                <c:pt idx="12">
                  <c:v>4.0934936260258823</c:v>
                </c:pt>
                <c:pt idx="13">
                  <c:v>3.6381499541031772</c:v>
                </c:pt>
                <c:pt idx="14">
                  <c:v>3.5122914230693807</c:v>
                </c:pt>
                <c:pt idx="15">
                  <c:v>3.0398250456830462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75-4920-8C9A-C1899C8ED5BB}"/>
            </c:ext>
          </c:extLst>
        </c:ser>
        <c:ser>
          <c:idx val="1"/>
          <c:order val="1"/>
          <c:tx>
            <c:v>SphereFit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'Guinier+NonlinSphere'!$B$30:$B$79</c:f>
              <c:numCache>
                <c:formatCode>General</c:formatCode>
                <c:ptCount val="50"/>
                <c:pt idx="0">
                  <c:v>1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175000.00000000003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214999.99999999997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</c:numCache>
            </c:numRef>
          </c:xVal>
          <c:yVal>
            <c:numRef>
              <c:f>'Guinier+NonlinSphere'!$F$30:$F$79</c:f>
              <c:numCache>
                <c:formatCode>General</c:formatCode>
                <c:ptCount val="50"/>
                <c:pt idx="0">
                  <c:v>9.922929086738165</c:v>
                </c:pt>
                <c:pt idx="1">
                  <c:v>9.9041418127424734</c:v>
                </c:pt>
                <c:pt idx="2">
                  <c:v>9.8807627044318949</c:v>
                </c:pt>
                <c:pt idx="3">
                  <c:v>9.8481114218275447</c:v>
                </c:pt>
                <c:pt idx="4">
                  <c:v>9.8062671004724464</c:v>
                </c:pt>
                <c:pt idx="5">
                  <c:v>9.7553310112599529</c:v>
                </c:pt>
                <c:pt idx="6">
                  <c:v>9.6954262071348669</c:v>
                </c:pt>
                <c:pt idx="7">
                  <c:v>9.6266970943785815</c:v>
                </c:pt>
                <c:pt idx="8">
                  <c:v>9.5493089303160161</c:v>
                </c:pt>
                <c:pt idx="9">
                  <c:v>9.4634472495899562</c:v>
                </c:pt>
                <c:pt idx="10">
                  <c:v>9.3693172214516345</c:v>
                </c:pt>
                <c:pt idx="11">
                  <c:v>9.2671429408056412</c:v>
                </c:pt>
                <c:pt idx="12">
                  <c:v>9.157166656024021</c:v>
                </c:pt>
                <c:pt idx="13">
                  <c:v>9.0396479368061602</c:v>
                </c:pt>
                <c:pt idx="14">
                  <c:v>8.9148627856060134</c:v>
                </c:pt>
                <c:pt idx="15">
                  <c:v>8.7831026963785153</c:v>
                </c:pt>
                <c:pt idx="16">
                  <c:v>8.6446736646061755</c:v>
                </c:pt>
                <c:pt idx="17">
                  <c:v>8.4998951527587607</c:v>
                </c:pt>
                <c:pt idx="18">
                  <c:v>8.349099015511003</c:v>
                </c:pt>
                <c:pt idx="19">
                  <c:v>8.1926283891932137</c:v>
                </c:pt>
                <c:pt idx="20">
                  <c:v>8.0308365500793748</c:v>
                </c:pt>
                <c:pt idx="21">
                  <c:v>7.8640857462244735</c:v>
                </c:pt>
                <c:pt idx="22">
                  <c:v>7.6927460076479903</c:v>
                </c:pt>
                <c:pt idx="23">
                  <c:v>7.5171939397225254</c:v>
                </c:pt>
                <c:pt idx="24">
                  <c:v>7.3378115046659618</c:v>
                </c:pt>
                <c:pt idx="25">
                  <c:v>7.1549847960521689</c:v>
                </c:pt>
                <c:pt idx="26">
                  <c:v>6.9691028112485087</c:v>
                </c:pt>
                <c:pt idx="27">
                  <c:v>6.7805562266593986</c:v>
                </c:pt>
                <c:pt idx="28">
                  <c:v>6.5897361806034134</c:v>
                </c:pt>
                <c:pt idx="29">
                  <c:v>6.3970330685776737</c:v>
                </c:pt>
                <c:pt idx="30">
                  <c:v>6.2028353555680082</c:v>
                </c:pt>
                <c:pt idx="31">
                  <c:v>6.0075284099471657</c:v>
                </c:pt>
                <c:pt idx="32">
                  <c:v>5.8114933633668313</c:v>
                </c:pt>
                <c:pt idx="33">
                  <c:v>5.6151060008935287</c:v>
                </c:pt>
                <c:pt idx="34">
                  <c:v>5.4187356854640472</c:v>
                </c:pt>
                <c:pt idx="35">
                  <c:v>5.2227443205444226</c:v>
                </c:pt>
                <c:pt idx="36">
                  <c:v>5.027485354668233</c:v>
                </c:pt>
                <c:pt idx="37">
                  <c:v>4.8333028313068205</c:v>
                </c:pt>
                <c:pt idx="38">
                  <c:v>4.6405304872865845</c:v>
                </c:pt>
                <c:pt idx="39">
                  <c:v>4.4494909027186988</c:v>
                </c:pt>
                <c:pt idx="40">
                  <c:v>4.2604947051452378</c:v>
                </c:pt>
                <c:pt idx="41">
                  <c:v>4.0738398303346548</c:v>
                </c:pt>
                <c:pt idx="42">
                  <c:v>3.8898108418798136</c:v>
                </c:pt>
                <c:pt idx="43">
                  <c:v>3.7086783114653703</c:v>
                </c:pt>
                <c:pt idx="44">
                  <c:v>3.5306982613790425</c:v>
                </c:pt>
                <c:pt idx="45">
                  <c:v>3.3561116705454457</c:v>
                </c:pt>
                <c:pt idx="46">
                  <c:v>3.1851440450626121</c:v>
                </c:pt>
                <c:pt idx="47">
                  <c:v>3.0180050539218981</c:v>
                </c:pt>
                <c:pt idx="48">
                  <c:v>2.8548882302932808</c:v>
                </c:pt>
                <c:pt idx="49">
                  <c:v>2.6959707384611886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75-4920-8C9A-C1899C8ED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5840"/>
        <c:axId val="40998016"/>
      </c:scatterChart>
      <c:valAx>
        <c:axId val="409958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Calibri"/>
                  </a:rPr>
                  <a:t>q/cm</a:t>
                </a:r>
                <a:r>
                  <a:rPr lang="en-US" sz="1000" b="0" i="0" u="none" strike="noStrike" baseline="30000">
                    <a:solidFill>
                      <a:srgbClr val="333333"/>
                    </a:solidFill>
                    <a:latin typeface="Calibri"/>
                  </a:rPr>
                  <a:t>-1</a:t>
                </a:r>
              </a:p>
            </c:rich>
          </c:tx>
          <c:layout>
            <c:manualLayout>
              <c:xMode val="edge"/>
              <c:yMode val="edge"/>
              <c:x val="0.47025902374448092"/>
              <c:y val="3.427529892096820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998016"/>
        <c:crosses val="autoZero"/>
        <c:crossBetween val="midCat"/>
      </c:valAx>
      <c:valAx>
        <c:axId val="409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+mj-lt"/>
                  </a:rPr>
                  <a:t>Intensity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5840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2</xdr:row>
      <xdr:rowOff>19050</xdr:rowOff>
    </xdr:from>
    <xdr:to>
      <xdr:col>26</xdr:col>
      <xdr:colOff>66675</xdr:colOff>
      <xdr:row>30</xdr:row>
      <xdr:rowOff>47625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4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199405</xdr:colOff>
      <xdr:row>31</xdr:row>
      <xdr:rowOff>98534</xdr:rowOff>
    </xdr:from>
    <xdr:to>
      <xdr:col>26</xdr:col>
      <xdr:colOff>27955</xdr:colOff>
      <xdr:row>60</xdr:row>
      <xdr:rowOff>27517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57ABD8D-A64A-4153-951E-4C47F03D1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"/>
  <sheetViews>
    <sheetView workbookViewId="0">
      <selection activeCell="B3" sqref="B3"/>
    </sheetView>
  </sheetViews>
  <sheetFormatPr defaultRowHeight="14.35"/>
  <sheetData>
    <row r="2" spans="2:2">
      <c r="B2" t="s">
        <v>103</v>
      </c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44"/>
  <sheetViews>
    <sheetView topLeftCell="A25" workbookViewId="0">
      <selection activeCell="C41" sqref="C41"/>
    </sheetView>
  </sheetViews>
  <sheetFormatPr defaultRowHeight="14.35"/>
  <sheetData>
    <row r="1" spans="2:2">
      <c r="B1" s="12" t="s">
        <v>81</v>
      </c>
    </row>
    <row r="2" spans="2:2">
      <c r="B2" t="s">
        <v>82</v>
      </c>
    </row>
    <row r="3" spans="2:2">
      <c r="B3" t="s">
        <v>108</v>
      </c>
    </row>
    <row r="5" spans="2:2">
      <c r="B5" s="12" t="s">
        <v>83</v>
      </c>
    </row>
    <row r="6" spans="2:2">
      <c r="B6" t="s">
        <v>109</v>
      </c>
    </row>
    <row r="7" spans="2:2">
      <c r="B7" t="s">
        <v>43</v>
      </c>
    </row>
    <row r="8" spans="2:2">
      <c r="B8" t="s">
        <v>110</v>
      </c>
    </row>
    <row r="9" spans="2:2">
      <c r="B9" t="s">
        <v>52</v>
      </c>
    </row>
    <row r="10" spans="2:2">
      <c r="B10" t="s">
        <v>44</v>
      </c>
    </row>
    <row r="11" spans="2:2">
      <c r="B11" t="s">
        <v>45</v>
      </c>
    </row>
    <row r="12" spans="2:2">
      <c r="B12" t="s">
        <v>46</v>
      </c>
    </row>
    <row r="13" spans="2:2">
      <c r="B13" t="s">
        <v>111</v>
      </c>
    </row>
    <row r="14" spans="2:2">
      <c r="B14" t="s">
        <v>47</v>
      </c>
    </row>
    <row r="15" spans="2:2">
      <c r="B15" t="s">
        <v>48</v>
      </c>
    </row>
    <row r="16" spans="2:2">
      <c r="B16" t="s">
        <v>49</v>
      </c>
    </row>
    <row r="17" spans="2:3" ht="17.350000000000001">
      <c r="B17" t="s">
        <v>70</v>
      </c>
    </row>
    <row r="18" spans="2:3">
      <c r="B18" t="s">
        <v>50</v>
      </c>
    </row>
    <row r="19" spans="2:3">
      <c r="B19" t="s">
        <v>51</v>
      </c>
    </row>
    <row r="21" spans="2:3">
      <c r="B21" s="12" t="s">
        <v>53</v>
      </c>
    </row>
    <row r="22" spans="2:3">
      <c r="B22">
        <v>1</v>
      </c>
      <c r="C22" t="s">
        <v>54</v>
      </c>
    </row>
    <row r="23" spans="2:3">
      <c r="B23">
        <v>2</v>
      </c>
      <c r="C23" t="s">
        <v>71</v>
      </c>
    </row>
    <row r="24" spans="2:3">
      <c r="B24">
        <v>3</v>
      </c>
      <c r="C24" t="s">
        <v>55</v>
      </c>
    </row>
    <row r="25" spans="2:3">
      <c r="B25">
        <v>4</v>
      </c>
      <c r="C25" t="s">
        <v>72</v>
      </c>
    </row>
    <row r="26" spans="2:3">
      <c r="C26" t="s">
        <v>73</v>
      </c>
    </row>
    <row r="27" spans="2:3">
      <c r="B27">
        <v>5</v>
      </c>
      <c r="C27" t="s">
        <v>56</v>
      </c>
    </row>
    <row r="28" spans="2:3" ht="16.350000000000001">
      <c r="B28">
        <v>6</v>
      </c>
      <c r="C28" t="s">
        <v>68</v>
      </c>
    </row>
    <row r="29" spans="2:3">
      <c r="B29">
        <v>7</v>
      </c>
      <c r="C29" t="s">
        <v>58</v>
      </c>
    </row>
    <row r="30" spans="2:3">
      <c r="B30">
        <v>8</v>
      </c>
      <c r="C30" t="s">
        <v>57</v>
      </c>
    </row>
    <row r="31" spans="2:3">
      <c r="B31">
        <v>9</v>
      </c>
      <c r="C31" t="s">
        <v>69</v>
      </c>
    </row>
    <row r="33" spans="2:3">
      <c r="B33">
        <v>10</v>
      </c>
      <c r="C33" t="s">
        <v>75</v>
      </c>
    </row>
    <row r="34" spans="2:3">
      <c r="C34" t="s">
        <v>84</v>
      </c>
    </row>
    <row r="35" spans="2:3">
      <c r="C35" t="s">
        <v>74</v>
      </c>
    </row>
    <row r="36" spans="2:3" ht="16.350000000000001">
      <c r="C36" t="s">
        <v>76</v>
      </c>
    </row>
    <row r="37" spans="2:3">
      <c r="B37">
        <v>11</v>
      </c>
      <c r="C37" t="s">
        <v>85</v>
      </c>
    </row>
    <row r="39" spans="2:3">
      <c r="B39" s="12" t="s">
        <v>112</v>
      </c>
    </row>
    <row r="40" spans="2:3">
      <c r="C40" t="s">
        <v>113</v>
      </c>
    </row>
    <row r="41" spans="2:3">
      <c r="C41" t="s">
        <v>99</v>
      </c>
    </row>
    <row r="42" spans="2:3">
      <c r="C42" t="s">
        <v>100</v>
      </c>
    </row>
    <row r="43" spans="2:3">
      <c r="C43" t="s">
        <v>101</v>
      </c>
    </row>
    <row r="44" spans="2:3">
      <c r="C44" t="s">
        <v>102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32"/>
  <sheetViews>
    <sheetView topLeftCell="D1" workbookViewId="0">
      <selection activeCell="H18" sqref="H18"/>
    </sheetView>
  </sheetViews>
  <sheetFormatPr defaultRowHeight="14.35"/>
  <cols>
    <col min="2" max="2" width="13.703125" customWidth="1"/>
    <col min="3" max="3" width="8.87890625" customWidth="1"/>
    <col min="4" max="4" width="15.703125" customWidth="1"/>
    <col min="5" max="5" width="1.703125" customWidth="1"/>
    <col min="6" max="6" width="12.41015625" customWidth="1"/>
    <col min="7" max="7" width="13.29296875" customWidth="1"/>
    <col min="8" max="8" width="14.5859375" customWidth="1"/>
    <col min="9" max="9" width="4" customWidth="1"/>
    <col min="10" max="10" width="12.703125" customWidth="1"/>
    <col min="11" max="11" width="10.41015625" customWidth="1"/>
    <col min="12" max="12" width="7.87890625" customWidth="1"/>
    <col min="13" max="13" width="10.29296875" customWidth="1"/>
    <col min="14" max="14" width="12.1171875" customWidth="1"/>
    <col min="15" max="15" width="0.87890625" customWidth="1"/>
    <col min="16" max="16" width="12.41015625" customWidth="1"/>
    <col min="18" max="18" width="0.703125" customWidth="1"/>
    <col min="19" max="19" width="13.29296875" customWidth="1"/>
    <col min="20" max="20" width="11.41015625" customWidth="1"/>
  </cols>
  <sheetData>
    <row r="1" spans="2:20" ht="14.7" thickBot="1"/>
    <row r="2" spans="2:20" ht="14.7" thickBot="1">
      <c r="B2" s="6" t="s">
        <v>28</v>
      </c>
      <c r="C2" s="6"/>
      <c r="D2" s="54">
        <v>44734</v>
      </c>
    </row>
    <row r="3" spans="2:20" ht="14.7" thickBot="1">
      <c r="B3" s="6" t="s">
        <v>21</v>
      </c>
      <c r="C3" s="6"/>
      <c r="D3" s="54" t="s">
        <v>26</v>
      </c>
      <c r="G3" s="12"/>
      <c r="H3" s="12"/>
    </row>
    <row r="4" spans="2:20" ht="14.7" thickBot="1">
      <c r="B4" s="6" t="s">
        <v>79</v>
      </c>
      <c r="C4" s="1"/>
      <c r="D4" s="49" t="s">
        <v>29</v>
      </c>
      <c r="E4" s="13"/>
      <c r="H4" s="12"/>
      <c r="I4" s="12"/>
    </row>
    <row r="5" spans="2:20" ht="14.7" thickBot="1">
      <c r="B5" s="6" t="s">
        <v>20</v>
      </c>
      <c r="C5" s="7" t="s">
        <v>19</v>
      </c>
      <c r="D5" s="1"/>
      <c r="E5" s="12"/>
    </row>
    <row r="6" spans="2:20" ht="14.7" thickBot="1">
      <c r="B6" s="1"/>
      <c r="C6" s="5" t="s">
        <v>5</v>
      </c>
      <c r="D6" s="18" t="s">
        <v>6</v>
      </c>
      <c r="E6" s="52" t="s">
        <v>7</v>
      </c>
      <c r="F6" s="50">
        <v>3.0000000000000001E-3</v>
      </c>
      <c r="G6" s="15"/>
      <c r="H6" s="1" t="s">
        <v>80</v>
      </c>
      <c r="I6" s="1"/>
    </row>
    <row r="7" spans="2:20" ht="16.350000000000001">
      <c r="B7" s="1"/>
      <c r="C7" s="5" t="s">
        <v>13</v>
      </c>
      <c r="D7" s="1"/>
      <c r="E7" s="19"/>
      <c r="F7" s="51">
        <v>4.9800000000000004</v>
      </c>
      <c r="G7" s="15"/>
      <c r="H7" s="1" t="s">
        <v>24</v>
      </c>
      <c r="I7" s="1"/>
      <c r="J7" s="53">
        <v>4.76</v>
      </c>
      <c r="K7" s="1" t="s">
        <v>22</v>
      </c>
    </row>
    <row r="8" spans="2:20" ht="16.350000000000001">
      <c r="B8" s="1"/>
      <c r="C8" s="5" t="s">
        <v>14</v>
      </c>
      <c r="D8" s="1"/>
      <c r="E8" s="14"/>
      <c r="F8" s="51">
        <v>13.57</v>
      </c>
      <c r="G8" s="15"/>
      <c r="H8" s="1" t="s">
        <v>25</v>
      </c>
      <c r="I8" s="1"/>
      <c r="J8" s="10">
        <f>J7*SQRT(3/5)</f>
        <v>3.6870801455894608</v>
      </c>
      <c r="K8" s="1" t="s">
        <v>22</v>
      </c>
    </row>
    <row r="9" spans="2:20" ht="16.350000000000001">
      <c r="B9" s="1"/>
      <c r="C9" s="5" t="s">
        <v>15</v>
      </c>
      <c r="D9" s="1"/>
      <c r="E9" s="14"/>
      <c r="F9" s="51">
        <v>-14.65</v>
      </c>
      <c r="G9" s="15"/>
      <c r="H9" s="1" t="s">
        <v>23</v>
      </c>
      <c r="I9" s="1"/>
      <c r="J9" s="11">
        <f>Lamnm/(Refin*Normalize!J7)</f>
        <v>108.20117520692487</v>
      </c>
      <c r="K9" s="1"/>
    </row>
    <row r="10" spans="2:20" ht="16.350000000000001">
      <c r="B10" s="1"/>
      <c r="C10" s="5" t="s">
        <v>16</v>
      </c>
      <c r="D10" s="1"/>
      <c r="E10" s="14"/>
      <c r="F10" s="51">
        <v>80</v>
      </c>
      <c r="G10" s="15"/>
      <c r="H10" s="1" t="s">
        <v>59</v>
      </c>
      <c r="I10" s="1"/>
      <c r="J10" s="9">
        <f>J8*(4*PI()*Refin/Lamnm)*SIN(RADIANS(D32/2))</f>
        <v>8.6256230633595776E-2</v>
      </c>
      <c r="K10" s="1"/>
    </row>
    <row r="11" spans="2:20" ht="17.350000000000001">
      <c r="B11" s="1"/>
      <c r="C11" s="5" t="s">
        <v>17</v>
      </c>
      <c r="D11" s="34"/>
      <c r="E11" s="14"/>
      <c r="F11" s="51">
        <v>4.93</v>
      </c>
      <c r="H11" s="1" t="s">
        <v>60</v>
      </c>
      <c r="I11" s="1"/>
      <c r="J11" s="8">
        <f>1-J10^2/3</f>
        <v>0.997519954225628</v>
      </c>
      <c r="K11" s="1"/>
    </row>
    <row r="12" spans="2:20">
      <c r="N12" s="38" t="s">
        <v>61</v>
      </c>
    </row>
    <row r="13" spans="2:20" ht="14.7" thickBot="1">
      <c r="B13" s="6" t="s">
        <v>20</v>
      </c>
      <c r="C13" s="7" t="s">
        <v>18</v>
      </c>
      <c r="D13" s="7" t="s">
        <v>40</v>
      </c>
      <c r="E13" s="14"/>
      <c r="F13" s="25" t="s">
        <v>42</v>
      </c>
      <c r="G13" s="16" t="s">
        <v>64</v>
      </c>
      <c r="H13" s="6"/>
      <c r="I13" s="35"/>
      <c r="J13" s="6" t="s">
        <v>63</v>
      </c>
      <c r="K13" s="1"/>
      <c r="L13" s="7" t="s">
        <v>27</v>
      </c>
      <c r="M13" s="37" t="s">
        <v>65</v>
      </c>
      <c r="N13" s="39" t="s">
        <v>62</v>
      </c>
    </row>
    <row r="14" spans="2:20">
      <c r="B14" s="1"/>
      <c r="C14" s="24" t="s">
        <v>41</v>
      </c>
      <c r="D14">
        <v>0</v>
      </c>
      <c r="E14" s="1"/>
      <c r="F14" s="17" t="s">
        <v>0</v>
      </c>
      <c r="G14" s="6" t="s">
        <v>3</v>
      </c>
      <c r="H14" s="6" t="s">
        <v>30</v>
      </c>
      <c r="I14" s="35"/>
      <c r="J14" s="6" t="s">
        <v>3</v>
      </c>
      <c r="K14" s="6" t="s">
        <v>4</v>
      </c>
      <c r="L14" s="1"/>
      <c r="M14" s="6">
        <f>1-((4*PI()*Refin*SIN(RADIANS(D14/2)/Lamnm)*Rgyration)^2/3)</f>
        <v>1</v>
      </c>
      <c r="N14" s="17">
        <v>1</v>
      </c>
      <c r="P14" s="28" t="s">
        <v>66</v>
      </c>
      <c r="Q14" s="29"/>
      <c r="R14" s="12"/>
      <c r="S14" s="28" t="s">
        <v>67</v>
      </c>
      <c r="T14" s="29"/>
    </row>
    <row r="15" spans="2:20">
      <c r="B15" s="1"/>
      <c r="C15" s="5">
        <v>1</v>
      </c>
      <c r="D15" s="1">
        <v>22.5</v>
      </c>
      <c r="E15" s="1"/>
      <c r="F15" s="2" t="s">
        <v>2</v>
      </c>
      <c r="G15" s="2">
        <v>1.0549999999999999</v>
      </c>
      <c r="H15" s="4"/>
      <c r="I15" s="36"/>
      <c r="J15" s="2">
        <v>9.9000000000000005E-2</v>
      </c>
      <c r="K15" s="4"/>
      <c r="L15" s="2">
        <f>G15+H15-J15-K15</f>
        <v>0.95599999999999996</v>
      </c>
      <c r="M15" s="2">
        <f>1-((4*PI()*Refin*SIN(RADIANS(D15/2)/Lamnm)*Rgyration)^2/3)</f>
        <v>0.99989599707916177</v>
      </c>
      <c r="N15" s="26">
        <f t="shared" ref="N15:N32" si="0">M15/L15</f>
        <v>1.0459163149363617</v>
      </c>
      <c r="P15" s="30" t="s">
        <v>39</v>
      </c>
      <c r="Q15" s="31"/>
      <c r="R15" s="12"/>
      <c r="S15" s="30" t="s">
        <v>39</v>
      </c>
      <c r="T15" s="31"/>
    </row>
    <row r="16" spans="2:20">
      <c r="B16" s="1"/>
      <c r="C16" s="5">
        <v>2</v>
      </c>
      <c r="D16" s="1">
        <v>28</v>
      </c>
      <c r="E16" s="1"/>
      <c r="F16" s="2" t="s">
        <v>2</v>
      </c>
      <c r="G16" s="2">
        <v>0.71</v>
      </c>
      <c r="H16" s="4"/>
      <c r="I16" s="36"/>
      <c r="J16" s="2">
        <v>0.03</v>
      </c>
      <c r="K16" s="4"/>
      <c r="L16" s="2">
        <f>G16+H16-J16-K16</f>
        <v>0.67999999999999994</v>
      </c>
      <c r="M16" s="2">
        <f>1-((4*PI()*Refin*SIN(RADIANS(D16/2)/Lamnm)*Rgyration)^2/3)</f>
        <v>0.99983893671365542</v>
      </c>
      <c r="N16" s="26">
        <f>M16/L16</f>
        <v>1.4703513775200816</v>
      </c>
      <c r="P16" s="20" t="s">
        <v>31</v>
      </c>
      <c r="Q16" s="21">
        <v>740.78552000000002</v>
      </c>
      <c r="S16" s="20" t="s">
        <v>31</v>
      </c>
      <c r="T16" s="21">
        <v>3.5539800000000001</v>
      </c>
    </row>
    <row r="17" spans="2:20">
      <c r="B17" s="1"/>
      <c r="C17" s="5">
        <v>3</v>
      </c>
      <c r="D17" s="1">
        <v>32</v>
      </c>
      <c r="E17" s="1"/>
      <c r="F17" s="2" t="s">
        <v>2</v>
      </c>
      <c r="G17" s="2">
        <v>0.89</v>
      </c>
      <c r="H17" s="4"/>
      <c r="I17" s="36"/>
      <c r="J17" s="2">
        <v>1.2E-2</v>
      </c>
      <c r="K17" s="4"/>
      <c r="L17" s="2">
        <f>G17+H17-J17-K17</f>
        <v>0.878</v>
      </c>
      <c r="M17" s="2">
        <f>1-((4*PI()*Refin*SIN(RADIANS(D17/2)/Lamnm)*Rgyration)^2/3)</f>
        <v>0.99978963162873025</v>
      </c>
      <c r="N17" s="26">
        <f t="shared" si="0"/>
        <v>1.1387125644974148</v>
      </c>
      <c r="P17" s="20" t="s">
        <v>32</v>
      </c>
      <c r="Q17" s="21">
        <v>673.70159999999998</v>
      </c>
      <c r="S17" s="20" t="s">
        <v>32</v>
      </c>
      <c r="T17" s="21">
        <v>2.25895</v>
      </c>
    </row>
    <row r="18" spans="2:20">
      <c r="B18" s="1"/>
      <c r="C18" s="5">
        <v>4</v>
      </c>
      <c r="D18" s="1">
        <v>38</v>
      </c>
      <c r="E18" s="1"/>
      <c r="F18" s="32" t="s">
        <v>77</v>
      </c>
      <c r="G18" s="33" t="s">
        <v>78</v>
      </c>
      <c r="H18" s="4"/>
      <c r="I18" s="36"/>
      <c r="J18" s="33" t="s">
        <v>78</v>
      </c>
      <c r="K18" s="4"/>
      <c r="L18" s="33" t="s">
        <v>78</v>
      </c>
      <c r="M18" s="33" t="s">
        <v>78</v>
      </c>
      <c r="N18" s="33" t="s">
        <v>78</v>
      </c>
      <c r="P18" s="20" t="s">
        <v>33</v>
      </c>
      <c r="Q18" s="21">
        <v>670.29210999999998</v>
      </c>
      <c r="S18" s="20" t="s">
        <v>33</v>
      </c>
      <c r="T18" s="21">
        <v>3.7147000000000001</v>
      </c>
    </row>
    <row r="19" spans="2:20">
      <c r="B19" s="1"/>
      <c r="C19" s="5">
        <v>5</v>
      </c>
      <c r="D19" s="1">
        <v>44</v>
      </c>
      <c r="E19" s="1"/>
      <c r="F19" s="3" t="s">
        <v>1</v>
      </c>
      <c r="G19" s="4"/>
      <c r="H19" s="3">
        <f>Q16</f>
        <v>740.78552000000002</v>
      </c>
      <c r="I19" s="36"/>
      <c r="J19" s="4"/>
      <c r="K19" s="3">
        <f>T16</f>
        <v>3.5539800000000001</v>
      </c>
      <c r="L19" s="3">
        <f t="shared" ref="L19:L26" si="1">G19+H19-J19-K19</f>
        <v>737.23154</v>
      </c>
      <c r="M19" s="3">
        <f t="shared" ref="M19:M26" si="2">1-((4*PI()*Refin*SIN(RADIANS(D19/2)/Lamnm)*Rgyration)^2/3)</f>
        <v>0.99960227231769161</v>
      </c>
      <c r="N19" s="27">
        <f t="shared" si="0"/>
        <v>1.3558864726781652E-3</v>
      </c>
      <c r="P19" s="20" t="s">
        <v>34</v>
      </c>
      <c r="Q19" s="21">
        <v>682.39484000000004</v>
      </c>
      <c r="S19" s="20" t="s">
        <v>34</v>
      </c>
      <c r="T19" s="21">
        <v>10.291969999999999</v>
      </c>
    </row>
    <row r="20" spans="2:20">
      <c r="B20" s="1"/>
      <c r="C20" s="5">
        <v>6</v>
      </c>
      <c r="D20" s="1">
        <v>50</v>
      </c>
      <c r="E20" s="1"/>
      <c r="F20" s="3" t="s">
        <v>1</v>
      </c>
      <c r="G20" s="4"/>
      <c r="H20" s="3">
        <f>Q17</f>
        <v>673.70159999999998</v>
      </c>
      <c r="I20" s="36"/>
      <c r="J20" s="4"/>
      <c r="K20" s="3">
        <f>T17</f>
        <v>2.25895</v>
      </c>
      <c r="L20" s="3">
        <f t="shared" si="1"/>
        <v>671.44264999999996</v>
      </c>
      <c r="M20" s="3">
        <f t="shared" si="2"/>
        <v>0.99948640538459077</v>
      </c>
      <c r="N20" s="27">
        <f t="shared" si="0"/>
        <v>1.488565561607668E-3</v>
      </c>
      <c r="P20" s="20" t="s">
        <v>35</v>
      </c>
      <c r="Q20" s="21">
        <v>158.77825999999999</v>
      </c>
      <c r="S20" s="20" t="s">
        <v>35</v>
      </c>
      <c r="T20" s="21">
        <v>2.6678999999999999</v>
      </c>
    </row>
    <row r="21" spans="2:20">
      <c r="B21" s="1"/>
      <c r="C21" s="5">
        <v>7</v>
      </c>
      <c r="D21" s="1">
        <v>57</v>
      </c>
      <c r="E21" s="1"/>
      <c r="F21" s="2" t="s">
        <v>2</v>
      </c>
      <c r="G21" s="2">
        <v>1.2250000000000001</v>
      </c>
      <c r="H21" s="4"/>
      <c r="I21" s="36"/>
      <c r="J21" s="2">
        <v>3.4000000000000002E-2</v>
      </c>
      <c r="K21" s="4"/>
      <c r="L21" s="2">
        <f t="shared" si="1"/>
        <v>1.1910000000000001</v>
      </c>
      <c r="M21" s="2">
        <f t="shared" si="2"/>
        <v>0.9993325324648602</v>
      </c>
      <c r="N21" s="26">
        <f t="shared" si="0"/>
        <v>0.83907013641046191</v>
      </c>
      <c r="P21" s="20" t="s">
        <v>36</v>
      </c>
      <c r="Q21" s="21">
        <v>335.19778000000002</v>
      </c>
      <c r="S21" s="20" t="s">
        <v>36</v>
      </c>
      <c r="T21" s="21">
        <v>2.7578</v>
      </c>
    </row>
    <row r="22" spans="2:20">
      <c r="B22" s="1"/>
      <c r="C22" s="5">
        <v>8</v>
      </c>
      <c r="D22" s="1">
        <v>64</v>
      </c>
      <c r="E22" s="1"/>
      <c r="F22" s="3" t="s">
        <v>1</v>
      </c>
      <c r="G22" s="4"/>
      <c r="H22" s="3">
        <f>Q18</f>
        <v>670.29210999999998</v>
      </c>
      <c r="I22" s="36"/>
      <c r="J22" s="4"/>
      <c r="K22" s="3">
        <f>T18</f>
        <v>3.7147000000000001</v>
      </c>
      <c r="L22" s="3">
        <f t="shared" si="1"/>
        <v>666.57740999999999</v>
      </c>
      <c r="M22" s="3">
        <f t="shared" si="2"/>
        <v>0.99915852665476845</v>
      </c>
      <c r="N22" s="27">
        <f t="shared" si="0"/>
        <v>1.4989384753599263E-3</v>
      </c>
      <c r="P22" s="20" t="s">
        <v>37</v>
      </c>
      <c r="Q22" s="21">
        <v>343.32474000000002</v>
      </c>
      <c r="S22" s="20" t="s">
        <v>37</v>
      </c>
      <c r="T22" s="21">
        <v>4.8051199999999996</v>
      </c>
    </row>
    <row r="23" spans="2:20" ht="14.7" thickBot="1">
      <c r="B23" s="1"/>
      <c r="C23" s="5">
        <v>9</v>
      </c>
      <c r="D23" s="1">
        <v>72</v>
      </c>
      <c r="E23" s="1"/>
      <c r="F23" s="2" t="s">
        <v>2</v>
      </c>
      <c r="G23" s="2">
        <v>1.113</v>
      </c>
      <c r="H23" s="4"/>
      <c r="I23" s="36"/>
      <c r="J23" s="2">
        <v>1.2E-2</v>
      </c>
      <c r="K23" s="4"/>
      <c r="L23" s="2">
        <f t="shared" si="1"/>
        <v>1.101</v>
      </c>
      <c r="M23" s="2">
        <f t="shared" si="2"/>
        <v>0.99893501036012677</v>
      </c>
      <c r="N23" s="26">
        <f t="shared" si="0"/>
        <v>0.90729792039975188</v>
      </c>
      <c r="P23" s="22" t="s">
        <v>38</v>
      </c>
      <c r="Q23" s="23">
        <v>594.85730000000001</v>
      </c>
      <c r="S23" s="22" t="s">
        <v>38</v>
      </c>
      <c r="T23" s="23">
        <v>5.1014600000000003</v>
      </c>
    </row>
    <row r="24" spans="2:20">
      <c r="B24" s="1"/>
      <c r="C24" s="5">
        <v>10</v>
      </c>
      <c r="D24" s="1">
        <v>81</v>
      </c>
      <c r="E24" s="1"/>
      <c r="F24" s="3" t="s">
        <v>1</v>
      </c>
      <c r="G24" s="4"/>
      <c r="H24" s="3">
        <f>Q19</f>
        <v>682.39484000000004</v>
      </c>
      <c r="I24" s="36"/>
      <c r="J24" s="4"/>
      <c r="K24" s="3">
        <f>T19</f>
        <v>10.291969999999999</v>
      </c>
      <c r="L24" s="3">
        <f t="shared" si="1"/>
        <v>672.10287000000005</v>
      </c>
      <c r="M24" s="3">
        <f t="shared" si="2"/>
        <v>0.9986521225874454</v>
      </c>
      <c r="N24" s="27">
        <f t="shared" si="0"/>
        <v>1.4858620118486405E-3</v>
      </c>
    </row>
    <row r="25" spans="2:20">
      <c r="B25" s="1"/>
      <c r="C25" s="5">
        <v>11</v>
      </c>
      <c r="D25" s="1">
        <v>90</v>
      </c>
      <c r="E25" s="1"/>
      <c r="F25" s="2" t="s">
        <v>2</v>
      </c>
      <c r="G25" s="2">
        <v>0.998</v>
      </c>
      <c r="H25" s="4"/>
      <c r="I25" s="36"/>
      <c r="J25" s="2">
        <v>8.9999999999999993E-3</v>
      </c>
      <c r="K25" s="4"/>
      <c r="L25" s="2">
        <f t="shared" si="1"/>
        <v>0.98899999999999999</v>
      </c>
      <c r="M25" s="2">
        <f t="shared" si="2"/>
        <v>0.99833595395020769</v>
      </c>
      <c r="N25" s="26">
        <f t="shared" si="0"/>
        <v>1.0094397916584505</v>
      </c>
    </row>
    <row r="26" spans="2:20">
      <c r="B26" s="1"/>
      <c r="C26" s="5">
        <v>12</v>
      </c>
      <c r="D26" s="1">
        <v>99</v>
      </c>
      <c r="E26" s="1"/>
      <c r="F26" s="3" t="s">
        <v>1</v>
      </c>
      <c r="G26" s="4"/>
      <c r="H26" s="3">
        <f>Q20</f>
        <v>158.77825999999999</v>
      </c>
      <c r="I26" s="36"/>
      <c r="J26" s="4"/>
      <c r="K26" s="3">
        <f>T20</f>
        <v>2.6678999999999999</v>
      </c>
      <c r="L26" s="3">
        <f t="shared" si="1"/>
        <v>156.11035999999999</v>
      </c>
      <c r="M26" s="3">
        <f t="shared" si="2"/>
        <v>0.99798650446503934</v>
      </c>
      <c r="N26" s="27">
        <f t="shared" si="0"/>
        <v>6.3928268723807916E-3</v>
      </c>
    </row>
    <row r="27" spans="2:20">
      <c r="B27" s="1"/>
      <c r="C27" s="5">
        <v>13</v>
      </c>
      <c r="D27" s="1">
        <v>108</v>
      </c>
      <c r="E27" s="1"/>
      <c r="F27" s="32" t="s">
        <v>77</v>
      </c>
      <c r="G27" s="33" t="s">
        <v>78</v>
      </c>
      <c r="H27" s="4"/>
      <c r="I27" s="36"/>
      <c r="J27" s="33" t="s">
        <v>78</v>
      </c>
      <c r="K27" s="4"/>
      <c r="L27" s="33" t="s">
        <v>78</v>
      </c>
      <c r="M27" s="33" t="s">
        <v>78</v>
      </c>
      <c r="N27" s="33" t="s">
        <v>78</v>
      </c>
    </row>
    <row r="28" spans="2:20">
      <c r="B28" s="1"/>
      <c r="C28" s="5">
        <v>14</v>
      </c>
      <c r="D28" s="1">
        <v>117</v>
      </c>
      <c r="E28" s="1"/>
      <c r="F28" s="3" t="s">
        <v>1</v>
      </c>
      <c r="G28" s="4"/>
      <c r="H28" s="3">
        <f>Q21</f>
        <v>335.19778000000002</v>
      </c>
      <c r="I28" s="36"/>
      <c r="J28" s="4"/>
      <c r="K28" s="3">
        <f>T21</f>
        <v>2.7578</v>
      </c>
      <c r="L28" s="3">
        <f>G28+H28-J28-K28</f>
        <v>332.43998000000005</v>
      </c>
      <c r="M28" s="3">
        <f>1-((4*PI()*Refin*SIN(RADIANS(D28/2)/Lamnm)*Rgyration)^2/3)</f>
        <v>0.99718776302616341</v>
      </c>
      <c r="N28" s="27">
        <f t="shared" si="0"/>
        <v>2.9996024034960032E-3</v>
      </c>
    </row>
    <row r="29" spans="2:20">
      <c r="B29" s="1"/>
      <c r="C29" s="5">
        <v>15</v>
      </c>
      <c r="D29" s="1">
        <v>126</v>
      </c>
      <c r="E29" s="1"/>
      <c r="F29" s="2" t="s">
        <v>2</v>
      </c>
      <c r="G29" s="2">
        <v>1.28</v>
      </c>
      <c r="H29" s="4"/>
      <c r="I29" s="36"/>
      <c r="J29" s="2">
        <v>1.7000000000000001E-2</v>
      </c>
      <c r="K29" s="4"/>
      <c r="L29" s="2">
        <f>G29+H29-J29-K29</f>
        <v>1.2630000000000001</v>
      </c>
      <c r="M29" s="2">
        <f>1-((4*PI()*Refin*SIN(RADIANS(D29/2)/Lamnm)*Rgyration)^2/3)</f>
        <v>0.99673847111445724</v>
      </c>
      <c r="N29" s="26">
        <f t="shared" si="0"/>
        <v>0.78918327087447127</v>
      </c>
    </row>
    <row r="30" spans="2:20">
      <c r="B30" s="1"/>
      <c r="C30" s="5">
        <v>16</v>
      </c>
      <c r="D30" s="1">
        <v>134</v>
      </c>
      <c r="E30" s="1"/>
      <c r="F30" s="3" t="s">
        <v>1</v>
      </c>
      <c r="G30" s="4"/>
      <c r="H30" s="3">
        <f>Q22</f>
        <v>343.32474000000002</v>
      </c>
      <c r="I30" s="36"/>
      <c r="J30" s="4"/>
      <c r="K30" s="3">
        <f>T22</f>
        <v>4.8051199999999996</v>
      </c>
      <c r="L30" s="3">
        <f>G30+H30-J30-K30</f>
        <v>338.51962000000003</v>
      </c>
      <c r="M30" s="3">
        <f>1-((4*PI()*Refin*SIN(RADIANS(D30/2)/Lamnm)*Rgyration)^2/3)</f>
        <v>0.99631116111874596</v>
      </c>
      <c r="N30" s="27">
        <f t="shared" si="0"/>
        <v>2.9431415559273812E-3</v>
      </c>
    </row>
    <row r="31" spans="2:20">
      <c r="B31" s="1"/>
      <c r="C31" s="5">
        <v>17</v>
      </c>
      <c r="D31" s="1">
        <v>141</v>
      </c>
      <c r="E31" s="1"/>
      <c r="F31" s="2" t="s">
        <v>2</v>
      </c>
      <c r="G31" s="2">
        <v>0.70499999999999996</v>
      </c>
      <c r="H31" s="4"/>
      <c r="I31" s="36"/>
      <c r="J31" s="2">
        <v>1.2E-2</v>
      </c>
      <c r="K31" s="4"/>
      <c r="L31" s="2">
        <f>G31+H31-J31-K31</f>
        <v>0.69299999999999995</v>
      </c>
      <c r="M31" s="2">
        <f>1-((4*PI()*Refin*SIN(RADIANS(D31/2)/Lamnm)*Rgyration)^2/3)</f>
        <v>0.9959156940209003</v>
      </c>
      <c r="N31" s="26">
        <f t="shared" si="0"/>
        <v>1.4371077835799428</v>
      </c>
    </row>
    <row r="32" spans="2:20">
      <c r="B32" s="1"/>
      <c r="C32" s="5">
        <v>18</v>
      </c>
      <c r="D32" s="1">
        <v>147</v>
      </c>
      <c r="E32" s="1"/>
      <c r="F32" s="3" t="s">
        <v>1</v>
      </c>
      <c r="G32" s="4"/>
      <c r="H32" s="3">
        <f>Q23</f>
        <v>594.85730000000001</v>
      </c>
      <c r="I32" s="36"/>
      <c r="J32" s="4"/>
      <c r="K32" s="3">
        <f>T23</f>
        <v>5.1014600000000003</v>
      </c>
      <c r="L32" s="3">
        <f>G32+H32-J32-K32</f>
        <v>589.75584000000003</v>
      </c>
      <c r="M32" s="3">
        <f>1-((4*PI()*Refin*SIN(RADIANS(D32/2)/Lamnm)*Rgyration)^2/3)</f>
        <v>0.99556069817153581</v>
      </c>
      <c r="N32" s="27">
        <f t="shared" si="0"/>
        <v>1.6880895968262657E-3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32"/>
  <sheetViews>
    <sheetView workbookViewId="0">
      <selection activeCell="K4" sqref="K4"/>
    </sheetView>
  </sheetViews>
  <sheetFormatPr defaultRowHeight="14.35"/>
  <cols>
    <col min="2" max="2" width="11" customWidth="1"/>
    <col min="4" max="4" width="13.5859375" customWidth="1"/>
    <col min="5" max="5" width="2" customWidth="1"/>
    <col min="6" max="6" width="10.41015625" customWidth="1"/>
    <col min="8" max="8" width="14.87890625" customWidth="1"/>
    <col min="9" max="9" width="4" customWidth="1"/>
    <col min="10" max="10" width="12.41015625" customWidth="1"/>
    <col min="11" max="11" width="11" customWidth="1"/>
    <col min="13" max="13" width="10.41015625" customWidth="1"/>
    <col min="14" max="14" width="2.703125" customWidth="1"/>
    <col min="16" max="16" width="12.5859375" customWidth="1"/>
    <col min="17" max="17" width="9" customWidth="1"/>
    <col min="19" max="19" width="12.29296875" customWidth="1"/>
  </cols>
  <sheetData>
    <row r="1" spans="2:19" ht="14.7" thickBot="1"/>
    <row r="2" spans="2:19" ht="14.7" thickBot="1">
      <c r="B2" s="6" t="s">
        <v>105</v>
      </c>
      <c r="C2" s="6"/>
      <c r="D2" s="47" t="s">
        <v>107</v>
      </c>
    </row>
    <row r="3" spans="2:19" ht="14.7" thickBot="1">
      <c r="B3" s="6" t="s">
        <v>106</v>
      </c>
      <c r="C3" s="6"/>
      <c r="D3" s="48" t="s">
        <v>114</v>
      </c>
      <c r="G3" s="12"/>
      <c r="H3" s="12"/>
    </row>
    <row r="4" spans="2:19" ht="14.7" thickBot="1">
      <c r="B4" s="6" t="s">
        <v>79</v>
      </c>
      <c r="C4" s="1"/>
      <c r="D4" s="49" t="s">
        <v>29</v>
      </c>
      <c r="E4" s="13"/>
      <c r="H4" s="12"/>
      <c r="I4" s="12"/>
    </row>
    <row r="5" spans="2:19" ht="14.7" thickBot="1">
      <c r="B5" s="6" t="s">
        <v>20</v>
      </c>
      <c r="C5" s="7" t="s">
        <v>19</v>
      </c>
      <c r="D5" s="1"/>
    </row>
    <row r="6" spans="2:19" ht="14.7" thickBot="1">
      <c r="B6" s="1"/>
      <c r="C6" s="5" t="s">
        <v>5</v>
      </c>
      <c r="D6" s="18" t="s">
        <v>6</v>
      </c>
      <c r="E6" s="52" t="s">
        <v>7</v>
      </c>
      <c r="F6" s="50">
        <v>1E-3</v>
      </c>
      <c r="G6" s="15"/>
      <c r="H6" s="1" t="s">
        <v>80</v>
      </c>
      <c r="I6" s="1"/>
    </row>
    <row r="7" spans="2:19" ht="16.350000000000001">
      <c r="B7" s="1"/>
      <c r="C7" s="5" t="s">
        <v>13</v>
      </c>
      <c r="D7" s="1"/>
      <c r="E7" s="19"/>
      <c r="F7" s="51">
        <v>4.9800000000000004</v>
      </c>
      <c r="G7" s="15"/>
      <c r="H7" s="1" t="s">
        <v>24</v>
      </c>
      <c r="I7" s="1"/>
      <c r="J7" s="53">
        <v>92</v>
      </c>
      <c r="K7" s="1" t="s">
        <v>22</v>
      </c>
    </row>
    <row r="8" spans="2:19" ht="16.350000000000001">
      <c r="B8" s="1"/>
      <c r="C8" s="5" t="s">
        <v>14</v>
      </c>
      <c r="D8" s="1"/>
      <c r="E8" s="14"/>
      <c r="F8" s="51">
        <v>15.04</v>
      </c>
      <c r="G8" s="15"/>
      <c r="H8" s="1" t="s">
        <v>25</v>
      </c>
      <c r="I8" s="1"/>
      <c r="J8" s="10">
        <f>J7*SQRT(3/5)</f>
        <v>71.262893570216477</v>
      </c>
      <c r="K8" s="1" t="s">
        <v>22</v>
      </c>
    </row>
    <row r="9" spans="2:19" ht="16.350000000000001">
      <c r="B9" s="1"/>
      <c r="C9" s="5" t="s">
        <v>15</v>
      </c>
      <c r="D9" s="1"/>
      <c r="E9" s="14"/>
      <c r="F9" s="51">
        <v>14.89</v>
      </c>
      <c r="G9" s="15"/>
      <c r="H9" s="1" t="s">
        <v>23</v>
      </c>
      <c r="I9" s="1"/>
      <c r="J9" s="11">
        <f>Lamnm/(Refin*J7)</f>
        <v>5.5982347172278519</v>
      </c>
      <c r="K9" s="1"/>
    </row>
    <row r="10" spans="2:19" ht="16.350000000000001">
      <c r="B10" s="1"/>
      <c r="C10" s="5" t="s">
        <v>16</v>
      </c>
      <c r="D10" s="1"/>
      <c r="E10" s="14"/>
      <c r="F10" s="51">
        <v>79.2</v>
      </c>
      <c r="G10" s="15"/>
      <c r="H10" s="1" t="s">
        <v>59</v>
      </c>
      <c r="I10" s="1"/>
      <c r="J10" s="9">
        <f>J8*(4*PI()*Refin/Lamnm)*SIN(RADIANS(D32/2))</f>
        <v>1.6671372307333636</v>
      </c>
      <c r="K10" s="1"/>
    </row>
    <row r="11" spans="2:19" ht="17.350000000000001">
      <c r="B11" s="1"/>
      <c r="C11" s="5" t="s">
        <v>17</v>
      </c>
      <c r="D11" s="34"/>
      <c r="E11" s="14"/>
      <c r="F11" s="51">
        <v>4.92</v>
      </c>
      <c r="H11" s="1" t="s">
        <v>60</v>
      </c>
      <c r="I11" s="1"/>
      <c r="J11" s="8">
        <f>1-J10^2/3</f>
        <v>7.3551151300897177E-2</v>
      </c>
      <c r="K11" s="1"/>
      <c r="M11" s="40"/>
      <c r="O11" s="40"/>
    </row>
    <row r="12" spans="2:19">
      <c r="M12" s="6" t="s">
        <v>87</v>
      </c>
    </row>
    <row r="13" spans="2:19" ht="14.7" thickBot="1">
      <c r="B13" s="6" t="s">
        <v>20</v>
      </c>
      <c r="C13" s="7" t="s">
        <v>18</v>
      </c>
      <c r="D13" s="7" t="s">
        <v>40</v>
      </c>
      <c r="E13" s="14"/>
      <c r="F13" s="25" t="s">
        <v>42</v>
      </c>
      <c r="G13" s="16" t="s">
        <v>104</v>
      </c>
      <c r="H13" s="6"/>
      <c r="I13" s="35"/>
      <c r="J13" s="6" t="s">
        <v>63</v>
      </c>
      <c r="K13" s="1"/>
      <c r="L13" s="7" t="s">
        <v>27</v>
      </c>
      <c r="M13" s="6" t="s">
        <v>88</v>
      </c>
    </row>
    <row r="14" spans="2:19">
      <c r="B14" s="1"/>
      <c r="C14" s="24" t="s">
        <v>41</v>
      </c>
      <c r="D14">
        <v>0</v>
      </c>
      <c r="E14" s="1"/>
      <c r="F14" s="17" t="s">
        <v>0</v>
      </c>
      <c r="G14" s="6" t="s">
        <v>3</v>
      </c>
      <c r="H14" s="6" t="s">
        <v>30</v>
      </c>
      <c r="I14" s="35"/>
      <c r="J14" s="6" t="s">
        <v>3</v>
      </c>
      <c r="K14" s="6" t="s">
        <v>4</v>
      </c>
      <c r="L14" s="1"/>
      <c r="M14" s="17">
        <v>1</v>
      </c>
      <c r="O14" s="28" t="s">
        <v>66</v>
      </c>
      <c r="P14" s="29"/>
      <c r="Q14" s="12"/>
      <c r="R14" s="28" t="s">
        <v>67</v>
      </c>
      <c r="S14" s="29"/>
    </row>
    <row r="15" spans="2:19">
      <c r="B15" s="1"/>
      <c r="C15" s="5">
        <v>1</v>
      </c>
      <c r="D15" s="1">
        <v>22.5</v>
      </c>
      <c r="E15" s="1"/>
      <c r="F15" s="2" t="s">
        <v>2</v>
      </c>
      <c r="G15" s="2">
        <v>11.91</v>
      </c>
      <c r="H15" s="4"/>
      <c r="I15" s="36"/>
      <c r="J15" s="2">
        <v>0.124</v>
      </c>
      <c r="K15" s="4"/>
      <c r="L15" s="2">
        <f>G15+H15-J15-K15</f>
        <v>11.786</v>
      </c>
      <c r="M15" s="26">
        <f>Normalize!N15*L15</f>
        <v>12.327169687839959</v>
      </c>
      <c r="O15" s="30" t="s">
        <v>39</v>
      </c>
      <c r="P15" s="31"/>
      <c r="Q15" s="12"/>
      <c r="R15" s="30" t="s">
        <v>39</v>
      </c>
      <c r="S15" s="31"/>
    </row>
    <row r="16" spans="2:19">
      <c r="B16" s="1"/>
      <c r="C16" s="5">
        <v>2</v>
      </c>
      <c r="D16" s="1">
        <v>28</v>
      </c>
      <c r="E16" s="1"/>
      <c r="F16" s="2" t="s">
        <v>2</v>
      </c>
      <c r="G16" s="2">
        <v>7.65</v>
      </c>
      <c r="H16" s="4"/>
      <c r="I16" s="36"/>
      <c r="J16" s="2">
        <v>5.2999999999999999E-2</v>
      </c>
      <c r="K16" s="4"/>
      <c r="L16" s="2">
        <f>G16+H16-J16-K16</f>
        <v>7.5970000000000004</v>
      </c>
      <c r="M16" s="26">
        <f>Normalize!N16*L16</f>
        <v>11.170259415020061</v>
      </c>
      <c r="O16" s="20" t="s">
        <v>31</v>
      </c>
      <c r="P16" s="21">
        <v>5630.6103499999999</v>
      </c>
      <c r="R16" s="20" t="s">
        <v>31</v>
      </c>
      <c r="S16" s="21">
        <v>3.5539800000000001</v>
      </c>
    </row>
    <row r="17" spans="2:19">
      <c r="B17" s="1"/>
      <c r="C17" s="5">
        <v>3</v>
      </c>
      <c r="D17" s="1">
        <v>32</v>
      </c>
      <c r="E17" s="1"/>
      <c r="F17" s="2" t="s">
        <v>2</v>
      </c>
      <c r="G17" s="2">
        <v>9.17</v>
      </c>
      <c r="H17" s="4"/>
      <c r="I17" s="36"/>
      <c r="J17" s="2">
        <v>1.0999999999999999E-2</v>
      </c>
      <c r="K17" s="4"/>
      <c r="L17" s="2">
        <f>G17+H17-J17-K17</f>
        <v>9.1590000000000007</v>
      </c>
      <c r="M17" s="26">
        <f>Normalize!N17*L17</f>
        <v>10.429468378231823</v>
      </c>
      <c r="O17" s="20" t="s">
        <v>32</v>
      </c>
      <c r="P17" s="21">
        <v>4565.8354499999996</v>
      </c>
      <c r="R17" s="20" t="s">
        <v>32</v>
      </c>
      <c r="S17" s="21">
        <v>2.25895</v>
      </c>
    </row>
    <row r="18" spans="2:19">
      <c r="B18" s="1"/>
      <c r="C18" s="5">
        <v>4</v>
      </c>
      <c r="D18" s="1">
        <v>38</v>
      </c>
      <c r="E18" s="1"/>
      <c r="F18" s="32" t="s">
        <v>77</v>
      </c>
      <c r="G18" s="33" t="s">
        <v>78</v>
      </c>
      <c r="H18" s="4"/>
      <c r="I18" s="36"/>
      <c r="J18" s="33" t="s">
        <v>78</v>
      </c>
      <c r="K18" s="4"/>
      <c r="L18" s="33" t="s">
        <v>78</v>
      </c>
      <c r="M18" s="33" t="str">
        <f>Normalize!N18</f>
        <v>---</v>
      </c>
      <c r="O18" s="20" t="s">
        <v>33</v>
      </c>
      <c r="P18" s="21">
        <v>4304.6235399999996</v>
      </c>
      <c r="R18" s="20" t="s">
        <v>33</v>
      </c>
      <c r="S18" s="21">
        <v>3.7147000000000001</v>
      </c>
    </row>
    <row r="19" spans="2:19">
      <c r="B19" s="1"/>
      <c r="C19" s="5">
        <v>5</v>
      </c>
      <c r="D19" s="1">
        <v>44</v>
      </c>
      <c r="E19" s="1"/>
      <c r="F19" s="3" t="s">
        <v>1</v>
      </c>
      <c r="G19" s="4"/>
      <c r="H19" s="3">
        <f>P16</f>
        <v>5630.6103499999999</v>
      </c>
      <c r="I19" s="36"/>
      <c r="J19" s="4"/>
      <c r="K19" s="3">
        <f>S16</f>
        <v>3.5539800000000001</v>
      </c>
      <c r="L19" s="3">
        <f t="shared" ref="L19:L26" si="0">G19+H19-J19-K19</f>
        <v>5627.0563700000002</v>
      </c>
      <c r="M19" s="26">
        <f>Normalize!N19*L19</f>
        <v>7.6296496130805007</v>
      </c>
      <c r="O19" s="20" t="s">
        <v>34</v>
      </c>
      <c r="P19" s="21">
        <v>3677.96729</v>
      </c>
      <c r="R19" s="20" t="s">
        <v>34</v>
      </c>
      <c r="S19" s="21">
        <v>10.291969999999999</v>
      </c>
    </row>
    <row r="20" spans="2:19">
      <c r="B20" s="1"/>
      <c r="C20" s="5">
        <v>6</v>
      </c>
      <c r="D20" s="1">
        <v>50</v>
      </c>
      <c r="E20" s="1"/>
      <c r="F20" s="3" t="s">
        <v>1</v>
      </c>
      <c r="G20" s="4"/>
      <c r="H20" s="3">
        <f>P17</f>
        <v>4565.8354499999996</v>
      </c>
      <c r="I20" s="36"/>
      <c r="J20" s="4"/>
      <c r="K20" s="3">
        <f>S17</f>
        <v>2.25895</v>
      </c>
      <c r="L20" s="3">
        <f t="shared" si="0"/>
        <v>4563.5764999999992</v>
      </c>
      <c r="M20" s="26">
        <f>Normalize!N20*L20</f>
        <v>6.7931828156620551</v>
      </c>
      <c r="O20" s="20" t="s">
        <v>35</v>
      </c>
      <c r="P20" s="21">
        <v>793.54431</v>
      </c>
      <c r="R20" s="20" t="s">
        <v>35</v>
      </c>
      <c r="S20" s="21">
        <v>2.6678999999999999</v>
      </c>
    </row>
    <row r="21" spans="2:19">
      <c r="B21" s="1"/>
      <c r="C21" s="5">
        <v>7</v>
      </c>
      <c r="D21" s="1">
        <v>57</v>
      </c>
      <c r="E21" s="1"/>
      <c r="F21" s="2" t="s">
        <v>2</v>
      </c>
      <c r="G21" s="2">
        <v>10.25</v>
      </c>
      <c r="H21" s="4"/>
      <c r="I21" s="36"/>
      <c r="J21" s="2">
        <v>0.02</v>
      </c>
      <c r="K21" s="4"/>
      <c r="L21" s="2">
        <f t="shared" si="0"/>
        <v>10.23</v>
      </c>
      <c r="M21" s="26">
        <f>Normalize!N21*L21</f>
        <v>8.5836874954790261</v>
      </c>
      <c r="O21" s="20" t="s">
        <v>36</v>
      </c>
      <c r="P21" s="21">
        <v>1332.10205</v>
      </c>
      <c r="R21" s="20" t="s">
        <v>36</v>
      </c>
      <c r="S21" s="21">
        <v>2.7578</v>
      </c>
    </row>
    <row r="22" spans="2:19">
      <c r="B22" s="1"/>
      <c r="C22" s="5">
        <v>8</v>
      </c>
      <c r="D22" s="1">
        <v>64</v>
      </c>
      <c r="E22" s="1"/>
      <c r="F22" s="3" t="s">
        <v>1</v>
      </c>
      <c r="G22" s="4"/>
      <c r="H22" s="3">
        <f>P18</f>
        <v>4304.6235399999996</v>
      </c>
      <c r="I22" s="36"/>
      <c r="J22" s="4"/>
      <c r="K22" s="3">
        <f>S18</f>
        <v>3.7147000000000001</v>
      </c>
      <c r="L22" s="3">
        <f t="shared" si="0"/>
        <v>4300.9088399999991</v>
      </c>
      <c r="M22" s="26">
        <f>Normalize!N22*L22</f>
        <v>6.446797739291628</v>
      </c>
      <c r="O22" s="20" t="s">
        <v>37</v>
      </c>
      <c r="P22" s="21">
        <v>1240.9502</v>
      </c>
      <c r="R22" s="20" t="s">
        <v>37</v>
      </c>
      <c r="S22" s="21">
        <v>4.8051199999999996</v>
      </c>
    </row>
    <row r="23" spans="2:19" ht="14.7" thickBot="1">
      <c r="B23" s="1"/>
      <c r="C23" s="5">
        <v>9</v>
      </c>
      <c r="D23" s="1">
        <v>72</v>
      </c>
      <c r="E23" s="1"/>
      <c r="F23" s="2" t="s">
        <v>2</v>
      </c>
      <c r="G23" s="2">
        <v>8.0399999999999991</v>
      </c>
      <c r="H23" s="4"/>
      <c r="I23" s="36"/>
      <c r="J23" s="2">
        <v>8.9999999999999993E-3</v>
      </c>
      <c r="K23" s="4"/>
      <c r="L23" s="2">
        <f t="shared" si="0"/>
        <v>8.0309999999999988</v>
      </c>
      <c r="M23" s="26">
        <f>Normalize!N23*L23</f>
        <v>7.2865095987304063</v>
      </c>
      <c r="O23" s="22" t="s">
        <v>38</v>
      </c>
      <c r="P23" s="23">
        <v>1805.8501000000001</v>
      </c>
      <c r="R23" s="22" t="s">
        <v>38</v>
      </c>
      <c r="S23" s="23">
        <v>5.1014600000000003</v>
      </c>
    </row>
    <row r="24" spans="2:19">
      <c r="B24" s="1"/>
      <c r="C24" s="5">
        <v>10</v>
      </c>
      <c r="D24" s="1">
        <v>81</v>
      </c>
      <c r="E24" s="1"/>
      <c r="F24" s="3" t="s">
        <v>1</v>
      </c>
      <c r="G24" s="4"/>
      <c r="H24" s="3">
        <f>P19</f>
        <v>3677.96729</v>
      </c>
      <c r="I24" s="36"/>
      <c r="J24" s="4"/>
      <c r="K24" s="3">
        <f>S19</f>
        <v>10.291969999999999</v>
      </c>
      <c r="L24" s="3">
        <f t="shared" si="0"/>
        <v>3667.6753199999998</v>
      </c>
      <c r="M24" s="26">
        <f>Normalize!N24*L24</f>
        <v>5.4496594297828063</v>
      </c>
    </row>
    <row r="25" spans="2:19">
      <c r="B25" s="1"/>
      <c r="C25" s="5">
        <v>11</v>
      </c>
      <c r="D25" s="1">
        <v>90</v>
      </c>
      <c r="E25" s="1"/>
      <c r="F25" s="2" t="s">
        <v>2</v>
      </c>
      <c r="G25" s="2">
        <v>5.85</v>
      </c>
      <c r="H25" s="4"/>
      <c r="I25" s="36"/>
      <c r="J25" s="2">
        <v>7.0000000000000001E-3</v>
      </c>
      <c r="K25" s="4"/>
      <c r="L25" s="2">
        <f t="shared" si="0"/>
        <v>5.843</v>
      </c>
      <c r="M25" s="26">
        <f>Normalize!N25*L25</f>
        <v>5.8981567026603265</v>
      </c>
    </row>
    <row r="26" spans="2:19">
      <c r="B26" s="1"/>
      <c r="C26" s="5">
        <v>12</v>
      </c>
      <c r="D26" s="1">
        <v>99</v>
      </c>
      <c r="E26" s="1"/>
      <c r="F26" s="3" t="s">
        <v>1</v>
      </c>
      <c r="G26" s="4"/>
      <c r="H26" s="3">
        <f>P20</f>
        <v>793.54431</v>
      </c>
      <c r="I26" s="36"/>
      <c r="J26" s="4"/>
      <c r="K26" s="3">
        <f>S20</f>
        <v>2.6678999999999999</v>
      </c>
      <c r="L26" s="3">
        <f t="shared" si="0"/>
        <v>790.87640999999996</v>
      </c>
      <c r="M26" s="26">
        <f>Normalize!N26*L26</f>
        <v>5.0559359665800487</v>
      </c>
    </row>
    <row r="27" spans="2:19">
      <c r="B27" s="1"/>
      <c r="C27" s="5">
        <v>13</v>
      </c>
      <c r="D27" s="1">
        <v>108</v>
      </c>
      <c r="E27" s="1"/>
      <c r="F27" s="32" t="s">
        <v>77</v>
      </c>
      <c r="G27" s="33" t="s">
        <v>78</v>
      </c>
      <c r="H27" s="4"/>
      <c r="I27" s="36"/>
      <c r="J27" s="33" t="s">
        <v>78</v>
      </c>
      <c r="K27" s="4"/>
      <c r="L27" s="33" t="s">
        <v>78</v>
      </c>
      <c r="M27" s="33" t="str">
        <f>Normalize!N27</f>
        <v>---</v>
      </c>
    </row>
    <row r="28" spans="2:19">
      <c r="B28" s="1"/>
      <c r="C28" s="5">
        <v>14</v>
      </c>
      <c r="D28" s="1">
        <v>117</v>
      </c>
      <c r="E28" s="1"/>
      <c r="F28" s="3" t="s">
        <v>1</v>
      </c>
      <c r="G28" s="4"/>
      <c r="H28" s="3">
        <f>P21</f>
        <v>1332.10205</v>
      </c>
      <c r="I28" s="36"/>
      <c r="J28" s="4"/>
      <c r="K28" s="3">
        <f>S21</f>
        <v>2.7578</v>
      </c>
      <c r="L28" s="3">
        <f>G28+H28-J28-K28</f>
        <v>1329.3442499999999</v>
      </c>
      <c r="M28" s="26">
        <f>Normalize!N28*L28</f>
        <v>3.9875042073735916</v>
      </c>
    </row>
    <row r="29" spans="2:19">
      <c r="B29" s="1"/>
      <c r="C29" s="5">
        <v>15</v>
      </c>
      <c r="D29" s="1">
        <v>126</v>
      </c>
      <c r="E29" s="1"/>
      <c r="F29" s="2" t="s">
        <v>2</v>
      </c>
      <c r="G29" s="2">
        <v>5.2</v>
      </c>
      <c r="H29" s="4"/>
      <c r="I29" s="36"/>
      <c r="J29" s="2">
        <v>1.2999999999999999E-2</v>
      </c>
      <c r="K29" s="4"/>
      <c r="L29" s="2">
        <f>G29+H29-J29-K29</f>
        <v>5.1870000000000003</v>
      </c>
      <c r="M29" s="26">
        <f>Normalize!N29*L29</f>
        <v>4.0934936260258823</v>
      </c>
    </row>
    <row r="30" spans="2:19">
      <c r="B30" s="1"/>
      <c r="C30" s="5">
        <v>16</v>
      </c>
      <c r="D30" s="1">
        <v>134</v>
      </c>
      <c r="E30" s="1"/>
      <c r="F30" s="3" t="s">
        <v>1</v>
      </c>
      <c r="G30" s="4"/>
      <c r="H30" s="3">
        <f>P22</f>
        <v>1240.9502</v>
      </c>
      <c r="I30" s="36"/>
      <c r="J30" s="4"/>
      <c r="K30" s="3">
        <f>S22</f>
        <v>4.8051199999999996</v>
      </c>
      <c r="L30" s="3">
        <f>G30+H30-J30-K30</f>
        <v>1236.14508</v>
      </c>
      <c r="M30" s="26">
        <f>Normalize!N30*L30</f>
        <v>3.6381499541031772</v>
      </c>
    </row>
    <row r="31" spans="2:19">
      <c r="B31" s="1"/>
      <c r="C31" s="5">
        <v>17</v>
      </c>
      <c r="D31" s="1">
        <v>141</v>
      </c>
      <c r="E31" s="1"/>
      <c r="F31" s="2" t="s">
        <v>2</v>
      </c>
      <c r="G31" s="2">
        <v>2.4500000000000002</v>
      </c>
      <c r="H31" s="4"/>
      <c r="I31" s="36"/>
      <c r="J31" s="2">
        <v>6.0000000000000001E-3</v>
      </c>
      <c r="K31" s="4"/>
      <c r="L31" s="2">
        <f>G31+H31-J31-K31</f>
        <v>2.4440000000000004</v>
      </c>
      <c r="M31" s="26">
        <f>Normalize!N31*L31</f>
        <v>3.5122914230693807</v>
      </c>
    </row>
    <row r="32" spans="2:19">
      <c r="B32" s="1"/>
      <c r="C32" s="5">
        <v>18</v>
      </c>
      <c r="D32" s="1">
        <v>147</v>
      </c>
      <c r="E32" s="1"/>
      <c r="F32" s="3" t="s">
        <v>1</v>
      </c>
      <c r="G32" s="4"/>
      <c r="H32" s="3">
        <f>P23</f>
        <v>1805.8501000000001</v>
      </c>
      <c r="I32" s="36"/>
      <c r="J32" s="4"/>
      <c r="K32" s="3">
        <f>S23</f>
        <v>5.1014600000000003</v>
      </c>
      <c r="L32" s="3">
        <f>G32+H32-J32-K32</f>
        <v>1800.74864</v>
      </c>
      <c r="M32" s="26">
        <f>Normalize!N32*L32</f>
        <v>3.0398250456830462</v>
      </c>
    </row>
  </sheetData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O79"/>
  <sheetViews>
    <sheetView tabSelected="1" zoomScaleNormal="100" workbookViewId="0">
      <selection activeCell="K8" sqref="K8"/>
    </sheetView>
  </sheetViews>
  <sheetFormatPr defaultRowHeight="14.35"/>
  <cols>
    <col min="3" max="3" width="12.29296875" customWidth="1"/>
    <col min="4" max="4" width="8.87890625" customWidth="1"/>
    <col min="5" max="5" width="12.29296875" customWidth="1"/>
    <col min="6" max="6" width="12.8203125" customWidth="1"/>
    <col min="7" max="7" width="9.703125" customWidth="1"/>
    <col min="8" max="8" width="12.29296875" bestFit="1" customWidth="1"/>
    <col min="9" max="9" width="12.29296875" customWidth="1"/>
    <col min="10" max="10" width="16.41015625" customWidth="1"/>
    <col min="11" max="11" width="8.9375" customWidth="1"/>
    <col min="12" max="12" width="3.1171875" customWidth="1"/>
    <col min="13" max="13" width="12.87890625" customWidth="1"/>
  </cols>
  <sheetData>
    <row r="5" spans="2:10">
      <c r="G5" s="41" t="s">
        <v>87</v>
      </c>
    </row>
    <row r="6" spans="2:10" ht="17.350000000000001">
      <c r="B6" s="1" t="s">
        <v>86</v>
      </c>
      <c r="C6" s="1" t="s">
        <v>40</v>
      </c>
      <c r="D6" s="1" t="s">
        <v>89</v>
      </c>
      <c r="E6" s="1" t="s">
        <v>92</v>
      </c>
      <c r="F6" s="1" t="s">
        <v>93</v>
      </c>
      <c r="G6" s="5" t="s">
        <v>90</v>
      </c>
      <c r="H6" s="5" t="s">
        <v>91</v>
      </c>
      <c r="I6" s="57"/>
      <c r="J6" s="57"/>
    </row>
    <row r="7" spans="2:10">
      <c r="B7" s="5">
        <f>'Measure Unknown '!C15</f>
        <v>1</v>
      </c>
      <c r="C7" s="5">
        <f>'Measure Unknown '!D15</f>
        <v>22.5</v>
      </c>
      <c r="D7" s="41">
        <f t="shared" ref="D7:D22" si="0">4*PI()*Refin*SIN(RADIANS(C7/2))/Lamcm</f>
        <v>47599.967815182856</v>
      </c>
      <c r="E7" s="41">
        <f>D7*D7/10000000000</f>
        <v>0.22657569360064436</v>
      </c>
      <c r="F7" s="41">
        <f>(D7/10000000)^2/0.0001</f>
        <v>0.22657569360064439</v>
      </c>
      <c r="G7" s="41">
        <f>'Measure Unknown '!M15</f>
        <v>12.327169687839959</v>
      </c>
      <c r="H7" s="41">
        <f>LOG(G7)</f>
        <v>1.0908633742394491</v>
      </c>
      <c r="I7" s="57"/>
      <c r="J7" s="57"/>
    </row>
    <row r="8" spans="2:10">
      <c r="B8" s="5">
        <f>'Measure Unknown '!C16</f>
        <v>2</v>
      </c>
      <c r="C8" s="5">
        <f>'Measure Unknown '!D16</f>
        <v>28</v>
      </c>
      <c r="D8" s="41">
        <f t="shared" si="0"/>
        <v>59026.37468290313</v>
      </c>
      <c r="E8" s="41">
        <f t="shared" ref="E8:E22" si="1">D8*D8/10000000000</f>
        <v>0.34841129082064676</v>
      </c>
      <c r="F8" s="41">
        <f t="shared" ref="F8:F22" si="2">(D8/10000000)^2/0.0001</f>
        <v>0.34841129082064676</v>
      </c>
      <c r="G8" s="5">
        <f>'Measure Unknown '!M16</f>
        <v>11.170259415020061</v>
      </c>
      <c r="H8" s="41">
        <f t="shared" ref="H8:H22" si="3">LOG(G8)</f>
        <v>1.0480632591678476</v>
      </c>
      <c r="I8" s="57"/>
      <c r="J8" s="57"/>
    </row>
    <row r="9" spans="2:10">
      <c r="B9" s="5">
        <f>'Measure Unknown '!C17</f>
        <v>3</v>
      </c>
      <c r="C9" s="5">
        <f>'Measure Unknown '!D17</f>
        <v>32</v>
      </c>
      <c r="D9" s="41">
        <f t="shared" si="0"/>
        <v>67252.58910827263</v>
      </c>
      <c r="E9" s="41">
        <f t="shared" si="1"/>
        <v>0.45229107417661507</v>
      </c>
      <c r="F9" s="41">
        <f t="shared" si="2"/>
        <v>0.45229107417661507</v>
      </c>
      <c r="G9" s="5">
        <f>'Measure Unknown '!M17</f>
        <v>10.429468378231823</v>
      </c>
      <c r="H9" s="41">
        <f t="shared" si="3"/>
        <v>1.0182621716782454</v>
      </c>
      <c r="I9" s="57"/>
      <c r="J9" s="57"/>
    </row>
    <row r="10" spans="2:10">
      <c r="B10" s="5">
        <f>'Measure Unknown '!C19</f>
        <v>5</v>
      </c>
      <c r="C10" s="5">
        <f>'Measure Unknown '!D19</f>
        <v>44</v>
      </c>
      <c r="D10" s="41">
        <f t="shared" si="0"/>
        <v>91400.032588385293</v>
      </c>
      <c r="E10" s="41">
        <f t="shared" si="1"/>
        <v>0.83539659571578928</v>
      </c>
      <c r="F10" s="41">
        <f t="shared" si="2"/>
        <v>0.83539659571578939</v>
      </c>
      <c r="G10" s="5">
        <f>'Measure Unknown '!M19</f>
        <v>7.6296496130805007</v>
      </c>
      <c r="H10" s="41">
        <f t="shared" si="3"/>
        <v>0.8825045937085112</v>
      </c>
      <c r="I10" s="57"/>
      <c r="J10" s="57"/>
    </row>
    <row r="11" spans="2:10">
      <c r="B11" s="5">
        <f>'Measure Unknown '!C20</f>
        <v>6</v>
      </c>
      <c r="C11" s="5">
        <f>'Measure Unknown '!D20</f>
        <v>50</v>
      </c>
      <c r="D11" s="41">
        <f t="shared" si="0"/>
        <v>103114.3700470327</v>
      </c>
      <c r="E11" s="41">
        <f t="shared" si="1"/>
        <v>1.0632573310196394</v>
      </c>
      <c r="F11" s="41">
        <f t="shared" si="2"/>
        <v>1.0632573310196394</v>
      </c>
      <c r="G11" s="5">
        <f>'Measure Unknown '!M20</f>
        <v>6.7931828156620551</v>
      </c>
      <c r="H11" s="41">
        <f t="shared" si="3"/>
        <v>0.83207330232293519</v>
      </c>
      <c r="I11" s="57"/>
      <c r="J11" s="57"/>
    </row>
    <row r="12" spans="2:10">
      <c r="B12" s="5">
        <f>'Measure Unknown '!C21</f>
        <v>7</v>
      </c>
      <c r="C12" s="5">
        <f>'Measure Unknown '!D21</f>
        <v>57</v>
      </c>
      <c r="D12" s="41">
        <f t="shared" si="0"/>
        <v>116421.67277376392</v>
      </c>
      <c r="E12" s="41">
        <f t="shared" si="1"/>
        <v>1.3554005891441363</v>
      </c>
      <c r="F12" s="41">
        <f t="shared" si="2"/>
        <v>1.3554005891441361</v>
      </c>
      <c r="G12" s="5">
        <f>'Measure Unknown '!M21</f>
        <v>8.5836874954790261</v>
      </c>
      <c r="H12" s="41">
        <f t="shared" si="3"/>
        <v>0.93367389797705291</v>
      </c>
      <c r="I12" s="57"/>
      <c r="J12" s="57"/>
    </row>
    <row r="13" spans="2:10">
      <c r="B13" s="5">
        <f>'Measure Unknown '!C22</f>
        <v>8</v>
      </c>
      <c r="C13" s="5">
        <f>'Measure Unknown '!D22</f>
        <v>64</v>
      </c>
      <c r="D13" s="41">
        <f t="shared" si="0"/>
        <v>129294.67572492211</v>
      </c>
      <c r="E13" s="41">
        <f t="shared" si="1"/>
        <v>1.6717113170812763</v>
      </c>
      <c r="F13" s="41">
        <f t="shared" si="2"/>
        <v>1.6717113170812763</v>
      </c>
      <c r="G13" s="5">
        <f>'Measure Unknown '!M22</f>
        <v>6.446797739291628</v>
      </c>
      <c r="H13" s="41">
        <f t="shared" si="3"/>
        <v>0.8093440449454804</v>
      </c>
      <c r="I13" s="57"/>
      <c r="J13" s="57"/>
    </row>
    <row r="14" spans="2:10">
      <c r="B14" s="5">
        <f>'Measure Unknown '!C23</f>
        <v>9</v>
      </c>
      <c r="C14" s="5">
        <f>'Measure Unknown '!D23</f>
        <v>72</v>
      </c>
      <c r="D14" s="41">
        <f t="shared" si="0"/>
        <v>143413.36260159462</v>
      </c>
      <c r="E14" s="41">
        <f t="shared" si="1"/>
        <v>2.0567392572696459</v>
      </c>
      <c r="F14" s="41">
        <f t="shared" si="2"/>
        <v>2.0567392572696455</v>
      </c>
      <c r="G14" s="5">
        <f>'Measure Unknown '!M23</f>
        <v>7.2865095987304063</v>
      </c>
      <c r="H14" s="41">
        <f t="shared" si="3"/>
        <v>0.86251954134692133</v>
      </c>
      <c r="I14" s="57"/>
      <c r="J14" s="57"/>
    </row>
    <row r="15" spans="2:10">
      <c r="B15" s="5">
        <f>'Measure Unknown '!C24</f>
        <v>10</v>
      </c>
      <c r="C15" s="5">
        <f>'Measure Unknown '!D24</f>
        <v>81</v>
      </c>
      <c r="D15" s="41">
        <f t="shared" si="0"/>
        <v>158458.4303243623</v>
      </c>
      <c r="E15" s="41">
        <f t="shared" si="1"/>
        <v>2.5109074140860783</v>
      </c>
      <c r="F15" s="41">
        <f t="shared" si="2"/>
        <v>2.5109074140860774</v>
      </c>
      <c r="G15" s="5">
        <f>'Measure Unknown '!M24</f>
        <v>5.4496594297828063</v>
      </c>
      <c r="H15" s="41">
        <f t="shared" si="3"/>
        <v>0.73636936238901041</v>
      </c>
      <c r="I15" s="57"/>
      <c r="J15" s="57"/>
    </row>
    <row r="16" spans="2:10">
      <c r="B16" s="5">
        <f>'Measure Unknown '!C25</f>
        <v>11</v>
      </c>
      <c r="C16" s="5">
        <f>'Measure Unknown '!D25</f>
        <v>90</v>
      </c>
      <c r="D16" s="41">
        <f t="shared" si="0"/>
        <v>172526.54913140516</v>
      </c>
      <c r="E16" s="41">
        <f t="shared" si="1"/>
        <v>2.9765410155191159</v>
      </c>
      <c r="F16" s="41">
        <f t="shared" si="2"/>
        <v>2.9765410155191163</v>
      </c>
      <c r="G16" s="5">
        <f>'Measure Unknown '!M25</f>
        <v>5.8981567026603265</v>
      </c>
      <c r="H16" s="41">
        <f t="shared" si="3"/>
        <v>0.77071630673673974</v>
      </c>
      <c r="I16" s="57"/>
      <c r="J16" s="57"/>
    </row>
    <row r="17" spans="2:15">
      <c r="B17" s="5">
        <f>'Measure Unknown '!C26</f>
        <v>12</v>
      </c>
      <c r="C17" s="5">
        <f>'Measure Unknown '!D26</f>
        <v>99</v>
      </c>
      <c r="D17" s="41">
        <f t="shared" si="0"/>
        <v>185530.98439215362</v>
      </c>
      <c r="E17" s="41">
        <f t="shared" si="1"/>
        <v>3.4421746169521552</v>
      </c>
      <c r="F17" s="41">
        <f t="shared" si="2"/>
        <v>3.4421746169521548</v>
      </c>
      <c r="G17" s="5">
        <f>'Measure Unknown '!M26</f>
        <v>5.0559359665800487</v>
      </c>
      <c r="H17" s="41">
        <f t="shared" si="3"/>
        <v>0.70380156497032464</v>
      </c>
      <c r="I17" s="57"/>
      <c r="J17" s="57"/>
    </row>
    <row r="18" spans="2:15">
      <c r="B18" s="5">
        <f>'Measure Unknown '!C28</f>
        <v>14</v>
      </c>
      <c r="C18" s="5">
        <f>'Measure Unknown '!D28</f>
        <v>117</v>
      </c>
      <c r="D18" s="41">
        <f t="shared" si="0"/>
        <v>208035.14988217491</v>
      </c>
      <c r="E18" s="41">
        <f t="shared" si="1"/>
        <v>4.3278623586498979</v>
      </c>
      <c r="F18" s="41">
        <f t="shared" si="2"/>
        <v>4.3278623586498988</v>
      </c>
      <c r="G18" s="5">
        <f>'Measure Unknown '!M28</f>
        <v>3.9875042073735916</v>
      </c>
      <c r="H18" s="41">
        <f t="shared" si="3"/>
        <v>0.60070115430678495</v>
      </c>
      <c r="I18" s="57"/>
      <c r="J18" s="57"/>
    </row>
    <row r="19" spans="2:15">
      <c r="B19" s="5">
        <f>'Measure Unknown '!C29</f>
        <v>15</v>
      </c>
      <c r="C19" s="5">
        <f>'Measure Unknown '!D29</f>
        <v>126</v>
      </c>
      <c r="D19" s="41">
        <f t="shared" si="0"/>
        <v>217396.13444780736</v>
      </c>
      <c r="E19" s="41">
        <f t="shared" si="1"/>
        <v>4.7261079272849136</v>
      </c>
      <c r="F19" s="41">
        <f t="shared" si="2"/>
        <v>4.7261079272849127</v>
      </c>
      <c r="G19" s="5">
        <f>'Measure Unknown '!M29</f>
        <v>4.0934936260258823</v>
      </c>
      <c r="H19" s="41">
        <f t="shared" si="3"/>
        <v>0.6120941184866765</v>
      </c>
      <c r="I19" s="57"/>
      <c r="J19" s="57"/>
      <c r="N19" s="40"/>
    </row>
    <row r="20" spans="2:15">
      <c r="B20" s="5">
        <f>'Measure Unknown '!C30</f>
        <v>16</v>
      </c>
      <c r="C20" s="5">
        <f>'Measure Unknown '!D30</f>
        <v>134</v>
      </c>
      <c r="D20" s="41">
        <f t="shared" si="0"/>
        <v>224593.41368268116</v>
      </c>
      <c r="E20" s="41">
        <f t="shared" si="1"/>
        <v>5.0442201469639958</v>
      </c>
      <c r="F20" s="41">
        <f t="shared" si="2"/>
        <v>5.0442201469639949</v>
      </c>
      <c r="G20" s="5">
        <f>'Measure Unknown '!M30</f>
        <v>3.6381499541031772</v>
      </c>
      <c r="H20" s="41">
        <f t="shared" si="3"/>
        <v>0.56088059546891966</v>
      </c>
      <c r="I20" s="57"/>
      <c r="J20" s="57"/>
    </row>
    <row r="21" spans="2:15">
      <c r="B21" s="5">
        <f>'Measure Unknown '!C31</f>
        <v>17</v>
      </c>
      <c r="C21" s="5">
        <f>'Measure Unknown '!D31</f>
        <v>141</v>
      </c>
      <c r="D21" s="41">
        <f t="shared" si="0"/>
        <v>229994.51830078103</v>
      </c>
      <c r="E21" s="41">
        <f t="shared" si="1"/>
        <v>5.2897478448408304</v>
      </c>
      <c r="F21" s="41">
        <f t="shared" si="2"/>
        <v>5.2897478448408304</v>
      </c>
      <c r="G21" s="5">
        <f>'Measure Unknown '!M31</f>
        <v>3.5122914230693807</v>
      </c>
      <c r="H21" s="41">
        <f t="shared" si="3"/>
        <v>0.54559054316235467</v>
      </c>
      <c r="I21" s="57"/>
      <c r="J21" s="57"/>
    </row>
    <row r="22" spans="2:15">
      <c r="B22" s="5">
        <f>'Measure Unknown '!C32</f>
        <v>18</v>
      </c>
      <c r="C22" s="5">
        <f>'Measure Unknown '!D32</f>
        <v>147</v>
      </c>
      <c r="D22" s="41">
        <f t="shared" si="0"/>
        <v>233941.83806060397</v>
      </c>
      <c r="E22" s="41">
        <f t="shared" si="1"/>
        <v>5.4728783595173853</v>
      </c>
      <c r="F22" s="41">
        <f t="shared" si="2"/>
        <v>5.4728783595173853</v>
      </c>
      <c r="G22" s="5">
        <f>'Measure Unknown '!M32</f>
        <v>3.0398250456830462</v>
      </c>
      <c r="H22" s="41">
        <f t="shared" si="3"/>
        <v>0.48284858891108129</v>
      </c>
      <c r="I22" s="57"/>
      <c r="J22" s="57"/>
      <c r="K22" s="40"/>
      <c r="L22" s="40"/>
    </row>
    <row r="23" spans="2:15">
      <c r="M23" s="3" t="s">
        <v>94</v>
      </c>
      <c r="N23" s="3"/>
    </row>
    <row r="24" spans="2:15">
      <c r="M24" s="3" t="s">
        <v>95</v>
      </c>
      <c r="N24" s="43">
        <v>0.125</v>
      </c>
    </row>
    <row r="25" spans="2:15" ht="16.350000000000001">
      <c r="M25" s="42" t="s">
        <v>96</v>
      </c>
      <c r="N25" s="44">
        <f>SQRT(30000*ABS(Guinslope))</f>
        <v>61.237243569579455</v>
      </c>
      <c r="O25" s="42" t="s">
        <v>22</v>
      </c>
    </row>
    <row r="26" spans="2:15">
      <c r="M26" s="42" t="s">
        <v>97</v>
      </c>
      <c r="N26" s="44">
        <f>N25*SQRT(5/3)</f>
        <v>79.05694150420949</v>
      </c>
      <c r="O26" s="42" t="s">
        <v>22</v>
      </c>
    </row>
    <row r="27" spans="2:15" ht="16.350000000000001">
      <c r="M27" s="42" t="s">
        <v>98</v>
      </c>
      <c r="N27" s="42">
        <f>'Measure Unknown '!J7</f>
        <v>92</v>
      </c>
      <c r="O27" s="42" t="s">
        <v>22</v>
      </c>
    </row>
    <row r="28" spans="2:15">
      <c r="G28" s="5" t="s">
        <v>122</v>
      </c>
      <c r="H28" s="5" t="s">
        <v>87</v>
      </c>
      <c r="I28" s="5"/>
      <c r="J28" s="5" t="s">
        <v>125</v>
      </c>
      <c r="K28" s="1"/>
    </row>
    <row r="29" spans="2:15" ht="16.350000000000001">
      <c r="B29" t="s">
        <v>115</v>
      </c>
      <c r="C29" t="s">
        <v>120</v>
      </c>
      <c r="D29" t="s">
        <v>117</v>
      </c>
      <c r="E29" t="s">
        <v>116</v>
      </c>
      <c r="F29" t="s">
        <v>121</v>
      </c>
      <c r="G29" s="1" t="s">
        <v>120</v>
      </c>
      <c r="H29" s="5" t="s">
        <v>90</v>
      </c>
      <c r="I29" s="5" t="s">
        <v>117</v>
      </c>
      <c r="J29" s="5" t="s">
        <v>126</v>
      </c>
      <c r="K29" s="59" t="s">
        <v>123</v>
      </c>
      <c r="L29" s="58"/>
    </row>
    <row r="30" spans="2:15" ht="16.350000000000001">
      <c r="B30">
        <f>10000000*C30</f>
        <v>1</v>
      </c>
      <c r="C30">
        <v>9.9999999999999995E-8</v>
      </c>
      <c r="D30">
        <f t="shared" ref="D30:D61" si="4">C30*Rsphere</f>
        <v>9.7206828601618096E-6</v>
      </c>
      <c r="E30">
        <f>((3/D30^3)*(SIN(D30)-D30*COS(D30)))^2</f>
        <v>1.0000050253104626</v>
      </c>
      <c r="F30">
        <f t="shared" ref="F30:F61" si="5">E30*Izero</f>
        <v>9.922929086738165</v>
      </c>
      <c r="G30" s="1">
        <f>D7/10000000</f>
        <v>4.7599967815182857E-3</v>
      </c>
      <c r="H30" s="41">
        <f>'Measure Unknown '!M15</f>
        <v>12.327169687839959</v>
      </c>
      <c r="I30" s="41">
        <f t="shared" ref="I30:I45" si="6">G30*Rsphere</f>
        <v>0.46270419128530177</v>
      </c>
      <c r="J30" s="41">
        <f t="shared" ref="J30:J45" si="7">Izero*(3/I30^3*(SIN(I30)-I30*COS(I30)))^2</f>
        <v>9.5057063831015043</v>
      </c>
      <c r="K30" s="1">
        <f>(H30-J30)^2</f>
        <v>7.9606551799856415</v>
      </c>
      <c r="M30" s="55" t="s">
        <v>119</v>
      </c>
      <c r="N30" s="55">
        <v>9.9228792211893957</v>
      </c>
    </row>
    <row r="31" spans="2:15" ht="16.350000000000001">
      <c r="B31">
        <f t="shared" ref="B31:B79" si="8">10000000*C31</f>
        <v>10000</v>
      </c>
      <c r="C31" s="56">
        <v>1E-3</v>
      </c>
      <c r="D31">
        <f t="shared" si="4"/>
        <v>9.7206828601618098E-2</v>
      </c>
      <c r="E31">
        <f t="shared" ref="E31:E79" si="9">((3/D31^3)*(SIN(D31)-D31*COS(D31)))^2</f>
        <v>0.99811169641096598</v>
      </c>
      <c r="F31">
        <f t="shared" si="5"/>
        <v>9.9041418127424734</v>
      </c>
      <c r="G31" s="1">
        <f t="shared" ref="G31:G45" si="10">D8/10000000</f>
        <v>5.9026374682903133E-3</v>
      </c>
      <c r="H31" s="41">
        <f>'Measure Unknown '!M16</f>
        <v>11.170259415020061</v>
      </c>
      <c r="I31" s="41">
        <f t="shared" si="6"/>
        <v>0.57377666867758548</v>
      </c>
      <c r="J31" s="41">
        <f t="shared" si="7"/>
        <v>9.2876583526130307</v>
      </c>
      <c r="K31" s="1">
        <f t="shared" ref="K31:K45" si="11">(H31-J31)^2</f>
        <v>3.5441867601760779</v>
      </c>
      <c r="M31" s="55" t="s">
        <v>118</v>
      </c>
      <c r="N31" s="55">
        <v>97.206828601618099</v>
      </c>
    </row>
    <row r="32" spans="2:15">
      <c r="B32">
        <f t="shared" si="8"/>
        <v>15000</v>
      </c>
      <c r="C32" s="56">
        <v>1.5E-3</v>
      </c>
      <c r="D32">
        <f t="shared" si="4"/>
        <v>0.14581024290242714</v>
      </c>
      <c r="E32">
        <f t="shared" si="9"/>
        <v>0.99575561529887768</v>
      </c>
      <c r="F32">
        <f t="shared" si="5"/>
        <v>9.8807627044318949</v>
      </c>
      <c r="G32" s="1">
        <f t="shared" si="10"/>
        <v>6.725258910827263E-3</v>
      </c>
      <c r="H32" s="41">
        <f>'Measure Unknown '!M17</f>
        <v>10.429468378231823</v>
      </c>
      <c r="I32" s="41">
        <f t="shared" si="6"/>
        <v>0.65374109024629057</v>
      </c>
      <c r="J32" s="41">
        <f t="shared" si="7"/>
        <v>9.1051398019472387</v>
      </c>
      <c r="K32" s="1">
        <f t="shared" si="11"/>
        <v>1.7538461779639531</v>
      </c>
    </row>
    <row r="33" spans="2:11">
      <c r="B33">
        <f t="shared" si="8"/>
        <v>20000</v>
      </c>
      <c r="C33" s="56">
        <v>2E-3</v>
      </c>
      <c r="D33">
        <f t="shared" si="4"/>
        <v>0.1944136572032362</v>
      </c>
      <c r="E33">
        <f t="shared" si="9"/>
        <v>0.99246511040845975</v>
      </c>
      <c r="F33">
        <f t="shared" si="5"/>
        <v>9.8481114218275447</v>
      </c>
      <c r="G33" s="1">
        <f t="shared" si="10"/>
        <v>9.1400032588385294E-3</v>
      </c>
      <c r="H33" s="41">
        <f>'Measure Unknown '!M19</f>
        <v>7.6296496130805007</v>
      </c>
      <c r="I33" s="41">
        <f t="shared" si="6"/>
        <v>0.88847073020014777</v>
      </c>
      <c r="J33" s="41">
        <f t="shared" si="7"/>
        <v>8.458263277987724</v>
      </c>
      <c r="K33" s="1">
        <f t="shared" si="11"/>
        <v>0.68660060567098014</v>
      </c>
    </row>
    <row r="34" spans="2:11">
      <c r="B34">
        <f t="shared" si="8"/>
        <v>25000</v>
      </c>
      <c r="C34" s="56">
        <v>2.5000000000000001E-3</v>
      </c>
      <c r="D34">
        <f t="shared" si="4"/>
        <v>0.24301707150404525</v>
      </c>
      <c r="E34">
        <f t="shared" si="9"/>
        <v>0.98824815679828748</v>
      </c>
      <c r="F34">
        <f t="shared" si="5"/>
        <v>9.8062671004724464</v>
      </c>
      <c r="G34" s="1">
        <f t="shared" si="10"/>
        <v>1.031143700470327E-2</v>
      </c>
      <c r="H34" s="41">
        <f>'Measure Unknown '!M20</f>
        <v>6.7931828156620551</v>
      </c>
      <c r="I34" s="41">
        <f t="shared" si="6"/>
        <v>1.0023420895525732</v>
      </c>
      <c r="J34" s="41">
        <f t="shared" si="7"/>
        <v>8.0924546062543676</v>
      </c>
      <c r="K34" s="1">
        <f t="shared" si="11"/>
        <v>1.688107185828954</v>
      </c>
    </row>
    <row r="35" spans="2:11">
      <c r="B35">
        <f t="shared" si="8"/>
        <v>30000</v>
      </c>
      <c r="C35" s="56">
        <v>3.0000000000000001E-3</v>
      </c>
      <c r="D35">
        <f t="shared" si="4"/>
        <v>0.29162048580485428</v>
      </c>
      <c r="E35">
        <f t="shared" si="9"/>
        <v>0.9831149602655993</v>
      </c>
      <c r="F35">
        <f t="shared" si="5"/>
        <v>9.7553310112599529</v>
      </c>
      <c r="G35" s="1">
        <f t="shared" si="10"/>
        <v>1.1642167277376391E-2</v>
      </c>
      <c r="H35" s="41">
        <f>'Measure Unknown '!M21</f>
        <v>8.5836874954790261</v>
      </c>
      <c r="I35" s="41">
        <f t="shared" si="6"/>
        <v>1.1316981590832937</v>
      </c>
      <c r="J35" s="41">
        <f t="shared" si="7"/>
        <v>7.6432425208698778</v>
      </c>
      <c r="K35" s="1">
        <f t="shared" si="11"/>
        <v>0.8844367502676016</v>
      </c>
    </row>
    <row r="36" spans="2:11">
      <c r="B36">
        <f t="shared" si="8"/>
        <v>35000</v>
      </c>
      <c r="C36" s="56">
        <v>3.5000000000000001E-3</v>
      </c>
      <c r="D36">
        <f t="shared" si="4"/>
        <v>0.34022390010566333</v>
      </c>
      <c r="E36">
        <f t="shared" si="9"/>
        <v>0.97707792174182428</v>
      </c>
      <c r="F36">
        <f t="shared" si="5"/>
        <v>9.6954262071348669</v>
      </c>
      <c r="G36" s="1">
        <f t="shared" si="10"/>
        <v>1.2929467572492212E-2</v>
      </c>
      <c r="H36" s="41">
        <f>'Measure Unknown '!M22</f>
        <v>6.446797739291628</v>
      </c>
      <c r="I36" s="41">
        <f t="shared" si="6"/>
        <v>1.2568325382294296</v>
      </c>
      <c r="J36" s="41">
        <f t="shared" si="7"/>
        <v>7.1809693035595208</v>
      </c>
      <c r="K36" s="1">
        <f t="shared" si="11"/>
        <v>0.5390078857795646</v>
      </c>
    </row>
    <row r="37" spans="2:11">
      <c r="B37">
        <f t="shared" si="8"/>
        <v>40000</v>
      </c>
      <c r="C37" s="56">
        <v>4.0000000000000001E-3</v>
      </c>
      <c r="D37">
        <f t="shared" si="4"/>
        <v>0.38882731440647239</v>
      </c>
      <c r="E37">
        <f t="shared" si="9"/>
        <v>0.97015159408789897</v>
      </c>
      <c r="F37">
        <f t="shared" si="5"/>
        <v>9.6266970943785815</v>
      </c>
      <c r="G37" s="1">
        <f t="shared" si="10"/>
        <v>1.4341336260159461E-2</v>
      </c>
      <c r="H37" s="41">
        <f>'Measure Unknown '!M23</f>
        <v>7.2865095987304063</v>
      </c>
      <c r="I37" s="41">
        <f t="shared" si="6"/>
        <v>1.3940758157594915</v>
      </c>
      <c r="J37" s="41">
        <f t="shared" si="7"/>
        <v>6.6505111302925144</v>
      </c>
      <c r="K37" s="1">
        <f t="shared" si="11"/>
        <v>0.40449405185534415</v>
      </c>
    </row>
    <row r="38" spans="2:11">
      <c r="B38">
        <f t="shared" si="8"/>
        <v>45000</v>
      </c>
      <c r="C38" s="56">
        <v>4.4999999999999997E-3</v>
      </c>
      <c r="D38">
        <f t="shared" si="4"/>
        <v>0.43743072870728139</v>
      </c>
      <c r="E38">
        <f t="shared" si="9"/>
        <v>0.96235263147457695</v>
      </c>
      <c r="F38">
        <f t="shared" si="5"/>
        <v>9.5493089303160161</v>
      </c>
      <c r="G38" s="1">
        <f t="shared" si="10"/>
        <v>1.5845843032436229E-2</v>
      </c>
      <c r="H38" s="41">
        <f>'Measure Unknown '!M24</f>
        <v>5.4496594297828063</v>
      </c>
      <c r="I38" s="41">
        <f t="shared" si="6"/>
        <v>1.540324147702173</v>
      </c>
      <c r="J38" s="41">
        <f t="shared" si="7"/>
        <v>6.0678395268477665</v>
      </c>
      <c r="K38" s="1">
        <f t="shared" si="11"/>
        <v>0.38214663240724367</v>
      </c>
    </row>
    <row r="39" spans="2:11">
      <c r="B39">
        <f t="shared" si="8"/>
        <v>50000</v>
      </c>
      <c r="C39" s="56">
        <v>5.0000000000000001E-3</v>
      </c>
      <c r="D39">
        <f t="shared" si="4"/>
        <v>0.4860341430080905</v>
      </c>
      <c r="E39">
        <f t="shared" si="9"/>
        <v>0.95369973156396326</v>
      </c>
      <c r="F39">
        <f t="shared" si="5"/>
        <v>9.4634472495899562</v>
      </c>
      <c r="G39" s="1">
        <f t="shared" si="10"/>
        <v>1.7252654913140517E-2</v>
      </c>
      <c r="H39" s="41">
        <f>'Measure Unknown '!M25</f>
        <v>5.8981567026603265</v>
      </c>
      <c r="I39" s="41">
        <f t="shared" si="6"/>
        <v>1.6770758690645147</v>
      </c>
      <c r="J39" s="41">
        <f t="shared" si="7"/>
        <v>5.5158531370902573</v>
      </c>
      <c r="K39" s="1">
        <f t="shared" si="11"/>
        <v>0.14615601624758826</v>
      </c>
    </row>
    <row r="40" spans="2:11">
      <c r="B40">
        <f t="shared" si="8"/>
        <v>55000</v>
      </c>
      <c r="C40" s="56">
        <v>5.4999999999999997E-3</v>
      </c>
      <c r="D40">
        <f t="shared" si="4"/>
        <v>0.5346375573088995</v>
      </c>
      <c r="E40">
        <f t="shared" si="9"/>
        <v>0.94421357073905721</v>
      </c>
      <c r="F40">
        <f t="shared" si="5"/>
        <v>9.3693172214516345</v>
      </c>
      <c r="G40" s="1">
        <f t="shared" si="10"/>
        <v>1.8553098439215363E-2</v>
      </c>
      <c r="H40" s="41">
        <f>'Measure Unknown '!M26</f>
        <v>5.0559359665800487</v>
      </c>
      <c r="I40" s="41">
        <f t="shared" si="6"/>
        <v>1.8034878600097559</v>
      </c>
      <c r="J40" s="41">
        <f t="shared" si="7"/>
        <v>5.0068067605630127</v>
      </c>
      <c r="K40" s="1">
        <f t="shared" si="11"/>
        <v>2.4136788838643739E-3</v>
      </c>
    </row>
    <row r="41" spans="2:11">
      <c r="B41">
        <f t="shared" si="8"/>
        <v>60000</v>
      </c>
      <c r="C41" s="56">
        <v>6.0000000000000001E-3</v>
      </c>
      <c r="D41">
        <f t="shared" si="4"/>
        <v>0.58324097160970856</v>
      </c>
      <c r="E41">
        <f t="shared" si="9"/>
        <v>0.93391673265724229</v>
      </c>
      <c r="F41">
        <f t="shared" si="5"/>
        <v>9.2671429408056412</v>
      </c>
      <c r="G41" s="1">
        <f t="shared" si="10"/>
        <v>2.0803514988217493E-2</v>
      </c>
      <c r="H41" s="5">
        <f>'Measure Unknown '!M28</f>
        <v>3.9875042073735916</v>
      </c>
      <c r="I41" s="41">
        <f t="shared" si="6"/>
        <v>2.022243715770851</v>
      </c>
      <c r="J41" s="41">
        <f t="shared" si="7"/>
        <v>4.146891859792424</v>
      </c>
      <c r="K41" s="1">
        <f t="shared" si="11"/>
        <v>2.5404423743586549E-2</v>
      </c>
    </row>
    <row r="42" spans="2:11">
      <c r="B42">
        <f t="shared" si="8"/>
        <v>65000</v>
      </c>
      <c r="C42" s="56">
        <v>6.4999999999999997E-3</v>
      </c>
      <c r="D42">
        <f t="shared" si="4"/>
        <v>0.63184438591051761</v>
      </c>
      <c r="E42">
        <f t="shared" si="9"/>
        <v>0.92283363043155198</v>
      </c>
      <c r="F42">
        <f t="shared" si="5"/>
        <v>9.157166656024021</v>
      </c>
      <c r="G42" s="1">
        <f t="shared" si="10"/>
        <v>2.1739613444780734E-2</v>
      </c>
      <c r="H42" s="5">
        <f>'Measure Unknown '!M29</f>
        <v>4.0934936260258823</v>
      </c>
      <c r="I42" s="41">
        <f t="shared" si="6"/>
        <v>2.1132388779922331</v>
      </c>
      <c r="J42" s="41">
        <f t="shared" si="7"/>
        <v>3.8026297314727708</v>
      </c>
      <c r="K42" s="1">
        <f t="shared" si="11"/>
        <v>8.460180515460354E-2</v>
      </c>
    </row>
    <row r="43" spans="2:11">
      <c r="B43">
        <f t="shared" si="8"/>
        <v>70000</v>
      </c>
      <c r="C43" s="56">
        <v>7.0000000000000001E-3</v>
      </c>
      <c r="D43">
        <f t="shared" si="4"/>
        <v>0.68044780021132667</v>
      </c>
      <c r="E43">
        <f t="shared" si="9"/>
        <v>0.91099042276991771</v>
      </c>
      <c r="F43">
        <f t="shared" si="5"/>
        <v>9.0396479368061602</v>
      </c>
      <c r="G43" s="1">
        <f t="shared" si="10"/>
        <v>2.2459341368268115E-2</v>
      </c>
      <c r="H43" s="5">
        <f>'Measure Unknown '!M30</f>
        <v>3.6381499541031772</v>
      </c>
      <c r="I43" s="41">
        <f t="shared" si="6"/>
        <v>2.1832013468904696</v>
      </c>
      <c r="J43" s="41">
        <f t="shared" si="7"/>
        <v>3.5450475037220475</v>
      </c>
      <c r="K43" s="1">
        <f t="shared" si="11"/>
        <v>8.6680662669707254E-3</v>
      </c>
    </row>
    <row r="44" spans="2:11">
      <c r="B44">
        <f t="shared" si="8"/>
        <v>75000</v>
      </c>
      <c r="C44" s="56">
        <v>7.4999999999999997E-3</v>
      </c>
      <c r="D44">
        <f t="shared" si="4"/>
        <v>0.72905121451213573</v>
      </c>
      <c r="E44">
        <f t="shared" si="9"/>
        <v>0.89841492442729165</v>
      </c>
      <c r="F44">
        <f t="shared" si="5"/>
        <v>8.9148627856060134</v>
      </c>
      <c r="G44" s="1">
        <f t="shared" si="10"/>
        <v>2.2999451830078104E-2</v>
      </c>
      <c r="H44" s="5">
        <f>'Measure Unknown '!M31</f>
        <v>3.5122914230693807</v>
      </c>
      <c r="I44" s="41">
        <f t="shared" si="6"/>
        <v>2.2357037719775739</v>
      </c>
      <c r="J44" s="41">
        <f t="shared" si="7"/>
        <v>3.3563011349193221</v>
      </c>
      <c r="K44" s="1">
        <f t="shared" si="11"/>
        <v>2.4332969997138298E-2</v>
      </c>
    </row>
    <row r="45" spans="2:11">
      <c r="B45">
        <f t="shared" si="8"/>
        <v>80000</v>
      </c>
      <c r="C45" s="56">
        <v>8.0000000000000002E-3</v>
      </c>
      <c r="D45">
        <f t="shared" si="4"/>
        <v>0.77765462881294478</v>
      </c>
      <c r="E45">
        <f t="shared" si="9"/>
        <v>0.88513651134874316</v>
      </c>
      <c r="F45">
        <f t="shared" si="5"/>
        <v>8.7831026963785153</v>
      </c>
      <c r="G45" s="1">
        <f t="shared" si="10"/>
        <v>2.3394183806060398E-2</v>
      </c>
      <c r="H45" s="5">
        <f>'Measure Unknown '!M32</f>
        <v>3.0398250456830462</v>
      </c>
      <c r="I45" s="41">
        <f t="shared" si="6"/>
        <v>2.2740744155104626</v>
      </c>
      <c r="J45" s="41">
        <f t="shared" si="7"/>
        <v>3.2210137622819195</v>
      </c>
      <c r="K45" s="1">
        <f t="shared" si="11"/>
        <v>3.2829351022746811E-2</v>
      </c>
    </row>
    <row r="46" spans="2:11">
      <c r="B46">
        <f t="shared" si="8"/>
        <v>85000</v>
      </c>
      <c r="C46" s="56">
        <v>8.5000000000000006E-3</v>
      </c>
      <c r="D46">
        <f t="shared" si="4"/>
        <v>0.82625804311375395</v>
      </c>
      <c r="E46">
        <f t="shared" si="9"/>
        <v>0.87118602090271047</v>
      </c>
      <c r="F46">
        <f t="shared" si="5"/>
        <v>8.6446736646061755</v>
      </c>
      <c r="I46" s="60"/>
      <c r="J46" s="60" t="s">
        <v>124</v>
      </c>
      <c r="K46" s="61">
        <f>SUM(K32:K45)</f>
        <v>6.6630456010901407</v>
      </c>
    </row>
    <row r="47" spans="2:11">
      <c r="B47">
        <f t="shared" si="8"/>
        <v>90000</v>
      </c>
      <c r="C47" s="56">
        <v>8.9999999999999993E-3</v>
      </c>
      <c r="D47">
        <f t="shared" si="4"/>
        <v>0.87486145741456278</v>
      </c>
      <c r="E47">
        <f t="shared" si="9"/>
        <v>0.8565956476229214</v>
      </c>
      <c r="F47">
        <f t="shared" si="5"/>
        <v>8.4998951527587607</v>
      </c>
    </row>
    <row r="48" spans="2:11">
      <c r="B48">
        <f t="shared" si="8"/>
        <v>95000</v>
      </c>
      <c r="C48" s="56">
        <v>9.4999999999999998E-3</v>
      </c>
      <c r="D48">
        <f t="shared" si="4"/>
        <v>0.92346487171537195</v>
      </c>
      <c r="E48">
        <f t="shared" si="9"/>
        <v>0.8413988348948428</v>
      </c>
      <c r="F48">
        <f t="shared" si="5"/>
        <v>8.349099015511003</v>
      </c>
    </row>
    <row r="49" spans="2:6">
      <c r="B49">
        <f t="shared" si="8"/>
        <v>100000</v>
      </c>
      <c r="C49" s="56">
        <v>0.01</v>
      </c>
      <c r="D49">
        <f t="shared" si="4"/>
        <v>0.972068286016181</v>
      </c>
      <c r="E49">
        <f t="shared" si="9"/>
        <v>0.82563016303762005</v>
      </c>
      <c r="F49">
        <f t="shared" si="5"/>
        <v>8.1926283891932137</v>
      </c>
    </row>
    <row r="50" spans="2:6">
      <c r="B50">
        <f t="shared" si="8"/>
        <v>105000</v>
      </c>
      <c r="C50" s="56">
        <v>1.0500000000000001E-2</v>
      </c>
      <c r="D50">
        <f t="shared" si="4"/>
        <v>1.0206717003169901</v>
      </c>
      <c r="E50">
        <f t="shared" si="9"/>
        <v>0.80932523424554659</v>
      </c>
      <c r="F50">
        <f t="shared" si="5"/>
        <v>8.0308365500793748</v>
      </c>
    </row>
    <row r="51" spans="2:6">
      <c r="B51">
        <f t="shared" si="8"/>
        <v>110000</v>
      </c>
      <c r="C51" s="56">
        <v>1.0999999999999999E-2</v>
      </c>
      <c r="D51">
        <f t="shared" si="4"/>
        <v>1.069275114617799</v>
      </c>
      <c r="E51">
        <f t="shared" si="9"/>
        <v>0.79252055486389894</v>
      </c>
      <c r="F51">
        <f t="shared" si="5"/>
        <v>7.8640857462244735</v>
      </c>
    </row>
    <row r="52" spans="2:6">
      <c r="B52">
        <f t="shared" si="8"/>
        <v>115000</v>
      </c>
      <c r="C52" s="56">
        <v>1.15E-2</v>
      </c>
      <c r="D52">
        <f t="shared" si="4"/>
        <v>1.1178785289186082</v>
      </c>
      <c r="E52">
        <f t="shared" si="9"/>
        <v>0.77525341548255866</v>
      </c>
      <c r="F52">
        <f t="shared" si="5"/>
        <v>7.6927460076479903</v>
      </c>
    </row>
    <row r="53" spans="2:6">
      <c r="B53">
        <f t="shared" si="8"/>
        <v>120000</v>
      </c>
      <c r="C53" s="56">
        <v>1.2E-2</v>
      </c>
      <c r="D53">
        <f t="shared" si="4"/>
        <v>1.1664819432194171</v>
      </c>
      <c r="E53">
        <f t="shared" si="9"/>
        <v>0.75756176933709418</v>
      </c>
      <c r="F53">
        <f t="shared" si="5"/>
        <v>7.5171939397225254</v>
      </c>
    </row>
    <row r="54" spans="2:6">
      <c r="B54">
        <f t="shared" si="8"/>
        <v>125000</v>
      </c>
      <c r="C54" s="56">
        <v>1.2500000000000001E-2</v>
      </c>
      <c r="D54">
        <f t="shared" si="4"/>
        <v>1.2150853575202263</v>
      </c>
      <c r="E54">
        <f t="shared" si="9"/>
        <v>0.73948410951095123</v>
      </c>
      <c r="F54">
        <f t="shared" si="5"/>
        <v>7.3378115046659618</v>
      </c>
    </row>
    <row r="55" spans="2:6">
      <c r="B55">
        <f t="shared" si="8"/>
        <v>130000</v>
      </c>
      <c r="C55" s="56">
        <v>1.2999999999999999E-2</v>
      </c>
      <c r="D55">
        <f t="shared" si="4"/>
        <v>1.2636887718210352</v>
      </c>
      <c r="E55">
        <f t="shared" si="9"/>
        <v>0.72105934543407091</v>
      </c>
      <c r="F55">
        <f t="shared" si="5"/>
        <v>7.1549847960521689</v>
      </c>
    </row>
    <row r="56" spans="2:6">
      <c r="B56">
        <f t="shared" si="8"/>
        <v>135000</v>
      </c>
      <c r="C56" s="56">
        <v>1.35E-2</v>
      </c>
      <c r="D56">
        <f t="shared" si="4"/>
        <v>1.3122921861218444</v>
      </c>
      <c r="E56">
        <f t="shared" si="9"/>
        <v>0.7023266791725763</v>
      </c>
      <c r="F56">
        <f t="shared" si="5"/>
        <v>6.9691028112485087</v>
      </c>
    </row>
    <row r="57" spans="2:6">
      <c r="B57">
        <f t="shared" si="8"/>
        <v>140000</v>
      </c>
      <c r="C57" s="56">
        <v>1.4E-2</v>
      </c>
      <c r="D57">
        <f t="shared" si="4"/>
        <v>1.3608956004226533</v>
      </c>
      <c r="E57">
        <f t="shared" si="9"/>
        <v>0.68332548200124665</v>
      </c>
      <c r="F57">
        <f t="shared" si="5"/>
        <v>6.7805562266593986</v>
      </c>
    </row>
    <row r="58" spans="2:6">
      <c r="B58">
        <f t="shared" si="8"/>
        <v>145000</v>
      </c>
      <c r="C58" s="56">
        <v>1.4500000000000001E-2</v>
      </c>
      <c r="D58">
        <f t="shared" si="4"/>
        <v>1.4094990147234625</v>
      </c>
      <c r="E58">
        <f t="shared" si="9"/>
        <v>0.6640951717452771</v>
      </c>
      <c r="F58">
        <f t="shared" si="5"/>
        <v>6.5897361806034134</v>
      </c>
    </row>
    <row r="59" spans="2:6">
      <c r="B59">
        <f t="shared" si="8"/>
        <v>150000</v>
      </c>
      <c r="C59" s="56">
        <v>1.4999999999999999E-2</v>
      </c>
      <c r="D59">
        <f t="shared" si="4"/>
        <v>1.4581024290242715</v>
      </c>
      <c r="E59">
        <f t="shared" si="9"/>
        <v>0.64467509137039558</v>
      </c>
      <c r="F59">
        <f t="shared" si="5"/>
        <v>6.3970330685776737</v>
      </c>
    </row>
    <row r="60" spans="2:6">
      <c r="B60">
        <f t="shared" si="8"/>
        <v>155000</v>
      </c>
      <c r="C60" s="56">
        <v>1.55E-2</v>
      </c>
      <c r="D60">
        <f t="shared" si="4"/>
        <v>1.5067058433250806</v>
      </c>
      <c r="E60">
        <f t="shared" si="9"/>
        <v>0.62510438929080425</v>
      </c>
      <c r="F60">
        <f t="shared" si="5"/>
        <v>6.2028353555680082</v>
      </c>
    </row>
    <row r="61" spans="2:6">
      <c r="B61">
        <f t="shared" si="8"/>
        <v>160000</v>
      </c>
      <c r="C61" s="56">
        <v>1.6E-2</v>
      </c>
      <c r="D61">
        <f t="shared" si="4"/>
        <v>1.5553092576258896</v>
      </c>
      <c r="E61">
        <f t="shared" si="9"/>
        <v>0.60542190185270439</v>
      </c>
      <c r="F61">
        <f t="shared" si="5"/>
        <v>6.0075284099471657</v>
      </c>
    </row>
    <row r="62" spans="2:6">
      <c r="B62">
        <f t="shared" si="8"/>
        <v>165000</v>
      </c>
      <c r="C62" s="56">
        <v>1.6500000000000001E-2</v>
      </c>
      <c r="D62">
        <f t="shared" ref="D62:D93" si="12">C62*Rsphere</f>
        <v>1.6039126719266987</v>
      </c>
      <c r="E62">
        <f t="shared" si="9"/>
        <v>0.5856660384374045</v>
      </c>
      <c r="F62">
        <f t="shared" ref="F62:F93" si="13">E62*Izero</f>
        <v>5.8114933633668313</v>
      </c>
    </row>
    <row r="63" spans="2:6">
      <c r="B63">
        <f t="shared" si="8"/>
        <v>170000</v>
      </c>
      <c r="C63" s="56">
        <v>1.7000000000000001E-2</v>
      </c>
      <c r="D63">
        <f t="shared" si="12"/>
        <v>1.6525160862275079</v>
      </c>
      <c r="E63">
        <f t="shared" si="9"/>
        <v>0.56587466961232247</v>
      </c>
      <c r="F63">
        <f t="shared" si="13"/>
        <v>5.6151060008935287</v>
      </c>
    </row>
    <row r="64" spans="2:6">
      <c r="B64">
        <f t="shared" si="8"/>
        <v>175000.00000000003</v>
      </c>
      <c r="C64" s="56">
        <v>1.7500000000000002E-2</v>
      </c>
      <c r="D64">
        <f t="shared" si="12"/>
        <v>1.7011195005283168</v>
      </c>
      <c r="E64">
        <f t="shared" si="9"/>
        <v>0.54608501874061266</v>
      </c>
      <c r="F64">
        <f t="shared" si="13"/>
        <v>5.4187356854640472</v>
      </c>
    </row>
    <row r="65" spans="2:6">
      <c r="B65">
        <f t="shared" si="8"/>
        <v>180000</v>
      </c>
      <c r="C65" s="56">
        <v>1.7999999999999999E-2</v>
      </c>
      <c r="D65">
        <f t="shared" si="12"/>
        <v>1.7497229148291256</v>
      </c>
      <c r="E65">
        <f t="shared" si="9"/>
        <v>0.52633355744084165</v>
      </c>
      <c r="F65">
        <f t="shared" si="13"/>
        <v>5.2227443205444226</v>
      </c>
    </row>
    <row r="66" spans="2:6">
      <c r="B66">
        <f t="shared" si="8"/>
        <v>185000</v>
      </c>
      <c r="C66" s="56">
        <v>1.8499999999999999E-2</v>
      </c>
      <c r="D66">
        <f t="shared" si="12"/>
        <v>1.7983263291299347</v>
      </c>
      <c r="E66">
        <f t="shared" si="9"/>
        <v>0.50665590526714266</v>
      </c>
      <c r="F66">
        <f t="shared" si="13"/>
        <v>5.027485354668233</v>
      </c>
    </row>
    <row r="67" spans="2:6">
      <c r="B67">
        <f t="shared" si="8"/>
        <v>190000</v>
      </c>
      <c r="C67" s="56">
        <v>1.9E-2</v>
      </c>
      <c r="D67">
        <f t="shared" si="12"/>
        <v>1.8469297434307439</v>
      </c>
      <c r="E67">
        <f t="shared" si="9"/>
        <v>0.48708673395779589</v>
      </c>
      <c r="F67">
        <f t="shared" si="13"/>
        <v>4.8333028313068205</v>
      </c>
    </row>
    <row r="68" spans="2:6">
      <c r="B68">
        <f t="shared" si="8"/>
        <v>195000</v>
      </c>
      <c r="C68" s="56">
        <v>1.95E-2</v>
      </c>
      <c r="D68">
        <f t="shared" si="12"/>
        <v>1.8955331577315528</v>
      </c>
      <c r="E68">
        <f t="shared" si="9"/>
        <v>0.46765967657624602</v>
      </c>
      <c r="F68">
        <f t="shared" si="13"/>
        <v>4.6405304872865845</v>
      </c>
    </row>
    <row r="69" spans="2:6">
      <c r="B69">
        <f t="shared" si="8"/>
        <v>200000</v>
      </c>
      <c r="C69" s="56">
        <v>0.02</v>
      </c>
      <c r="D69">
        <f t="shared" si="12"/>
        <v>1.944136572032362</v>
      </c>
      <c r="E69">
        <f t="shared" si="9"/>
        <v>0.44840724184339764</v>
      </c>
      <c r="F69">
        <f t="shared" si="13"/>
        <v>4.4494909027186988</v>
      </c>
    </row>
    <row r="70" spans="2:6">
      <c r="B70">
        <f t="shared" si="8"/>
        <v>205000</v>
      </c>
      <c r="C70" s="56">
        <v>2.0500000000000001E-2</v>
      </c>
      <c r="D70">
        <f t="shared" si="12"/>
        <v>1.9927399863331712</v>
      </c>
      <c r="E70">
        <f t="shared" si="9"/>
        <v>0.42936073393368968</v>
      </c>
      <c r="F70">
        <f t="shared" si="13"/>
        <v>4.2604947051452378</v>
      </c>
    </row>
    <row r="71" spans="2:6">
      <c r="B71">
        <f t="shared" si="8"/>
        <v>210000</v>
      </c>
      <c r="C71" s="56">
        <v>2.1000000000000001E-2</v>
      </c>
      <c r="D71">
        <f t="shared" si="12"/>
        <v>2.0413434006339801</v>
      </c>
      <c r="E71">
        <f t="shared" si="9"/>
        <v>0.41055017798013144</v>
      </c>
      <c r="F71">
        <f t="shared" si="13"/>
        <v>4.0738398303346548</v>
      </c>
    </row>
    <row r="72" spans="2:6">
      <c r="B72">
        <f t="shared" si="8"/>
        <v>214999.99999999997</v>
      </c>
      <c r="C72" s="56">
        <v>2.1499999999999998E-2</v>
      </c>
      <c r="D72">
        <f t="shared" si="12"/>
        <v>2.0899468149347888</v>
      </c>
      <c r="E72">
        <f t="shared" si="9"/>
        <v>0.392004251505297</v>
      </c>
      <c r="F72">
        <f t="shared" si="13"/>
        <v>3.8898108418798136</v>
      </c>
    </row>
    <row r="73" spans="2:6">
      <c r="B73">
        <f t="shared" si="8"/>
        <v>220000</v>
      </c>
      <c r="C73" s="56">
        <v>2.1999999999999999E-2</v>
      </c>
      <c r="D73">
        <f t="shared" si="12"/>
        <v>2.138550229235598</v>
      </c>
      <c r="E73">
        <f t="shared" si="9"/>
        <v>0.37375022196640556</v>
      </c>
      <c r="F73">
        <f t="shared" si="13"/>
        <v>3.7086783114653703</v>
      </c>
    </row>
    <row r="74" spans="2:6">
      <c r="B74">
        <f t="shared" si="8"/>
        <v>225000</v>
      </c>
      <c r="C74" s="56">
        <v>2.2499999999999999E-2</v>
      </c>
      <c r="D74">
        <f t="shared" si="12"/>
        <v>2.1871536435364072</v>
      </c>
      <c r="E74">
        <f t="shared" si="9"/>
        <v>0.35581389057316765</v>
      </c>
      <c r="F74">
        <f t="shared" si="13"/>
        <v>3.5306982613790425</v>
      </c>
    </row>
    <row r="75" spans="2:6">
      <c r="B75">
        <f t="shared" si="8"/>
        <v>230000</v>
      </c>
      <c r="C75" s="56">
        <v>2.3E-2</v>
      </c>
      <c r="D75">
        <f t="shared" si="12"/>
        <v>2.2357570578372163</v>
      </c>
      <c r="E75">
        <f t="shared" si="9"/>
        <v>0.33821954250725716</v>
      </c>
      <c r="F75">
        <f t="shared" si="13"/>
        <v>3.3561116705454457</v>
      </c>
    </row>
    <row r="76" spans="2:6">
      <c r="B76">
        <f t="shared" si="8"/>
        <v>235000</v>
      </c>
      <c r="C76" s="56">
        <v>2.35E-2</v>
      </c>
      <c r="D76">
        <f t="shared" si="12"/>
        <v>2.2843604721380255</v>
      </c>
      <c r="E76">
        <f t="shared" si="9"/>
        <v>0.32098990364218383</v>
      </c>
      <c r="F76">
        <f t="shared" si="13"/>
        <v>3.1851440450626121</v>
      </c>
    </row>
    <row r="77" spans="2:6">
      <c r="B77">
        <f t="shared" si="8"/>
        <v>240000</v>
      </c>
      <c r="C77" s="56">
        <v>2.4E-2</v>
      </c>
      <c r="D77">
        <f t="shared" si="12"/>
        <v>2.3329638864388342</v>
      </c>
      <c r="E77">
        <f t="shared" si="9"/>
        <v>0.30414610383216456</v>
      </c>
      <c r="F77">
        <f t="shared" si="13"/>
        <v>3.0180050539218981</v>
      </c>
    </row>
    <row r="78" spans="2:6">
      <c r="B78">
        <f t="shared" si="8"/>
        <v>245000</v>
      </c>
      <c r="C78" s="56">
        <v>2.4500000000000001E-2</v>
      </c>
      <c r="D78">
        <f t="shared" si="12"/>
        <v>2.3815673007396434</v>
      </c>
      <c r="E78">
        <f t="shared" si="9"/>
        <v>0.28770764680849181</v>
      </c>
      <c r="F78">
        <f t="shared" si="13"/>
        <v>2.8548882302932808</v>
      </c>
    </row>
    <row r="79" spans="2:6">
      <c r="B79">
        <f t="shared" si="8"/>
        <v>250000</v>
      </c>
      <c r="C79" s="56">
        <v>2.5000000000000001E-2</v>
      </c>
      <c r="D79">
        <f t="shared" si="12"/>
        <v>2.4301707150404526</v>
      </c>
      <c r="E79">
        <f t="shared" si="9"/>
        <v>0.27169238669197859</v>
      </c>
      <c r="F79">
        <f t="shared" si="13"/>
        <v>2.6959707384611886</v>
      </c>
    </row>
  </sheetData>
  <phoneticPr fontId="1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5"/>
  <sheetViews>
    <sheetView workbookViewId="0">
      <selection activeCell="C8" sqref="C8"/>
    </sheetView>
  </sheetViews>
  <sheetFormatPr defaultRowHeight="14.35"/>
  <cols>
    <col min="1" max="1" width="15.29296875" customWidth="1"/>
    <col min="2" max="2" width="9.703125" bestFit="1" customWidth="1"/>
  </cols>
  <sheetData>
    <row r="2" spans="1:2">
      <c r="A2" t="s">
        <v>10</v>
      </c>
      <c r="B2" s="45" t="s">
        <v>12</v>
      </c>
    </row>
    <row r="3" spans="1:2">
      <c r="A3" t="s">
        <v>8</v>
      </c>
      <c r="B3" s="45">
        <v>685</v>
      </c>
    </row>
    <row r="4" spans="1:2">
      <c r="A4" t="s">
        <v>11</v>
      </c>
      <c r="B4" s="46">
        <f>Lamnm/10000000</f>
        <v>6.8499999999999998E-5</v>
      </c>
    </row>
    <row r="5" spans="1:2">
      <c r="A5" t="s">
        <v>9</v>
      </c>
      <c r="B5" s="45">
        <v>1.33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Development notes</vt:lpstr>
      <vt:lpstr>Instructions</vt:lpstr>
      <vt:lpstr>Normalize</vt:lpstr>
      <vt:lpstr>Measure Unknown </vt:lpstr>
      <vt:lpstr>Guinier+NonlinSphere</vt:lpstr>
      <vt:lpstr>Parameters</vt:lpstr>
      <vt:lpstr>Guinslope</vt:lpstr>
      <vt:lpstr>Guintercept</vt:lpstr>
      <vt:lpstr>Izero</vt:lpstr>
      <vt:lpstr>Lamcm</vt:lpstr>
      <vt:lpstr>Lamnm</vt:lpstr>
      <vt:lpstr>Refin</vt:lpstr>
      <vt:lpstr>Rgyration</vt:lpstr>
      <vt:lpstr>Rhydro</vt:lpstr>
      <vt:lpstr>Rsphere</vt:lpstr>
      <vt:lpstr>Solvent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2022-09-04T02:53:48Z</dcterms:modified>
</cp:coreProperties>
</file>