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/>
  <xr:revisionPtr revIDLastSave="0" documentId="13_ncr:1_{33FCA55B-B9F0-4125-93A7-F7D6D5A977B7}" xr6:coauthVersionLast="36" xr6:coauthVersionMax="36" xr10:uidLastSave="{00000000-0000-0000-0000-000000000000}"/>
  <bookViews>
    <workbookView xWindow="0" yWindow="0" windowWidth="22260" windowHeight="12647" activeTab="3" xr2:uid="{00000000-000D-0000-FFFF-FFFF00000000}"/>
  </bookViews>
  <sheets>
    <sheet name="Development notes" sheetId="6" r:id="rId1"/>
    <sheet name="Instructions" sheetId="3" r:id="rId2"/>
    <sheet name="Normalize" sheetId="1" r:id="rId3"/>
    <sheet name="Measure Unknown " sheetId="4" r:id="rId4"/>
    <sheet name="Guinier" sheetId="5" r:id="rId5"/>
    <sheet name="Parameters" sheetId="2" r:id="rId6"/>
  </sheets>
  <definedNames>
    <definedName name="Guinslope">Guinier!$K$24</definedName>
    <definedName name="Guintercept">Guinier!$K$23</definedName>
    <definedName name="Lamcm">Parameters!$B$4</definedName>
    <definedName name="Lamnm">Parameters!$B$3</definedName>
    <definedName name="Refin">Parameters!$B$5</definedName>
    <definedName name="Rgyration">Normalize!$J$8</definedName>
    <definedName name="Rhydro">Normalize!$J$7</definedName>
    <definedName name="Solvent">Parameters!$B$2</definedName>
  </definedNames>
  <calcPr calcId="191029"/>
</workbook>
</file>

<file path=xl/calcChain.xml><?xml version="1.0" encoding="utf-8"?>
<calcChain xmlns="http://schemas.openxmlformats.org/spreadsheetml/2006/main">
  <c r="J9" i="4" l="1"/>
  <c r="K32" i="4"/>
  <c r="K30" i="4"/>
  <c r="K28" i="4"/>
  <c r="K26" i="4"/>
  <c r="K24" i="4"/>
  <c r="K22" i="4"/>
  <c r="K20" i="4"/>
  <c r="L20" i="4" s="1"/>
  <c r="K19" i="4"/>
  <c r="K27" i="5"/>
  <c r="L15" i="4"/>
  <c r="K32" i="1"/>
  <c r="L32" i="1" s="1"/>
  <c r="K30" i="1"/>
  <c r="K28" i="1"/>
  <c r="K26" i="1"/>
  <c r="K24" i="1"/>
  <c r="L24" i="1" s="1"/>
  <c r="K22" i="1"/>
  <c r="K20" i="1"/>
  <c r="K19" i="1"/>
  <c r="K25" i="5"/>
  <c r="K26" i="5"/>
  <c r="C22" i="5"/>
  <c r="B4" i="2"/>
  <c r="D22" i="5"/>
  <c r="E22" i="5" s="1"/>
  <c r="F22" i="5"/>
  <c r="B22" i="5"/>
  <c r="C10" i="5"/>
  <c r="D10" i="5"/>
  <c r="F10" i="5"/>
  <c r="C11" i="5"/>
  <c r="D11" i="5"/>
  <c r="C12" i="5"/>
  <c r="D12" i="5"/>
  <c r="F12" i="5" s="1"/>
  <c r="C13" i="5"/>
  <c r="D13" i="5"/>
  <c r="C14" i="5"/>
  <c r="D14" i="5"/>
  <c r="E14" i="5" s="1"/>
  <c r="C15" i="5"/>
  <c r="D15" i="5"/>
  <c r="F15" i="5" s="1"/>
  <c r="C16" i="5"/>
  <c r="D16" i="5" s="1"/>
  <c r="C17" i="5"/>
  <c r="D17" i="5"/>
  <c r="E17" i="5" s="1"/>
  <c r="C18" i="5"/>
  <c r="D18" i="5" s="1"/>
  <c r="C19" i="5"/>
  <c r="D19" i="5"/>
  <c r="F19" i="5" s="1"/>
  <c r="C20" i="5"/>
  <c r="D20" i="5"/>
  <c r="C21" i="5"/>
  <c r="D21" i="5"/>
  <c r="E21" i="5" s="1"/>
  <c r="B11" i="5"/>
  <c r="B12" i="5"/>
  <c r="B13" i="5"/>
  <c r="B14" i="5"/>
  <c r="B15" i="5"/>
  <c r="B16" i="5"/>
  <c r="B17" i="5"/>
  <c r="B18" i="5"/>
  <c r="B19" i="5"/>
  <c r="B20" i="5"/>
  <c r="B21" i="5"/>
  <c r="C8" i="5"/>
  <c r="D8" i="5" s="1"/>
  <c r="C9" i="5"/>
  <c r="D9" i="5"/>
  <c r="C7" i="5"/>
  <c r="D7" i="5" s="1"/>
  <c r="B10" i="5"/>
  <c r="B8" i="5"/>
  <c r="B9" i="5"/>
  <c r="B7" i="5"/>
  <c r="M18" i="4"/>
  <c r="M27" i="4"/>
  <c r="H32" i="4"/>
  <c r="L32" i="4" s="1"/>
  <c r="L31" i="4"/>
  <c r="H30" i="4"/>
  <c r="L30" i="4"/>
  <c r="L29" i="4"/>
  <c r="H28" i="4"/>
  <c r="L28" i="4"/>
  <c r="H26" i="4"/>
  <c r="L26" i="4" s="1"/>
  <c r="L25" i="4"/>
  <c r="H24" i="4"/>
  <c r="L24" i="4"/>
  <c r="L23" i="4"/>
  <c r="H22" i="4"/>
  <c r="L22" i="4"/>
  <c r="L21" i="4"/>
  <c r="H20" i="4"/>
  <c r="H19" i="4"/>
  <c r="L19" i="4"/>
  <c r="L17" i="4"/>
  <c r="L16" i="4"/>
  <c r="J8" i="4"/>
  <c r="J10" i="4" s="1"/>
  <c r="J11" i="4" s="1"/>
  <c r="H22" i="1"/>
  <c r="L22" i="1"/>
  <c r="H20" i="1"/>
  <c r="L20" i="1"/>
  <c r="H19" i="1"/>
  <c r="H32" i="1"/>
  <c r="H30" i="1"/>
  <c r="L30" i="1"/>
  <c r="H28" i="1"/>
  <c r="L28" i="1"/>
  <c r="H26" i="1"/>
  <c r="L26" i="1"/>
  <c r="H24" i="1"/>
  <c r="L19" i="1"/>
  <c r="L16" i="1"/>
  <c r="L17" i="1"/>
  <c r="L21" i="1"/>
  <c r="L23" i="1"/>
  <c r="L25" i="1"/>
  <c r="L29" i="1"/>
  <c r="L31" i="1"/>
  <c r="L15" i="1"/>
  <c r="J8" i="1"/>
  <c r="M30" i="1" s="1"/>
  <c r="N30" i="1" s="1"/>
  <c r="M30" i="4" s="1"/>
  <c r="G20" i="5" s="1"/>
  <c r="H20" i="5" s="1"/>
  <c r="J9" i="1"/>
  <c r="M26" i="1"/>
  <c r="N26" i="1" s="1"/>
  <c r="M26" i="4" s="1"/>
  <c r="G17" i="5" s="1"/>
  <c r="H17" i="5" s="1"/>
  <c r="E9" i="5"/>
  <c r="F9" i="5"/>
  <c r="E12" i="5"/>
  <c r="F21" i="5"/>
  <c r="F11" i="5"/>
  <c r="E11" i="5"/>
  <c r="E20" i="5"/>
  <c r="F20" i="5"/>
  <c r="E13" i="5"/>
  <c r="F13" i="5"/>
  <c r="M21" i="1"/>
  <c r="N21" i="1" s="1"/>
  <c r="M21" i="4" s="1"/>
  <c r="G12" i="5" s="1"/>
  <c r="H12" i="5" s="1"/>
  <c r="F14" i="5"/>
  <c r="E10" i="5"/>
  <c r="J10" i="1"/>
  <c r="J11" i="1" s="1"/>
  <c r="M31" i="1"/>
  <c r="N31" i="1" s="1"/>
  <c r="M31" i="4" s="1"/>
  <c r="G21" i="5" s="1"/>
  <c r="H21" i="5" s="1"/>
  <c r="F8" i="5" l="1"/>
  <c r="E8" i="5"/>
  <c r="E7" i="5"/>
  <c r="F7" i="5"/>
  <c r="E16" i="5"/>
  <c r="F16" i="5"/>
  <c r="F18" i="5"/>
  <c r="E18" i="5"/>
  <c r="M15" i="1"/>
  <c r="N15" i="1" s="1"/>
  <c r="M15" i="4" s="1"/>
  <c r="G7" i="5" s="1"/>
  <c r="H7" i="5" s="1"/>
  <c r="M24" i="1"/>
  <c r="N24" i="1" s="1"/>
  <c r="M24" i="4" s="1"/>
  <c r="G15" i="5" s="1"/>
  <c r="H15" i="5" s="1"/>
  <c r="M32" i="1"/>
  <c r="N32" i="1" s="1"/>
  <c r="M32" i="4" s="1"/>
  <c r="G22" i="5" s="1"/>
  <c r="H22" i="5" s="1"/>
  <c r="M23" i="1"/>
  <c r="N23" i="1" s="1"/>
  <c r="M23" i="4" s="1"/>
  <c r="G14" i="5" s="1"/>
  <c r="H14" i="5" s="1"/>
  <c r="M17" i="1"/>
  <c r="N17" i="1" s="1"/>
  <c r="M17" i="4" s="1"/>
  <c r="G9" i="5" s="1"/>
  <c r="H9" i="5" s="1"/>
  <c r="M29" i="1"/>
  <c r="N29" i="1" s="1"/>
  <c r="M29" i="4" s="1"/>
  <c r="G19" i="5" s="1"/>
  <c r="H19" i="5" s="1"/>
  <c r="M22" i="1"/>
  <c r="N22" i="1" s="1"/>
  <c r="M22" i="4" s="1"/>
  <c r="G13" i="5" s="1"/>
  <c r="H13" i="5" s="1"/>
  <c r="E19" i="5"/>
  <c r="F17" i="5"/>
  <c r="E15" i="5"/>
  <c r="M20" i="1"/>
  <c r="N20" i="1" s="1"/>
  <c r="M20" i="4" s="1"/>
  <c r="G11" i="5" s="1"/>
  <c r="H11" i="5" s="1"/>
  <c r="M19" i="1"/>
  <c r="N19" i="1" s="1"/>
  <c r="M19" i="4" s="1"/>
  <c r="G10" i="5" s="1"/>
  <c r="H10" i="5" s="1"/>
  <c r="M16" i="1"/>
  <c r="N16" i="1" s="1"/>
  <c r="M16" i="4" s="1"/>
  <c r="G8" i="5" s="1"/>
  <c r="H8" i="5" s="1"/>
  <c r="M28" i="1"/>
  <c r="N28" i="1" s="1"/>
  <c r="M28" i="4" s="1"/>
  <c r="G18" i="5" s="1"/>
  <c r="H18" i="5" s="1"/>
  <c r="M14" i="1"/>
  <c r="M25" i="1"/>
  <c r="N25" i="1" s="1"/>
  <c r="M25" i="4" s="1"/>
  <c r="G16" i="5" s="1"/>
  <c r="H16" i="5" s="1"/>
</calcChain>
</file>

<file path=xl/sharedStrings.xml><?xml version="1.0" encoding="utf-8"?>
<sst xmlns="http://schemas.openxmlformats.org/spreadsheetml/2006/main" count="232" uniqueCount="115">
  <si>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</si>
  <si>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</si>
  <si>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</si>
  <si>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</si>
  <si>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</si>
  <si>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</si>
  <si>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</si>
  <si>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</si>
  <si>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</si>
  <si>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</si>
  <si>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</si>
  <si>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</si>
  <si>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</si>
  <si>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</si>
  <si>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</si>
  <si>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</si>
  <si>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</si>
  <si>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</si>
  <si>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</si>
  <si>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</si>
  <si>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</si>
  <si>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</si>
  <si>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</si>
  <si>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</si>
  <si>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</si>
  <si>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</si>
  <si>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</si>
  <si>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</si>
  <si>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</si>
  <si>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</si>
  <si>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</si>
  <si>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</si>
  <si>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</si>
  <si>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</si>
  <si>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</si>
  <si>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</si>
  <si>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</si>
  <si>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</si>
  <si>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</si>
  <si>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</si>
  <si>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</si>
  <si>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</si>
  <si>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</si>
  <si>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</si>
  <si>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</si>
  <si>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</si>
  <si>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</si>
  <si>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</si>
  <si>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APD detectors measure in kHz, a totally different thing.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</si>
  <si>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</si>
  <si>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</si>
  <si>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</si>
  <si>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</si>
  <si>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</si>
  <si>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</si>
  <si>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</si>
  <si>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</si>
  <si>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</si>
  <si>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</si>
  <si>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</si>
  <si>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</si>
  <si>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</si>
  <si>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</si>
  <si>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</si>
  <si>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</si>
  <si>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</si>
  <si>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22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</si>
  <si>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</si>
  <si>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</si>
  <si>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</si>
  <si>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</si>
  <si>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</si>
  <si>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</si>
  <si>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</si>
  <si>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</si>
  <si>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</si>
  <si>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).</t>
    </r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</si>
  <si>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</si>
  <si>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</si>
  <si>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</si>
  <si>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</si>
  <si>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</si>
  <si>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</si>
  <si>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>Principle:</t>
  </si>
  <si>
    <t>You can include the Rh value from DLS, but be careful about single-angle DLS (see Gather program for multiangle)</t>
  </si>
  <si>
    <t>Then you can get Rg/Rh for shape analysis (e.g., should be sqrt(3/5) for solid, uniform spheres)</t>
  </si>
  <si>
    <t>Port</t>
  </si>
  <si>
    <t>Normalized</t>
  </si>
  <si>
    <t>Intensity</t>
  </si>
  <si>
    <r>
      <t>q/cm</t>
    </r>
    <r>
      <rPr>
        <vertAlign val="superscript"/>
        <sz val="11"/>
        <color indexed="8"/>
        <rFont val="Calibri"/>
        <family val="2"/>
      </rPr>
      <t>-1</t>
    </r>
  </si>
  <si>
    <t>intensity, I</t>
  </si>
  <si>
    <r>
      <t xml:space="preserve"> </t>
    </r>
    <r>
      <rPr>
        <sz val="11"/>
        <color indexed="8"/>
        <rFont val="Script MT Bold"/>
        <family val="4"/>
      </rPr>
      <t xml:space="preserve"> </t>
    </r>
    <r>
      <rPr>
        <b/>
        <sz val="11"/>
        <color indexed="8"/>
        <rFont val="Script MT Bold"/>
        <family val="4"/>
      </rPr>
      <t>ln</t>
    </r>
    <r>
      <rPr>
        <b/>
        <sz val="11"/>
        <color indexed="8"/>
        <rFont val="script"/>
      </rPr>
      <t xml:space="preserve"> </t>
    </r>
    <r>
      <rPr>
        <sz val="11"/>
        <color theme="1"/>
        <rFont val="Calibri"/>
        <family val="2"/>
        <scheme val="minor"/>
      </rPr>
      <t>(I)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</si>
  <si>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10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indexed="8"/>
        <rFont val="Calibri"/>
        <family val="2"/>
      </rPr>
      <t>-2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</si>
  <si>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nm</t>
    </r>
    <r>
      <rPr>
        <vertAlign val="superscript"/>
        <sz val="11"/>
        <color indexed="8"/>
        <rFont val="Calibri"/>
        <family val="2"/>
      </rPr>
      <t>-2</t>
    </r>
  </si>
  <si>
    <t>Intercept</t>
  </si>
  <si>
    <t>Slope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</si>
  <si>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</si>
  <si>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</si>
  <si>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</si>
  <si>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 xml:space="preserve">the measured intensities and come up with smallish errors that might trace to the validity of Rh. </t>
  </si>
  <si>
    <t xml:space="preserve">measurement in DLS (i.e., given the viscosity of the microemulsion,  the true Rh of Brij blobs might be </t>
  </si>
  <si>
    <t xml:space="preserve">smaller than measured. </t>
  </si>
  <si>
    <t xml:space="preserve">Thus, Brij is probably perfect for getting the fudge factors right, but agreement between SLS and DLS might be imperfect. </t>
  </si>
  <si>
    <t>Developed May-June 2022 by Paul Russo</t>
  </si>
  <si>
    <t>Solution reading</t>
  </si>
  <si>
    <t>Date of measurement</t>
  </si>
  <si>
    <t>Sample</t>
  </si>
  <si>
    <t>June 22 2022</t>
  </si>
  <si>
    <t xml:space="preserve">Using the normalization, you can then push ahead to measure  Rg using Guinier </t>
  </si>
  <si>
    <t xml:space="preserve">There is no such thing as a perfect Rayleigh scatterer. Typically, we might use </t>
  </si>
  <si>
    <t xml:space="preserve">The idea is to use something small that scatters a lot, well above solvent level and any </t>
  </si>
  <si>
    <t>More accurate readings can be obtained by collecting data using the Astra software (requires Win98)</t>
  </si>
  <si>
    <t>Testing:</t>
  </si>
  <si>
    <t xml:space="preserve">"Circular logic" tests (normalizing with Brij microemulsion, then feeding the same data as an unknown) suggest the normalization factors were determined well enough to feed back into </t>
  </si>
  <si>
    <t>0.1 um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</si>
</sst>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"/>
    <numFmt numFmtId="167" formatCode="[$-409]d\-mmm\-yy;@"/>
  </numFmts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sz val="11"/>
      <color indexed="8"/>
      <name val="Script MT Bold"/>
      <family val="4"/>
    </font>
    <font>
      <b/>
      <sz val="11"/>
      <color indexed="8"/>
      <name val="Script MT Bold"/>
      <family val="4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1" xfId="0" applyFill="1" applyBorder="1"/>
    <xf numFmtId="11" fontId="0" fillId="3" borderId="1" xfId="0" applyNumberFormat="1" applyFill="1" applyBorder="1"/>
    <xf numFmtId="2" fontId="0" fillId="9" borderId="1" xfId="0" applyNumberFormat="1" applyFill="1" applyBorder="1"/>
    <xf numFmtId="0" fontId="0" fillId="10" borderId="0" xfId="0" applyFill="1"/>
    <xf numFmtId="0" fontId="0" fillId="6" borderId="0" xfId="0" applyFill="1"/>
    <xf numFmtId="167" fontId="0" fillId="10" borderId="14" xfId="0" applyNumberFormat="1" applyFill="1" applyBorder="1"/>
    <xf numFmtId="15" fontId="0" fillId="10" borderId="14" xfId="0" applyNumberFormat="1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" xfId="0" applyFill="1" applyBorder="1" applyAlignment="1">
      <alignment horizontal="center"/>
    </xf>
    <xf numFmtId="15" fontId="0" fillId="10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08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7.8211205075720991E-2"/>
                  <c:y val="4.8824046756602006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Guinier!$F$7:$F$22</c:f>
              <c:numCache>
                <c:formatCode>General</c:formatCode>
                <c:ptCount val="16"/>
                <c:pt idx="0">
                  <c:v>0.22657569360064439</c:v>
                </c:pt>
                <c:pt idx="1">
                  <c:v>0.34841129082064676</c:v>
                </c:pt>
                <c:pt idx="2">
                  <c:v>0.45229107417661507</c:v>
                </c:pt>
                <c:pt idx="3">
                  <c:v>0.83539659571578939</c:v>
                </c:pt>
                <c:pt idx="4">
                  <c:v>1.0632573310196394</c:v>
                </c:pt>
                <c:pt idx="5">
                  <c:v>1.3554005891441361</c:v>
                </c:pt>
                <c:pt idx="6">
                  <c:v>1.6717113170812763</c:v>
                </c:pt>
                <c:pt idx="7">
                  <c:v>2.0567392572696455</c:v>
                </c:pt>
                <c:pt idx="8">
                  <c:v>2.5109074140860774</c:v>
                </c:pt>
                <c:pt idx="9">
                  <c:v>2.9765410155191163</c:v>
                </c:pt>
                <c:pt idx="10">
                  <c:v>3.4421746169521548</c:v>
                </c:pt>
                <c:pt idx="11">
                  <c:v>4.3278623586498988</c:v>
                </c:pt>
                <c:pt idx="12">
                  <c:v>4.7261079272849127</c:v>
                </c:pt>
                <c:pt idx="13">
                  <c:v>5.0442201469639949</c:v>
                </c:pt>
                <c:pt idx="14">
                  <c:v>5.2897478448408304</c:v>
                </c:pt>
                <c:pt idx="15">
                  <c:v>5.4728783595173853</c:v>
                </c:pt>
              </c:numCache>
            </c:numRef>
          </c:xVal>
          <c:yVal>
            <c:numRef>
              <c:f>Guinier!$H$7:$H$22</c:f>
              <c:numCache>
                <c:formatCode>General</c:formatCode>
                <c:ptCount val="16"/>
                <c:pt idx="0">
                  <c:v>-3.7998956351600548E-2</c:v>
                </c:pt>
                <c:pt idx="1">
                  <c:v>0.14377111176683599</c:v>
                </c:pt>
                <c:pt idx="2">
                  <c:v>5.1610404257100513E-2</c:v>
                </c:pt>
                <c:pt idx="3">
                  <c:v>0</c:v>
                </c:pt>
                <c:pt idx="4">
                  <c:v>0</c:v>
                </c:pt>
                <c:pt idx="5">
                  <c:v>-8.4975660042612408E-2</c:v>
                </c:pt>
                <c:pt idx="6">
                  <c:v>0</c:v>
                </c:pt>
                <c:pt idx="7">
                  <c:v>-4.6176430074398381E-2</c:v>
                </c:pt>
                <c:pt idx="8">
                  <c:v>0</c:v>
                </c:pt>
                <c:pt idx="9">
                  <c:v>1.0296689218533548E-3</c:v>
                </c:pt>
                <c:pt idx="10">
                  <c:v>0</c:v>
                </c:pt>
                <c:pt idx="11">
                  <c:v>0</c:v>
                </c:pt>
                <c:pt idx="12">
                  <c:v>-0.10850497683727174</c:v>
                </c:pt>
                <c:pt idx="13">
                  <c:v>0</c:v>
                </c:pt>
                <c:pt idx="14">
                  <c:v>0.15487572598915134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0-4F4E-8605-F894D94F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19050</xdr:rowOff>
    </xdr:from>
    <xdr:to>
      <xdr:col>23</xdr:col>
      <xdr:colOff>66675</xdr:colOff>
      <xdr:row>30</xdr:row>
      <xdr:rowOff>47625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B3" sqref="B3"/>
    </sheetView>
  </sheetViews>
  <sheetFormatPr defaultRowHeight="14.35"/>
  <sheetData>
    <row r="2" spans="2:2">
      <c r="B2" t="s">
        <v>103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4"/>
  <sheetViews>
    <sheetView topLeftCell="A25" workbookViewId="0">
      <selection activeCell="C41" sqref="C41"/>
    </sheetView>
  </sheetViews>
  <sheetFormatPr defaultRowHeight="14.35"/>
  <sheetData>
    <row r="1" spans="2:2">
      <c r="B1" s="12" t="s">
        <v>81</v>
      </c>
    </row>
    <row r="2" spans="2:2">
      <c r="B2" t="s">
        <v>82</v>
      </c>
    </row>
    <row r="3" spans="2:2">
      <c r="B3" t="s">
        <v>108</v>
      </c>
    </row>
    <row r="5" spans="2:2">
      <c r="B5" s="12" t="s">
        <v>83</v>
      </c>
    </row>
    <row r="6" spans="2:2">
      <c r="B6" t="s">
        <v>109</v>
      </c>
    </row>
    <row r="7" spans="2:2">
      <c r="B7" t="s">
        <v>43</v>
      </c>
    </row>
    <row r="8" spans="2:2">
      <c r="B8" t="s">
        <v>110</v>
      </c>
    </row>
    <row r="9" spans="2:2">
      <c r="B9" t="s">
        <v>52</v>
      </c>
    </row>
    <row r="10" spans="2:2">
      <c r="B10" t="s">
        <v>44</v>
      </c>
    </row>
    <row r="11" spans="2:2">
      <c r="B11" t="s">
        <v>45</v>
      </c>
    </row>
    <row r="12" spans="2:2">
      <c r="B12" t="s">
        <v>46</v>
      </c>
    </row>
    <row r="13" spans="2:2">
      <c r="B13" t="s">
        <v>111</v>
      </c>
    </row>
    <row r="14" spans="2:2">
      <c r="B14" t="s">
        <v>47</v>
      </c>
    </row>
    <row r="15" spans="2:2">
      <c r="B15" t="s">
        <v>48</v>
      </c>
    </row>
    <row r="16" spans="2:2">
      <c r="B16" t="s">
        <v>49</v>
      </c>
    </row>
    <row r="17" spans="2:3" ht="17.350000000000001">
      <c r="B17" t="s">
        <v>70</v>
      </c>
    </row>
    <row r="18" spans="2:3">
      <c r="B18" t="s">
        <v>50</v>
      </c>
    </row>
    <row r="19" spans="2:3">
      <c r="B19" t="s">
        <v>51</v>
      </c>
    </row>
    <row r="21" spans="2:3">
      <c r="B21" s="12" t="s">
        <v>53</v>
      </c>
    </row>
    <row r="22" spans="2:3">
      <c r="B22">
        <v>1</v>
      </c>
      <c r="C22" t="s">
        <v>54</v>
      </c>
    </row>
    <row r="23" spans="2:3">
      <c r="B23">
        <v>2</v>
      </c>
      <c r="C23" t="s">
        <v>71</v>
      </c>
    </row>
    <row r="24" spans="2:3">
      <c r="B24">
        <v>3</v>
      </c>
      <c r="C24" t="s">
        <v>55</v>
      </c>
    </row>
    <row r="25" spans="2:3">
      <c r="B25">
        <v>4</v>
      </c>
      <c r="C25" t="s">
        <v>72</v>
      </c>
    </row>
    <row r="26" spans="2:3">
      <c r="C26" t="s">
        <v>73</v>
      </c>
    </row>
    <row r="27" spans="2:3">
      <c r="B27">
        <v>5</v>
      </c>
      <c r="C27" t="s">
        <v>56</v>
      </c>
    </row>
    <row r="28" spans="2:3" ht="16.350000000000001">
      <c r="B28">
        <v>6</v>
      </c>
      <c r="C28" t="s">
        <v>68</v>
      </c>
    </row>
    <row r="29" spans="2:3">
      <c r="B29">
        <v>7</v>
      </c>
      <c r="C29" t="s">
        <v>58</v>
      </c>
    </row>
    <row r="30" spans="2:3">
      <c r="B30">
        <v>8</v>
      </c>
      <c r="C30" t="s">
        <v>57</v>
      </c>
    </row>
    <row r="31" spans="2:3">
      <c r="B31">
        <v>9</v>
      </c>
      <c r="C31" t="s">
        <v>69</v>
      </c>
    </row>
    <row r="33" spans="2:3">
      <c r="B33">
        <v>10</v>
      </c>
      <c r="C33" t="s">
        <v>75</v>
      </c>
    </row>
    <row r="34" spans="2:3">
      <c r="C34" t="s">
        <v>84</v>
      </c>
    </row>
    <row r="35" spans="2:3">
      <c r="C35" t="s">
        <v>74</v>
      </c>
    </row>
    <row r="36" spans="2:3" ht="16.350000000000001">
      <c r="C36" t="s">
        <v>76</v>
      </c>
    </row>
    <row r="37" spans="2:3">
      <c r="B37">
        <v>11</v>
      </c>
      <c r="C37" t="s">
        <v>85</v>
      </c>
    </row>
    <row r="39" spans="2:3">
      <c r="B39" s="12" t="s">
        <v>112</v>
      </c>
    </row>
    <row r="40" spans="2:3">
      <c r="C40" t="s">
        <v>113</v>
      </c>
    </row>
    <row r="41" spans="2:3">
      <c r="C41" t="s">
        <v>99</v>
      </c>
    </row>
    <row r="42" spans="2:3">
      <c r="C42" t="s">
        <v>100</v>
      </c>
    </row>
    <row r="43" spans="2:3">
      <c r="C43" t="s">
        <v>101</v>
      </c>
    </row>
    <row r="44" spans="2:3">
      <c r="C44" t="s">
        <v>102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2"/>
  <sheetViews>
    <sheetView topLeftCell="B1" workbookViewId="0">
      <selection activeCell="P16" sqref="P16:Q23"/>
    </sheetView>
  </sheetViews>
  <sheetFormatPr defaultRowHeight="14.35"/>
  <cols>
    <col min="2" max="2" width="13.703125" customWidth="1"/>
    <col min="3" max="3" width="8.87890625" customWidth="1"/>
    <col min="4" max="4" width="15.703125" customWidth="1"/>
    <col min="5" max="5" width="1.703125" customWidth="1"/>
    <col min="6" max="6" width="12.41015625" customWidth="1"/>
    <col min="7" max="7" width="13.29296875" customWidth="1"/>
    <col min="8" max="8" width="14.5859375" customWidth="1"/>
    <col min="9" max="9" width="4" customWidth="1"/>
    <col min="10" max="10" width="12.703125" customWidth="1"/>
    <col min="11" max="11" width="10.41015625" customWidth="1"/>
    <col min="12" max="12" width="7.87890625" customWidth="1"/>
    <col min="13" max="13" width="10.29296875" customWidth="1"/>
    <col min="14" max="14" width="12.1171875" customWidth="1"/>
    <col min="15" max="15" width="0.87890625" customWidth="1"/>
    <col min="16" max="16" width="12.41015625" customWidth="1"/>
    <col min="18" max="18" width="0.703125" customWidth="1"/>
    <col min="19" max="19" width="13.29296875" customWidth="1"/>
    <col min="20" max="20" width="11.41015625" customWidth="1"/>
  </cols>
  <sheetData>
    <row r="1" spans="2:20" ht="14.7" thickBot="1"/>
    <row r="2" spans="2:20" ht="14.7" thickBot="1">
      <c r="B2" s="6" t="s">
        <v>28</v>
      </c>
      <c r="C2" s="6"/>
      <c r="D2" s="55">
        <v>44734</v>
      </c>
    </row>
    <row r="3" spans="2:20" ht="14.7" thickBot="1">
      <c r="B3" s="6" t="s">
        <v>21</v>
      </c>
      <c r="C3" s="6"/>
      <c r="D3" s="55" t="s">
        <v>26</v>
      </c>
      <c r="G3" s="12"/>
      <c r="H3" s="12"/>
    </row>
    <row r="4" spans="2:20" ht="14.7" thickBot="1">
      <c r="B4" s="6" t="s">
        <v>79</v>
      </c>
      <c r="C4" s="1"/>
      <c r="D4" s="50" t="s">
        <v>29</v>
      </c>
      <c r="E4" s="13"/>
      <c r="H4" s="12"/>
      <c r="I4" s="12"/>
    </row>
    <row r="5" spans="2:20" ht="14.7" thickBot="1">
      <c r="B5" s="6" t="s">
        <v>20</v>
      </c>
      <c r="C5" s="7" t="s">
        <v>19</v>
      </c>
      <c r="D5" s="1"/>
      <c r="E5" s="12"/>
    </row>
    <row r="6" spans="2:20" ht="14.7" thickBot="1">
      <c r="B6" s="1"/>
      <c r="C6" s="5" t="s">
        <v>5</v>
      </c>
      <c r="D6" s="18" t="s">
        <v>6</v>
      </c>
      <c r="E6" s="53" t="s">
        <v>7</v>
      </c>
      <c r="F6" s="51">
        <v>3.0000000000000001E-3</v>
      </c>
      <c r="G6" s="15"/>
      <c r="H6" s="1" t="s">
        <v>80</v>
      </c>
      <c r="I6" s="1"/>
    </row>
    <row r="7" spans="2:20" ht="16.350000000000001">
      <c r="B7" s="1"/>
      <c r="C7" s="5" t="s">
        <v>13</v>
      </c>
      <c r="D7" s="1"/>
      <c r="E7" s="19"/>
      <c r="F7" s="52">
        <v>4.9800000000000004</v>
      </c>
      <c r="G7" s="15"/>
      <c r="H7" s="1" t="s">
        <v>24</v>
      </c>
      <c r="I7" s="1"/>
      <c r="J7" s="54">
        <v>4.76</v>
      </c>
      <c r="K7" s="1" t="s">
        <v>22</v>
      </c>
    </row>
    <row r="8" spans="2:20" ht="16.350000000000001">
      <c r="B8" s="1"/>
      <c r="C8" s="5" t="s">
        <v>14</v>
      </c>
      <c r="D8" s="1"/>
      <c r="E8" s="14"/>
      <c r="F8" s="52">
        <v>13.57</v>
      </c>
      <c r="G8" s="15"/>
      <c r="H8" s="1" t="s">
        <v>25</v>
      </c>
      <c r="I8" s="1"/>
      <c r="J8" s="10">
        <f>J7*SQRT(3/5)</f>
        <v>3.6870801455894608</v>
      </c>
      <c r="K8" s="1" t="s">
        <v>22</v>
      </c>
    </row>
    <row r="9" spans="2:20" ht="16.350000000000001">
      <c r="B9" s="1"/>
      <c r="C9" s="5" t="s">
        <v>15</v>
      </c>
      <c r="D9" s="1"/>
      <c r="E9" s="14"/>
      <c r="F9" s="52">
        <v>-14.65</v>
      </c>
      <c r="G9" s="15"/>
      <c r="H9" s="1" t="s">
        <v>23</v>
      </c>
      <c r="I9" s="1"/>
      <c r="J9" s="11">
        <f>Lamnm/(Refin*Normalize!J7)</f>
        <v>108.20117520692487</v>
      </c>
      <c r="K9" s="1"/>
    </row>
    <row r="10" spans="2:20" ht="16.350000000000001">
      <c r="B10" s="1"/>
      <c r="C10" s="5" t="s">
        <v>16</v>
      </c>
      <c r="D10" s="1"/>
      <c r="E10" s="14"/>
      <c r="F10" s="52">
        <v>80</v>
      </c>
      <c r="G10" s="15"/>
      <c r="H10" s="1" t="s">
        <v>59</v>
      </c>
      <c r="I10" s="1"/>
      <c r="J10" s="9">
        <f>J8*(4*PI()*Refin/Lamnm)*SIN(RADIANS(D32/2))</f>
        <v>8.6256230633595776E-2</v>
      </c>
      <c r="K10" s="1"/>
    </row>
    <row r="11" spans="2:20" ht="17.350000000000001">
      <c r="B11" s="1"/>
      <c r="C11" s="5" t="s">
        <v>17</v>
      </c>
      <c r="D11" s="34"/>
      <c r="E11" s="14"/>
      <c r="F11" s="52">
        <v>4.93</v>
      </c>
      <c r="H11" s="1" t="s">
        <v>60</v>
      </c>
      <c r="I11" s="1"/>
      <c r="J11" s="8">
        <f>1-J10^2/3</f>
        <v>0.997519954225628</v>
      </c>
      <c r="K11" s="1"/>
    </row>
    <row r="12" spans="2:20">
      <c r="N12" s="38" t="s">
        <v>61</v>
      </c>
    </row>
    <row r="13" spans="2:20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64</v>
      </c>
      <c r="H13" s="6"/>
      <c r="I13" s="35"/>
      <c r="J13" s="6" t="s">
        <v>63</v>
      </c>
      <c r="K13" s="1"/>
      <c r="L13" s="7" t="s">
        <v>27</v>
      </c>
      <c r="M13" s="37" t="s">
        <v>65</v>
      </c>
      <c r="N13" s="39" t="s">
        <v>62</v>
      </c>
    </row>
    <row r="14" spans="2:20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6">
        <f>1-((4*PI()*Refin*SIN(RADIANS(D14/2)/Lamnm)*Rgyration)^2/3)</f>
        <v>1</v>
      </c>
      <c r="N14" s="17">
        <v>1</v>
      </c>
      <c r="P14" s="28" t="s">
        <v>66</v>
      </c>
      <c r="Q14" s="29"/>
      <c r="R14" s="12"/>
      <c r="S14" s="28" t="s">
        <v>67</v>
      </c>
      <c r="T14" s="29"/>
    </row>
    <row r="15" spans="2:20">
      <c r="B15" s="1"/>
      <c r="C15" s="5">
        <v>1</v>
      </c>
      <c r="D15" s="1">
        <v>22.5</v>
      </c>
      <c r="E15" s="1"/>
      <c r="F15" s="2" t="s">
        <v>2</v>
      </c>
      <c r="G15" s="2">
        <v>1.0549999999999999</v>
      </c>
      <c r="H15" s="4"/>
      <c r="I15" s="36"/>
      <c r="J15" s="2">
        <v>9.9000000000000005E-2</v>
      </c>
      <c r="K15" s="4"/>
      <c r="L15" s="2">
        <f>G15+H15-J15-K15</f>
        <v>0.95599999999999996</v>
      </c>
      <c r="M15" s="2">
        <f>1-((4*PI()*Refin*SIN(RADIANS(D15/2)/Lamnm)*Rgyration)^2/3)</f>
        <v>0.99989599707916177</v>
      </c>
      <c r="N15" s="26">
        <f t="shared" ref="N15:N32" si="0">M15/L15</f>
        <v>1.0459163149363617</v>
      </c>
      <c r="P15" s="30" t="s">
        <v>39</v>
      </c>
      <c r="Q15" s="31"/>
      <c r="R15" s="12"/>
      <c r="S15" s="30" t="s">
        <v>39</v>
      </c>
      <c r="T15" s="31"/>
    </row>
    <row r="16" spans="2:20">
      <c r="B16" s="1"/>
      <c r="C16" s="5">
        <v>2</v>
      </c>
      <c r="D16" s="1">
        <v>28</v>
      </c>
      <c r="E16" s="1"/>
      <c r="F16" s="2" t="s">
        <v>2</v>
      </c>
      <c r="G16" s="2">
        <v>0.71</v>
      </c>
      <c r="H16" s="4"/>
      <c r="I16" s="36"/>
      <c r="J16" s="2">
        <v>0.03</v>
      </c>
      <c r="K16" s="4"/>
      <c r="L16" s="2">
        <f>G16+H16-J16-K16</f>
        <v>0.67999999999999994</v>
      </c>
      <c r="M16" s="2">
        <f>1-((4*PI()*Refin*SIN(RADIANS(D16/2)/Lamnm)*Rgyration)^2/3)</f>
        <v>0.99983893671365542</v>
      </c>
      <c r="N16" s="26">
        <f>M16/L16</f>
        <v>1.4703513775200816</v>
      </c>
      <c r="P16" s="20" t="s">
        <v>31</v>
      </c>
      <c r="Q16" s="21">
        <v>740.78552000000002</v>
      </c>
      <c r="S16" s="20" t="s">
        <v>31</v>
      </c>
      <c r="T16" s="21">
        <v>3.5539800000000001</v>
      </c>
    </row>
    <row r="17" spans="2:20">
      <c r="B17" s="1"/>
      <c r="C17" s="5">
        <v>3</v>
      </c>
      <c r="D17" s="1">
        <v>32</v>
      </c>
      <c r="E17" s="1"/>
      <c r="F17" s="2" t="s">
        <v>2</v>
      </c>
      <c r="G17" s="2">
        <v>0.89</v>
      </c>
      <c r="H17" s="4"/>
      <c r="I17" s="36"/>
      <c r="J17" s="2">
        <v>1.2E-2</v>
      </c>
      <c r="K17" s="4"/>
      <c r="L17" s="2">
        <f>G17+H17-J17-K17</f>
        <v>0.878</v>
      </c>
      <c r="M17" s="2">
        <f>1-((4*PI()*Refin*SIN(RADIANS(D17/2)/Lamnm)*Rgyration)^2/3)</f>
        <v>0.99978963162873025</v>
      </c>
      <c r="N17" s="26">
        <f t="shared" si="0"/>
        <v>1.1387125644974148</v>
      </c>
      <c r="P17" s="20" t="s">
        <v>32</v>
      </c>
      <c r="Q17" s="21">
        <v>673.70159999999998</v>
      </c>
      <c r="S17" s="20" t="s">
        <v>32</v>
      </c>
      <c r="T17" s="21">
        <v>2.25895</v>
      </c>
    </row>
    <row r="18" spans="2:20">
      <c r="B18" s="1"/>
      <c r="C18" s="5">
        <v>4</v>
      </c>
      <c r="D18" s="1">
        <v>38</v>
      </c>
      <c r="E18" s="1"/>
      <c r="F18" s="32" t="s">
        <v>77</v>
      </c>
      <c r="G18" s="33" t="s">
        <v>78</v>
      </c>
      <c r="H18" s="4"/>
      <c r="I18" s="36"/>
      <c r="J18" s="33" t="s">
        <v>78</v>
      </c>
      <c r="K18" s="4"/>
      <c r="L18" s="33" t="s">
        <v>78</v>
      </c>
      <c r="M18" s="33" t="s">
        <v>78</v>
      </c>
      <c r="N18" s="33" t="s">
        <v>78</v>
      </c>
      <c r="P18" s="20" t="s">
        <v>33</v>
      </c>
      <c r="Q18" s="21">
        <v>670.29210999999998</v>
      </c>
      <c r="S18" s="20" t="s">
        <v>33</v>
      </c>
      <c r="T18" s="21">
        <v>3.7147000000000001</v>
      </c>
    </row>
    <row r="19" spans="2:20">
      <c r="B19" s="1"/>
      <c r="C19" s="5">
        <v>5</v>
      </c>
      <c r="D19" s="1">
        <v>44</v>
      </c>
      <c r="E19" s="1"/>
      <c r="F19" s="3" t="s">
        <v>1</v>
      </c>
      <c r="G19" s="4"/>
      <c r="H19" s="3">
        <f>Q16</f>
        <v>740.78552000000002</v>
      </c>
      <c r="I19" s="36"/>
      <c r="J19" s="4"/>
      <c r="K19" s="3">
        <f>T16</f>
        <v>3.5539800000000001</v>
      </c>
      <c r="L19" s="3">
        <f t="shared" ref="L19:L26" si="1">G19+H19-J19-K19</f>
        <v>737.23154</v>
      </c>
      <c r="M19" s="3">
        <f t="shared" ref="M19:M26" si="2">1-((4*PI()*Refin*SIN(RADIANS(D19/2)/Lamnm)*Rgyration)^2/3)</f>
        <v>0.99960227231769161</v>
      </c>
      <c r="N19" s="27">
        <f t="shared" si="0"/>
        <v>1.3558864726781652E-3</v>
      </c>
      <c r="P19" s="20" t="s">
        <v>34</v>
      </c>
      <c r="Q19" s="21">
        <v>682.39484000000004</v>
      </c>
      <c r="S19" s="20" t="s">
        <v>34</v>
      </c>
      <c r="T19" s="21">
        <v>10.291969999999999</v>
      </c>
    </row>
    <row r="20" spans="2:20">
      <c r="B20" s="1"/>
      <c r="C20" s="5">
        <v>6</v>
      </c>
      <c r="D20" s="1">
        <v>50</v>
      </c>
      <c r="E20" s="1"/>
      <c r="F20" s="3" t="s">
        <v>1</v>
      </c>
      <c r="G20" s="4"/>
      <c r="H20" s="3">
        <f>Q17</f>
        <v>673.70159999999998</v>
      </c>
      <c r="I20" s="36"/>
      <c r="J20" s="4"/>
      <c r="K20" s="3">
        <f>T17</f>
        <v>2.25895</v>
      </c>
      <c r="L20" s="3">
        <f t="shared" si="1"/>
        <v>671.44264999999996</v>
      </c>
      <c r="M20" s="3">
        <f t="shared" si="2"/>
        <v>0.99948640538459077</v>
      </c>
      <c r="N20" s="27">
        <f t="shared" si="0"/>
        <v>1.488565561607668E-3</v>
      </c>
      <c r="P20" s="20" t="s">
        <v>35</v>
      </c>
      <c r="Q20" s="21">
        <v>158.77825999999999</v>
      </c>
      <c r="S20" s="20" t="s">
        <v>35</v>
      </c>
      <c r="T20" s="21">
        <v>2.6678999999999999</v>
      </c>
    </row>
    <row r="21" spans="2:20">
      <c r="B21" s="1"/>
      <c r="C21" s="5">
        <v>7</v>
      </c>
      <c r="D21" s="1">
        <v>57</v>
      </c>
      <c r="E21" s="1"/>
      <c r="F21" s="2" t="s">
        <v>2</v>
      </c>
      <c r="G21" s="2">
        <v>1.2250000000000001</v>
      </c>
      <c r="H21" s="4"/>
      <c r="I21" s="36"/>
      <c r="J21" s="2">
        <v>3.4000000000000002E-2</v>
      </c>
      <c r="K21" s="4"/>
      <c r="L21" s="2">
        <f t="shared" si="1"/>
        <v>1.1910000000000001</v>
      </c>
      <c r="M21" s="2">
        <f t="shared" si="2"/>
        <v>0.9993325324648602</v>
      </c>
      <c r="N21" s="26">
        <f t="shared" si="0"/>
        <v>0.83907013641046191</v>
      </c>
      <c r="P21" s="20" t="s">
        <v>36</v>
      </c>
      <c r="Q21" s="21">
        <v>335.19778000000002</v>
      </c>
      <c r="S21" s="20" t="s">
        <v>36</v>
      </c>
      <c r="T21" s="21">
        <v>2.7578</v>
      </c>
    </row>
    <row r="22" spans="2:20">
      <c r="B22" s="1"/>
      <c r="C22" s="5">
        <v>8</v>
      </c>
      <c r="D22" s="1">
        <v>64</v>
      </c>
      <c r="E22" s="1"/>
      <c r="F22" s="3" t="s">
        <v>1</v>
      </c>
      <c r="G22" s="4"/>
      <c r="H22" s="3">
        <f>Q18</f>
        <v>670.29210999999998</v>
      </c>
      <c r="I22" s="36"/>
      <c r="J22" s="4"/>
      <c r="K22" s="3">
        <f>T18</f>
        <v>3.7147000000000001</v>
      </c>
      <c r="L22" s="3">
        <f t="shared" si="1"/>
        <v>666.57740999999999</v>
      </c>
      <c r="M22" s="3">
        <f t="shared" si="2"/>
        <v>0.99915852665476845</v>
      </c>
      <c r="N22" s="27">
        <f t="shared" si="0"/>
        <v>1.4989384753599263E-3</v>
      </c>
      <c r="P22" s="20" t="s">
        <v>37</v>
      </c>
      <c r="Q22" s="21">
        <v>343.32474000000002</v>
      </c>
      <c r="S22" s="20" t="s">
        <v>37</v>
      </c>
      <c r="T22" s="21">
        <v>4.8051199999999996</v>
      </c>
    </row>
    <row r="23" spans="2:20" ht="14.7" thickBot="1">
      <c r="B23" s="1"/>
      <c r="C23" s="5">
        <v>9</v>
      </c>
      <c r="D23" s="1">
        <v>72</v>
      </c>
      <c r="E23" s="1"/>
      <c r="F23" s="2" t="s">
        <v>2</v>
      </c>
      <c r="G23" s="2">
        <v>1.113</v>
      </c>
      <c r="H23" s="4"/>
      <c r="I23" s="36"/>
      <c r="J23" s="2">
        <v>1.2E-2</v>
      </c>
      <c r="K23" s="4"/>
      <c r="L23" s="2">
        <f t="shared" si="1"/>
        <v>1.101</v>
      </c>
      <c r="M23" s="2">
        <f t="shared" si="2"/>
        <v>0.99893501036012677</v>
      </c>
      <c r="N23" s="26">
        <f t="shared" si="0"/>
        <v>0.90729792039975188</v>
      </c>
      <c r="P23" s="22" t="s">
        <v>38</v>
      </c>
      <c r="Q23" s="23">
        <v>594.85730000000001</v>
      </c>
      <c r="S23" s="22" t="s">
        <v>38</v>
      </c>
      <c r="T23" s="23">
        <v>5.1014600000000003</v>
      </c>
    </row>
    <row r="24" spans="2:20">
      <c r="B24" s="1"/>
      <c r="C24" s="5">
        <v>10</v>
      </c>
      <c r="D24" s="1">
        <v>81</v>
      </c>
      <c r="E24" s="1"/>
      <c r="F24" s="3" t="s">
        <v>1</v>
      </c>
      <c r="G24" s="4"/>
      <c r="H24" s="3">
        <f>Q19</f>
        <v>682.39484000000004</v>
      </c>
      <c r="I24" s="36"/>
      <c r="J24" s="4"/>
      <c r="K24" s="3">
        <f>T19</f>
        <v>10.291969999999999</v>
      </c>
      <c r="L24" s="3">
        <f t="shared" si="1"/>
        <v>672.10287000000005</v>
      </c>
      <c r="M24" s="3">
        <f t="shared" si="2"/>
        <v>0.9986521225874454</v>
      </c>
      <c r="N24" s="27">
        <f t="shared" si="0"/>
        <v>1.4858620118486405E-3</v>
      </c>
    </row>
    <row r="25" spans="2:20">
      <c r="B25" s="1"/>
      <c r="C25" s="5">
        <v>11</v>
      </c>
      <c r="D25" s="1">
        <v>90</v>
      </c>
      <c r="E25" s="1"/>
      <c r="F25" s="2" t="s">
        <v>2</v>
      </c>
      <c r="G25" s="2">
        <v>0.998</v>
      </c>
      <c r="H25" s="4"/>
      <c r="I25" s="36"/>
      <c r="J25" s="2">
        <v>8.9999999999999993E-3</v>
      </c>
      <c r="K25" s="4"/>
      <c r="L25" s="2">
        <f t="shared" si="1"/>
        <v>0.98899999999999999</v>
      </c>
      <c r="M25" s="2">
        <f t="shared" si="2"/>
        <v>0.99833595395020769</v>
      </c>
      <c r="N25" s="26">
        <f t="shared" si="0"/>
        <v>1.0094397916584505</v>
      </c>
    </row>
    <row r="26" spans="2:20">
      <c r="B26" s="1"/>
      <c r="C26" s="5">
        <v>12</v>
      </c>
      <c r="D26" s="1">
        <v>99</v>
      </c>
      <c r="E26" s="1"/>
      <c r="F26" s="3" t="s">
        <v>1</v>
      </c>
      <c r="G26" s="4"/>
      <c r="H26" s="3">
        <f>Q20</f>
        <v>158.77825999999999</v>
      </c>
      <c r="I26" s="36"/>
      <c r="J26" s="4"/>
      <c r="K26" s="3">
        <f>T20</f>
        <v>2.6678999999999999</v>
      </c>
      <c r="L26" s="3">
        <f t="shared" si="1"/>
        <v>156.11035999999999</v>
      </c>
      <c r="M26" s="3">
        <f t="shared" si="2"/>
        <v>0.99798650446503934</v>
      </c>
      <c r="N26" s="27">
        <f t="shared" si="0"/>
        <v>6.3928268723807916E-3</v>
      </c>
    </row>
    <row r="27" spans="2:20">
      <c r="B27" s="1"/>
      <c r="C27" s="5">
        <v>13</v>
      </c>
      <c r="D27" s="1">
        <v>108</v>
      </c>
      <c r="E27" s="1"/>
      <c r="F27" s="32" t="s">
        <v>77</v>
      </c>
      <c r="G27" s="33" t="s">
        <v>78</v>
      </c>
      <c r="H27" s="4"/>
      <c r="I27" s="36"/>
      <c r="J27" s="33" t="s">
        <v>78</v>
      </c>
      <c r="K27" s="4"/>
      <c r="L27" s="33" t="s">
        <v>78</v>
      </c>
      <c r="M27" s="33" t="s">
        <v>78</v>
      </c>
      <c r="N27" s="33" t="s">
        <v>78</v>
      </c>
    </row>
    <row r="28" spans="2:20">
      <c r="B28" s="1"/>
      <c r="C28" s="5">
        <v>14</v>
      </c>
      <c r="D28" s="1">
        <v>117</v>
      </c>
      <c r="E28" s="1"/>
      <c r="F28" s="3" t="s">
        <v>1</v>
      </c>
      <c r="G28" s="4"/>
      <c r="H28" s="3">
        <f>Q21</f>
        <v>335.19778000000002</v>
      </c>
      <c r="I28" s="36"/>
      <c r="J28" s="4"/>
      <c r="K28" s="3">
        <f>T21</f>
        <v>2.7578</v>
      </c>
      <c r="L28" s="3">
        <f>G28+H28-J28-K28</f>
        <v>332.43998000000005</v>
      </c>
      <c r="M28" s="3">
        <f>1-((4*PI()*Refin*SIN(RADIANS(D28/2)/Lamnm)*Rgyration)^2/3)</f>
        <v>0.99718776302616341</v>
      </c>
      <c r="N28" s="27">
        <f t="shared" si="0"/>
        <v>2.9996024034960032E-3</v>
      </c>
    </row>
    <row r="29" spans="2:20">
      <c r="B29" s="1"/>
      <c r="C29" s="5">
        <v>15</v>
      </c>
      <c r="D29" s="1">
        <v>126</v>
      </c>
      <c r="E29" s="1"/>
      <c r="F29" s="2" t="s">
        <v>2</v>
      </c>
      <c r="G29" s="2">
        <v>1.28</v>
      </c>
      <c r="H29" s="4"/>
      <c r="I29" s="36"/>
      <c r="J29" s="2">
        <v>1.7000000000000001E-2</v>
      </c>
      <c r="K29" s="4"/>
      <c r="L29" s="2">
        <f>G29+H29-J29-K29</f>
        <v>1.2630000000000001</v>
      </c>
      <c r="M29" s="2">
        <f>1-((4*PI()*Refin*SIN(RADIANS(D29/2)/Lamnm)*Rgyration)^2/3)</f>
        <v>0.99673847111445724</v>
      </c>
      <c r="N29" s="26">
        <f t="shared" si="0"/>
        <v>0.78918327087447127</v>
      </c>
    </row>
    <row r="30" spans="2:20">
      <c r="B30" s="1"/>
      <c r="C30" s="5">
        <v>16</v>
      </c>
      <c r="D30" s="1">
        <v>134</v>
      </c>
      <c r="E30" s="1"/>
      <c r="F30" s="3" t="s">
        <v>1</v>
      </c>
      <c r="G30" s="4"/>
      <c r="H30" s="3">
        <f>Q22</f>
        <v>343.32474000000002</v>
      </c>
      <c r="I30" s="36"/>
      <c r="J30" s="4"/>
      <c r="K30" s="3">
        <f>T22</f>
        <v>4.8051199999999996</v>
      </c>
      <c r="L30" s="3">
        <f>G30+H30-J30-K30</f>
        <v>338.51962000000003</v>
      </c>
      <c r="M30" s="3">
        <f>1-((4*PI()*Refin*SIN(RADIANS(D30/2)/Lamnm)*Rgyration)^2/3)</f>
        <v>0.99631116111874596</v>
      </c>
      <c r="N30" s="27">
        <f t="shared" si="0"/>
        <v>2.9431415559273812E-3</v>
      </c>
    </row>
    <row r="31" spans="2:20">
      <c r="B31" s="1"/>
      <c r="C31" s="5">
        <v>17</v>
      </c>
      <c r="D31" s="1">
        <v>141</v>
      </c>
      <c r="E31" s="1"/>
      <c r="F31" s="2" t="s">
        <v>2</v>
      </c>
      <c r="G31" s="2">
        <v>0.70499999999999996</v>
      </c>
      <c r="H31" s="4"/>
      <c r="I31" s="36"/>
      <c r="J31" s="2">
        <v>1.2E-2</v>
      </c>
      <c r="K31" s="4"/>
      <c r="L31" s="2">
        <f>G31+H31-J31-K31</f>
        <v>0.69299999999999995</v>
      </c>
      <c r="M31" s="2">
        <f>1-((4*PI()*Refin*SIN(RADIANS(D31/2)/Lamnm)*Rgyration)^2/3)</f>
        <v>0.9959156940209003</v>
      </c>
      <c r="N31" s="26">
        <f t="shared" si="0"/>
        <v>1.4371077835799428</v>
      </c>
    </row>
    <row r="32" spans="2:20">
      <c r="B32" s="1"/>
      <c r="C32" s="5">
        <v>18</v>
      </c>
      <c r="D32" s="1">
        <v>147</v>
      </c>
      <c r="E32" s="1"/>
      <c r="F32" s="3" t="s">
        <v>1</v>
      </c>
      <c r="G32" s="4"/>
      <c r="H32" s="3">
        <f>Q23</f>
        <v>594.85730000000001</v>
      </c>
      <c r="I32" s="36"/>
      <c r="J32" s="4"/>
      <c r="K32" s="3">
        <f>T23</f>
        <v>5.1014600000000003</v>
      </c>
      <c r="L32" s="3">
        <f>G32+H32-J32-K32</f>
        <v>589.75584000000003</v>
      </c>
      <c r="M32" s="3">
        <f>1-((4*PI()*Refin*SIN(RADIANS(D32/2)/Lamnm)*Rgyration)^2/3)</f>
        <v>0.99556069817153581</v>
      </c>
      <c r="N32" s="27">
        <f t="shared" si="0"/>
        <v>1.6880895968262657E-3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2"/>
  <sheetViews>
    <sheetView tabSelected="1" workbookViewId="0">
      <selection activeCell="D4" sqref="D4"/>
    </sheetView>
  </sheetViews>
  <sheetFormatPr defaultRowHeight="14.35"/>
  <cols>
    <col min="2" max="2" width="11" customWidth="1"/>
    <col min="4" max="4" width="13.5859375" customWidth="1"/>
    <col min="5" max="5" width="2" customWidth="1"/>
    <col min="6" max="6" width="10.41015625" customWidth="1"/>
    <col min="8" max="8" width="14.87890625" customWidth="1"/>
    <col min="9" max="9" width="4" customWidth="1"/>
    <col min="10" max="10" width="12.41015625" customWidth="1"/>
    <col min="11" max="11" width="11" customWidth="1"/>
    <col min="13" max="13" width="10.41015625" customWidth="1"/>
    <col min="14" max="14" width="2.703125" customWidth="1"/>
    <col min="16" max="16" width="12.5859375" customWidth="1"/>
    <col min="17" max="17" width="9" customWidth="1"/>
    <col min="19" max="19" width="12.29296875" customWidth="1"/>
  </cols>
  <sheetData>
    <row r="1" spans="2:19" ht="14.7" thickBot="1"/>
    <row r="2" spans="2:19" ht="14.7" thickBot="1">
      <c r="B2" s="6" t="s">
        <v>105</v>
      </c>
      <c r="C2" s="6"/>
      <c r="D2" s="48" t="s">
        <v>107</v>
      </c>
    </row>
    <row r="3" spans="2:19" ht="14.7" thickBot="1">
      <c r="B3" s="6" t="s">
        <v>106</v>
      </c>
      <c r="C3" s="6"/>
      <c r="D3" s="49" t="s">
        <v>114</v>
      </c>
      <c r="G3" s="12"/>
      <c r="H3" s="12"/>
    </row>
    <row r="4" spans="2:19" ht="14.7" thickBot="1">
      <c r="B4" s="6" t="s">
        <v>79</v>
      </c>
      <c r="C4" s="1"/>
      <c r="D4" s="50" t="s">
        <v>29</v>
      </c>
      <c r="E4" s="13"/>
      <c r="H4" s="12"/>
      <c r="I4" s="12"/>
    </row>
    <row r="5" spans="2:19" ht="14.7" thickBot="1">
      <c r="B5" s="6" t="s">
        <v>20</v>
      </c>
      <c r="C5" s="7" t="s">
        <v>19</v>
      </c>
      <c r="D5" s="1"/>
    </row>
    <row r="6" spans="2:19" ht="14.7" thickBot="1">
      <c r="B6" s="1"/>
      <c r="C6" s="5" t="s">
        <v>5</v>
      </c>
      <c r="D6" s="18" t="s">
        <v>6</v>
      </c>
      <c r="E6" s="53" t="s">
        <v>7</v>
      </c>
      <c r="F6" s="51">
        <v>1E-3</v>
      </c>
      <c r="G6" s="15"/>
      <c r="H6" s="1" t="s">
        <v>80</v>
      </c>
      <c r="I6" s="1"/>
    </row>
    <row r="7" spans="2:19" ht="16.350000000000001">
      <c r="B7" s="1"/>
      <c r="C7" s="5" t="s">
        <v>13</v>
      </c>
      <c r="D7" s="1"/>
      <c r="E7" s="19"/>
      <c r="F7" s="52">
        <v>4.9800000000000004</v>
      </c>
      <c r="G7" s="15"/>
      <c r="H7" s="1" t="s">
        <v>24</v>
      </c>
      <c r="I7" s="1"/>
      <c r="J7" s="54">
        <v>53.9</v>
      </c>
      <c r="K7" s="1" t="s">
        <v>22</v>
      </c>
    </row>
    <row r="8" spans="2:19" ht="16.350000000000001">
      <c r="B8" s="1"/>
      <c r="C8" s="5" t="s">
        <v>14</v>
      </c>
      <c r="D8" s="1"/>
      <c r="E8" s="14"/>
      <c r="F8" s="52">
        <v>15.04</v>
      </c>
      <c r="G8" s="15"/>
      <c r="H8" s="1" t="s">
        <v>25</v>
      </c>
      <c r="I8" s="1"/>
      <c r="J8" s="10">
        <f>J7*SQRT(3/5)</f>
        <v>41.750760472115957</v>
      </c>
      <c r="K8" s="1" t="s">
        <v>22</v>
      </c>
    </row>
    <row r="9" spans="2:19" ht="16.350000000000001">
      <c r="B9" s="1"/>
      <c r="C9" s="5" t="s">
        <v>15</v>
      </c>
      <c r="D9" s="1"/>
      <c r="E9" s="14"/>
      <c r="F9" s="52">
        <v>14.89</v>
      </c>
      <c r="G9" s="15"/>
      <c r="H9" s="1" t="s">
        <v>23</v>
      </c>
      <c r="I9" s="1"/>
      <c r="J9" s="11">
        <f>Lamnm/(Refin*J7)</f>
        <v>9.5554284598323278</v>
      </c>
      <c r="K9" s="1"/>
    </row>
    <row r="10" spans="2:19" ht="16.350000000000001">
      <c r="B10" s="1"/>
      <c r="C10" s="5" t="s">
        <v>16</v>
      </c>
      <c r="D10" s="1"/>
      <c r="E10" s="14"/>
      <c r="F10" s="52">
        <v>79.2</v>
      </c>
      <c r="G10" s="15"/>
      <c r="H10" s="1" t="s">
        <v>59</v>
      </c>
      <c r="I10" s="1"/>
      <c r="J10" s="9">
        <f>J8*(4*PI()*Refin/Lamnm)*SIN(RADIANS(D32/2))</f>
        <v>0.97672496452748148</v>
      </c>
      <c r="K10" s="1"/>
    </row>
    <row r="11" spans="2:19" ht="17.350000000000001">
      <c r="B11" s="1"/>
      <c r="C11" s="5" t="s">
        <v>17</v>
      </c>
      <c r="D11" s="34"/>
      <c r="E11" s="14"/>
      <c r="F11" s="52">
        <v>4.92</v>
      </c>
      <c r="H11" s="1" t="s">
        <v>60</v>
      </c>
      <c r="I11" s="1"/>
      <c r="J11" s="8">
        <f>1-J10^2/3</f>
        <v>0.68200278122293001</v>
      </c>
      <c r="K11" s="1"/>
      <c r="M11" s="40"/>
      <c r="O11" s="40"/>
    </row>
    <row r="12" spans="2:19">
      <c r="M12" s="6" t="s">
        <v>87</v>
      </c>
    </row>
    <row r="13" spans="2:19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104</v>
      </c>
      <c r="H13" s="6"/>
      <c r="I13" s="35"/>
      <c r="J13" s="6" t="s">
        <v>63</v>
      </c>
      <c r="K13" s="1"/>
      <c r="L13" s="7" t="s">
        <v>27</v>
      </c>
      <c r="M13" s="6" t="s">
        <v>88</v>
      </c>
    </row>
    <row r="14" spans="2:19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17">
        <v>1</v>
      </c>
      <c r="O14" s="28" t="s">
        <v>66</v>
      </c>
      <c r="P14" s="29"/>
      <c r="Q14" s="12"/>
      <c r="R14" s="28" t="s">
        <v>67</v>
      </c>
      <c r="S14" s="29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>
        <v>1</v>
      </c>
      <c r="H15" s="4"/>
      <c r="I15" s="36"/>
      <c r="J15" s="2">
        <v>0.124</v>
      </c>
      <c r="K15" s="4"/>
      <c r="L15" s="2">
        <f>G15+H15-J15-K15</f>
        <v>0.876</v>
      </c>
      <c r="M15" s="26">
        <f>Normalize!N15*L15</f>
        <v>0.91622269188425287</v>
      </c>
      <c r="O15" s="30" t="s">
        <v>39</v>
      </c>
      <c r="P15" s="31"/>
      <c r="Q15" s="12"/>
      <c r="R15" s="30" t="s">
        <v>39</v>
      </c>
      <c r="S15" s="31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>
        <v>1</v>
      </c>
      <c r="H16" s="4"/>
      <c r="I16" s="36"/>
      <c r="J16" s="2">
        <v>5.2999999999999999E-2</v>
      </c>
      <c r="K16" s="4"/>
      <c r="L16" s="2">
        <f>G16+H16-J16-K16</f>
        <v>0.94699999999999995</v>
      </c>
      <c r="M16" s="26">
        <f>Normalize!N16*L16</f>
        <v>1.3924227545115173</v>
      </c>
      <c r="O16" s="20" t="s">
        <v>31</v>
      </c>
      <c r="P16" s="21">
        <v>1</v>
      </c>
      <c r="R16" s="20" t="s">
        <v>31</v>
      </c>
      <c r="S16" s="21">
        <v>3.5539800000000001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>
        <v>1</v>
      </c>
      <c r="H17" s="4"/>
      <c r="I17" s="36"/>
      <c r="J17" s="2">
        <v>1.0999999999999999E-2</v>
      </c>
      <c r="K17" s="4"/>
      <c r="L17" s="2">
        <f>G17+H17-J17-K17</f>
        <v>0.98899999999999999</v>
      </c>
      <c r="M17" s="26">
        <f>Normalize!N17*L17</f>
        <v>1.1261867262879433</v>
      </c>
      <c r="O17" s="20" t="s">
        <v>32</v>
      </c>
      <c r="P17" s="21">
        <v>1</v>
      </c>
      <c r="R17" s="20" t="s">
        <v>32</v>
      </c>
      <c r="S17" s="21">
        <v>2.25895</v>
      </c>
    </row>
    <row r="18" spans="2:19">
      <c r="B18" s="1"/>
      <c r="C18" s="5">
        <v>4</v>
      </c>
      <c r="D18" s="1">
        <v>38</v>
      </c>
      <c r="E18" s="1"/>
      <c r="F18" s="32" t="s">
        <v>77</v>
      </c>
      <c r="G18" s="33" t="s">
        <v>78</v>
      </c>
      <c r="H18" s="4"/>
      <c r="I18" s="36"/>
      <c r="J18" s="33" t="s">
        <v>78</v>
      </c>
      <c r="K18" s="4"/>
      <c r="L18" s="33" t="s">
        <v>78</v>
      </c>
      <c r="M18" s="33" t="str">
        <f>Normalize!N18</f>
        <v>---</v>
      </c>
      <c r="O18" s="20" t="s">
        <v>33</v>
      </c>
      <c r="P18" s="21">
        <v>1</v>
      </c>
      <c r="R18" s="20" t="s">
        <v>33</v>
      </c>
      <c r="S18" s="21">
        <v>3.7147000000000001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1</v>
      </c>
      <c r="I19" s="36"/>
      <c r="J19" s="4"/>
      <c r="K19" s="3">
        <f>S16</f>
        <v>3.5539800000000001</v>
      </c>
      <c r="L19" s="3">
        <f t="shared" ref="L19:L26" si="0">G19+H19-J19-K19</f>
        <v>-2.5539800000000001</v>
      </c>
      <c r="M19" s="26">
        <f>Normalize!N19*L19</f>
        <v>-3.4629069334905804E-3</v>
      </c>
      <c r="O19" s="20" t="s">
        <v>34</v>
      </c>
      <c r="P19" s="21">
        <v>1</v>
      </c>
      <c r="R19" s="20" t="s">
        <v>34</v>
      </c>
      <c r="S19" s="21">
        <v>10.291969999999999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1</v>
      </c>
      <c r="I20" s="36"/>
      <c r="J20" s="4"/>
      <c r="K20" s="3">
        <f>S17</f>
        <v>2.25895</v>
      </c>
      <c r="L20" s="3">
        <f t="shared" si="0"/>
        <v>-1.25895</v>
      </c>
      <c r="M20" s="26">
        <f>Normalize!N20*L20</f>
        <v>-1.8740296137859736E-3</v>
      </c>
      <c r="O20" s="20" t="s">
        <v>35</v>
      </c>
      <c r="P20" s="21">
        <v>1</v>
      </c>
      <c r="R20" s="20" t="s">
        <v>35</v>
      </c>
      <c r="S20" s="21">
        <v>2.6678999999999999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>
        <v>1</v>
      </c>
      <c r="H21" s="4"/>
      <c r="I21" s="36"/>
      <c r="J21" s="2">
        <v>0.02</v>
      </c>
      <c r="K21" s="4"/>
      <c r="L21" s="2">
        <f t="shared" si="0"/>
        <v>0.98</v>
      </c>
      <c r="M21" s="26">
        <f>Normalize!N21*L21</f>
        <v>0.82228873368225264</v>
      </c>
      <c r="O21" s="20" t="s">
        <v>36</v>
      </c>
      <c r="P21" s="21">
        <v>1</v>
      </c>
      <c r="R21" s="20" t="s">
        <v>36</v>
      </c>
      <c r="S21" s="21">
        <v>2.7578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1</v>
      </c>
      <c r="I22" s="36"/>
      <c r="J22" s="4"/>
      <c r="K22" s="3">
        <f>S18</f>
        <v>3.7147000000000001</v>
      </c>
      <c r="L22" s="3">
        <f t="shared" si="0"/>
        <v>-2.7147000000000001</v>
      </c>
      <c r="M22" s="26">
        <f>Normalize!N22*L22</f>
        <v>-4.069168279059592E-3</v>
      </c>
      <c r="O22" s="20" t="s">
        <v>37</v>
      </c>
      <c r="P22" s="21">
        <v>1</v>
      </c>
      <c r="R22" s="20" t="s">
        <v>37</v>
      </c>
      <c r="S22" s="21">
        <v>4.8051199999999996</v>
      </c>
    </row>
    <row r="23" spans="2:19" ht="14.7" thickBot="1">
      <c r="B23" s="1"/>
      <c r="C23" s="5">
        <v>9</v>
      </c>
      <c r="D23" s="1">
        <v>72</v>
      </c>
      <c r="E23" s="1"/>
      <c r="F23" s="2" t="s">
        <v>2</v>
      </c>
      <c r="G23" s="2">
        <v>1</v>
      </c>
      <c r="H23" s="4"/>
      <c r="I23" s="36"/>
      <c r="J23" s="2">
        <v>8.9999999999999993E-3</v>
      </c>
      <c r="K23" s="4"/>
      <c r="L23" s="2">
        <f t="shared" si="0"/>
        <v>0.99099999999999999</v>
      </c>
      <c r="M23" s="26">
        <f>Normalize!N23*L23</f>
        <v>0.89913223911615414</v>
      </c>
      <c r="O23" s="22" t="s">
        <v>38</v>
      </c>
      <c r="P23" s="23">
        <v>1</v>
      </c>
      <c r="R23" s="22" t="s">
        <v>38</v>
      </c>
      <c r="S23" s="23">
        <v>5.1014600000000003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1</v>
      </c>
      <c r="I24" s="36"/>
      <c r="J24" s="4"/>
      <c r="K24" s="3">
        <f>S19</f>
        <v>10.291969999999999</v>
      </c>
      <c r="L24" s="3">
        <f t="shared" si="0"/>
        <v>-9.2919699999999992</v>
      </c>
      <c r="M24" s="26">
        <f>Normalize!N24*L24</f>
        <v>-1.3806585238237211E-2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>
        <v>1</v>
      </c>
      <c r="H25" s="4"/>
      <c r="I25" s="36"/>
      <c r="J25" s="2">
        <v>7.0000000000000001E-3</v>
      </c>
      <c r="K25" s="4"/>
      <c r="L25" s="2">
        <f t="shared" si="0"/>
        <v>0.99299999999999999</v>
      </c>
      <c r="M25" s="26">
        <f>Normalize!N25*L25</f>
        <v>1.0023737131168413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1</v>
      </c>
      <c r="I26" s="36"/>
      <c r="J26" s="4"/>
      <c r="K26" s="3">
        <f>S20</f>
        <v>2.6678999999999999</v>
      </c>
      <c r="L26" s="3">
        <f t="shared" si="0"/>
        <v>-1.6678999999999999</v>
      </c>
      <c r="M26" s="26">
        <f>Normalize!N26*L26</f>
        <v>-1.0662595940443923E-2</v>
      </c>
    </row>
    <row r="27" spans="2:19">
      <c r="B27" s="1"/>
      <c r="C27" s="5">
        <v>13</v>
      </c>
      <c r="D27" s="1">
        <v>108</v>
      </c>
      <c r="E27" s="1"/>
      <c r="F27" s="32" t="s">
        <v>77</v>
      </c>
      <c r="G27" s="33" t="s">
        <v>78</v>
      </c>
      <c r="H27" s="4"/>
      <c r="I27" s="36"/>
      <c r="J27" s="33" t="s">
        <v>78</v>
      </c>
      <c r="K27" s="4"/>
      <c r="L27" s="33" t="s">
        <v>78</v>
      </c>
      <c r="M27" s="33" t="str">
        <f>Normalize!N27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1</v>
      </c>
      <c r="I28" s="36"/>
      <c r="J28" s="4"/>
      <c r="K28" s="3">
        <f>S21</f>
        <v>2.7578</v>
      </c>
      <c r="L28" s="3">
        <f>G28+H28-J28-K28</f>
        <v>-1.7578</v>
      </c>
      <c r="M28" s="26">
        <f>Normalize!N28*L28</f>
        <v>-5.2727011048652747E-3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>
        <v>1</v>
      </c>
      <c r="H29" s="4"/>
      <c r="I29" s="36"/>
      <c r="J29" s="2">
        <v>1.2999999999999999E-2</v>
      </c>
      <c r="K29" s="4"/>
      <c r="L29" s="2">
        <f>G29+H29-J29-K29</f>
        <v>0.98699999999999999</v>
      </c>
      <c r="M29" s="26">
        <f>Normalize!N29*L29</f>
        <v>0.77892388835310311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1</v>
      </c>
      <c r="I30" s="36"/>
      <c r="J30" s="4"/>
      <c r="K30" s="3">
        <f>S22</f>
        <v>4.8051199999999996</v>
      </c>
      <c r="L30" s="3">
        <f>G30+H30-J30-K30</f>
        <v>-3.8051199999999996</v>
      </c>
      <c r="M30" s="26">
        <f>Normalize!N30*L30</f>
        <v>-1.1199006797290396E-2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>
        <v>1</v>
      </c>
      <c r="H31" s="4"/>
      <c r="I31" s="36"/>
      <c r="J31" s="2">
        <v>6.0000000000000001E-3</v>
      </c>
      <c r="K31" s="4"/>
      <c r="L31" s="2">
        <f>G31+H31-J31-K31</f>
        <v>0.99399999999999999</v>
      </c>
      <c r="M31" s="26">
        <f>Normalize!N31*L31</f>
        <v>1.4284851368784632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1</v>
      </c>
      <c r="I32" s="36"/>
      <c r="J32" s="4"/>
      <c r="K32" s="3">
        <f>S23</f>
        <v>5.1014600000000003</v>
      </c>
      <c r="L32" s="3">
        <f>G32+H32-J32-K32</f>
        <v>-4.1014600000000003</v>
      </c>
      <c r="M32" s="26">
        <f>Normalize!N32*L32</f>
        <v>-6.9236319577990566E-3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L27"/>
  <sheetViews>
    <sheetView zoomScale="55" zoomScaleNormal="55" workbookViewId="0">
      <selection activeCell="K27" sqref="K27"/>
    </sheetView>
  </sheetViews>
  <sheetFormatPr defaultRowHeight="14.35"/>
  <cols>
    <col min="3" max="3" width="12.29296875" customWidth="1"/>
    <col min="4" max="4" width="8.87890625" customWidth="1"/>
    <col min="5" max="6" width="12.29296875" customWidth="1"/>
    <col min="7" max="7" width="9.703125" customWidth="1"/>
    <col min="8" max="8" width="12.29296875" bestFit="1" customWidth="1"/>
    <col min="10" max="10" width="12.87890625" customWidth="1"/>
  </cols>
  <sheetData>
    <row r="5" spans="2:8">
      <c r="G5" s="42" t="s">
        <v>87</v>
      </c>
    </row>
    <row r="6" spans="2:8" ht="17.350000000000001">
      <c r="B6" s="1" t="s">
        <v>86</v>
      </c>
      <c r="C6" s="1" t="s">
        <v>40</v>
      </c>
      <c r="D6" s="1" t="s">
        <v>89</v>
      </c>
      <c r="E6" s="1" t="s">
        <v>92</v>
      </c>
      <c r="F6" s="1" t="s">
        <v>93</v>
      </c>
      <c r="G6" s="41" t="s">
        <v>90</v>
      </c>
      <c r="H6" s="5" t="s">
        <v>91</v>
      </c>
    </row>
    <row r="7" spans="2:8">
      <c r="B7" s="5">
        <f>'Measure Unknown '!C15</f>
        <v>1</v>
      </c>
      <c r="C7" s="5">
        <f>'Measure Unknown '!D15</f>
        <v>22.5</v>
      </c>
      <c r="D7" s="41">
        <f t="shared" ref="D7:D22" si="0">4*PI()*Refin*SIN(RADIANS(C7/2))/Lamcm</f>
        <v>47599.967815182856</v>
      </c>
      <c r="E7" s="41">
        <f>D7*D7/10000000000</f>
        <v>0.22657569360064436</v>
      </c>
      <c r="F7" s="41">
        <f>(D7/10000000)^2/0.0001</f>
        <v>0.22657569360064439</v>
      </c>
      <c r="G7" s="41">
        <f>'Measure Unknown '!M15</f>
        <v>0.91622269188425287</v>
      </c>
      <c r="H7" s="41">
        <f>LOG(G7)</f>
        <v>-3.7998956351600548E-2</v>
      </c>
    </row>
    <row r="8" spans="2:8">
      <c r="B8" s="5">
        <f>'Measure Unknown '!C16</f>
        <v>2</v>
      </c>
      <c r="C8" s="5">
        <f>'Measure Unknown '!D16</f>
        <v>28</v>
      </c>
      <c r="D8" s="41">
        <f t="shared" si="0"/>
        <v>59026.37468290313</v>
      </c>
      <c r="E8" s="41">
        <f t="shared" ref="E8:E22" si="1">D8*D8/10000000000</f>
        <v>0.34841129082064676</v>
      </c>
      <c r="F8" s="41">
        <f t="shared" ref="F8:F22" si="2">(D8/10000000)^2/0.0001</f>
        <v>0.34841129082064676</v>
      </c>
      <c r="G8" s="5">
        <f>'Measure Unknown '!M16</f>
        <v>1.3924227545115173</v>
      </c>
      <c r="H8" s="41">
        <f t="shared" ref="H8:H22" si="3">LOG(G8)</f>
        <v>0.14377111176683599</v>
      </c>
    </row>
    <row r="9" spans="2:8">
      <c r="B9" s="5">
        <f>'Measure Unknown '!C17</f>
        <v>3</v>
      </c>
      <c r="C9" s="5">
        <f>'Measure Unknown '!D17</f>
        <v>32</v>
      </c>
      <c r="D9" s="41">
        <f t="shared" si="0"/>
        <v>67252.58910827263</v>
      </c>
      <c r="E9" s="41">
        <f t="shared" si="1"/>
        <v>0.45229107417661507</v>
      </c>
      <c r="F9" s="41">
        <f t="shared" si="2"/>
        <v>0.45229107417661507</v>
      </c>
      <c r="G9" s="5">
        <f>'Measure Unknown '!M17</f>
        <v>1.1261867262879433</v>
      </c>
      <c r="H9" s="41">
        <f t="shared" si="3"/>
        <v>5.1610404257100513E-2</v>
      </c>
    </row>
    <row r="10" spans="2:8">
      <c r="B10" s="5">
        <f>'Measure Unknown '!C19</f>
        <v>5</v>
      </c>
      <c r="C10" s="5">
        <f>'Measure Unknown '!D19</f>
        <v>44</v>
      </c>
      <c r="D10" s="41">
        <f t="shared" si="0"/>
        <v>91400.032588385293</v>
      </c>
      <c r="E10" s="41">
        <f t="shared" si="1"/>
        <v>0.83539659571578928</v>
      </c>
      <c r="F10" s="41">
        <f t="shared" si="2"/>
        <v>0.83539659571578939</v>
      </c>
      <c r="G10" s="5">
        <f>'Measure Unknown '!M19</f>
        <v>-3.4629069334905804E-3</v>
      </c>
      <c r="H10" s="41" t="e">
        <f t="shared" si="3"/>
        <v>#NUM!</v>
      </c>
    </row>
    <row r="11" spans="2:8">
      <c r="B11" s="5">
        <f>'Measure Unknown '!C20</f>
        <v>6</v>
      </c>
      <c r="C11" s="5">
        <f>'Measure Unknown '!D20</f>
        <v>50</v>
      </c>
      <c r="D11" s="41">
        <f t="shared" si="0"/>
        <v>103114.3700470327</v>
      </c>
      <c r="E11" s="41">
        <f t="shared" si="1"/>
        <v>1.0632573310196394</v>
      </c>
      <c r="F11" s="41">
        <f t="shared" si="2"/>
        <v>1.0632573310196394</v>
      </c>
      <c r="G11" s="5">
        <f>'Measure Unknown '!M20</f>
        <v>-1.8740296137859736E-3</v>
      </c>
      <c r="H11" s="41" t="e">
        <f t="shared" si="3"/>
        <v>#NUM!</v>
      </c>
    </row>
    <row r="12" spans="2:8">
      <c r="B12" s="5">
        <f>'Measure Unknown '!C21</f>
        <v>7</v>
      </c>
      <c r="C12" s="5">
        <f>'Measure Unknown '!D21</f>
        <v>57</v>
      </c>
      <c r="D12" s="41">
        <f t="shared" si="0"/>
        <v>116421.67277376392</v>
      </c>
      <c r="E12" s="41">
        <f t="shared" si="1"/>
        <v>1.3554005891441363</v>
      </c>
      <c r="F12" s="41">
        <f t="shared" si="2"/>
        <v>1.3554005891441361</v>
      </c>
      <c r="G12" s="5">
        <f>'Measure Unknown '!M21</f>
        <v>0.82228873368225264</v>
      </c>
      <c r="H12" s="41">
        <f t="shared" si="3"/>
        <v>-8.4975660042612408E-2</v>
      </c>
    </row>
    <row r="13" spans="2:8">
      <c r="B13" s="5">
        <f>'Measure Unknown '!C22</f>
        <v>8</v>
      </c>
      <c r="C13" s="5">
        <f>'Measure Unknown '!D22</f>
        <v>64</v>
      </c>
      <c r="D13" s="41">
        <f t="shared" si="0"/>
        <v>129294.67572492211</v>
      </c>
      <c r="E13" s="41">
        <f t="shared" si="1"/>
        <v>1.6717113170812763</v>
      </c>
      <c r="F13" s="41">
        <f t="shared" si="2"/>
        <v>1.6717113170812763</v>
      </c>
      <c r="G13" s="5">
        <f>'Measure Unknown '!M22</f>
        <v>-4.069168279059592E-3</v>
      </c>
      <c r="H13" s="41" t="e">
        <f t="shared" si="3"/>
        <v>#NUM!</v>
      </c>
    </row>
    <row r="14" spans="2:8">
      <c r="B14" s="5">
        <f>'Measure Unknown '!C23</f>
        <v>9</v>
      </c>
      <c r="C14" s="5">
        <f>'Measure Unknown '!D23</f>
        <v>72</v>
      </c>
      <c r="D14" s="41">
        <f t="shared" si="0"/>
        <v>143413.36260159462</v>
      </c>
      <c r="E14" s="41">
        <f t="shared" si="1"/>
        <v>2.0567392572696459</v>
      </c>
      <c r="F14" s="41">
        <f t="shared" si="2"/>
        <v>2.0567392572696455</v>
      </c>
      <c r="G14" s="5">
        <f>'Measure Unknown '!M23</f>
        <v>0.89913223911615414</v>
      </c>
      <c r="H14" s="41">
        <f t="shared" si="3"/>
        <v>-4.6176430074398381E-2</v>
      </c>
    </row>
    <row r="15" spans="2:8">
      <c r="B15" s="5">
        <f>'Measure Unknown '!C24</f>
        <v>10</v>
      </c>
      <c r="C15" s="5">
        <f>'Measure Unknown '!D24</f>
        <v>81</v>
      </c>
      <c r="D15" s="41">
        <f t="shared" si="0"/>
        <v>158458.4303243623</v>
      </c>
      <c r="E15" s="41">
        <f t="shared" si="1"/>
        <v>2.5109074140860783</v>
      </c>
      <c r="F15" s="41">
        <f t="shared" si="2"/>
        <v>2.5109074140860774</v>
      </c>
      <c r="G15" s="5">
        <f>'Measure Unknown '!M24</f>
        <v>-1.3806585238237211E-2</v>
      </c>
      <c r="H15" s="41" t="e">
        <f t="shared" si="3"/>
        <v>#NUM!</v>
      </c>
    </row>
    <row r="16" spans="2:8">
      <c r="B16" s="5">
        <f>'Measure Unknown '!C25</f>
        <v>11</v>
      </c>
      <c r="C16" s="5">
        <f>'Measure Unknown '!D25</f>
        <v>90</v>
      </c>
      <c r="D16" s="41">
        <f t="shared" si="0"/>
        <v>172526.54913140516</v>
      </c>
      <c r="E16" s="41">
        <f t="shared" si="1"/>
        <v>2.9765410155191159</v>
      </c>
      <c r="F16" s="41">
        <f t="shared" si="2"/>
        <v>2.9765410155191163</v>
      </c>
      <c r="G16" s="5">
        <f>'Measure Unknown '!M25</f>
        <v>1.0023737131168413</v>
      </c>
      <c r="H16" s="41">
        <f t="shared" si="3"/>
        <v>1.0296689218533548E-3</v>
      </c>
    </row>
    <row r="17" spans="2:12">
      <c r="B17" s="5">
        <f>'Measure Unknown '!C26</f>
        <v>12</v>
      </c>
      <c r="C17" s="5">
        <f>'Measure Unknown '!D26</f>
        <v>99</v>
      </c>
      <c r="D17" s="41">
        <f t="shared" si="0"/>
        <v>185530.98439215362</v>
      </c>
      <c r="E17" s="41">
        <f t="shared" si="1"/>
        <v>3.4421746169521552</v>
      </c>
      <c r="F17" s="41">
        <f t="shared" si="2"/>
        <v>3.4421746169521548</v>
      </c>
      <c r="G17" s="5">
        <f>'Measure Unknown '!M26</f>
        <v>-1.0662595940443923E-2</v>
      </c>
      <c r="H17" s="41" t="e">
        <f t="shared" si="3"/>
        <v>#NUM!</v>
      </c>
    </row>
    <row r="18" spans="2:12">
      <c r="B18" s="5">
        <f>'Measure Unknown '!C28</f>
        <v>14</v>
      </c>
      <c r="C18" s="5">
        <f>'Measure Unknown '!D28</f>
        <v>117</v>
      </c>
      <c r="D18" s="41">
        <f t="shared" si="0"/>
        <v>208035.14988217491</v>
      </c>
      <c r="E18" s="41">
        <f t="shared" si="1"/>
        <v>4.3278623586498979</v>
      </c>
      <c r="F18" s="41">
        <f t="shared" si="2"/>
        <v>4.3278623586498988</v>
      </c>
      <c r="G18" s="5">
        <f>'Measure Unknown '!M28</f>
        <v>-5.2727011048652747E-3</v>
      </c>
      <c r="H18" s="41" t="e">
        <f t="shared" si="3"/>
        <v>#NUM!</v>
      </c>
    </row>
    <row r="19" spans="2:12">
      <c r="B19" s="5">
        <f>'Measure Unknown '!C29</f>
        <v>15</v>
      </c>
      <c r="C19" s="5">
        <f>'Measure Unknown '!D29</f>
        <v>126</v>
      </c>
      <c r="D19" s="41">
        <f t="shared" si="0"/>
        <v>217396.13444780736</v>
      </c>
      <c r="E19" s="41">
        <f t="shared" si="1"/>
        <v>4.7261079272849136</v>
      </c>
      <c r="F19" s="41">
        <f t="shared" si="2"/>
        <v>4.7261079272849127</v>
      </c>
      <c r="G19" s="5">
        <f>'Measure Unknown '!M29</f>
        <v>0.77892388835310311</v>
      </c>
      <c r="H19" s="41">
        <f t="shared" si="3"/>
        <v>-0.10850497683727174</v>
      </c>
      <c r="K19" s="40"/>
    </row>
    <row r="20" spans="2:12">
      <c r="B20" s="5">
        <f>'Measure Unknown '!C30</f>
        <v>16</v>
      </c>
      <c r="C20" s="5">
        <f>'Measure Unknown '!D30</f>
        <v>134</v>
      </c>
      <c r="D20" s="41">
        <f t="shared" si="0"/>
        <v>224593.41368268116</v>
      </c>
      <c r="E20" s="41">
        <f t="shared" si="1"/>
        <v>5.0442201469639958</v>
      </c>
      <c r="F20" s="41">
        <f t="shared" si="2"/>
        <v>5.0442201469639949</v>
      </c>
      <c r="G20" s="5">
        <f>'Measure Unknown '!M30</f>
        <v>-1.1199006797290396E-2</v>
      </c>
      <c r="H20" s="41" t="e">
        <f t="shared" si="3"/>
        <v>#NUM!</v>
      </c>
    </row>
    <row r="21" spans="2:12">
      <c r="B21" s="5">
        <f>'Measure Unknown '!C31</f>
        <v>17</v>
      </c>
      <c r="C21" s="5">
        <f>'Measure Unknown '!D31</f>
        <v>141</v>
      </c>
      <c r="D21" s="41">
        <f t="shared" si="0"/>
        <v>229994.51830078103</v>
      </c>
      <c r="E21" s="41">
        <f t="shared" si="1"/>
        <v>5.2897478448408304</v>
      </c>
      <c r="F21" s="41">
        <f t="shared" si="2"/>
        <v>5.2897478448408304</v>
      </c>
      <c r="G21" s="5">
        <f>'Measure Unknown '!M31</f>
        <v>1.4284851368784632</v>
      </c>
      <c r="H21" s="41">
        <f t="shared" si="3"/>
        <v>0.15487572598915134</v>
      </c>
    </row>
    <row r="22" spans="2:12">
      <c r="B22" s="5">
        <f>'Measure Unknown '!C32</f>
        <v>18</v>
      </c>
      <c r="C22" s="5">
        <f>'Measure Unknown '!D32</f>
        <v>147</v>
      </c>
      <c r="D22" s="41">
        <f t="shared" si="0"/>
        <v>233941.83806060397</v>
      </c>
      <c r="E22" s="41">
        <f t="shared" si="1"/>
        <v>5.4728783595173853</v>
      </c>
      <c r="F22" s="41">
        <f t="shared" si="2"/>
        <v>5.4728783595173853</v>
      </c>
      <c r="G22" s="5">
        <f>'Measure Unknown '!M32</f>
        <v>-6.9236319577990566E-3</v>
      </c>
      <c r="H22" s="41" t="e">
        <f t="shared" si="3"/>
        <v>#NUM!</v>
      </c>
      <c r="I22" s="40"/>
    </row>
    <row r="23" spans="2:12">
      <c r="J23" s="3" t="s">
        <v>94</v>
      </c>
      <c r="K23" s="3"/>
    </row>
    <row r="24" spans="2:12">
      <c r="J24" s="3" t="s">
        <v>95</v>
      </c>
      <c r="K24" s="44">
        <v>2.2599999999999999E-2</v>
      </c>
    </row>
    <row r="25" spans="2:12" ht="16.350000000000001">
      <c r="J25" s="43" t="s">
        <v>96</v>
      </c>
      <c r="K25" s="45">
        <f>SQRT(30000*ABS(Guinslope))</f>
        <v>26.038433132583073</v>
      </c>
      <c r="L25" s="43" t="s">
        <v>22</v>
      </c>
    </row>
    <row r="26" spans="2:12">
      <c r="J26" s="43" t="s">
        <v>97</v>
      </c>
      <c r="K26" s="45">
        <f>K25*SQRT(5/3)</f>
        <v>33.61547262794322</v>
      </c>
      <c r="L26" s="43" t="s">
        <v>22</v>
      </c>
    </row>
    <row r="27" spans="2:12" ht="16.350000000000001">
      <c r="J27" s="43" t="s">
        <v>98</v>
      </c>
      <c r="K27" s="43">
        <f>'Measure Unknown '!J7</f>
        <v>53.9</v>
      </c>
      <c r="L27" s="43" t="s">
        <v>22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5"/>
  <sheetViews>
    <sheetView workbookViewId="0">
      <selection activeCell="C8" sqref="C8"/>
    </sheetView>
  </sheetViews>
  <sheetFormatPr defaultRowHeight="14.35"/>
  <cols>
    <col min="1" max="1" width="15.29296875" customWidth="1"/>
    <col min="2" max="2" width="9.703125" bestFit="1" customWidth="1"/>
  </cols>
  <sheetData>
    <row r="2" spans="1:2">
      <c r="A2" t="s">
        <v>10</v>
      </c>
      <c r="B2" s="46" t="s">
        <v>12</v>
      </c>
    </row>
    <row r="3" spans="1:2">
      <c r="A3" t="s">
        <v>8</v>
      </c>
      <c r="B3" s="46">
        <v>685</v>
      </c>
    </row>
    <row r="4" spans="1:2">
      <c r="A4" t="s">
        <v>11</v>
      </c>
      <c r="B4" s="47">
        <f>Lamnm/10000000</f>
        <v>6.8499999999999998E-5</v>
      </c>
    </row>
    <row r="5" spans="1:2">
      <c r="A5" t="s">
        <v>9</v>
      </c>
      <c r="B5" s="46">
        <v>1.33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Development notes</vt:lpstr>
      <vt:lpstr>Instructions</vt:lpstr>
      <vt:lpstr>Normalize</vt:lpstr>
      <vt:lpstr>Measure Unknown </vt:lpstr>
      <vt:lpstr>Guinier</vt:lpstr>
      <vt:lpstr>Parameters</vt:lpstr>
      <vt:lpstr>Guinslope</vt:lpstr>
      <vt:lpstr>Guintercept</vt:lpstr>
      <vt:lpstr>Lamcm</vt:lpstr>
      <vt:lpstr>Lamnm</vt:lpstr>
      <vt:lpstr>Refin</vt:lpstr>
      <vt:lpstr>Rgyration</vt:lpstr>
      <vt:lpstr>Rhydro</vt:lpstr>
      <vt:lpstr>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2022-07-03T06:40:33Z</dcterms:modified>
</cp:coreProperties>
</file>