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filterPrivacy="1"/>
  <xr:revisionPtr revIDLastSave="0" documentId="13_ncr:1_{205A5A85-BF28-462A-B853-C0B1B05FADCB}" xr6:coauthVersionLast="36" xr6:coauthVersionMax="36" xr10:uidLastSave="{00000000-0000-0000-0000-000000000000}"/>
  <bookViews>
    <workbookView xWindow="0" yWindow="0" windowWidth="22260" windowHeight="12647" xr2:uid="{00000000-000D-0000-FFFF-FFFF00000000}"/>
  </bookViews>
  <sheets>
    <sheet name="Development notes" sheetId="6" r:id="rId1"/>
    <sheet name="Instructions" sheetId="3" r:id="rId2"/>
    <sheet name="Normalize" sheetId="1" r:id="rId3"/>
    <sheet name="Measure Unknown " sheetId="4" r:id="rId4"/>
    <sheet name="Guinier+NonlinSphere" sheetId="7" r:id="rId5"/>
    <sheet name="Parameters" sheetId="2" r:id="rId6"/>
  </sheets>
  <definedNames>
    <definedName name="Guinslope" localSheetId="4">'Guinier+NonlinSphere'!$N$24</definedName>
    <definedName name="Guinslope">#REF!</definedName>
    <definedName name="Guintercept" localSheetId="4">'Guinier+NonlinSphere'!$N$23</definedName>
    <definedName name="Guintercept">#REF!</definedName>
    <definedName name="Izero">'Guinier+NonlinSphere'!$N$30</definedName>
    <definedName name="Lamcm" localSheetId="4">Parameters!$B$4</definedName>
    <definedName name="Lamcm">Parameters!$B$4</definedName>
    <definedName name="Lamnm" localSheetId="4">Parameters!$B$3</definedName>
    <definedName name="Lamnm">Parameters!$B$3</definedName>
    <definedName name="Refin" localSheetId="4">Parameters!$B$5</definedName>
    <definedName name="Refin">Parameters!$B$5</definedName>
    <definedName name="Rgyration" localSheetId="4">Normalize!$K$8</definedName>
    <definedName name="Rgyration">Normalize!$K$8</definedName>
    <definedName name="Rhydro">Normalize!$K$7</definedName>
    <definedName name="Rsphere">'Guinier+NonlinSphere'!$N$31</definedName>
    <definedName name="Solvent">Parameters!$B$2</definedName>
    <definedName name="solver_adj" localSheetId="4" hidden="1">'Guinier+NonlinSphere'!$N$30:$N$31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'Guinier+NonlinSphere'!$K$46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</workbook>
</file>

<file path=xl/calcChain.xml><?xml version="1.0" encoding="utf-8"?>
<calcChain xmlns="http://schemas.openxmlformats.org/spreadsheetml/2006/main">
  <c r="AU12" i="7" l="1"/>
  <c r="AV12" i="7"/>
  <c r="AW12" i="7"/>
  <c r="AX12" i="7"/>
  <c r="AY12" i="7"/>
  <c r="AZ12" i="7"/>
  <c r="AU13" i="7"/>
  <c r="AV13" i="7"/>
  <c r="AW13" i="7"/>
  <c r="AX13" i="7"/>
  <c r="AY13" i="7"/>
  <c r="AZ13" i="7"/>
  <c r="AU14" i="7"/>
  <c r="AV14" i="7"/>
  <c r="AW14" i="7"/>
  <c r="AX14" i="7"/>
  <c r="AY14" i="7"/>
  <c r="AZ14" i="7"/>
  <c r="AU15" i="7"/>
  <c r="AV15" i="7"/>
  <c r="AW15" i="7"/>
  <c r="AX15" i="7"/>
  <c r="AY15" i="7"/>
  <c r="AZ15" i="7"/>
  <c r="AU16" i="7"/>
  <c r="AV16" i="7"/>
  <c r="AW16" i="7"/>
  <c r="AX16" i="7"/>
  <c r="AY16" i="7"/>
  <c r="AZ16" i="7"/>
  <c r="AU17" i="7"/>
  <c r="AV17" i="7"/>
  <c r="AW17" i="7"/>
  <c r="AX17" i="7"/>
  <c r="AY17" i="7"/>
  <c r="AZ17" i="7"/>
  <c r="AU18" i="7"/>
  <c r="AV18" i="7"/>
  <c r="AW18" i="7"/>
  <c r="AX18" i="7"/>
  <c r="AY18" i="7"/>
  <c r="AZ18" i="7"/>
  <c r="AU19" i="7"/>
  <c r="AV19" i="7"/>
  <c r="AW19" i="7"/>
  <c r="AX19" i="7"/>
  <c r="AY19" i="7"/>
  <c r="AZ19" i="7"/>
  <c r="AT19" i="7"/>
  <c r="AT18" i="7"/>
  <c r="AT17" i="7"/>
  <c r="AT16" i="7"/>
  <c r="AT15" i="7"/>
  <c r="AT14" i="7"/>
  <c r="AT13" i="7"/>
  <c r="AT12" i="7"/>
  <c r="AX28" i="7"/>
  <c r="AX26" i="7"/>
  <c r="AX27" i="7" s="1"/>
  <c r="AH26" i="7"/>
  <c r="AH27" i="7" s="1"/>
  <c r="AH28" i="7"/>
  <c r="M19" i="4"/>
  <c r="B7" i="7" l="1"/>
  <c r="C7" i="7"/>
  <c r="D7" i="7" s="1"/>
  <c r="F7" i="7" s="1"/>
  <c r="B8" i="7"/>
  <c r="C8" i="7"/>
  <c r="D8" i="7" s="1"/>
  <c r="G31" i="7" s="1"/>
  <c r="I31" i="7" s="1"/>
  <c r="J31" i="7" s="1"/>
  <c r="B9" i="7"/>
  <c r="C9" i="7"/>
  <c r="D9" i="7" s="1"/>
  <c r="B10" i="7"/>
  <c r="AB12" i="7" s="1"/>
  <c r="C10" i="7"/>
  <c r="B11" i="7"/>
  <c r="AB13" i="7" s="1"/>
  <c r="C11" i="7"/>
  <c r="B12" i="7"/>
  <c r="C12" i="7"/>
  <c r="D12" i="7" s="1"/>
  <c r="G35" i="7" s="1"/>
  <c r="I35" i="7" s="1"/>
  <c r="J35" i="7" s="1"/>
  <c r="B13" i="7"/>
  <c r="AB14" i="7" s="1"/>
  <c r="C13" i="7"/>
  <c r="B14" i="7"/>
  <c r="C14" i="7"/>
  <c r="D14" i="7" s="1"/>
  <c r="F14" i="7" s="1"/>
  <c r="B15" i="7"/>
  <c r="AB15" i="7" s="1"/>
  <c r="C15" i="7"/>
  <c r="B16" i="7"/>
  <c r="C16" i="7"/>
  <c r="D16" i="7" s="1"/>
  <c r="G39" i="7" s="1"/>
  <c r="I39" i="7" s="1"/>
  <c r="J39" i="7" s="1"/>
  <c r="B17" i="7"/>
  <c r="AB16" i="7" s="1"/>
  <c r="C17" i="7"/>
  <c r="B18" i="7"/>
  <c r="AB17" i="7" s="1"/>
  <c r="C18" i="7"/>
  <c r="B19" i="7"/>
  <c r="C19" i="7"/>
  <c r="D19" i="7" s="1"/>
  <c r="B20" i="7"/>
  <c r="AB18" i="7" s="1"/>
  <c r="C20" i="7"/>
  <c r="B21" i="7"/>
  <c r="C21" i="7"/>
  <c r="D21" i="7" s="1"/>
  <c r="B22" i="7"/>
  <c r="AB19" i="7" s="1"/>
  <c r="C22" i="7"/>
  <c r="N25" i="7"/>
  <c r="N26" i="7" s="1"/>
  <c r="N27" i="7"/>
  <c r="B30" i="7"/>
  <c r="D30" i="7"/>
  <c r="E30" i="7" s="1"/>
  <c r="B31" i="7"/>
  <c r="D31" i="7"/>
  <c r="E31" i="7" s="1"/>
  <c r="F31" i="7" s="1"/>
  <c r="B32" i="7"/>
  <c r="D32" i="7"/>
  <c r="E32" i="7" s="1"/>
  <c r="B33" i="7"/>
  <c r="D33" i="7"/>
  <c r="E33" i="7" s="1"/>
  <c r="F33" i="7" s="1"/>
  <c r="B34" i="7"/>
  <c r="D34" i="7"/>
  <c r="E34" i="7" s="1"/>
  <c r="B35" i="7"/>
  <c r="D35" i="7"/>
  <c r="E35" i="7" s="1"/>
  <c r="F35" i="7" s="1"/>
  <c r="B36" i="7"/>
  <c r="D36" i="7"/>
  <c r="E36" i="7" s="1"/>
  <c r="B37" i="7"/>
  <c r="D37" i="7"/>
  <c r="E37" i="7" s="1"/>
  <c r="F37" i="7" s="1"/>
  <c r="B38" i="7"/>
  <c r="D38" i="7"/>
  <c r="E38" i="7" s="1"/>
  <c r="B39" i="7"/>
  <c r="D39" i="7"/>
  <c r="E39" i="7" s="1"/>
  <c r="F39" i="7" s="1"/>
  <c r="B40" i="7"/>
  <c r="D40" i="7"/>
  <c r="E40" i="7" s="1"/>
  <c r="B41" i="7"/>
  <c r="D41" i="7"/>
  <c r="E41" i="7" s="1"/>
  <c r="F41" i="7" s="1"/>
  <c r="B42" i="7"/>
  <c r="D42" i="7"/>
  <c r="E42" i="7" s="1"/>
  <c r="B43" i="7"/>
  <c r="D43" i="7"/>
  <c r="E43" i="7" s="1"/>
  <c r="F43" i="7" s="1"/>
  <c r="B44" i="7"/>
  <c r="D44" i="7"/>
  <c r="E44" i="7" s="1"/>
  <c r="B45" i="7"/>
  <c r="D45" i="7"/>
  <c r="E45" i="7" s="1"/>
  <c r="F45" i="7" s="1"/>
  <c r="B46" i="7"/>
  <c r="D46" i="7"/>
  <c r="E46" i="7" s="1"/>
  <c r="B47" i="7"/>
  <c r="D47" i="7"/>
  <c r="E47" i="7" s="1"/>
  <c r="F47" i="7" s="1"/>
  <c r="B48" i="7"/>
  <c r="D48" i="7"/>
  <c r="E48" i="7" s="1"/>
  <c r="B49" i="7"/>
  <c r="D49" i="7"/>
  <c r="E49" i="7" s="1"/>
  <c r="F49" i="7" s="1"/>
  <c r="B50" i="7"/>
  <c r="D50" i="7"/>
  <c r="E50" i="7" s="1"/>
  <c r="B51" i="7"/>
  <c r="D51" i="7"/>
  <c r="E51" i="7" s="1"/>
  <c r="F51" i="7" s="1"/>
  <c r="B52" i="7"/>
  <c r="D52" i="7"/>
  <c r="E52" i="7" s="1"/>
  <c r="B53" i="7"/>
  <c r="D53" i="7"/>
  <c r="E53" i="7" s="1"/>
  <c r="F53" i="7" s="1"/>
  <c r="B54" i="7"/>
  <c r="D54" i="7"/>
  <c r="E54" i="7" s="1"/>
  <c r="B55" i="7"/>
  <c r="D55" i="7"/>
  <c r="E55" i="7" s="1"/>
  <c r="F55" i="7" s="1"/>
  <c r="B56" i="7"/>
  <c r="D56" i="7"/>
  <c r="E56" i="7" s="1"/>
  <c r="B57" i="7"/>
  <c r="D57" i="7"/>
  <c r="E57" i="7" s="1"/>
  <c r="F57" i="7" s="1"/>
  <c r="B58" i="7"/>
  <c r="D58" i="7"/>
  <c r="E58" i="7" s="1"/>
  <c r="B59" i="7"/>
  <c r="D59" i="7"/>
  <c r="E59" i="7" s="1"/>
  <c r="F59" i="7" s="1"/>
  <c r="B60" i="7"/>
  <c r="D60" i="7"/>
  <c r="E60" i="7" s="1"/>
  <c r="B61" i="7"/>
  <c r="D61" i="7"/>
  <c r="E61" i="7" s="1"/>
  <c r="F61" i="7" s="1"/>
  <c r="B62" i="7"/>
  <c r="D62" i="7"/>
  <c r="E62" i="7" s="1"/>
  <c r="B63" i="7"/>
  <c r="D63" i="7"/>
  <c r="E63" i="7" s="1"/>
  <c r="F63" i="7" s="1"/>
  <c r="B64" i="7"/>
  <c r="D64" i="7"/>
  <c r="E64" i="7" s="1"/>
  <c r="B65" i="7"/>
  <c r="D65" i="7"/>
  <c r="E65" i="7" s="1"/>
  <c r="F65" i="7" s="1"/>
  <c r="B66" i="7"/>
  <c r="D66" i="7"/>
  <c r="E66" i="7" s="1"/>
  <c r="B67" i="7"/>
  <c r="D67" i="7"/>
  <c r="E67" i="7" s="1"/>
  <c r="F67" i="7" s="1"/>
  <c r="B68" i="7"/>
  <c r="D68" i="7"/>
  <c r="E68" i="7" s="1"/>
  <c r="B69" i="7"/>
  <c r="D69" i="7"/>
  <c r="E69" i="7" s="1"/>
  <c r="F69" i="7" s="1"/>
  <c r="B70" i="7"/>
  <c r="D70" i="7"/>
  <c r="E70" i="7" s="1"/>
  <c r="B71" i="7"/>
  <c r="D71" i="7"/>
  <c r="E71" i="7" s="1"/>
  <c r="F71" i="7" s="1"/>
  <c r="B72" i="7"/>
  <c r="D72" i="7"/>
  <c r="E72" i="7" s="1"/>
  <c r="B73" i="7"/>
  <c r="D73" i="7"/>
  <c r="E73" i="7" s="1"/>
  <c r="F73" i="7" s="1"/>
  <c r="B74" i="7"/>
  <c r="D74" i="7"/>
  <c r="E74" i="7" s="1"/>
  <c r="B75" i="7"/>
  <c r="D75" i="7"/>
  <c r="E75" i="7" s="1"/>
  <c r="F75" i="7" s="1"/>
  <c r="B76" i="7"/>
  <c r="D76" i="7"/>
  <c r="E76" i="7" s="1"/>
  <c r="B77" i="7"/>
  <c r="D77" i="7"/>
  <c r="E77" i="7" s="1"/>
  <c r="F77" i="7" s="1"/>
  <c r="B78" i="7"/>
  <c r="D78" i="7"/>
  <c r="E78" i="7" s="1"/>
  <c r="B79" i="7"/>
  <c r="D79" i="7"/>
  <c r="E79" i="7" s="1"/>
  <c r="F79" i="7" s="1"/>
  <c r="D10" i="7" l="1"/>
  <c r="E10" i="7" s="1"/>
  <c r="AE12" i="7" s="1"/>
  <c r="AC12" i="7"/>
  <c r="D17" i="7"/>
  <c r="AD16" i="7" s="1"/>
  <c r="AC16" i="7"/>
  <c r="D15" i="7"/>
  <c r="AC15" i="7"/>
  <c r="D13" i="7"/>
  <c r="AD14" i="7" s="1"/>
  <c r="AC14" i="7"/>
  <c r="D11" i="7"/>
  <c r="AD13" i="7" s="1"/>
  <c r="AC13" i="7"/>
  <c r="D22" i="7"/>
  <c r="AC19" i="7"/>
  <c r="D20" i="7"/>
  <c r="AD18" i="7" s="1"/>
  <c r="AC18" i="7"/>
  <c r="D18" i="7"/>
  <c r="AC17" i="7"/>
  <c r="F78" i="7"/>
  <c r="F76" i="7"/>
  <c r="F74" i="7"/>
  <c r="F72" i="7"/>
  <c r="F70" i="7"/>
  <c r="F68" i="7"/>
  <c r="F66" i="7"/>
  <c r="F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E14" i="7"/>
  <c r="F20" i="7"/>
  <c r="AF18" i="7" s="1"/>
  <c r="E11" i="7"/>
  <c r="AE13" i="7" s="1"/>
  <c r="G34" i="7"/>
  <c r="I34" i="7" s="1"/>
  <c r="J34" i="7" s="1"/>
  <c r="G43" i="7"/>
  <c r="I43" i="7" s="1"/>
  <c r="J43" i="7" s="1"/>
  <c r="E21" i="7"/>
  <c r="F21" i="7"/>
  <c r="E13" i="7"/>
  <c r="AE14" i="7" s="1"/>
  <c r="F13" i="7"/>
  <c r="AF14" i="7" s="1"/>
  <c r="G44" i="7"/>
  <c r="I44" i="7" s="1"/>
  <c r="J44" i="7" s="1"/>
  <c r="E17" i="7"/>
  <c r="AE16" i="7" s="1"/>
  <c r="F17" i="7"/>
  <c r="AF16" i="7" s="1"/>
  <c r="E16" i="7"/>
  <c r="F16" i="7"/>
  <c r="E15" i="7"/>
  <c r="AE15" i="7" s="1"/>
  <c r="G38" i="7"/>
  <c r="I38" i="7" s="1"/>
  <c r="J38" i="7" s="1"/>
  <c r="E9" i="7"/>
  <c r="G32" i="7"/>
  <c r="I32" i="7" s="1"/>
  <c r="J32" i="7" s="1"/>
  <c r="F9" i="7"/>
  <c r="E8" i="7"/>
  <c r="F8" i="7"/>
  <c r="E7" i="7"/>
  <c r="G30" i="7"/>
  <c r="I30" i="7" s="1"/>
  <c r="J30" i="7" s="1"/>
  <c r="E19" i="7"/>
  <c r="G42" i="7"/>
  <c r="I42" i="7" s="1"/>
  <c r="J42" i="7" s="1"/>
  <c r="E12" i="7"/>
  <c r="F12" i="7"/>
  <c r="G40" i="7"/>
  <c r="I40" i="7" s="1"/>
  <c r="J40" i="7" s="1"/>
  <c r="F19" i="7"/>
  <c r="F11" i="7"/>
  <c r="AF13" i="7" s="1"/>
  <c r="G45" i="7"/>
  <c r="I45" i="7" s="1"/>
  <c r="J45" i="7" s="1"/>
  <c r="G41" i="7"/>
  <c r="I41" i="7" s="1"/>
  <c r="J41" i="7" s="1"/>
  <c r="G37" i="7"/>
  <c r="I37" i="7" s="1"/>
  <c r="J37" i="7" s="1"/>
  <c r="G33" i="7"/>
  <c r="I33" i="7" s="1"/>
  <c r="J33" i="7" s="1"/>
  <c r="F18" i="7" l="1"/>
  <c r="AF17" i="7" s="1"/>
  <c r="AD17" i="7"/>
  <c r="F22" i="7"/>
  <c r="AF19" i="7" s="1"/>
  <c r="AD19" i="7"/>
  <c r="G36" i="7"/>
  <c r="I36" i="7" s="1"/>
  <c r="J36" i="7" s="1"/>
  <c r="E20" i="7"/>
  <c r="AE18" i="7" s="1"/>
  <c r="E22" i="7"/>
  <c r="AE19" i="7" s="1"/>
  <c r="E18" i="7"/>
  <c r="AE17" i="7" s="1"/>
  <c r="F15" i="7"/>
  <c r="AF15" i="7" s="1"/>
  <c r="AD15" i="7"/>
  <c r="F10" i="7"/>
  <c r="AF12" i="7" s="1"/>
  <c r="AD12" i="7"/>
  <c r="M31" i="1"/>
  <c r="M29" i="1"/>
  <c r="J10" i="4"/>
  <c r="J9" i="4"/>
  <c r="H17" i="1"/>
  <c r="M17" i="1" s="1"/>
  <c r="H16" i="1"/>
  <c r="H15" i="1"/>
  <c r="M15" i="1" s="1"/>
  <c r="K32" i="4"/>
  <c r="K30" i="4"/>
  <c r="K28" i="4"/>
  <c r="K26" i="4"/>
  <c r="K24" i="4"/>
  <c r="K22" i="4"/>
  <c r="K20" i="4"/>
  <c r="K19" i="4"/>
  <c r="L15" i="4"/>
  <c r="L32" i="1"/>
  <c r="L30" i="1"/>
  <c r="L28" i="1"/>
  <c r="L26" i="1"/>
  <c r="L24" i="1"/>
  <c r="L22" i="1"/>
  <c r="L20" i="1"/>
  <c r="L19" i="1"/>
  <c r="B4" i="2"/>
  <c r="M18" i="4"/>
  <c r="M27" i="4"/>
  <c r="H32" i="4"/>
  <c r="L31" i="4"/>
  <c r="H30" i="4"/>
  <c r="L30" i="4" s="1"/>
  <c r="L29" i="4"/>
  <c r="H28" i="4"/>
  <c r="L28" i="4"/>
  <c r="H26" i="4"/>
  <c r="L26" i="4" s="1"/>
  <c r="L25" i="4"/>
  <c r="H24" i="4"/>
  <c r="L23" i="4"/>
  <c r="H22" i="4"/>
  <c r="L22" i="4" s="1"/>
  <c r="L21" i="4"/>
  <c r="H20" i="4"/>
  <c r="H19" i="4"/>
  <c r="L17" i="4"/>
  <c r="L16" i="4"/>
  <c r="J8" i="4"/>
  <c r="I22" i="1"/>
  <c r="I20" i="1"/>
  <c r="M20" i="1" s="1"/>
  <c r="I19" i="1"/>
  <c r="I32" i="1"/>
  <c r="I30" i="1"/>
  <c r="I28" i="1"/>
  <c r="M28" i="1" s="1"/>
  <c r="I26" i="1"/>
  <c r="I24" i="1"/>
  <c r="M19" i="1"/>
  <c r="M16" i="1"/>
  <c r="M21" i="1"/>
  <c r="M23" i="1"/>
  <c r="M25" i="1"/>
  <c r="K8" i="1"/>
  <c r="N30" i="1" s="1"/>
  <c r="K9" i="1"/>
  <c r="N26" i="1"/>
  <c r="N21" i="1"/>
  <c r="K10" i="1"/>
  <c r="K11" i="1" s="1"/>
  <c r="N31" i="1"/>
  <c r="O31" i="1" s="1"/>
  <c r="M31" i="4" s="1"/>
  <c r="M30" i="1" l="1"/>
  <c r="M22" i="1"/>
  <c r="M26" i="1"/>
  <c r="O26" i="1" s="1"/>
  <c r="M26" i="4" s="1"/>
  <c r="L24" i="4"/>
  <c r="H44" i="7"/>
  <c r="K44" i="7" s="1"/>
  <c r="G21" i="7"/>
  <c r="J11" i="4"/>
  <c r="L19" i="4"/>
  <c r="L20" i="4"/>
  <c r="L32" i="4"/>
  <c r="O30" i="1"/>
  <c r="M30" i="4" s="1"/>
  <c r="M24" i="1"/>
  <c r="M32" i="1"/>
  <c r="O21" i="1"/>
  <c r="M21" i="4" s="1"/>
  <c r="N16" i="1"/>
  <c r="O16" i="1" s="1"/>
  <c r="M16" i="4" s="1"/>
  <c r="N23" i="1"/>
  <c r="O23" i="1" s="1"/>
  <c r="M23" i="4" s="1"/>
  <c r="N15" i="1"/>
  <c r="O15" i="1" s="1"/>
  <c r="M15" i="4" s="1"/>
  <c r="N19" i="1"/>
  <c r="O19" i="1" s="1"/>
  <c r="N24" i="1"/>
  <c r="O24" i="1" s="1"/>
  <c r="M24" i="4" s="1"/>
  <c r="N32" i="1"/>
  <c r="O32" i="1" s="1"/>
  <c r="N17" i="1"/>
  <c r="O17" i="1" s="1"/>
  <c r="M17" i="4" s="1"/>
  <c r="N29" i="1"/>
  <c r="O29" i="1" s="1"/>
  <c r="M29" i="4" s="1"/>
  <c r="N22" i="1"/>
  <c r="N20" i="1"/>
  <c r="O20" i="1" s="1"/>
  <c r="N28" i="1"/>
  <c r="O28" i="1" s="1"/>
  <c r="M28" i="4" s="1"/>
  <c r="N14" i="1"/>
  <c r="N25" i="1"/>
  <c r="O25" i="1" s="1"/>
  <c r="M25" i="4" s="1"/>
  <c r="H21" i="7" l="1"/>
  <c r="O22" i="1"/>
  <c r="M22" i="4" s="1"/>
  <c r="H36" i="7" s="1"/>
  <c r="K36" i="7" s="1"/>
  <c r="M20" i="4"/>
  <c r="G11" i="7" s="1"/>
  <c r="AG13" i="7" s="1"/>
  <c r="M32" i="4"/>
  <c r="H45" i="7" s="1"/>
  <c r="K45" i="7" s="1"/>
  <c r="G13" i="7"/>
  <c r="AG14" i="7" s="1"/>
  <c r="H31" i="7"/>
  <c r="K31" i="7" s="1"/>
  <c r="G8" i="7"/>
  <c r="G19" i="7"/>
  <c r="H42" i="7"/>
  <c r="K42" i="7" s="1"/>
  <c r="G12" i="7"/>
  <c r="H35" i="7"/>
  <c r="K35" i="7" s="1"/>
  <c r="G20" i="7"/>
  <c r="AG18" i="7" s="1"/>
  <c r="H43" i="7"/>
  <c r="K43" i="7" s="1"/>
  <c r="H30" i="7"/>
  <c r="K30" i="7" s="1"/>
  <c r="G7" i="7"/>
  <c r="H40" i="7"/>
  <c r="K40" i="7" s="1"/>
  <c r="G17" i="7"/>
  <c r="AG16" i="7" s="1"/>
  <c r="H39" i="7"/>
  <c r="K39" i="7" s="1"/>
  <c r="G16" i="7"/>
  <c r="G15" i="7"/>
  <c r="AG15" i="7" s="1"/>
  <c r="H38" i="7"/>
  <c r="K38" i="7" s="1"/>
  <c r="H33" i="7"/>
  <c r="K33" i="7" s="1"/>
  <c r="G10" i="7"/>
  <c r="AG12" i="7" s="1"/>
  <c r="H41" i="7"/>
  <c r="K41" i="7" s="1"/>
  <c r="G18" i="7"/>
  <c r="AG17" i="7" s="1"/>
  <c r="G9" i="7"/>
  <c r="H32" i="7"/>
  <c r="K32" i="7" s="1"/>
  <c r="H37" i="7"/>
  <c r="K37" i="7" s="1"/>
  <c r="G14" i="7"/>
  <c r="H16" i="7" l="1"/>
  <c r="H7" i="7"/>
  <c r="H11" i="7"/>
  <c r="AH13" i="7" s="1"/>
  <c r="H12" i="7"/>
  <c r="H14" i="7"/>
  <c r="H18" i="7"/>
  <c r="AH17" i="7" s="1"/>
  <c r="H17" i="7"/>
  <c r="AH16" i="7" s="1"/>
  <c r="H13" i="7"/>
  <c r="AH14" i="7" s="1"/>
  <c r="H10" i="7"/>
  <c r="AH12" i="7" s="1"/>
  <c r="H8" i="7"/>
  <c r="H9" i="7"/>
  <c r="H15" i="7"/>
  <c r="AH15" i="7" s="1"/>
  <c r="H20" i="7"/>
  <c r="AH18" i="7" s="1"/>
  <c r="H19" i="7"/>
  <c r="G22" i="7"/>
  <c r="AG19" i="7" s="1"/>
  <c r="H34" i="7"/>
  <c r="K34" i="7" s="1"/>
  <c r="K46" i="7" s="1"/>
  <c r="H22" i="7" l="1"/>
  <c r="AH19" i="7" s="1"/>
</calcChain>
</file>

<file path=xl/sharedStrings.xml><?xml version="1.0" encoding="utf-8"?>
<sst xmlns="http://schemas.openxmlformats.org/spreadsheetml/2006/main" count="293" uniqueCount="137">
  <si>
    <t>Detector type</t>
  </si>
  <si>
    <t>Fiber/APD</t>
  </si>
  <si>
    <t>Wyatt diode</t>
  </si>
  <si>
    <t>Wyatt Reading</t>
  </si>
  <si>
    <t>ALV Reading</t>
  </si>
  <si>
    <t>Front</t>
  </si>
  <si>
    <t>beam stop (y/n)</t>
  </si>
  <si>
    <t>y</t>
  </si>
  <si>
    <t>Wavelength/nm</t>
  </si>
  <si>
    <t>Refractive index</t>
  </si>
  <si>
    <t>Solvent</t>
  </si>
  <si>
    <t>Wavelength/cm</t>
  </si>
  <si>
    <t>Water</t>
  </si>
  <si>
    <t>p1</t>
  </si>
  <si>
    <t>p2</t>
  </si>
  <si>
    <t>p3</t>
  </si>
  <si>
    <t>LC</t>
  </si>
  <si>
    <t>L</t>
  </si>
  <si>
    <t>Port #</t>
  </si>
  <si>
    <t>Monitors</t>
  </si>
  <si>
    <r>
      <t>Comment</t>
    </r>
    <r>
      <rPr>
        <b/>
        <sz val="11"/>
        <color indexed="8"/>
        <rFont val="Symbol"/>
        <family val="1"/>
        <charset val="2"/>
      </rPr>
      <t>¯</t>
    </r>
  </si>
  <si>
    <t>Normalizing standard</t>
  </si>
  <si>
    <t>nm</t>
  </si>
  <si>
    <r>
      <rPr>
        <sz val="11"/>
        <color indexed="8"/>
        <rFont val="Symbol"/>
        <family val="1"/>
        <charset val="2"/>
      </rPr>
      <t>l</t>
    </r>
    <r>
      <rPr>
        <vertAlign val="subscript"/>
        <sz val="11"/>
        <color indexed="8"/>
        <rFont val="Symbol"/>
        <family val="1"/>
        <charset val="2"/>
      </rPr>
      <t>o</t>
    </r>
    <r>
      <rPr>
        <sz val="11"/>
        <color theme="1"/>
        <rFont val="Calibri"/>
        <family val="2"/>
        <scheme val="minor"/>
      </rPr>
      <t>/(n*DLS radius)</t>
    </r>
  </si>
  <si>
    <r>
      <t>R</t>
    </r>
    <r>
      <rPr>
        <vertAlign val="subscript"/>
        <sz val="11"/>
        <color indexed="8"/>
        <rFont val="Calibri"/>
        <family val="2"/>
      </rPr>
      <t>h</t>
    </r>
  </si>
  <si>
    <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(sphere)</t>
    </r>
  </si>
  <si>
    <t>Brij microemulsion</t>
  </si>
  <si>
    <t>Signal</t>
  </si>
  <si>
    <t>Date of normalization</t>
  </si>
  <si>
    <t>Russo</t>
  </si>
  <si>
    <t>ALV Reading/kHz</t>
  </si>
  <si>
    <t>MeanCR1 [kHz]   :</t>
  </si>
  <si>
    <t>MeanCR2 [kHz]   :</t>
  </si>
  <si>
    <t>MeanCR3 [kHz]   :</t>
  </si>
  <si>
    <t>MeanCR4 [kHz]   :</t>
  </si>
  <si>
    <t>MeanCR5 [kHz]   :</t>
  </si>
  <si>
    <t>MeanCR6 [kHz]   :</t>
  </si>
  <si>
    <t>MeanCR7 [kHz]   :</t>
  </si>
  <si>
    <t>MeanCR8 [kHz]   :</t>
  </si>
  <si>
    <t>here from .ASC file</t>
  </si>
  <si>
    <t>Angle/degrees</t>
  </si>
  <si>
    <t>Zero-ref</t>
  </si>
  <si>
    <t>----</t>
  </si>
  <si>
    <t>a small latex particle, bovine serum albumen, or Brij-97 microemulsion.</t>
  </si>
  <si>
    <t xml:space="preserve">The instrument has two kinds of detectors: Wyatt pin photodiodes plus </t>
  </si>
  <si>
    <t xml:space="preserve">avalanche photodiode light sensors. </t>
  </si>
  <si>
    <t>The Wyatt detectors can most easily be read from the front panel display.</t>
  </si>
  <si>
    <t xml:space="preserve">The unit of measurement is probably in volts, but it does not matter. </t>
  </si>
  <si>
    <t xml:space="preserve">The objective is to figure out what factor puts the measured intensities on the </t>
  </si>
  <si>
    <t>That will be good enough for any sensible normalization standard, but the equation</t>
  </si>
  <si>
    <t xml:space="preserve">could be replaced with a detailed expression for, say, a larger latex sphere. </t>
  </si>
  <si>
    <t xml:space="preserve">stray light. </t>
  </si>
  <si>
    <t xml:space="preserve">To use: </t>
  </si>
  <si>
    <t>Make a DLS run on your normalization standard, save as .ASC file</t>
  </si>
  <si>
    <t>Drop those data into the green-shaded cells at the top right; the results are copied where they need to go.</t>
  </si>
  <si>
    <t>Repeat the previous 2 steps for the solvent (likely a much weaker scatterer).</t>
  </si>
  <si>
    <t xml:space="preserve">Enter the type of normalization standard. </t>
  </si>
  <si>
    <t xml:space="preserve">Enter your name and date. </t>
  </si>
  <si>
    <r>
      <t>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 xml:space="preserve"> </t>
    </r>
  </si>
  <si>
    <r>
      <t>1-(q</t>
    </r>
    <r>
      <rPr>
        <vertAlign val="subscript"/>
        <sz val="11"/>
        <color indexed="8"/>
        <rFont val="Calibri"/>
        <family val="2"/>
      </rPr>
      <t>max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</t>
    </r>
  </si>
  <si>
    <t>Normalization</t>
  </si>
  <si>
    <t>Factor</t>
  </si>
  <si>
    <t xml:space="preserve">       Solvent background</t>
  </si>
  <si>
    <t xml:space="preserve">          Normalizing solution</t>
  </si>
  <si>
    <r>
      <t>P(</t>
    </r>
    <r>
      <rPr>
        <b/>
        <sz val="11"/>
        <color indexed="8"/>
        <rFont val="Symbol"/>
        <family val="1"/>
        <charset val="2"/>
      </rPr>
      <t>q</t>
    </r>
    <r>
      <rPr>
        <b/>
        <sz val="11"/>
        <color indexed="8"/>
        <rFont val="Calibri"/>
        <family val="2"/>
      </rPr>
      <t>)</t>
    </r>
  </si>
  <si>
    <r>
      <t xml:space="preserve">Drop </t>
    </r>
    <r>
      <rPr>
        <b/>
        <u/>
        <sz val="11"/>
        <color indexed="22"/>
        <rFont val="Calibri"/>
        <family val="2"/>
      </rPr>
      <t>solution</t>
    </r>
    <r>
      <rPr>
        <b/>
        <sz val="11"/>
        <color indexed="22"/>
        <rFont val="Calibri"/>
        <family val="2"/>
      </rPr>
      <t xml:space="preserve"> count rates </t>
    </r>
  </si>
  <si>
    <r>
      <t xml:space="preserve">Drop </t>
    </r>
    <r>
      <rPr>
        <b/>
        <u/>
        <sz val="11"/>
        <color indexed="43"/>
        <rFont val="Calibri"/>
        <family val="2"/>
      </rPr>
      <t>solvent</t>
    </r>
    <r>
      <rPr>
        <b/>
        <sz val="11"/>
        <color indexed="22"/>
        <rFont val="Calibri"/>
        <family val="2"/>
      </rPr>
      <t xml:space="preserve"> count rates </t>
    </r>
  </si>
  <si>
    <r>
      <t>Enter the 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value from the DLS run.</t>
    </r>
  </si>
  <si>
    <t>At this point, your normalization constants should be ready.</t>
  </si>
  <si>
    <r>
      <t>correct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curve. We calculate the curve from the low-order P(</t>
    </r>
    <r>
      <rPr>
        <sz val="11"/>
        <color indexed="8"/>
        <rFont val="Symbol"/>
        <family val="1"/>
        <charset val="2"/>
      </rPr>
      <t>q</t>
    </r>
    <r>
      <rPr>
        <sz val="11"/>
        <color theme="1"/>
        <rFont val="Calibri"/>
        <family val="2"/>
        <scheme val="minor"/>
      </rPr>
      <t>) expansion, 1-q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R</t>
    </r>
    <r>
      <rPr>
        <vertAlign val="subscript"/>
        <sz val="11"/>
        <color indexed="8"/>
        <rFont val="Calibri"/>
        <family val="2"/>
      </rPr>
      <t>g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/3.</t>
    </r>
  </si>
  <si>
    <t xml:space="preserve">Normally, this will give you a cumulants Gamma value and Rh value. </t>
  </si>
  <si>
    <t>Read the ALV's red panel display for all the laser and angles by gently pressing the selection button; type the results into the appropriate cells (color-coded).</t>
  </si>
  <si>
    <t xml:space="preserve"> button; type the results into the appropriate cells.</t>
  </si>
  <si>
    <t xml:space="preserve">Apply the normalization factors to the intensities. </t>
  </si>
  <si>
    <t xml:space="preserve">You can then measure something known, preferably in a solvent with the same refractive index (subtract the solvent). </t>
  </si>
  <si>
    <r>
      <t>A Guinier plot or similar should give you the size expected for the known (if it's a sphere, don't forget to convert the DLS results to R</t>
    </r>
    <r>
      <rPr>
        <vertAlign val="subscript"/>
        <sz val="11"/>
        <color indexed="8"/>
        <rFont val="Calibri"/>
        <family val="2"/>
      </rPr>
      <t>g</t>
    </r>
    <r>
      <rPr>
        <sz val="11"/>
        <color theme="1"/>
        <rFont val="Calibri"/>
        <family val="2"/>
        <scheme val="minor"/>
      </rPr>
      <t>).</t>
    </r>
  </si>
  <si>
    <t>Empty</t>
  </si>
  <si>
    <t>---</t>
  </si>
  <si>
    <t xml:space="preserve">Operator                           </t>
  </si>
  <si>
    <t>Parameter</t>
  </si>
  <si>
    <t>Purpose:</t>
  </si>
  <si>
    <t>This workbook permits us to normalize detectors to a standard of finite size.</t>
  </si>
  <si>
    <t>Principle:</t>
  </si>
  <si>
    <t>You can include the Rh value from DLS, but be careful about single-angle DLS (see Gather program for multiangle)</t>
  </si>
  <si>
    <t>Then you can get Rg/Rh for shape analysis (e.g., should be sqrt(3/5) for solid, uniform spheres)</t>
  </si>
  <si>
    <t>Port</t>
  </si>
  <si>
    <t>Normalized</t>
  </si>
  <si>
    <t>Intensity</t>
  </si>
  <si>
    <r>
      <t>q/cm</t>
    </r>
    <r>
      <rPr>
        <vertAlign val="superscript"/>
        <sz val="11"/>
        <color indexed="8"/>
        <rFont val="Calibri"/>
        <family val="2"/>
      </rPr>
      <t>-1</t>
    </r>
  </si>
  <si>
    <t>intensity, I</t>
  </si>
  <si>
    <r>
      <t xml:space="preserve"> </t>
    </r>
    <r>
      <rPr>
        <sz val="11"/>
        <color indexed="8"/>
        <rFont val="Script MT Bold"/>
        <family val="4"/>
      </rPr>
      <t xml:space="preserve"> </t>
    </r>
    <r>
      <rPr>
        <b/>
        <sz val="11"/>
        <color indexed="8"/>
        <rFont val="Script MT Bold"/>
        <family val="4"/>
      </rPr>
      <t>ln</t>
    </r>
    <r>
      <rPr>
        <b/>
        <sz val="11"/>
        <color indexed="8"/>
        <rFont val="script"/>
      </rPr>
      <t xml:space="preserve"> </t>
    </r>
    <r>
      <rPr>
        <sz val="11"/>
        <color theme="1"/>
        <rFont val="Calibri"/>
        <family val="2"/>
        <scheme val="minor"/>
      </rPr>
      <t>(I)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</si>
  <si>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10</t>
    </r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indexed="8"/>
        <rFont val="Calibri"/>
        <family val="2"/>
      </rPr>
      <t>-2</t>
    </r>
  </si>
  <si>
    <r>
      <t>q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/10</t>
    </r>
    <r>
      <rPr>
        <vertAlign val="superscript"/>
        <sz val="11"/>
        <color indexed="8"/>
        <rFont val="Calibri"/>
        <family val="2"/>
      </rPr>
      <t>-4</t>
    </r>
    <r>
      <rPr>
        <sz val="11"/>
        <color theme="1"/>
        <rFont val="Calibri"/>
        <family val="2"/>
        <scheme val="minor"/>
      </rPr>
      <t>nm</t>
    </r>
    <r>
      <rPr>
        <vertAlign val="superscript"/>
        <sz val="11"/>
        <color indexed="8"/>
        <rFont val="Calibri"/>
        <family val="2"/>
      </rPr>
      <t>-2</t>
    </r>
  </si>
  <si>
    <t>Intercept</t>
  </si>
  <si>
    <r>
      <t>R</t>
    </r>
    <r>
      <rPr>
        <vertAlign val="subscript"/>
        <sz val="11"/>
        <color indexed="8"/>
        <rFont val="Calibri"/>
        <family val="2"/>
      </rPr>
      <t>g,Guinier</t>
    </r>
  </si>
  <si>
    <t>R if sphere</t>
  </si>
  <si>
    <r>
      <t>R</t>
    </r>
    <r>
      <rPr>
        <vertAlign val="subscript"/>
        <sz val="11"/>
        <color indexed="8"/>
        <rFont val="Calibri"/>
        <family val="2"/>
      </rPr>
      <t>h</t>
    </r>
    <r>
      <rPr>
        <sz val="11"/>
        <color theme="1"/>
        <rFont val="Calibri"/>
        <family val="2"/>
        <scheme val="minor"/>
      </rPr>
      <t xml:space="preserve"> from DLS</t>
    </r>
  </si>
  <si>
    <t xml:space="preserve">the measured intensities and come up with smallish errors that might trace to the validity of Rh. </t>
  </si>
  <si>
    <t xml:space="preserve">measurement in DLS (i.e., given the viscosity of the microemulsion,  the true Rh of Brij blobs might be </t>
  </si>
  <si>
    <t xml:space="preserve">smaller than measured. </t>
  </si>
  <si>
    <t xml:space="preserve">Thus, Brij is probably perfect for getting the fudge factors right, but agreement between SLS and DLS might be imperfect. </t>
  </si>
  <si>
    <t>Developed May-June 2022 by Paul Russo</t>
  </si>
  <si>
    <t>Solution reading</t>
  </si>
  <si>
    <t>Date of measurement</t>
  </si>
  <si>
    <t>Sample</t>
  </si>
  <si>
    <t xml:space="preserve">Using the normalization, you can then push ahead to measure  Rg using Guinier </t>
  </si>
  <si>
    <t xml:space="preserve">There is no such thing as a perfect Rayleigh scatterer. Typically, we might use </t>
  </si>
  <si>
    <t xml:space="preserve">The idea is to use something small that scatters a lot, well above solvent level and any </t>
  </si>
  <si>
    <t>More accurate readings can be obtained by collecting data using the Astra software (requires Win98)</t>
  </si>
  <si>
    <t>Testing:</t>
  </si>
  <si>
    <t xml:space="preserve">"Circular logic" tests (normalizing with Brij microemulsion, then feeding the same data as an unknown) suggest the normalization factors were determined well enough to feed back into </t>
  </si>
  <si>
    <t>SSE--&gt;</t>
  </si>
  <si>
    <r>
      <t>R</t>
    </r>
    <r>
      <rPr>
        <vertAlign val="subscript"/>
        <sz val="11"/>
        <color theme="1"/>
        <rFont val="Calibri"/>
        <family val="2"/>
        <scheme val="minor"/>
      </rPr>
      <t>sphere</t>
    </r>
    <r>
      <rPr>
        <sz val="11"/>
        <color theme="1"/>
        <rFont val="Calibri"/>
        <family val="2"/>
        <scheme val="minor"/>
      </rPr>
      <t>/nm</t>
    </r>
  </si>
  <si>
    <r>
      <t>I</t>
    </r>
    <r>
      <rPr>
        <vertAlign val="subscript"/>
        <sz val="11"/>
        <color theme="1"/>
        <rFont val="Calibri"/>
        <family val="2"/>
        <scheme val="minor"/>
      </rPr>
      <t>zero</t>
    </r>
    <r>
      <rPr>
        <sz val="11"/>
        <color theme="1"/>
        <rFont val="Calibri"/>
        <family val="2"/>
        <scheme val="minor"/>
      </rPr>
      <t>/Arbitrary</t>
    </r>
  </si>
  <si>
    <t>Sq.Err.</t>
  </si>
  <si>
    <t>Izero*Icalc,pt by pt</t>
  </si>
  <si>
    <t>x=qR</t>
  </si>
  <si>
    <r>
      <t>q/nm</t>
    </r>
    <r>
      <rPr>
        <vertAlign val="superscript"/>
        <sz val="11"/>
        <color theme="1"/>
        <rFont val="Calibri"/>
        <family val="2"/>
        <scheme val="minor"/>
      </rPr>
      <t>-1</t>
    </r>
  </si>
  <si>
    <t>Icalc</t>
  </si>
  <si>
    <t>PthetaCalc</t>
  </si>
  <si>
    <r>
      <t>q/cm</t>
    </r>
    <r>
      <rPr>
        <vertAlign val="superscript"/>
        <sz val="11"/>
        <color theme="1"/>
        <rFont val="Calibri"/>
        <family val="2"/>
        <scheme val="minor"/>
      </rPr>
      <t>-1</t>
    </r>
  </si>
  <si>
    <t>CalcInten</t>
  </si>
  <si>
    <t>Measured</t>
  </si>
  <si>
    <t>-Slope</t>
  </si>
  <si>
    <t>SMALS Det #</t>
  </si>
  <si>
    <t xml:space="preserve">The APD detectors measure photocounts in kHz, a totally different thing. </t>
  </si>
  <si>
    <t xml:space="preserve">The master version contains data from a normalization and Rg </t>
  </si>
  <si>
    <t>measurement (unlike a blank template). Be sure to cover these tracks with your new data.</t>
  </si>
  <si>
    <t>March 2 2023</t>
  </si>
  <si>
    <t>PS Cmax 100</t>
  </si>
  <si>
    <t>Wyatt Diode</t>
  </si>
  <si>
    <t>ALV APD</t>
  </si>
  <si>
    <t>Color key</t>
  </si>
  <si>
    <t>Intensity, I</t>
  </si>
  <si>
    <t>Row #</t>
  </si>
  <si>
    <t>Made separate Guinier plots for ALV and Wyatt detectors at ORNL</t>
  </si>
  <si>
    <t>Changed log(I) to ln(I)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</si>
</sst>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"/>
    <numFmt numFmtId="167" formatCode="[$-409]d\-mmm\-yy;@"/>
  </numFmts>
  <fonts count="16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b/>
      <sz val="11"/>
      <color indexed="8"/>
      <name val="Symbol"/>
      <family val="1"/>
      <charset val="2"/>
    </font>
    <font>
      <vertAlign val="subscript"/>
      <sz val="11"/>
      <color indexed="8"/>
      <name val="Symbol"/>
      <family val="1"/>
      <charset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sz val="11"/>
      <color indexed="22"/>
      <name val="Calibri"/>
      <family val="2"/>
    </font>
    <font>
      <b/>
      <u/>
      <sz val="11"/>
      <color indexed="22"/>
      <name val="Calibri"/>
      <family val="2"/>
    </font>
    <font>
      <b/>
      <u/>
      <sz val="11"/>
      <color indexed="43"/>
      <name val="Calibri"/>
      <family val="2"/>
    </font>
    <font>
      <b/>
      <sz val="11"/>
      <color indexed="8"/>
      <name val="script"/>
    </font>
    <font>
      <sz val="11"/>
      <color indexed="8"/>
      <name val="Script MT Bold"/>
      <family val="4"/>
    </font>
    <font>
      <b/>
      <sz val="11"/>
      <color indexed="8"/>
      <name val="Script MT Bold"/>
      <family val="4"/>
    </font>
    <font>
      <sz val="8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0" xfId="0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0" fontId="7" fillId="5" borderId="11" xfId="0" applyFont="1" applyFill="1" applyBorder="1"/>
    <xf numFmtId="0" fontId="7" fillId="5" borderId="12" xfId="0" applyFont="1" applyFill="1" applyBorder="1"/>
    <xf numFmtId="0" fontId="7" fillId="5" borderId="6" xfId="0" applyFont="1" applyFill="1" applyBorder="1"/>
    <xf numFmtId="0" fontId="7" fillId="5" borderId="7" xfId="0" applyFont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0" xfId="0" applyFill="1"/>
    <xf numFmtId="0" fontId="0" fillId="6" borderId="0" xfId="0" applyFill="1"/>
    <xf numFmtId="167" fontId="0" fillId="10" borderId="14" xfId="0" applyNumberFormat="1" applyFill="1" applyBorder="1"/>
    <xf numFmtId="15" fontId="0" fillId="10" borderId="14" xfId="0" applyNumberFormat="1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" xfId="0" applyFill="1" applyBorder="1" applyAlignment="1">
      <alignment horizontal="center"/>
    </xf>
    <xf numFmtId="15" fontId="0" fillId="10" borderId="14" xfId="0" applyNumberFormat="1" applyFont="1" applyFill="1" applyBorder="1"/>
    <xf numFmtId="11" fontId="0" fillId="0" borderId="0" xfId="0" applyNumberFormat="1"/>
    <xf numFmtId="0" fontId="0" fillId="0" borderId="10" xfId="0" applyFill="1" applyBorder="1"/>
    <xf numFmtId="0" fontId="0" fillId="0" borderId="0" xfId="0" applyAlignment="1">
      <alignment horizontal="right" vertical="center"/>
    </xf>
    <xf numFmtId="0" fontId="0" fillId="11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165" fontId="0" fillId="11" borderId="1" xfId="0" applyNumberFormat="1" applyFill="1" applyBorder="1"/>
    <xf numFmtId="166" fontId="0" fillId="11" borderId="1" xfId="0" applyNumberFormat="1" applyFill="1" applyBorder="1"/>
    <xf numFmtId="0" fontId="0" fillId="3" borderId="1" xfId="0" quotePrefix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/>
    <xf numFmtId="0" fontId="0" fillId="15" borderId="0" xfId="0" applyFill="1"/>
    <xf numFmtId="0" fontId="0" fillId="14" borderId="4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64" fontId="0" fillId="15" borderId="1" xfId="0" applyNumberFormat="1" applyFill="1" applyBorder="1"/>
    <xf numFmtId="11" fontId="0" fillId="11" borderId="1" xfId="0" applyNumberForma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1032555056875893E-2"/>
                  <c:y val="1.0607325461425973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'Guinier+NonlinSphere'!$F$7:$F$22</c:f>
              <c:numCache>
                <c:formatCode>General</c:formatCode>
                <c:ptCount val="16"/>
                <c:pt idx="0">
                  <c:v>0.28628093142053257</c:v>
                </c:pt>
                <c:pt idx="1">
                  <c:v>0.44022157570604104</c:v>
                </c:pt>
                <c:pt idx="2">
                  <c:v>0.57147484768024681</c:v>
                </c:pt>
                <c:pt idx="3">
                  <c:v>1.0555329732261189</c:v>
                </c:pt>
                <c:pt idx="4">
                  <c:v>1.3434375692589569</c:v>
                </c:pt>
                <c:pt idx="5">
                  <c:v>1.7125638542325015</c:v>
                </c:pt>
                <c:pt idx="6">
                  <c:v>2.1122260085135278</c:v>
                </c:pt>
                <c:pt idx="7">
                  <c:v>2.5987131315953915</c:v>
                </c:pt>
                <c:pt idx="8">
                  <c:v>3.1725596942550371</c:v>
                </c:pt>
                <c:pt idx="9">
                  <c:v>3.7608929748491216</c:v>
                </c:pt>
                <c:pt idx="10">
                  <c:v>4.349226255443206</c:v>
                </c:pt>
                <c:pt idx="11">
                  <c:v>5.4683026559678263</c:v>
                </c:pt>
                <c:pt idx="12">
                  <c:v>5.971490400915803</c:v>
                </c:pt>
                <c:pt idx="13">
                  <c:v>6.3734287602285056</c:v>
                </c:pt>
                <c:pt idx="14">
                  <c:v>6.6836557617250101</c:v>
                </c:pt>
                <c:pt idx="15">
                  <c:v>6.9150432220477915</c:v>
                </c:pt>
              </c:numCache>
            </c:numRef>
          </c:xVal>
          <c:yVal>
            <c:numRef>
              <c:f>'Guinier+NonlinSphere'!$H$7:$H$22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-2.3630021465631308</c:v>
                </c:pt>
                <c:pt idx="4">
                  <c:v>-2.4656360229305627</c:v>
                </c:pt>
                <c:pt idx="5">
                  <c:v>0</c:v>
                </c:pt>
                <c:pt idx="6">
                  <c:v>-2.4790468710060276</c:v>
                </c:pt>
                <c:pt idx="7">
                  <c:v>0</c:v>
                </c:pt>
                <c:pt idx="8">
                  <c:v>-2.4068311017740269</c:v>
                </c:pt>
                <c:pt idx="9">
                  <c:v>0</c:v>
                </c:pt>
                <c:pt idx="10">
                  <c:v>-2.4784424892580597</c:v>
                </c:pt>
                <c:pt idx="11">
                  <c:v>-2.3633045590495501</c:v>
                </c:pt>
                <c:pt idx="12">
                  <c:v>0</c:v>
                </c:pt>
                <c:pt idx="13">
                  <c:v>-2.5034941710833123</c:v>
                </c:pt>
                <c:pt idx="14">
                  <c:v>0</c:v>
                </c:pt>
                <c:pt idx="15">
                  <c:v>-2.4213988758571312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9-40C9-AE62-615D241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Sphere plot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'Guinier+NonlinSphere'!$D$7:$D$22</c:f>
              <c:numCache>
                <c:formatCode>General</c:formatCode>
                <c:ptCount val="16"/>
                <c:pt idx="0">
                  <c:v>53505.226980224332</c:v>
                </c:pt>
                <c:pt idx="1">
                  <c:v>66349.195602210661</c:v>
                </c:pt>
                <c:pt idx="2">
                  <c:v>75595.955426216213</c:v>
                </c:pt>
                <c:pt idx="3">
                  <c:v>102739.13437566617</c:v>
                </c:pt>
                <c:pt idx="4">
                  <c:v>115906.75430098787</c:v>
                </c:pt>
                <c:pt idx="5">
                  <c:v>130864.96300509552</c:v>
                </c:pt>
                <c:pt idx="6">
                  <c:v>145334.99263816432</c:v>
                </c:pt>
                <c:pt idx="7">
                  <c:v>161205.2459318676</c:v>
                </c:pt>
                <c:pt idx="8">
                  <c:v>178116.80701873807</c:v>
                </c:pt>
                <c:pt idx="9">
                  <c:v>193930.21876048925</c:v>
                </c:pt>
                <c:pt idx="10">
                  <c:v>208547.98621524032</c:v>
                </c:pt>
                <c:pt idx="11">
                  <c:v>233844.02186003872</c:v>
                </c:pt>
                <c:pt idx="12">
                  <c:v>244366.33157855037</c:v>
                </c:pt>
                <c:pt idx="13">
                  <c:v>252456.50635760027</c:v>
                </c:pt>
                <c:pt idx="14">
                  <c:v>258527.67282681772</c:v>
                </c:pt>
                <c:pt idx="15">
                  <c:v>262964.69766962621</c:v>
                </c:pt>
              </c:numCache>
            </c:numRef>
          </c:xVal>
          <c:yVal>
            <c:numRef>
              <c:f>'Guinier+NonlinSphere'!$G$7:$G$22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9.4137184921518E-2</c:v>
                </c:pt>
                <c:pt idx="4">
                  <c:v>8.4954791989113987E-2</c:v>
                </c:pt>
                <c:pt idx="5">
                  <c:v>0</c:v>
                </c:pt>
                <c:pt idx="6">
                  <c:v>8.3823081739115651E-2</c:v>
                </c:pt>
                <c:pt idx="7">
                  <c:v>0</c:v>
                </c:pt>
                <c:pt idx="8">
                  <c:v>9.0100361535428358E-2</c:v>
                </c:pt>
                <c:pt idx="9">
                  <c:v>0</c:v>
                </c:pt>
                <c:pt idx="10">
                  <c:v>8.3873758192196265E-2</c:v>
                </c:pt>
                <c:pt idx="11">
                  <c:v>9.4108720965506196E-2</c:v>
                </c:pt>
                <c:pt idx="12">
                  <c:v>0</c:v>
                </c:pt>
                <c:pt idx="13">
                  <c:v>8.1798680109580801E-2</c:v>
                </c:pt>
                <c:pt idx="14">
                  <c:v>0</c:v>
                </c:pt>
                <c:pt idx="15">
                  <c:v>8.8797314118287021E-2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4C52-AFAC-2B744F03BFFA}"/>
            </c:ext>
          </c:extLst>
        </c:ser>
        <c:ser>
          <c:idx val="1"/>
          <c:order val="1"/>
          <c:tx>
            <c:v>SphereFit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'Guinier+NonlinSphere'!$B$30:$B$79</c:f>
              <c:numCache>
                <c:formatCode>General</c:formatCode>
                <c:ptCount val="50"/>
                <c:pt idx="0">
                  <c:v>1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175000.00000000003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214999.99999999997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</c:numCache>
            </c:numRef>
          </c:xVal>
          <c:yVal>
            <c:numRef>
              <c:f>'Guinier+NonlinSphere'!$F$30:$F$79</c:f>
              <c:numCache>
                <c:formatCode>General</c:formatCode>
                <c:ptCount val="50"/>
                <c:pt idx="0">
                  <c:v>1.4456708102296651</c:v>
                </c:pt>
                <c:pt idx="1">
                  <c:v>1.4420069628981558</c:v>
                </c:pt>
                <c:pt idx="2">
                  <c:v>1.4374334765185786</c:v>
                </c:pt>
                <c:pt idx="3">
                  <c:v>1.4310514830196617</c:v>
                </c:pt>
                <c:pt idx="4">
                  <c:v>1.422881752064294</c:v>
                </c:pt>
                <c:pt idx="5">
                  <c:v>1.4129508200247456</c:v>
                </c:pt>
                <c:pt idx="6">
                  <c:v>1.401290865701295</c:v>
                </c:pt>
                <c:pt idx="7">
                  <c:v>1.3879395598878199</c:v>
                </c:pt>
                <c:pt idx="8">
                  <c:v>1.3729398896488623</c:v>
                </c:pt>
                <c:pt idx="9">
                  <c:v>1.3563399583155451</c:v>
                </c:pt>
                <c:pt idx="10">
                  <c:v>1.3381927623450272</c:v>
                </c:pt>
                <c:pt idx="11">
                  <c:v>1.3185559463174821</c:v>
                </c:pt>
                <c:pt idx="12">
                  <c:v>1.2974915374657905</c:v>
                </c:pt>
                <c:pt idx="13">
                  <c:v>1.2750656612451015</c:v>
                </c:pt>
                <c:pt idx="14">
                  <c:v>1.2513482395516169</c:v>
                </c:pt>
                <c:pt idx="15">
                  <c:v>1.2264126732918315</c:v>
                </c:pt>
                <c:pt idx="16">
                  <c:v>1.2003355110840861</c:v>
                </c:pt>
                <c:pt idx="17">
                  <c:v>1.1731961059436939</c:v>
                </c:pt>
                <c:pt idx="18">
                  <c:v>1.1450762618602175</c:v>
                </c:pt>
                <c:pt idx="19">
                  <c:v>1.1160598722206938</c:v>
                </c:pt>
                <c:pt idx="20">
                  <c:v>1.0862325520653473</c:v>
                </c:pt>
                <c:pt idx="21">
                  <c:v>1.0556812661824742</c:v>
                </c:pt>
                <c:pt idx="22">
                  <c:v>1.0244939550567211</c:v>
                </c:pt>
                <c:pt idx="23">
                  <c:v>0.99275916067989733</c:v>
                </c:pt>
                <c:pt idx="24">
                  <c:v>0.96056565421588791</c:v>
                </c:pt>
                <c:pt idx="25">
                  <c:v>0.92800206748137337</c:v>
                </c:pt>
                <c:pt idx="26">
                  <c:v>0.89515653016224606</c:v>
                </c:pt>
                <c:pt idx="27">
                  <c:v>0.86211631463212623</c:v>
                </c:pt>
                <c:pt idx="28">
                  <c:v>0.82896749017476634</c:v>
                </c:pt>
                <c:pt idx="29">
                  <c:v>0.79579458833685179</c:v>
                </c:pt>
                <c:pt idx="30">
                  <c:v>0.76268028105236918</c:v>
                </c:pt>
                <c:pt idx="31">
                  <c:v>0.7297050730850182</c:v>
                </c:pt>
                <c:pt idx="32">
                  <c:v>0.69694701023171413</c:v>
                </c:pt>
                <c:pt idx="33">
                  <c:v>0.66448140461897875</c:v>
                </c:pt>
                <c:pt idx="34">
                  <c:v>0.63238057830561767</c:v>
                </c:pt>
                <c:pt idx="35">
                  <c:v>0.60071362628052749</c:v>
                </c:pt>
                <c:pt idx="36">
                  <c:v>0.56954619981456966</c:v>
                </c:pt>
                <c:pt idx="37">
                  <c:v>0.53894031099118633</c:v>
                </c:pt>
                <c:pt idx="38">
                  <c:v>0.5089541591027138</c:v>
                </c:pt>
                <c:pt idx="39">
                  <c:v>0.47964197945916903</c:v>
                </c:pt>
                <c:pt idx="40">
                  <c:v>0.45105391501459818</c:v>
                </c:pt>
                <c:pt idx="41">
                  <c:v>0.42323591107385833</c:v>
                </c:pt>
                <c:pt idx="42">
                  <c:v>0.39622963320091498</c:v>
                </c:pt>
                <c:pt idx="43">
                  <c:v>0.37007240830932064</c:v>
                </c:pt>
                <c:pt idx="44">
                  <c:v>0.34479718877745208</c:v>
                </c:pt>
                <c:pt idx="45">
                  <c:v>0.3204325392961575</c:v>
                </c:pt>
                <c:pt idx="46">
                  <c:v>0.29700264602566023</c:v>
                </c:pt>
                <c:pt idx="47">
                  <c:v>0.27452734751261521</c:v>
                </c:pt>
                <c:pt idx="48">
                  <c:v>0.25302218669795967</c:v>
                </c:pt>
                <c:pt idx="49">
                  <c:v>0.23249848323234981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7-4C52-AFAC-2B744F03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q/cm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+mj-lt"/>
                  </a:rPr>
                  <a:t>Intensity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plot, ALV APD detectors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1032555056875893E-2"/>
                  <c:y val="1.0607325461425973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'Guinier+NonlinSphere'!$AF$12:$AF$19</c:f>
              <c:numCache>
                <c:formatCode>General</c:formatCode>
                <c:ptCount val="8"/>
                <c:pt idx="0">
                  <c:v>1.0555329732261189</c:v>
                </c:pt>
                <c:pt idx="1">
                  <c:v>1.3434375692589569</c:v>
                </c:pt>
                <c:pt idx="2">
                  <c:v>2.1122260085135278</c:v>
                </c:pt>
                <c:pt idx="3">
                  <c:v>3.1725596942550371</c:v>
                </c:pt>
                <c:pt idx="4">
                  <c:v>4.349226255443206</c:v>
                </c:pt>
                <c:pt idx="5">
                  <c:v>5.4683026559678263</c:v>
                </c:pt>
                <c:pt idx="6">
                  <c:v>6.3734287602285056</c:v>
                </c:pt>
                <c:pt idx="7">
                  <c:v>6.9150432220477915</c:v>
                </c:pt>
              </c:numCache>
            </c:numRef>
          </c:xVal>
          <c:yVal>
            <c:numRef>
              <c:f>'Guinier+NonlinSphere'!$AH$12:$AH$19</c:f>
              <c:numCache>
                <c:formatCode>General</c:formatCode>
                <c:ptCount val="8"/>
                <c:pt idx="0">
                  <c:v>-2.3630021465631308</c:v>
                </c:pt>
                <c:pt idx="1">
                  <c:v>-2.4656360229305627</c:v>
                </c:pt>
                <c:pt idx="2">
                  <c:v>-2.4790468710060276</c:v>
                </c:pt>
                <c:pt idx="3">
                  <c:v>-2.4068311017740269</c:v>
                </c:pt>
                <c:pt idx="4">
                  <c:v>-2.4784424892580597</c:v>
                </c:pt>
                <c:pt idx="5">
                  <c:v>-2.3633045590495501</c:v>
                </c:pt>
                <c:pt idx="6">
                  <c:v>-2.5034941710833123</c:v>
                </c:pt>
                <c:pt idx="7">
                  <c:v>-2.4213988758571312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A-492B-90F9-B981F2CF8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9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Guinier plot, Wyatt diode detectors</a:t>
            </a:r>
          </a:p>
        </c:rich>
      </c:tx>
      <c:layout>
        <c:manualLayout>
          <c:xMode val="edge"/>
          <c:yMode val="edge"/>
          <c:x val="2.0542228139849867E-2"/>
          <c:y val="2.1897783610382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74927113702707E-2"/>
          <c:y val="7.4652904345880136E-2"/>
          <c:w val="0.88192419825072887"/>
          <c:h val="0.8454875445684553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backward val="1"/>
            <c:dispRSqr val="1"/>
            <c:dispEq val="1"/>
            <c:trendlineLbl>
              <c:layout>
                <c:manualLayout>
                  <c:x val="-5.1032555056875893E-2"/>
                  <c:y val="1.0607325461425973E-2"/>
                </c:manualLayout>
              </c:layout>
              <c:numFmt formatCode="0.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'Guinier+NonlinSphere'!$AX$12:$AX$19</c:f>
              <c:numCache>
                <c:formatCode>General</c:formatCode>
                <c:ptCount val="8"/>
                <c:pt idx="0">
                  <c:v>0.28628093142053257</c:v>
                </c:pt>
                <c:pt idx="1">
                  <c:v>0.44022157570604104</c:v>
                </c:pt>
                <c:pt idx="2">
                  <c:v>0.57147484768024681</c:v>
                </c:pt>
                <c:pt idx="3">
                  <c:v>1.7125638542325015</c:v>
                </c:pt>
                <c:pt idx="4">
                  <c:v>2.5987131315953915</c:v>
                </c:pt>
                <c:pt idx="5">
                  <c:v>3.7608929748491216</c:v>
                </c:pt>
                <c:pt idx="6">
                  <c:v>5.971490400915803</c:v>
                </c:pt>
                <c:pt idx="7">
                  <c:v>6.6836557617250101</c:v>
                </c:pt>
              </c:numCache>
            </c:numRef>
          </c:xVal>
          <c:yVal>
            <c:numRef>
              <c:f>'Guinier+NonlinSphere'!$AZ$12:$AZ$19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D-47FB-8BD9-1CF992FD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5840"/>
        <c:axId val="40998016"/>
      </c:scatterChart>
      <c:valAx>
        <c:axId val="409958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q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2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/nm</a:t>
                </a:r>
                <a:r>
                  <a:rPr lang="en-US" sz="1000" b="0" i="0" u="none" strike="noStrike" baseline="30000">
                    <a:solidFill>
                      <a:srgbClr val="333333"/>
                    </a:solidFill>
                    <a:latin typeface="Calibri"/>
                  </a:rPr>
                  <a:t>-2</a:t>
                </a:r>
              </a:p>
            </c:rich>
          </c:tx>
          <c:layout>
            <c:manualLayout>
              <c:xMode val="edge"/>
              <c:yMode val="edge"/>
              <c:x val="0.47025902374448092"/>
              <c:y val="3.427529892096820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98016"/>
        <c:crosses val="autoZero"/>
        <c:crossBetween val="midCat"/>
      </c:valAx>
      <c:valAx>
        <c:axId val="409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Script MT Bold"/>
                  </a:rPr>
                  <a:t>ln</a:t>
                </a:r>
                <a:r>
                  <a:rPr lang="en-US" sz="1000" b="0" i="0" u="none" strike="noStrike" baseline="0">
                    <a:solidFill>
                      <a:srgbClr val="333333"/>
                    </a:solidFill>
                    <a:latin typeface="Calibri"/>
                  </a:rPr>
                  <a:t>(Intensity)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5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</xdr:row>
      <xdr:rowOff>19050</xdr:rowOff>
    </xdr:from>
    <xdr:to>
      <xdr:col>26</xdr:col>
      <xdr:colOff>0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6C855-D1A4-4604-AEA5-040356CD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199405</xdr:colOff>
      <xdr:row>31</xdr:row>
      <xdr:rowOff>98534</xdr:rowOff>
    </xdr:from>
    <xdr:to>
      <xdr:col>26</xdr:col>
      <xdr:colOff>0</xdr:colOff>
      <xdr:row>60</xdr:row>
      <xdr:rowOff>27517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020BA33-EE10-4787-9AD8-0F5437CE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114685</xdr:colOff>
      <xdr:row>2</xdr:row>
      <xdr:rowOff>66964</xdr:rowOff>
    </xdr:from>
    <xdr:to>
      <xdr:col>43</xdr:col>
      <xdr:colOff>490683</xdr:colOff>
      <xdr:row>30</xdr:row>
      <xdr:rowOff>95539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AB943-950F-406E-9BF3-90DDDE9C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76970</xdr:colOff>
      <xdr:row>1</xdr:row>
      <xdr:rowOff>153941</xdr:rowOff>
    </xdr:from>
    <xdr:to>
      <xdr:col>61</xdr:col>
      <xdr:colOff>413008</xdr:colOff>
      <xdr:row>29</xdr:row>
      <xdr:rowOff>172314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65C2E9-2C3D-4323-ACF8-41B94910D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tabSelected="1" workbookViewId="0">
      <selection activeCell="B4" sqref="B4"/>
    </sheetView>
  </sheetViews>
  <sheetFormatPr defaultRowHeight="14.35"/>
  <sheetData>
    <row r="2" spans="2:2">
      <c r="B2" t="s">
        <v>101</v>
      </c>
    </row>
    <row r="3" spans="2:2">
      <c r="B3" t="s">
        <v>135</v>
      </c>
    </row>
    <row r="4" spans="2:2">
      <c r="B4" t="s">
        <v>136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6"/>
  <sheetViews>
    <sheetView workbookViewId="0">
      <selection activeCell="B12" sqref="B12"/>
    </sheetView>
  </sheetViews>
  <sheetFormatPr defaultRowHeight="14.35"/>
  <sheetData>
    <row r="1" spans="2:2">
      <c r="B1" s="12" t="s">
        <v>80</v>
      </c>
    </row>
    <row r="2" spans="2:2">
      <c r="B2" t="s">
        <v>81</v>
      </c>
    </row>
    <row r="3" spans="2:2">
      <c r="B3" t="s">
        <v>105</v>
      </c>
    </row>
    <row r="4" spans="2:2">
      <c r="B4" t="s">
        <v>126</v>
      </c>
    </row>
    <row r="5" spans="2:2">
      <c r="B5" t="s">
        <v>127</v>
      </c>
    </row>
    <row r="7" spans="2:2">
      <c r="B7" s="12" t="s">
        <v>82</v>
      </c>
    </row>
    <row r="8" spans="2:2">
      <c r="B8" t="s">
        <v>106</v>
      </c>
    </row>
    <row r="9" spans="2:2">
      <c r="B9" t="s">
        <v>43</v>
      </c>
    </row>
    <row r="10" spans="2:2">
      <c r="B10" t="s">
        <v>107</v>
      </c>
    </row>
    <row r="11" spans="2:2">
      <c r="B11" t="s">
        <v>51</v>
      </c>
    </row>
    <row r="12" spans="2:2">
      <c r="B12" t="s">
        <v>44</v>
      </c>
    </row>
    <row r="13" spans="2:2">
      <c r="B13" t="s">
        <v>45</v>
      </c>
    </row>
    <row r="14" spans="2:2">
      <c r="B14" t="s">
        <v>46</v>
      </c>
    </row>
    <row r="15" spans="2:2">
      <c r="B15" t="s">
        <v>108</v>
      </c>
    </row>
    <row r="16" spans="2:2">
      <c r="B16" t="s">
        <v>47</v>
      </c>
    </row>
    <row r="17" spans="2:3">
      <c r="B17" t="s">
        <v>125</v>
      </c>
    </row>
    <row r="18" spans="2:3">
      <c r="B18" t="s">
        <v>48</v>
      </c>
    </row>
    <row r="19" spans="2:3" ht="17.350000000000001">
      <c r="B19" t="s">
        <v>69</v>
      </c>
    </row>
    <row r="20" spans="2:3">
      <c r="B20" t="s">
        <v>49</v>
      </c>
    </row>
    <row r="21" spans="2:3">
      <c r="B21" t="s">
        <v>50</v>
      </c>
    </row>
    <row r="23" spans="2:3">
      <c r="B23" s="12" t="s">
        <v>52</v>
      </c>
    </row>
    <row r="24" spans="2:3">
      <c r="B24">
        <v>1</v>
      </c>
      <c r="C24" t="s">
        <v>53</v>
      </c>
    </row>
    <row r="25" spans="2:3">
      <c r="B25">
        <v>2</v>
      </c>
      <c r="C25" t="s">
        <v>70</v>
      </c>
    </row>
    <row r="26" spans="2:3">
      <c r="B26">
        <v>3</v>
      </c>
      <c r="C26" t="s">
        <v>54</v>
      </c>
    </row>
    <row r="27" spans="2:3">
      <c r="B27">
        <v>4</v>
      </c>
      <c r="C27" t="s">
        <v>71</v>
      </c>
    </row>
    <row r="28" spans="2:3">
      <c r="C28" t="s">
        <v>72</v>
      </c>
    </row>
    <row r="29" spans="2:3">
      <c r="B29">
        <v>5</v>
      </c>
      <c r="C29" t="s">
        <v>55</v>
      </c>
    </row>
    <row r="30" spans="2:3" ht="16.350000000000001">
      <c r="B30">
        <v>6</v>
      </c>
      <c r="C30" t="s">
        <v>67</v>
      </c>
    </row>
    <row r="31" spans="2:3">
      <c r="B31">
        <v>7</v>
      </c>
      <c r="C31" t="s">
        <v>57</v>
      </c>
    </row>
    <row r="32" spans="2:3">
      <c r="B32">
        <v>8</v>
      </c>
      <c r="C32" t="s">
        <v>56</v>
      </c>
    </row>
    <row r="33" spans="2:3">
      <c r="B33">
        <v>9</v>
      </c>
      <c r="C33" t="s">
        <v>68</v>
      </c>
    </row>
    <row r="35" spans="2:3">
      <c r="B35">
        <v>10</v>
      </c>
      <c r="C35" t="s">
        <v>74</v>
      </c>
    </row>
    <row r="36" spans="2:3">
      <c r="C36" t="s">
        <v>83</v>
      </c>
    </row>
    <row r="37" spans="2:3">
      <c r="C37" t="s">
        <v>73</v>
      </c>
    </row>
    <row r="38" spans="2:3" ht="16.350000000000001">
      <c r="C38" t="s">
        <v>75</v>
      </c>
    </row>
    <row r="39" spans="2:3">
      <c r="B39">
        <v>11</v>
      </c>
      <c r="C39" t="s">
        <v>84</v>
      </c>
    </row>
    <row r="41" spans="2:3">
      <c r="B41" s="12" t="s">
        <v>109</v>
      </c>
    </row>
    <row r="42" spans="2:3">
      <c r="C42" t="s">
        <v>110</v>
      </c>
    </row>
    <row r="43" spans="2:3">
      <c r="C43" t="s">
        <v>97</v>
      </c>
    </row>
    <row r="44" spans="2:3">
      <c r="C44" t="s">
        <v>98</v>
      </c>
    </row>
    <row r="45" spans="2:3">
      <c r="C45" t="s">
        <v>99</v>
      </c>
    </row>
    <row r="46" spans="2:3">
      <c r="C46" t="s">
        <v>100</v>
      </c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32"/>
  <sheetViews>
    <sheetView zoomScale="64" zoomScaleNormal="100" workbookViewId="0">
      <selection activeCell="O19" sqref="O19"/>
    </sheetView>
  </sheetViews>
  <sheetFormatPr defaultRowHeight="14.35"/>
  <cols>
    <col min="2" max="2" width="13.703125" customWidth="1"/>
    <col min="3" max="3" width="8.87890625" customWidth="1"/>
    <col min="4" max="4" width="11.703125" customWidth="1"/>
    <col min="5" max="5" width="15.703125" customWidth="1"/>
    <col min="6" max="6" width="1.703125" customWidth="1"/>
    <col min="7" max="7" width="12.41015625" customWidth="1"/>
    <col min="8" max="8" width="13.29296875" customWidth="1"/>
    <col min="9" max="9" width="14.5859375" customWidth="1"/>
    <col min="10" max="10" width="4" customWidth="1"/>
    <col min="11" max="11" width="12.703125" customWidth="1"/>
    <col min="12" max="12" width="10.41015625" customWidth="1"/>
    <col min="13" max="13" width="7.87890625" customWidth="1"/>
    <col min="14" max="14" width="10.29296875" customWidth="1"/>
    <col min="15" max="15" width="12.1171875" customWidth="1"/>
    <col min="16" max="16" width="0.87890625" customWidth="1"/>
    <col min="17" max="17" width="12.41015625" customWidth="1"/>
    <col min="19" max="19" width="0.703125" customWidth="1"/>
    <col min="20" max="20" width="13.29296875" customWidth="1"/>
    <col min="21" max="21" width="11.41015625" customWidth="1"/>
  </cols>
  <sheetData>
    <row r="1" spans="2:21" ht="14.7" thickBot="1"/>
    <row r="2" spans="2:21" ht="14.7" thickBot="1">
      <c r="B2" s="6" t="s">
        <v>28</v>
      </c>
      <c r="C2" s="6"/>
      <c r="D2" s="66"/>
      <c r="E2" s="53" t="s">
        <v>128</v>
      </c>
    </row>
    <row r="3" spans="2:21" ht="14.7" thickBot="1">
      <c r="B3" s="6" t="s">
        <v>21</v>
      </c>
      <c r="C3" s="6"/>
      <c r="D3" s="66"/>
      <c r="E3" s="53" t="s">
        <v>26</v>
      </c>
      <c r="H3" s="12"/>
      <c r="I3" s="12"/>
    </row>
    <row r="4" spans="2:21" ht="14.7" thickBot="1">
      <c r="B4" s="6" t="s">
        <v>78</v>
      </c>
      <c r="C4" s="1"/>
      <c r="D4" s="40"/>
      <c r="E4" s="48" t="s">
        <v>29</v>
      </c>
      <c r="F4" s="13"/>
      <c r="I4" s="12"/>
      <c r="J4" s="12"/>
    </row>
    <row r="5" spans="2:21" ht="14.7" thickBot="1">
      <c r="B5" s="6" t="s">
        <v>20</v>
      </c>
      <c r="C5" s="7" t="s">
        <v>19</v>
      </c>
      <c r="D5" s="7"/>
      <c r="E5" s="1"/>
      <c r="F5" s="12"/>
    </row>
    <row r="6" spans="2:21" ht="14.7" thickBot="1">
      <c r="B6" s="1"/>
      <c r="C6" s="5" t="s">
        <v>5</v>
      </c>
      <c r="D6" s="67"/>
      <c r="E6" s="18" t="s">
        <v>6</v>
      </c>
      <c r="F6" s="51" t="s">
        <v>7</v>
      </c>
      <c r="G6" s="49">
        <v>1.4999999999999999E-2</v>
      </c>
      <c r="H6" s="15"/>
      <c r="I6" s="1" t="s">
        <v>79</v>
      </c>
      <c r="J6" s="1"/>
    </row>
    <row r="7" spans="2:21" ht="16.350000000000001">
      <c r="B7" s="1"/>
      <c r="C7" s="5" t="s">
        <v>13</v>
      </c>
      <c r="D7" s="5"/>
      <c r="E7" s="1"/>
      <c r="F7" s="19"/>
      <c r="G7" s="50">
        <v>4.9800000000000004</v>
      </c>
      <c r="H7" s="15"/>
      <c r="I7" s="1" t="s">
        <v>24</v>
      </c>
      <c r="J7" s="1"/>
      <c r="K7" s="52">
        <v>4.76</v>
      </c>
      <c r="L7" s="1" t="s">
        <v>22</v>
      </c>
    </row>
    <row r="8" spans="2:21" ht="16.350000000000001">
      <c r="B8" s="1"/>
      <c r="C8" s="5" t="s">
        <v>14</v>
      </c>
      <c r="D8" s="5"/>
      <c r="E8" s="1"/>
      <c r="F8" s="14"/>
      <c r="G8" s="50">
        <v>14.99</v>
      </c>
      <c r="H8" s="15"/>
      <c r="I8" s="1" t="s">
        <v>25</v>
      </c>
      <c r="J8" s="1"/>
      <c r="K8" s="10">
        <f>K7*SQRT(3/5)</f>
        <v>3.6870801455894608</v>
      </c>
      <c r="L8" s="1" t="s">
        <v>22</v>
      </c>
    </row>
    <row r="9" spans="2:21" ht="16.350000000000001">
      <c r="B9" s="1"/>
      <c r="C9" s="5" t="s">
        <v>15</v>
      </c>
      <c r="D9" s="5"/>
      <c r="E9" s="1"/>
      <c r="F9" s="14"/>
      <c r="G9" s="50">
        <v>-14.8</v>
      </c>
      <c r="H9" s="15"/>
      <c r="I9" s="1" t="s">
        <v>23</v>
      </c>
      <c r="J9" s="1"/>
      <c r="K9" s="11">
        <f>Lamnm/(Refin*Normalize!K7)</f>
        <v>96.25923948174588</v>
      </c>
      <c r="L9" s="1"/>
    </row>
    <row r="10" spans="2:21" ht="16.350000000000001">
      <c r="B10" s="1"/>
      <c r="C10" s="5" t="s">
        <v>16</v>
      </c>
      <c r="D10" s="5"/>
      <c r="E10" s="1"/>
      <c r="F10" s="14"/>
      <c r="G10" s="50">
        <v>79.400000000000006</v>
      </c>
      <c r="H10" s="15"/>
      <c r="I10" s="1" t="s">
        <v>58</v>
      </c>
      <c r="J10" s="1"/>
      <c r="K10" s="9">
        <f>K8*(4*PI()*Refin/Lamnm)*SIN(RADIANS(E32/2))</f>
        <v>9.695719157686139E-2</v>
      </c>
      <c r="L10" s="1"/>
    </row>
    <row r="11" spans="2:21" ht="17.350000000000001">
      <c r="B11" s="1"/>
      <c r="C11" s="5" t="s">
        <v>17</v>
      </c>
      <c r="D11" s="5"/>
      <c r="E11" s="34"/>
      <c r="F11" s="14"/>
      <c r="G11" s="50">
        <v>4.92</v>
      </c>
      <c r="I11" s="1" t="s">
        <v>59</v>
      </c>
      <c r="J11" s="1"/>
      <c r="K11" s="8">
        <f>1-K10^2/3</f>
        <v>0.99686643433384259</v>
      </c>
      <c r="L11" s="1"/>
    </row>
    <row r="12" spans="2:21">
      <c r="O12" s="38" t="s">
        <v>60</v>
      </c>
    </row>
    <row r="13" spans="2:21" ht="14.7" thickBot="1">
      <c r="B13" s="6" t="s">
        <v>20</v>
      </c>
      <c r="C13" s="7" t="s">
        <v>18</v>
      </c>
      <c r="D13" s="7" t="s">
        <v>124</v>
      </c>
      <c r="E13" s="7" t="s">
        <v>40</v>
      </c>
      <c r="F13" s="14"/>
      <c r="G13" s="25" t="s">
        <v>42</v>
      </c>
      <c r="H13" s="16" t="s">
        <v>63</v>
      </c>
      <c r="I13" s="6"/>
      <c r="J13" s="35"/>
      <c r="K13" s="6" t="s">
        <v>62</v>
      </c>
      <c r="L13" s="1"/>
      <c r="M13" s="7" t="s">
        <v>27</v>
      </c>
      <c r="N13" s="37" t="s">
        <v>64</v>
      </c>
      <c r="O13" s="39" t="s">
        <v>61</v>
      </c>
    </row>
    <row r="14" spans="2:21">
      <c r="B14" s="1"/>
      <c r="C14" s="24" t="s">
        <v>41</v>
      </c>
      <c r="D14" s="68"/>
      <c r="E14">
        <v>0</v>
      </c>
      <c r="F14" s="1"/>
      <c r="G14" s="17" t="s">
        <v>0</v>
      </c>
      <c r="H14" s="6" t="s">
        <v>3</v>
      </c>
      <c r="I14" s="6" t="s">
        <v>30</v>
      </c>
      <c r="J14" s="35"/>
      <c r="K14" s="6" t="s">
        <v>3</v>
      </c>
      <c r="L14" s="6" t="s">
        <v>4</v>
      </c>
      <c r="M14" s="1"/>
      <c r="N14" s="6">
        <f>1-((4*PI()*Refin*SIN(RADIANS(E14/2)/Lamnm)*Rgyration)^2/3)</f>
        <v>1</v>
      </c>
      <c r="O14" s="17">
        <v>1</v>
      </c>
      <c r="Q14" s="28" t="s">
        <v>65</v>
      </c>
      <c r="R14" s="29"/>
      <c r="S14" s="12"/>
      <c r="T14" s="28" t="s">
        <v>66</v>
      </c>
      <c r="U14" s="29"/>
    </row>
    <row r="15" spans="2:21">
      <c r="B15" s="1"/>
      <c r="C15" s="5">
        <v>1</v>
      </c>
      <c r="D15" s="5">
        <v>1</v>
      </c>
      <c r="E15" s="1">
        <v>22.5</v>
      </c>
      <c r="F15" s="1"/>
      <c r="G15" s="2" t="s">
        <v>2</v>
      </c>
      <c r="H15" s="2">
        <f>(1.03+1.031+1.035+1.039)/4</f>
        <v>1.0337499999999999</v>
      </c>
      <c r="I15" s="4"/>
      <c r="J15" s="36"/>
      <c r="K15" s="2">
        <v>0.02</v>
      </c>
      <c r="L15" s="4"/>
      <c r="M15" s="2">
        <f>H15+I15-K15-L15</f>
        <v>1.0137499999999999</v>
      </c>
      <c r="N15" s="2">
        <f>1-((4*PI()*Refin*SIN(RADIANS(E15/2)/Lamnm)*Rgyration)^2/3)</f>
        <v>0.9998685911424352</v>
      </c>
      <c r="O15" s="26">
        <f t="shared" ref="O15:O32" si="0">N15/M15</f>
        <v>0.98630687165714948</v>
      </c>
      <c r="Q15" s="30" t="s">
        <v>39</v>
      </c>
      <c r="R15" s="31"/>
      <c r="S15" s="12"/>
      <c r="T15" s="30" t="s">
        <v>39</v>
      </c>
      <c r="U15" s="31"/>
    </row>
    <row r="16" spans="2:21">
      <c r="B16" s="1"/>
      <c r="C16" s="5">
        <v>2</v>
      </c>
      <c r="D16" s="5">
        <v>2</v>
      </c>
      <c r="E16" s="1">
        <v>28</v>
      </c>
      <c r="F16" s="1"/>
      <c r="G16" s="2" t="s">
        <v>2</v>
      </c>
      <c r="H16" s="2">
        <f>(0.715+0.694+0.692+0.694)/4</f>
        <v>0.69874999999999998</v>
      </c>
      <c r="I16" s="4"/>
      <c r="J16" s="36"/>
      <c r="K16" s="2">
        <v>0.06</v>
      </c>
      <c r="L16" s="4"/>
      <c r="M16" s="2">
        <f>H16+I16-K16-L16</f>
        <v>0.63874999999999993</v>
      </c>
      <c r="N16" s="2">
        <f>1-((4*PI()*Refin*SIN(RADIANS(E16/2)/Lamnm)*Rgyration)^2/3)</f>
        <v>0.99979649473030563</v>
      </c>
      <c r="O16" s="26">
        <f>N16/M16</f>
        <v>1.5652391306932381</v>
      </c>
      <c r="Q16" s="20" t="s">
        <v>31</v>
      </c>
      <c r="R16" s="21">
        <v>261.94101000000001</v>
      </c>
      <c r="T16" s="20" t="s">
        <v>31</v>
      </c>
      <c r="U16" s="21">
        <v>1.9109</v>
      </c>
    </row>
    <row r="17" spans="2:21">
      <c r="B17" s="1"/>
      <c r="C17" s="5">
        <v>3</v>
      </c>
      <c r="D17" s="5">
        <v>3</v>
      </c>
      <c r="E17" s="1">
        <v>32</v>
      </c>
      <c r="F17" s="1"/>
      <c r="G17" s="2" t="s">
        <v>2</v>
      </c>
      <c r="H17" s="2">
        <f>(0.85+0.856+0.845+0.849)/4</f>
        <v>0.85000000000000009</v>
      </c>
      <c r="I17" s="4"/>
      <c r="J17" s="36"/>
      <c r="K17" s="2">
        <v>1.4999999999999999E-2</v>
      </c>
      <c r="L17" s="4"/>
      <c r="M17" s="2">
        <f>H17+I17-K17-L17</f>
        <v>0.83500000000000008</v>
      </c>
      <c r="N17" s="2">
        <f>1-((4*PI()*Refin*SIN(RADIANS(E17/2)/Lamnm)*Rgyration)^2/3)</f>
        <v>0.99973419720221768</v>
      </c>
      <c r="O17" s="26">
        <f t="shared" si="0"/>
        <v>1.1972864637152307</v>
      </c>
      <c r="Q17" s="20" t="s">
        <v>32</v>
      </c>
      <c r="R17" s="21">
        <v>872.99010999999996</v>
      </c>
      <c r="T17" s="20" t="s">
        <v>32</v>
      </c>
      <c r="U17" s="21">
        <v>3.1774200000000001</v>
      </c>
    </row>
    <row r="18" spans="2:21">
      <c r="B18" s="1"/>
      <c r="C18" s="64">
        <v>4</v>
      </c>
      <c r="D18" s="64"/>
      <c r="E18" s="65">
        <v>38</v>
      </c>
      <c r="F18" s="65"/>
      <c r="G18" s="32" t="s">
        <v>76</v>
      </c>
      <c r="H18" s="33" t="s">
        <v>77</v>
      </c>
      <c r="I18" s="65"/>
      <c r="J18" s="65"/>
      <c r="K18" s="69" t="s">
        <v>77</v>
      </c>
      <c r="L18" s="65"/>
      <c r="M18" s="69" t="s">
        <v>77</v>
      </c>
      <c r="N18" s="33" t="s">
        <v>77</v>
      </c>
      <c r="O18" s="33" t="s">
        <v>77</v>
      </c>
      <c r="Q18" s="20" t="s">
        <v>33</v>
      </c>
      <c r="R18" s="21">
        <v>796.78638000000001</v>
      </c>
      <c r="T18" s="20" t="s">
        <v>33</v>
      </c>
      <c r="U18" s="21">
        <v>3.1847099999999999</v>
      </c>
    </row>
    <row r="19" spans="2:21">
      <c r="B19" s="1"/>
      <c r="C19" s="5">
        <v>5</v>
      </c>
      <c r="D19" s="5">
        <v>4</v>
      </c>
      <c r="E19" s="1">
        <v>44</v>
      </c>
      <c r="F19" s="1"/>
      <c r="G19" s="3" t="s">
        <v>1</v>
      </c>
      <c r="H19" s="4"/>
      <c r="I19" s="3">
        <f>R16</f>
        <v>261.94101000000001</v>
      </c>
      <c r="J19" s="36"/>
      <c r="K19" s="4"/>
      <c r="L19" s="3">
        <f>U16</f>
        <v>1.9109</v>
      </c>
      <c r="M19" s="3">
        <f t="shared" ref="M19:M26" si="1">H19+I19-K19-L19</f>
        <v>260.03010999999998</v>
      </c>
      <c r="N19" s="3">
        <f t="shared" ref="N19:N26" si="2">1-((4*PI()*Refin*SIN(RADIANS(E19/2)/Lamnm)*Rgyration)^2/3)</f>
        <v>0.9994974666102372</v>
      </c>
      <c r="O19" s="27">
        <f t="shared" si="0"/>
        <v>3.8437758866088135E-3</v>
      </c>
      <c r="Q19" s="20" t="s">
        <v>34</v>
      </c>
      <c r="R19" s="21">
        <v>819.81164999999999</v>
      </c>
      <c r="T19" s="20" t="s">
        <v>34</v>
      </c>
      <c r="U19" s="21">
        <v>10.36139</v>
      </c>
    </row>
    <row r="20" spans="2:21">
      <c r="B20" s="1"/>
      <c r="C20" s="5">
        <v>6</v>
      </c>
      <c r="D20" s="5">
        <v>5</v>
      </c>
      <c r="E20" s="1">
        <v>50</v>
      </c>
      <c r="F20" s="1"/>
      <c r="G20" s="3" t="s">
        <v>1</v>
      </c>
      <c r="H20" s="4"/>
      <c r="I20" s="3">
        <f>R17</f>
        <v>872.99010999999996</v>
      </c>
      <c r="J20" s="36"/>
      <c r="K20" s="4"/>
      <c r="L20" s="3">
        <f>U17</f>
        <v>3.1774200000000001</v>
      </c>
      <c r="M20" s="3">
        <f t="shared" si="1"/>
        <v>869.81268999999998</v>
      </c>
      <c r="N20" s="3">
        <f t="shared" si="2"/>
        <v>0.99935106744004454</v>
      </c>
      <c r="O20" s="27">
        <f t="shared" si="0"/>
        <v>1.1489267504708911E-3</v>
      </c>
      <c r="Q20" s="20" t="s">
        <v>35</v>
      </c>
      <c r="R20" s="21">
        <v>352.52938999999998</v>
      </c>
      <c r="T20" s="20" t="s">
        <v>35</v>
      </c>
      <c r="U20" s="21">
        <v>1.2126600000000001</v>
      </c>
    </row>
    <row r="21" spans="2:21">
      <c r="B21" s="1"/>
      <c r="C21" s="5">
        <v>7</v>
      </c>
      <c r="D21" s="5">
        <v>6</v>
      </c>
      <c r="E21" s="1">
        <v>57</v>
      </c>
      <c r="F21" s="1"/>
      <c r="G21" s="2" t="s">
        <v>2</v>
      </c>
      <c r="H21" s="2">
        <v>1.161</v>
      </c>
      <c r="I21" s="4"/>
      <c r="J21" s="36"/>
      <c r="K21" s="2">
        <v>2.7E-2</v>
      </c>
      <c r="L21" s="4"/>
      <c r="M21" s="2">
        <f t="shared" si="1"/>
        <v>1.1340000000000001</v>
      </c>
      <c r="N21" s="2">
        <f t="shared" si="2"/>
        <v>0.99915664727925502</v>
      </c>
      <c r="O21" s="26">
        <f t="shared" si="0"/>
        <v>0.88109051788294079</v>
      </c>
      <c r="Q21" s="20" t="s">
        <v>36</v>
      </c>
      <c r="R21" s="21">
        <v>328.77881000000002</v>
      </c>
      <c r="T21" s="20" t="s">
        <v>36</v>
      </c>
      <c r="U21" s="21">
        <v>1.228</v>
      </c>
    </row>
    <row r="22" spans="2:21">
      <c r="B22" s="1"/>
      <c r="C22" s="5">
        <v>8</v>
      </c>
      <c r="D22" s="5">
        <v>7</v>
      </c>
      <c r="E22" s="1">
        <v>64</v>
      </c>
      <c r="F22" s="1"/>
      <c r="G22" s="3" t="s">
        <v>1</v>
      </c>
      <c r="H22" s="4"/>
      <c r="I22" s="3">
        <f>R18</f>
        <v>796.78638000000001</v>
      </c>
      <c r="J22" s="36"/>
      <c r="K22" s="4"/>
      <c r="L22" s="3">
        <f>U18</f>
        <v>3.1847099999999999</v>
      </c>
      <c r="M22" s="3">
        <f t="shared" si="1"/>
        <v>793.60167000000001</v>
      </c>
      <c r="N22" s="3">
        <f t="shared" si="2"/>
        <v>0.99893678898556948</v>
      </c>
      <c r="O22" s="27">
        <f t="shared" si="0"/>
        <v>1.2587382647337038E-3</v>
      </c>
      <c r="Q22" s="20" t="s">
        <v>37</v>
      </c>
      <c r="R22" s="21">
        <v>311.91138000000001</v>
      </c>
      <c r="T22" s="20" t="s">
        <v>37</v>
      </c>
      <c r="U22" s="21">
        <v>1.7291399999999999</v>
      </c>
    </row>
    <row r="23" spans="2:21" ht="14.7" thickBot="1">
      <c r="B23" s="1"/>
      <c r="C23" s="5">
        <v>9</v>
      </c>
      <c r="D23" s="5">
        <v>9</v>
      </c>
      <c r="E23" s="1">
        <v>72</v>
      </c>
      <c r="F23" s="1"/>
      <c r="G23" s="2" t="s">
        <v>2</v>
      </c>
      <c r="H23" s="2">
        <v>1.056</v>
      </c>
      <c r="I23" s="4"/>
      <c r="J23" s="36"/>
      <c r="K23" s="2">
        <v>8.9999999999999993E-3</v>
      </c>
      <c r="L23" s="4"/>
      <c r="M23" s="2">
        <f t="shared" si="1"/>
        <v>1.0470000000000002</v>
      </c>
      <c r="N23" s="2">
        <f t="shared" si="2"/>
        <v>0.99865437363906517</v>
      </c>
      <c r="O23" s="26">
        <f t="shared" si="0"/>
        <v>0.95382461665622253</v>
      </c>
      <c r="Q23" s="22" t="s">
        <v>38</v>
      </c>
      <c r="R23" s="23">
        <v>572.80609000000004</v>
      </c>
      <c r="T23" s="22" t="s">
        <v>38</v>
      </c>
      <c r="U23" s="23">
        <v>1.85985</v>
      </c>
    </row>
    <row r="24" spans="2:21">
      <c r="B24" s="1"/>
      <c r="C24" s="5">
        <v>10</v>
      </c>
      <c r="D24" s="5">
        <v>9</v>
      </c>
      <c r="E24" s="1">
        <v>81</v>
      </c>
      <c r="F24" s="1"/>
      <c r="G24" s="3" t="s">
        <v>1</v>
      </c>
      <c r="H24" s="4"/>
      <c r="I24" s="3">
        <f>R19</f>
        <v>819.81164999999999</v>
      </c>
      <c r="J24" s="36"/>
      <c r="K24" s="4"/>
      <c r="L24" s="3">
        <f>U19</f>
        <v>10.36139</v>
      </c>
      <c r="M24" s="3">
        <f t="shared" si="1"/>
        <v>809.45025999999996</v>
      </c>
      <c r="N24" s="3">
        <f t="shared" si="2"/>
        <v>0.9982969417638109</v>
      </c>
      <c r="O24" s="27">
        <f t="shared" si="0"/>
        <v>1.2333023918774341E-3</v>
      </c>
    </row>
    <row r="25" spans="2:21">
      <c r="B25" s="1"/>
      <c r="C25" s="5">
        <v>11</v>
      </c>
      <c r="D25" s="5">
        <v>10</v>
      </c>
      <c r="E25" s="1">
        <v>90</v>
      </c>
      <c r="F25" s="1"/>
      <c r="G25" s="2" t="s">
        <v>2</v>
      </c>
      <c r="H25" s="2">
        <v>0.94799999999999995</v>
      </c>
      <c r="I25" s="4"/>
      <c r="J25" s="36"/>
      <c r="K25" s="2">
        <v>7.0000000000000001E-3</v>
      </c>
      <c r="L25" s="4"/>
      <c r="M25" s="2">
        <f t="shared" si="1"/>
        <v>0.94099999999999995</v>
      </c>
      <c r="N25" s="2">
        <f t="shared" si="2"/>
        <v>0.99789745914272321</v>
      </c>
      <c r="O25" s="26">
        <f t="shared" si="0"/>
        <v>1.0604648875055507</v>
      </c>
    </row>
    <row r="26" spans="2:21">
      <c r="B26" s="1"/>
      <c r="C26" s="5">
        <v>12</v>
      </c>
      <c r="D26" s="5">
        <v>11</v>
      </c>
      <c r="E26" s="1">
        <v>99</v>
      </c>
      <c r="F26" s="1"/>
      <c r="G26" s="3" t="s">
        <v>1</v>
      </c>
      <c r="H26" s="4"/>
      <c r="I26" s="3">
        <f>R20</f>
        <v>352.52938999999998</v>
      </c>
      <c r="J26" s="36"/>
      <c r="K26" s="4"/>
      <c r="L26" s="3">
        <f>U20</f>
        <v>1.2126600000000001</v>
      </c>
      <c r="M26" s="3">
        <f t="shared" si="1"/>
        <v>351.31672999999995</v>
      </c>
      <c r="N26" s="3">
        <f t="shared" si="2"/>
        <v>0.99745592579680853</v>
      </c>
      <c r="O26" s="27">
        <f t="shared" si="0"/>
        <v>2.8391927870807881E-3</v>
      </c>
    </row>
    <row r="27" spans="2:21">
      <c r="B27" s="1"/>
      <c r="C27" s="64">
        <v>13</v>
      </c>
      <c r="D27" s="64"/>
      <c r="E27" s="65">
        <v>108</v>
      </c>
      <c r="F27" s="65"/>
      <c r="G27" s="32" t="s">
        <v>76</v>
      </c>
      <c r="H27" s="69" t="s">
        <v>77</v>
      </c>
      <c r="I27" s="65"/>
      <c r="J27" s="65"/>
      <c r="K27" s="69" t="s">
        <v>77</v>
      </c>
      <c r="L27" s="65"/>
      <c r="M27" s="69" t="s">
        <v>77</v>
      </c>
      <c r="N27" s="33" t="s">
        <v>77</v>
      </c>
      <c r="O27" s="33" t="s">
        <v>77</v>
      </c>
    </row>
    <row r="28" spans="2:21">
      <c r="B28" s="1"/>
      <c r="C28" s="5">
        <v>14</v>
      </c>
      <c r="D28" s="5">
        <v>12</v>
      </c>
      <c r="E28" s="1">
        <v>117</v>
      </c>
      <c r="F28" s="1"/>
      <c r="G28" s="3" t="s">
        <v>1</v>
      </c>
      <c r="H28" s="4"/>
      <c r="I28" s="3">
        <f>R21</f>
        <v>328.77881000000002</v>
      </c>
      <c r="J28" s="36"/>
      <c r="K28" s="4"/>
      <c r="L28" s="3">
        <f>U21</f>
        <v>1.228</v>
      </c>
      <c r="M28" s="3">
        <f>H28+I28-K28-L28</f>
        <v>327.55081000000001</v>
      </c>
      <c r="N28" s="3">
        <f>1-((4*PI()*Refin*SIN(RADIANS(E28/2)/Lamnm)*Rgyration)^2/3)</f>
        <v>0.99644670702558136</v>
      </c>
      <c r="O28" s="27">
        <f t="shared" si="0"/>
        <v>3.0421133961646479E-3</v>
      </c>
    </row>
    <row r="29" spans="2:21">
      <c r="B29" s="1"/>
      <c r="C29" s="5">
        <v>15</v>
      </c>
      <c r="D29" s="5">
        <v>13</v>
      </c>
      <c r="E29" s="1">
        <v>126</v>
      </c>
      <c r="F29" s="1"/>
      <c r="G29" s="2" t="s">
        <v>2</v>
      </c>
      <c r="H29" s="2">
        <v>1.216</v>
      </c>
      <c r="I29" s="4"/>
      <c r="J29" s="36"/>
      <c r="K29" s="2">
        <v>1.7000000000000001E-2</v>
      </c>
      <c r="L29" s="4"/>
      <c r="M29" s="2">
        <f>H29+I29-K29-L29</f>
        <v>1.1990000000000001</v>
      </c>
      <c r="N29" s="2">
        <f>1-((4*PI()*Refin*SIN(RADIANS(E29/2)/Lamnm)*Rgyration)^2/3)</f>
        <v>0.99587902165333808</v>
      </c>
      <c r="O29" s="26">
        <f t="shared" si="0"/>
        <v>0.83059134416458547</v>
      </c>
    </row>
    <row r="30" spans="2:21">
      <c r="B30" s="1"/>
      <c r="C30" s="5">
        <v>16</v>
      </c>
      <c r="D30" s="5">
        <v>14</v>
      </c>
      <c r="E30" s="1">
        <v>134</v>
      </c>
      <c r="F30" s="1"/>
      <c r="G30" s="3" t="s">
        <v>1</v>
      </c>
      <c r="H30" s="4"/>
      <c r="I30" s="3">
        <f>R22</f>
        <v>311.91138000000001</v>
      </c>
      <c r="J30" s="36"/>
      <c r="K30" s="4"/>
      <c r="L30" s="3">
        <f>U22</f>
        <v>1.7291399999999999</v>
      </c>
      <c r="M30" s="3">
        <f>H30+I30-K30-L30</f>
        <v>310.18224000000004</v>
      </c>
      <c r="N30" s="3">
        <f>1-((4*PI()*Refin*SIN(RADIANS(E30/2)/Lamnm)*Rgyration)^2/3)</f>
        <v>0.99533911067862813</v>
      </c>
      <c r="O30" s="27">
        <f t="shared" si="0"/>
        <v>3.2088849144897144E-3</v>
      </c>
    </row>
    <row r="31" spans="2:21">
      <c r="B31" s="1"/>
      <c r="C31" s="5">
        <v>17</v>
      </c>
      <c r="D31" s="5">
        <v>15</v>
      </c>
      <c r="E31" s="1">
        <v>141</v>
      </c>
      <c r="F31" s="1"/>
      <c r="G31" s="2" t="s">
        <v>2</v>
      </c>
      <c r="H31" s="2">
        <v>0.66700000000000004</v>
      </c>
      <c r="I31" s="4"/>
      <c r="J31" s="36"/>
      <c r="K31" s="2">
        <v>1.2E-2</v>
      </c>
      <c r="L31" s="4"/>
      <c r="M31" s="3">
        <f>H31+I31-K31-L31</f>
        <v>0.65500000000000003</v>
      </c>
      <c r="N31" s="2">
        <f>1-((4*PI()*Refin*SIN(RADIANS(E31/2)/Lamnm)*Rgyration)^2/3)</f>
        <v>0.99483943356270155</v>
      </c>
      <c r="O31" s="26">
        <f>N31/M31</f>
        <v>1.5188388298667199</v>
      </c>
    </row>
    <row r="32" spans="2:21">
      <c r="B32" s="1"/>
      <c r="C32" s="5">
        <v>18</v>
      </c>
      <c r="D32" s="5">
        <v>16</v>
      </c>
      <c r="E32" s="1">
        <v>147</v>
      </c>
      <c r="F32" s="1"/>
      <c r="G32" s="3" t="s">
        <v>1</v>
      </c>
      <c r="H32" s="4"/>
      <c r="I32" s="3">
        <f>R23</f>
        <v>572.80609000000004</v>
      </c>
      <c r="J32" s="36"/>
      <c r="K32" s="4"/>
      <c r="L32" s="3">
        <f>U23</f>
        <v>1.85985</v>
      </c>
      <c r="M32" s="3">
        <f>H32+I32-K32-L32</f>
        <v>570.94623999999999</v>
      </c>
      <c r="N32" s="3">
        <f>1-((4*PI()*Refin*SIN(RADIANS(E32/2)/Lamnm)*Rgyration)^2/3)</f>
        <v>0.99439089232338562</v>
      </c>
      <c r="O32" s="27">
        <f t="shared" si="0"/>
        <v>1.7416541570067711E-3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2"/>
  <sheetViews>
    <sheetView topLeftCell="D12" zoomScale="81" zoomScaleNormal="100" workbookViewId="0">
      <selection activeCell="R27" sqref="R27"/>
    </sheetView>
  </sheetViews>
  <sheetFormatPr defaultRowHeight="14.35"/>
  <cols>
    <col min="2" max="2" width="11" customWidth="1"/>
    <col min="4" max="4" width="13.5859375" customWidth="1"/>
    <col min="5" max="5" width="2" customWidth="1"/>
    <col min="6" max="6" width="10.41015625" customWidth="1"/>
    <col min="8" max="8" width="14.87890625" customWidth="1"/>
    <col min="9" max="9" width="4" customWidth="1"/>
    <col min="10" max="10" width="12.41015625" customWidth="1"/>
    <col min="11" max="11" width="11" customWidth="1"/>
    <col min="13" max="13" width="10.41015625" customWidth="1"/>
    <col min="14" max="14" width="2.703125" customWidth="1"/>
    <col min="16" max="16" width="12.5859375" customWidth="1"/>
    <col min="17" max="17" width="1.76171875" customWidth="1"/>
    <col min="19" max="19" width="12.29296875" customWidth="1"/>
  </cols>
  <sheetData>
    <row r="1" spans="2:19" ht="14.7" thickBot="1"/>
    <row r="2" spans="2:19" ht="14.7" thickBot="1">
      <c r="B2" s="6" t="s">
        <v>103</v>
      </c>
      <c r="C2" s="6"/>
      <c r="D2" s="46" t="s">
        <v>128</v>
      </c>
    </row>
    <row r="3" spans="2:19" ht="14.7" thickBot="1">
      <c r="B3" s="6" t="s">
        <v>104</v>
      </c>
      <c r="C3" s="6"/>
      <c r="D3" s="47" t="s">
        <v>129</v>
      </c>
      <c r="G3" s="12"/>
      <c r="H3" s="12"/>
    </row>
    <row r="4" spans="2:19" ht="14.7" thickBot="1">
      <c r="B4" s="6" t="s">
        <v>78</v>
      </c>
      <c r="C4" s="1"/>
      <c r="D4" s="48" t="s">
        <v>29</v>
      </c>
      <c r="E4" s="13"/>
      <c r="H4" s="12"/>
      <c r="I4" s="12"/>
    </row>
    <row r="5" spans="2:19" ht="14.7" thickBot="1">
      <c r="B5" s="6" t="s">
        <v>20</v>
      </c>
      <c r="C5" s="7" t="s">
        <v>19</v>
      </c>
      <c r="D5" s="1"/>
    </row>
    <row r="6" spans="2:19" ht="14.7" thickBot="1">
      <c r="B6" s="1"/>
      <c r="C6" s="5" t="s">
        <v>5</v>
      </c>
      <c r="D6" s="18" t="s">
        <v>6</v>
      </c>
      <c r="E6" s="51" t="s">
        <v>7</v>
      </c>
      <c r="F6" s="49">
        <v>6.0000000000000001E-3</v>
      </c>
      <c r="G6" s="15"/>
      <c r="H6" s="1" t="s">
        <v>79</v>
      </c>
      <c r="I6" s="1"/>
    </row>
    <row r="7" spans="2:19" ht="16.350000000000001">
      <c r="B7" s="1"/>
      <c r="C7" s="5" t="s">
        <v>13</v>
      </c>
      <c r="D7" s="1"/>
      <c r="E7" s="19"/>
      <c r="F7" s="50">
        <v>4.9800000000000004</v>
      </c>
      <c r="G7" s="15"/>
      <c r="H7" s="1" t="s">
        <v>24</v>
      </c>
      <c r="I7" s="1"/>
      <c r="J7" s="52">
        <v>117</v>
      </c>
      <c r="K7" s="1" t="s">
        <v>22</v>
      </c>
    </row>
    <row r="8" spans="2:19" ht="16.350000000000001">
      <c r="B8" s="1"/>
      <c r="C8" s="5" t="s">
        <v>14</v>
      </c>
      <c r="D8" s="1"/>
      <c r="E8" s="14"/>
      <c r="F8" s="50">
        <v>15.04</v>
      </c>
      <c r="G8" s="15"/>
      <c r="H8" s="1" t="s">
        <v>25</v>
      </c>
      <c r="I8" s="1"/>
      <c r="J8" s="10">
        <f>J7*SQRT(3/5)</f>
        <v>90.627810301253561</v>
      </c>
      <c r="K8" s="1" t="s">
        <v>22</v>
      </c>
    </row>
    <row r="9" spans="2:19" ht="16.350000000000001">
      <c r="B9" s="1"/>
      <c r="C9" s="5" t="s">
        <v>15</v>
      </c>
      <c r="D9" s="1"/>
      <c r="E9" s="14"/>
      <c r="F9" s="50">
        <v>14.89</v>
      </c>
      <c r="G9" s="15"/>
      <c r="H9" s="1" t="s">
        <v>23</v>
      </c>
      <c r="I9" s="1"/>
      <c r="J9" s="11">
        <f>Lamnm/(Refin*J7)</f>
        <v>3.9161878626761566</v>
      </c>
      <c r="K9" s="1"/>
    </row>
    <row r="10" spans="2:19" ht="16.350000000000001">
      <c r="B10" s="1"/>
      <c r="C10" s="5" t="s">
        <v>16</v>
      </c>
      <c r="D10" s="1"/>
      <c r="E10" s="14"/>
      <c r="F10" s="50">
        <v>79.2</v>
      </c>
      <c r="G10" s="15"/>
      <c r="H10" s="1" t="s">
        <v>58</v>
      </c>
      <c r="I10" s="1"/>
      <c r="J10" s="9">
        <f>J8*(4*PI()*Refin/Lamnm)*SIN(RADIANS(D32/2))</f>
        <v>2.3831914736329374</v>
      </c>
      <c r="K10" s="1"/>
    </row>
    <row r="11" spans="2:19" ht="17.350000000000001">
      <c r="B11" s="1"/>
      <c r="C11" s="5" t="s">
        <v>17</v>
      </c>
      <c r="D11" s="34"/>
      <c r="E11" s="14"/>
      <c r="F11" s="50">
        <v>4.92</v>
      </c>
      <c r="H11" s="1" t="s">
        <v>59</v>
      </c>
      <c r="I11" s="1"/>
      <c r="J11" s="8">
        <f>1-J10^2/3</f>
        <v>-0.8932005333322437</v>
      </c>
      <c r="K11" s="1"/>
      <c r="M11" s="40"/>
      <c r="O11" s="40"/>
    </row>
    <row r="12" spans="2:19">
      <c r="M12" s="6" t="s">
        <v>86</v>
      </c>
    </row>
    <row r="13" spans="2:19" ht="14.7" thickBot="1">
      <c r="B13" s="6" t="s">
        <v>20</v>
      </c>
      <c r="C13" s="7" t="s">
        <v>18</v>
      </c>
      <c r="D13" s="7" t="s">
        <v>40</v>
      </c>
      <c r="E13" s="14"/>
      <c r="F13" s="25" t="s">
        <v>42</v>
      </c>
      <c r="G13" s="16" t="s">
        <v>102</v>
      </c>
      <c r="H13" s="6"/>
      <c r="I13" s="35"/>
      <c r="J13" s="6" t="s">
        <v>62</v>
      </c>
      <c r="K13" s="1"/>
      <c r="L13" s="7" t="s">
        <v>27</v>
      </c>
      <c r="M13" s="6" t="s">
        <v>87</v>
      </c>
    </row>
    <row r="14" spans="2:19">
      <c r="B14" s="1"/>
      <c r="C14" s="24" t="s">
        <v>41</v>
      </c>
      <c r="D14">
        <v>0</v>
      </c>
      <c r="E14" s="1"/>
      <c r="F14" s="17" t="s">
        <v>0</v>
      </c>
      <c r="G14" s="6" t="s">
        <v>3</v>
      </c>
      <c r="H14" s="6" t="s">
        <v>30</v>
      </c>
      <c r="I14" s="35"/>
      <c r="J14" s="6" t="s">
        <v>3</v>
      </c>
      <c r="K14" s="6" t="s">
        <v>4</v>
      </c>
      <c r="L14" s="1"/>
      <c r="M14" s="17">
        <v>1</v>
      </c>
      <c r="O14" s="28" t="s">
        <v>65</v>
      </c>
      <c r="P14" s="29"/>
      <c r="Q14" s="12"/>
      <c r="R14" s="28" t="s">
        <v>66</v>
      </c>
      <c r="S14" s="29"/>
    </row>
    <row r="15" spans="2:19">
      <c r="B15" s="1"/>
      <c r="C15" s="5">
        <v>1</v>
      </c>
      <c r="D15" s="1">
        <v>22.5</v>
      </c>
      <c r="E15" s="1"/>
      <c r="F15" s="2" t="s">
        <v>2</v>
      </c>
      <c r="G15" s="2"/>
      <c r="H15" s="4"/>
      <c r="I15" s="36"/>
      <c r="J15" s="2"/>
      <c r="K15" s="4"/>
      <c r="L15" s="2">
        <f>G15+H15-J15-K15</f>
        <v>0</v>
      </c>
      <c r="M15" s="26">
        <f>Normalize!O15*L15</f>
        <v>0</v>
      </c>
      <c r="O15" s="30" t="s">
        <v>39</v>
      </c>
      <c r="P15" s="31"/>
      <c r="Q15" s="12"/>
      <c r="R15" s="30" t="s">
        <v>39</v>
      </c>
      <c r="S15" s="31"/>
    </row>
    <row r="16" spans="2:19">
      <c r="B16" s="1"/>
      <c r="C16" s="5">
        <v>2</v>
      </c>
      <c r="D16" s="1">
        <v>28</v>
      </c>
      <c r="E16" s="1"/>
      <c r="F16" s="2" t="s">
        <v>2</v>
      </c>
      <c r="G16" s="2"/>
      <c r="H16" s="4"/>
      <c r="I16" s="36"/>
      <c r="J16" s="2"/>
      <c r="K16" s="4"/>
      <c r="L16" s="2">
        <f>G16+H16-J16-K16</f>
        <v>0</v>
      </c>
      <c r="M16" s="26">
        <f>Normalize!O16*L16</f>
        <v>0</v>
      </c>
      <c r="O16" s="20" t="s">
        <v>31</v>
      </c>
      <c r="P16" s="21">
        <v>30.435230000000001</v>
      </c>
      <c r="R16" s="20" t="s">
        <v>31</v>
      </c>
      <c r="S16" s="21">
        <v>5.94442</v>
      </c>
    </row>
    <row r="17" spans="2:19">
      <c r="B17" s="1"/>
      <c r="C17" s="5">
        <v>3</v>
      </c>
      <c r="D17" s="1">
        <v>32</v>
      </c>
      <c r="E17" s="1"/>
      <c r="F17" s="2" t="s">
        <v>2</v>
      </c>
      <c r="G17" s="2"/>
      <c r="H17" s="4"/>
      <c r="I17" s="36"/>
      <c r="J17" s="2"/>
      <c r="K17" s="4"/>
      <c r="L17" s="2">
        <f>G17+H17-J17-K17</f>
        <v>0</v>
      </c>
      <c r="M17" s="26">
        <f>Normalize!O17*L17</f>
        <v>0</v>
      </c>
      <c r="O17" s="20" t="s">
        <v>32</v>
      </c>
      <c r="P17" s="21">
        <v>93.743780000000001</v>
      </c>
      <c r="R17" s="20" t="s">
        <v>32</v>
      </c>
      <c r="S17" s="21">
        <v>19.80104</v>
      </c>
    </row>
    <row r="18" spans="2:19">
      <c r="B18" s="1"/>
      <c r="C18" s="5">
        <v>4</v>
      </c>
      <c r="D18" s="1">
        <v>38</v>
      </c>
      <c r="E18" s="1"/>
      <c r="F18" s="32" t="s">
        <v>76</v>
      </c>
      <c r="G18" s="33" t="s">
        <v>77</v>
      </c>
      <c r="H18" s="4"/>
      <c r="I18" s="36"/>
      <c r="J18" s="33" t="s">
        <v>77</v>
      </c>
      <c r="K18" s="4"/>
      <c r="L18" s="33" t="s">
        <v>77</v>
      </c>
      <c r="M18" s="33" t="str">
        <f>Normalize!O18</f>
        <v>---</v>
      </c>
      <c r="O18" s="20" t="s">
        <v>33</v>
      </c>
      <c r="P18" s="21">
        <v>82.246570000000006</v>
      </c>
      <c r="R18" s="20" t="s">
        <v>33</v>
      </c>
      <c r="S18" s="21">
        <v>15.65363</v>
      </c>
    </row>
    <row r="19" spans="2:19">
      <c r="B19" s="1"/>
      <c r="C19" s="5">
        <v>5</v>
      </c>
      <c r="D19" s="1">
        <v>44</v>
      </c>
      <c r="E19" s="1"/>
      <c r="F19" s="3" t="s">
        <v>1</v>
      </c>
      <c r="G19" s="4"/>
      <c r="H19" s="3">
        <f>P16</f>
        <v>30.435230000000001</v>
      </c>
      <c r="I19" s="36"/>
      <c r="J19" s="4"/>
      <c r="K19" s="3">
        <f>S16</f>
        <v>5.94442</v>
      </c>
      <c r="L19" s="3">
        <f t="shared" ref="L19:L26" si="0">G19+H19-J19-K19</f>
        <v>24.49081</v>
      </c>
      <c r="M19" s="77">
        <f>Normalize!O19*L19</f>
        <v>9.4137184921518E-2</v>
      </c>
      <c r="O19" s="20" t="s">
        <v>34</v>
      </c>
      <c r="P19" s="21">
        <v>96.08278</v>
      </c>
      <c r="R19" s="20" t="s">
        <v>34</v>
      </c>
      <c r="S19" s="21">
        <v>23.026599999999998</v>
      </c>
    </row>
    <row r="20" spans="2:19">
      <c r="B20" s="1"/>
      <c r="C20" s="5">
        <v>6</v>
      </c>
      <c r="D20" s="1">
        <v>50</v>
      </c>
      <c r="E20" s="1"/>
      <c r="F20" s="3" t="s">
        <v>1</v>
      </c>
      <c r="G20" s="4"/>
      <c r="H20" s="3">
        <f>P17</f>
        <v>93.743780000000001</v>
      </c>
      <c r="I20" s="36"/>
      <c r="J20" s="4"/>
      <c r="K20" s="3">
        <f>S17</f>
        <v>19.80104</v>
      </c>
      <c r="L20" s="3">
        <f t="shared" si="0"/>
        <v>73.942740000000001</v>
      </c>
      <c r="M20" s="77">
        <f>Normalize!O20*L20</f>
        <v>8.4954791989113987E-2</v>
      </c>
      <c r="O20" s="20" t="s">
        <v>35</v>
      </c>
      <c r="P20" s="21">
        <v>36.891210000000001</v>
      </c>
      <c r="R20" s="20" t="s">
        <v>35</v>
      </c>
      <c r="S20" s="21">
        <v>7.3498000000000001</v>
      </c>
    </row>
    <row r="21" spans="2:19">
      <c r="B21" s="1"/>
      <c r="C21" s="5">
        <v>7</v>
      </c>
      <c r="D21" s="1">
        <v>57</v>
      </c>
      <c r="E21" s="1"/>
      <c r="F21" s="2" t="s">
        <v>2</v>
      </c>
      <c r="G21" s="2"/>
      <c r="H21" s="4"/>
      <c r="I21" s="36"/>
      <c r="J21" s="2"/>
      <c r="K21" s="4"/>
      <c r="L21" s="2">
        <f t="shared" si="0"/>
        <v>0</v>
      </c>
      <c r="M21" s="26">
        <f>Normalize!O21*L21</f>
        <v>0</v>
      </c>
      <c r="O21" s="20" t="s">
        <v>36</v>
      </c>
      <c r="P21" s="21">
        <v>37.875830000000001</v>
      </c>
      <c r="R21" s="20" t="s">
        <v>36</v>
      </c>
      <c r="S21" s="21">
        <v>6.9405200000000002</v>
      </c>
    </row>
    <row r="22" spans="2:19">
      <c r="B22" s="1"/>
      <c r="C22" s="5">
        <v>8</v>
      </c>
      <c r="D22" s="1">
        <v>64</v>
      </c>
      <c r="E22" s="1"/>
      <c r="F22" s="3" t="s">
        <v>1</v>
      </c>
      <c r="G22" s="4"/>
      <c r="H22" s="3">
        <f>P18</f>
        <v>82.246570000000006</v>
      </c>
      <c r="I22" s="36"/>
      <c r="J22" s="4"/>
      <c r="K22" s="3">
        <f>S18</f>
        <v>15.65363</v>
      </c>
      <c r="L22" s="3">
        <f t="shared" si="0"/>
        <v>66.592939999999999</v>
      </c>
      <c r="M22" s="77">
        <f>Normalize!O22*L22</f>
        <v>8.3823081739115651E-2</v>
      </c>
      <c r="O22" s="20" t="s">
        <v>37</v>
      </c>
      <c r="P22" s="21">
        <v>32.152859999999997</v>
      </c>
      <c r="R22" s="20" t="s">
        <v>37</v>
      </c>
      <c r="S22" s="21">
        <v>6.6615500000000001</v>
      </c>
    </row>
    <row r="23" spans="2:19" ht="14.7" thickBot="1">
      <c r="B23" s="1"/>
      <c r="C23" s="5">
        <v>9</v>
      </c>
      <c r="D23" s="1">
        <v>72</v>
      </c>
      <c r="E23" s="1"/>
      <c r="F23" s="2" t="s">
        <v>2</v>
      </c>
      <c r="G23" s="2"/>
      <c r="H23" s="4"/>
      <c r="I23" s="36"/>
      <c r="J23" s="2"/>
      <c r="K23" s="4"/>
      <c r="L23" s="2">
        <f t="shared" si="0"/>
        <v>0</v>
      </c>
      <c r="M23" s="26">
        <f>Normalize!O23*L23</f>
        <v>0</v>
      </c>
      <c r="O23" s="22" t="s">
        <v>38</v>
      </c>
      <c r="P23" s="23">
        <v>67.028660000000002</v>
      </c>
      <c r="R23" s="22" t="s">
        <v>38</v>
      </c>
      <c r="S23" s="23">
        <v>16.04419</v>
      </c>
    </row>
    <row r="24" spans="2:19">
      <c r="B24" s="1"/>
      <c r="C24" s="5">
        <v>10</v>
      </c>
      <c r="D24" s="1">
        <v>81</v>
      </c>
      <c r="E24" s="1"/>
      <c r="F24" s="3" t="s">
        <v>1</v>
      </c>
      <c r="G24" s="4"/>
      <c r="H24" s="3">
        <f>P19</f>
        <v>96.08278</v>
      </c>
      <c r="I24" s="36"/>
      <c r="J24" s="4"/>
      <c r="K24" s="3">
        <f>S19</f>
        <v>23.026599999999998</v>
      </c>
      <c r="L24" s="3">
        <f t="shared" si="0"/>
        <v>73.056179999999998</v>
      </c>
      <c r="M24" s="77">
        <f>Normalize!O24*L24</f>
        <v>9.0100361535428358E-2</v>
      </c>
    </row>
    <row r="25" spans="2:19">
      <c r="B25" s="1"/>
      <c r="C25" s="5">
        <v>11</v>
      </c>
      <c r="D25" s="1">
        <v>90</v>
      </c>
      <c r="E25" s="1"/>
      <c r="F25" s="2" t="s">
        <v>2</v>
      </c>
      <c r="G25" s="2"/>
      <c r="H25" s="4"/>
      <c r="I25" s="36"/>
      <c r="J25" s="2"/>
      <c r="K25" s="4"/>
      <c r="L25" s="2">
        <f t="shared" si="0"/>
        <v>0</v>
      </c>
      <c r="M25" s="26">
        <f>Normalize!O25*L25</f>
        <v>0</v>
      </c>
    </row>
    <row r="26" spans="2:19">
      <c r="B26" s="1"/>
      <c r="C26" s="5">
        <v>12</v>
      </c>
      <c r="D26" s="1">
        <v>99</v>
      </c>
      <c r="E26" s="1"/>
      <c r="F26" s="3" t="s">
        <v>1</v>
      </c>
      <c r="G26" s="4"/>
      <c r="H26" s="3">
        <f>P20</f>
        <v>36.891210000000001</v>
      </c>
      <c r="I26" s="36"/>
      <c r="J26" s="4"/>
      <c r="K26" s="3">
        <f>S20</f>
        <v>7.3498000000000001</v>
      </c>
      <c r="L26" s="3">
        <f t="shared" si="0"/>
        <v>29.541409999999999</v>
      </c>
      <c r="M26" s="77">
        <f>Normalize!O26*L26</f>
        <v>8.3873758192196265E-2</v>
      </c>
    </row>
    <row r="27" spans="2:19">
      <c r="B27" s="1"/>
      <c r="C27" s="5">
        <v>13</v>
      </c>
      <c r="D27" s="1">
        <v>108</v>
      </c>
      <c r="E27" s="1"/>
      <c r="F27" s="32" t="s">
        <v>76</v>
      </c>
      <c r="G27" s="33" t="s">
        <v>77</v>
      </c>
      <c r="H27" s="4"/>
      <c r="I27" s="36"/>
      <c r="J27" s="33" t="s">
        <v>77</v>
      </c>
      <c r="K27" s="4"/>
      <c r="L27" s="33" t="s">
        <v>77</v>
      </c>
      <c r="M27" s="33" t="str">
        <f>Normalize!O27</f>
        <v>---</v>
      </c>
    </row>
    <row r="28" spans="2:19">
      <c r="B28" s="1"/>
      <c r="C28" s="5">
        <v>14</v>
      </c>
      <c r="D28" s="1">
        <v>117</v>
      </c>
      <c r="E28" s="1"/>
      <c r="F28" s="3" t="s">
        <v>1</v>
      </c>
      <c r="G28" s="4"/>
      <c r="H28" s="3">
        <f>P21</f>
        <v>37.875830000000001</v>
      </c>
      <c r="I28" s="36"/>
      <c r="J28" s="4"/>
      <c r="K28" s="3">
        <f>S21</f>
        <v>6.9405200000000002</v>
      </c>
      <c r="L28" s="3">
        <f>G28+H28-J28-K28</f>
        <v>30.935310000000001</v>
      </c>
      <c r="M28" s="77">
        <f>Normalize!O28*L28</f>
        <v>9.4108720965506196E-2</v>
      </c>
    </row>
    <row r="29" spans="2:19">
      <c r="B29" s="1"/>
      <c r="C29" s="5">
        <v>15</v>
      </c>
      <c r="D29" s="1">
        <v>126</v>
      </c>
      <c r="E29" s="1"/>
      <c r="F29" s="2" t="s">
        <v>2</v>
      </c>
      <c r="G29" s="2"/>
      <c r="H29" s="4"/>
      <c r="I29" s="36"/>
      <c r="J29" s="2"/>
      <c r="K29" s="4"/>
      <c r="L29" s="2">
        <f>G29+H29-J29-K29</f>
        <v>0</v>
      </c>
      <c r="M29" s="26">
        <f>Normalize!O29*L29</f>
        <v>0</v>
      </c>
    </row>
    <row r="30" spans="2:19">
      <c r="B30" s="1"/>
      <c r="C30" s="5">
        <v>16</v>
      </c>
      <c r="D30" s="1">
        <v>134</v>
      </c>
      <c r="E30" s="1"/>
      <c r="F30" s="3" t="s">
        <v>1</v>
      </c>
      <c r="G30" s="4"/>
      <c r="H30" s="3">
        <f>P22</f>
        <v>32.152859999999997</v>
      </c>
      <c r="I30" s="36"/>
      <c r="J30" s="4"/>
      <c r="K30" s="3">
        <f>S22</f>
        <v>6.6615500000000001</v>
      </c>
      <c r="L30" s="3">
        <f>G30+H30-J30-K30</f>
        <v>25.491309999999999</v>
      </c>
      <c r="M30" s="77">
        <f>Normalize!O30*L30</f>
        <v>8.1798680109580801E-2</v>
      </c>
    </row>
    <row r="31" spans="2:19">
      <c r="B31" s="1"/>
      <c r="C31" s="5">
        <v>17</v>
      </c>
      <c r="D31" s="1">
        <v>141</v>
      </c>
      <c r="E31" s="1"/>
      <c r="F31" s="2" t="s">
        <v>2</v>
      </c>
      <c r="G31" s="2"/>
      <c r="H31" s="4"/>
      <c r="I31" s="36"/>
      <c r="J31" s="2"/>
      <c r="K31" s="4"/>
      <c r="L31" s="2">
        <f>G31+H31-J31-K31</f>
        <v>0</v>
      </c>
      <c r="M31" s="26">
        <f>Normalize!O31*L31</f>
        <v>0</v>
      </c>
    </row>
    <row r="32" spans="2:19">
      <c r="B32" s="1"/>
      <c r="C32" s="5">
        <v>18</v>
      </c>
      <c r="D32" s="1">
        <v>147</v>
      </c>
      <c r="E32" s="1"/>
      <c r="F32" s="3" t="s">
        <v>1</v>
      </c>
      <c r="G32" s="4"/>
      <c r="H32" s="3">
        <f>P23</f>
        <v>67.028660000000002</v>
      </c>
      <c r="I32" s="36"/>
      <c r="J32" s="4"/>
      <c r="K32" s="3">
        <f>S23</f>
        <v>16.04419</v>
      </c>
      <c r="L32" s="3">
        <f>G32+H32-J32-K32</f>
        <v>50.984470000000002</v>
      </c>
      <c r="M32" s="77">
        <f>Normalize!O32*L32</f>
        <v>8.8797314118287021E-2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8B8F-7995-4491-A86F-195A6B626DF7}">
  <dimension ref="A2:AZ79"/>
  <sheetViews>
    <sheetView topLeftCell="Z10" zoomScale="79" zoomScaleNormal="100" workbookViewId="0">
      <selection activeCell="AH30" sqref="AH30"/>
    </sheetView>
  </sheetViews>
  <sheetFormatPr defaultRowHeight="14.35"/>
  <cols>
    <col min="2" max="2" width="11.703125" customWidth="1"/>
    <col min="3" max="3" width="12.29296875" customWidth="1"/>
    <col min="4" max="4" width="8.87890625" customWidth="1"/>
    <col min="5" max="5" width="12.29296875" customWidth="1"/>
    <col min="6" max="6" width="12.87890625" customWidth="1"/>
    <col min="7" max="7" width="9.703125" customWidth="1"/>
    <col min="8" max="8" width="12.29296875" bestFit="1" customWidth="1"/>
    <col min="9" max="9" width="12.29296875" customWidth="1"/>
    <col min="10" max="10" width="16.41015625" customWidth="1"/>
    <col min="11" max="11" width="9" customWidth="1"/>
    <col min="12" max="12" width="3.1171875" customWidth="1"/>
    <col min="13" max="13" width="12.87890625" customWidth="1"/>
    <col min="27" max="27" width="6.234375" customWidth="1"/>
    <col min="35" max="35" width="4.64453125" customWidth="1"/>
    <col min="45" max="45" width="6.17578125" customWidth="1"/>
  </cols>
  <sheetData>
    <row r="2" spans="1:52">
      <c r="A2" t="s">
        <v>132</v>
      </c>
      <c r="B2" s="72" t="s">
        <v>130</v>
      </c>
    </row>
    <row r="3" spans="1:52">
      <c r="B3" s="73" t="s">
        <v>131</v>
      </c>
    </row>
    <row r="5" spans="1:52">
      <c r="G5" s="41" t="s">
        <v>86</v>
      </c>
    </row>
    <row r="6" spans="1:52" ht="17.350000000000001">
      <c r="B6" s="1" t="s">
        <v>85</v>
      </c>
      <c r="C6" s="1" t="s">
        <v>40</v>
      </c>
      <c r="D6" s="1" t="s">
        <v>88</v>
      </c>
      <c r="E6" s="1" t="s">
        <v>91</v>
      </c>
      <c r="F6" s="1" t="s">
        <v>92</v>
      </c>
      <c r="G6" s="5" t="s">
        <v>133</v>
      </c>
      <c r="H6" s="5" t="s">
        <v>90</v>
      </c>
      <c r="I6" s="60"/>
      <c r="J6" s="60"/>
    </row>
    <row r="7" spans="1:52">
      <c r="B7" s="71">
        <f>'Measure Unknown '!C15</f>
        <v>1</v>
      </c>
      <c r="C7" s="71">
        <f>'Measure Unknown '!D15</f>
        <v>22.5</v>
      </c>
      <c r="D7" s="74">
        <f t="shared" ref="D7:D22" si="0">4*PI()*Refin*SIN(RADIANS(C7/2))/Lamcm</f>
        <v>53505.226980224332</v>
      </c>
      <c r="E7" s="74">
        <f t="shared" ref="E7:E22" si="1">D7*D7/10000000000</f>
        <v>0.28628093142053257</v>
      </c>
      <c r="F7" s="74">
        <f t="shared" ref="F7:F22" si="2">(D7/10000000)^2/0.0001</f>
        <v>0.28628093142053257</v>
      </c>
      <c r="G7" s="74">
        <f>'Measure Unknown '!M15</f>
        <v>0</v>
      </c>
      <c r="H7" s="74" t="e">
        <f t="shared" ref="H7:H22" si="3">LN(G7)</f>
        <v>#NUM!</v>
      </c>
      <c r="I7" s="60"/>
      <c r="J7" s="60"/>
    </row>
    <row r="8" spans="1:52">
      <c r="B8" s="71">
        <f>'Measure Unknown '!C16</f>
        <v>2</v>
      </c>
      <c r="C8" s="71">
        <f>'Measure Unknown '!D16</f>
        <v>28</v>
      </c>
      <c r="D8" s="74">
        <f t="shared" si="0"/>
        <v>66349.195602210661</v>
      </c>
      <c r="E8" s="74">
        <f t="shared" si="1"/>
        <v>0.44022157570604104</v>
      </c>
      <c r="F8" s="74">
        <f t="shared" si="2"/>
        <v>0.44022157570604104</v>
      </c>
      <c r="G8" s="74">
        <f>'Measure Unknown '!M16</f>
        <v>0</v>
      </c>
      <c r="H8" s="74" t="e">
        <f t="shared" si="3"/>
        <v>#NUM!</v>
      </c>
      <c r="I8" s="60"/>
      <c r="J8" s="60"/>
    </row>
    <row r="9" spans="1:52">
      <c r="B9" s="71">
        <f>'Measure Unknown '!C17</f>
        <v>3</v>
      </c>
      <c r="C9" s="71">
        <f>'Measure Unknown '!D17</f>
        <v>32</v>
      </c>
      <c r="D9" s="74">
        <f t="shared" si="0"/>
        <v>75595.955426216213</v>
      </c>
      <c r="E9" s="74">
        <f t="shared" si="1"/>
        <v>0.57147484768024681</v>
      </c>
      <c r="F9" s="74">
        <f t="shared" si="2"/>
        <v>0.57147484768024681</v>
      </c>
      <c r="G9" s="74">
        <f>'Measure Unknown '!M17</f>
        <v>0</v>
      </c>
      <c r="H9" s="74" t="e">
        <f t="shared" si="3"/>
        <v>#NUM!</v>
      </c>
      <c r="I9" s="60"/>
      <c r="J9" s="60"/>
    </row>
    <row r="10" spans="1:52">
      <c r="B10" s="75">
        <f>'Measure Unknown '!C19</f>
        <v>5</v>
      </c>
      <c r="C10" s="75">
        <f>'Measure Unknown '!D19</f>
        <v>44</v>
      </c>
      <c r="D10" s="76">
        <f t="shared" si="0"/>
        <v>102739.13437566617</v>
      </c>
      <c r="E10" s="76">
        <f t="shared" si="1"/>
        <v>1.0555329732261189</v>
      </c>
      <c r="F10" s="76">
        <f t="shared" si="2"/>
        <v>1.0555329732261189</v>
      </c>
      <c r="G10" s="75">
        <f>'Measure Unknown '!M19</f>
        <v>9.4137184921518E-2</v>
      </c>
      <c r="H10" s="76">
        <f t="shared" si="3"/>
        <v>-2.3630021465631308</v>
      </c>
      <c r="I10" s="60"/>
      <c r="J10" s="60"/>
      <c r="AB10" s="70" t="s">
        <v>131</v>
      </c>
      <c r="AG10" s="41" t="s">
        <v>86</v>
      </c>
      <c r="AT10" s="71" t="s">
        <v>2</v>
      </c>
      <c r="AY10" s="41" t="s">
        <v>86</v>
      </c>
    </row>
    <row r="11" spans="1:52" ht="17.350000000000001">
      <c r="B11" s="75">
        <f>'Measure Unknown '!C20</f>
        <v>6</v>
      </c>
      <c r="C11" s="75">
        <f>'Measure Unknown '!D20</f>
        <v>50</v>
      </c>
      <c r="D11" s="76">
        <f t="shared" si="0"/>
        <v>115906.75430098787</v>
      </c>
      <c r="E11" s="76">
        <f t="shared" si="1"/>
        <v>1.3434375692589571</v>
      </c>
      <c r="F11" s="76">
        <f t="shared" si="2"/>
        <v>1.3434375692589569</v>
      </c>
      <c r="G11" s="75">
        <f>'Measure Unknown '!M20</f>
        <v>8.4954791989113987E-2</v>
      </c>
      <c r="H11" s="76">
        <f t="shared" si="3"/>
        <v>-2.4656360229305627</v>
      </c>
      <c r="I11" s="60"/>
      <c r="J11" s="60"/>
      <c r="AA11" s="79" t="s">
        <v>134</v>
      </c>
      <c r="AB11" s="1" t="s">
        <v>85</v>
      </c>
      <c r="AC11" s="1" t="s">
        <v>40</v>
      </c>
      <c r="AD11" s="1" t="s">
        <v>88</v>
      </c>
      <c r="AE11" s="1" t="s">
        <v>91</v>
      </c>
      <c r="AF11" s="1" t="s">
        <v>92</v>
      </c>
      <c r="AG11" s="5" t="s">
        <v>89</v>
      </c>
      <c r="AH11" s="5" t="s">
        <v>90</v>
      </c>
      <c r="AI11" s="60"/>
      <c r="AS11" t="s">
        <v>134</v>
      </c>
      <c r="AT11" s="1" t="s">
        <v>85</v>
      </c>
      <c r="AU11" s="1" t="s">
        <v>40</v>
      </c>
      <c r="AV11" s="1" t="s">
        <v>88</v>
      </c>
      <c r="AW11" s="1" t="s">
        <v>91</v>
      </c>
      <c r="AX11" s="1" t="s">
        <v>92</v>
      </c>
      <c r="AY11" s="5" t="s">
        <v>89</v>
      </c>
      <c r="AZ11" s="5" t="s">
        <v>90</v>
      </c>
    </row>
    <row r="12" spans="1:52">
      <c r="B12" s="71">
        <f>'Measure Unknown '!C21</f>
        <v>7</v>
      </c>
      <c r="C12" s="71">
        <f>'Measure Unknown '!D21</f>
        <v>57</v>
      </c>
      <c r="D12" s="74">
        <f t="shared" si="0"/>
        <v>130864.96300509552</v>
      </c>
      <c r="E12" s="74">
        <f t="shared" si="1"/>
        <v>1.7125638542325019</v>
      </c>
      <c r="F12" s="74">
        <f t="shared" si="2"/>
        <v>1.7125638542325015</v>
      </c>
      <c r="G12" s="71">
        <f>'Measure Unknown '!M21</f>
        <v>0</v>
      </c>
      <c r="H12" s="74" t="e">
        <f t="shared" si="3"/>
        <v>#NUM!</v>
      </c>
      <c r="I12" s="60"/>
      <c r="J12" s="60"/>
      <c r="AA12">
        <v>10</v>
      </c>
      <c r="AB12" s="70">
        <f>B10</f>
        <v>5</v>
      </c>
      <c r="AC12" s="70">
        <f>C10</f>
        <v>44</v>
      </c>
      <c r="AD12" s="70">
        <f t="shared" ref="AD12:AH12" si="4">D10</f>
        <v>102739.13437566617</v>
      </c>
      <c r="AE12" s="70">
        <f t="shared" si="4"/>
        <v>1.0555329732261189</v>
      </c>
      <c r="AF12" s="70">
        <f t="shared" si="4"/>
        <v>1.0555329732261189</v>
      </c>
      <c r="AG12" s="70">
        <f t="shared" si="4"/>
        <v>9.4137184921518E-2</v>
      </c>
      <c r="AH12" s="70">
        <f t="shared" si="4"/>
        <v>-2.3630021465631308</v>
      </c>
      <c r="AS12">
        <v>7</v>
      </c>
      <c r="AT12" s="71">
        <f>B7</f>
        <v>1</v>
      </c>
      <c r="AU12" s="71">
        <f t="shared" ref="AU12:AZ12" si="5">C7</f>
        <v>22.5</v>
      </c>
      <c r="AV12" s="71">
        <f t="shared" si="5"/>
        <v>53505.226980224332</v>
      </c>
      <c r="AW12" s="71">
        <f t="shared" si="5"/>
        <v>0.28628093142053257</v>
      </c>
      <c r="AX12" s="71">
        <f t="shared" si="5"/>
        <v>0.28628093142053257</v>
      </c>
      <c r="AY12" s="71">
        <f t="shared" si="5"/>
        <v>0</v>
      </c>
      <c r="AZ12" s="71" t="e">
        <f t="shared" si="5"/>
        <v>#NUM!</v>
      </c>
    </row>
    <row r="13" spans="1:52">
      <c r="B13" s="75">
        <f>'Measure Unknown '!C22</f>
        <v>8</v>
      </c>
      <c r="C13" s="75">
        <f>'Measure Unknown '!D22</f>
        <v>64</v>
      </c>
      <c r="D13" s="76">
        <f t="shared" si="0"/>
        <v>145334.99263816432</v>
      </c>
      <c r="E13" s="76">
        <f t="shared" si="1"/>
        <v>2.1122260085135278</v>
      </c>
      <c r="F13" s="76">
        <f t="shared" si="2"/>
        <v>2.1122260085135278</v>
      </c>
      <c r="G13" s="75">
        <f>'Measure Unknown '!M22</f>
        <v>8.3823081739115651E-2</v>
      </c>
      <c r="H13" s="76">
        <f t="shared" si="3"/>
        <v>-2.4790468710060276</v>
      </c>
      <c r="I13" s="60"/>
      <c r="J13" s="60"/>
      <c r="AA13">
        <v>11</v>
      </c>
      <c r="AB13" s="70">
        <f>B11</f>
        <v>6</v>
      </c>
      <c r="AC13" s="70">
        <f t="shared" ref="AC13:AH13" si="6">C11</f>
        <v>50</v>
      </c>
      <c r="AD13" s="70">
        <f t="shared" si="6"/>
        <v>115906.75430098787</v>
      </c>
      <c r="AE13" s="70">
        <f t="shared" si="6"/>
        <v>1.3434375692589571</v>
      </c>
      <c r="AF13" s="70">
        <f t="shared" si="6"/>
        <v>1.3434375692589569</v>
      </c>
      <c r="AG13" s="70">
        <f t="shared" si="6"/>
        <v>8.4954791989113987E-2</v>
      </c>
      <c r="AH13" s="70">
        <f t="shared" si="6"/>
        <v>-2.4656360229305627</v>
      </c>
      <c r="AS13">
        <v>8</v>
      </c>
      <c r="AT13" s="71">
        <f>B8</f>
        <v>2</v>
      </c>
      <c r="AU13" s="71">
        <f t="shared" ref="AU13:AZ13" si="7">C8</f>
        <v>28</v>
      </c>
      <c r="AV13" s="71">
        <f t="shared" si="7"/>
        <v>66349.195602210661</v>
      </c>
      <c r="AW13" s="71">
        <f t="shared" si="7"/>
        <v>0.44022157570604104</v>
      </c>
      <c r="AX13" s="71">
        <f t="shared" si="7"/>
        <v>0.44022157570604104</v>
      </c>
      <c r="AY13" s="71">
        <f t="shared" si="7"/>
        <v>0</v>
      </c>
      <c r="AZ13" s="71" t="e">
        <f t="shared" si="7"/>
        <v>#NUM!</v>
      </c>
    </row>
    <row r="14" spans="1:52">
      <c r="B14" s="71">
        <f>'Measure Unknown '!C23</f>
        <v>9</v>
      </c>
      <c r="C14" s="71">
        <f>'Measure Unknown '!D23</f>
        <v>72</v>
      </c>
      <c r="D14" s="74">
        <f t="shared" si="0"/>
        <v>161205.2459318676</v>
      </c>
      <c r="E14" s="74">
        <f t="shared" si="1"/>
        <v>2.5987131315953915</v>
      </c>
      <c r="F14" s="74">
        <f t="shared" si="2"/>
        <v>2.5987131315953915</v>
      </c>
      <c r="G14" s="71">
        <f>'Measure Unknown '!M23</f>
        <v>0</v>
      </c>
      <c r="H14" s="74" t="e">
        <f t="shared" si="3"/>
        <v>#NUM!</v>
      </c>
      <c r="I14" s="60"/>
      <c r="J14" s="60"/>
      <c r="AA14">
        <v>13</v>
      </c>
      <c r="AB14" s="70">
        <f>B13</f>
        <v>8</v>
      </c>
      <c r="AC14" s="70">
        <f t="shared" ref="AC14:AH14" si="8">C13</f>
        <v>64</v>
      </c>
      <c r="AD14" s="70">
        <f t="shared" si="8"/>
        <v>145334.99263816432</v>
      </c>
      <c r="AE14" s="70">
        <f t="shared" si="8"/>
        <v>2.1122260085135278</v>
      </c>
      <c r="AF14" s="70">
        <f t="shared" si="8"/>
        <v>2.1122260085135278</v>
      </c>
      <c r="AG14" s="70">
        <f t="shared" si="8"/>
        <v>8.3823081739115651E-2</v>
      </c>
      <c r="AH14" s="70">
        <f t="shared" si="8"/>
        <v>-2.4790468710060276</v>
      </c>
      <c r="AS14">
        <v>9</v>
      </c>
      <c r="AT14" s="71">
        <f>B9</f>
        <v>3</v>
      </c>
      <c r="AU14" s="71">
        <f t="shared" ref="AU14:AZ14" si="9">C9</f>
        <v>32</v>
      </c>
      <c r="AV14" s="71">
        <f t="shared" si="9"/>
        <v>75595.955426216213</v>
      </c>
      <c r="AW14" s="71">
        <f t="shared" si="9"/>
        <v>0.57147484768024681</v>
      </c>
      <c r="AX14" s="71">
        <f t="shared" si="9"/>
        <v>0.57147484768024681</v>
      </c>
      <c r="AY14" s="71">
        <f t="shared" si="9"/>
        <v>0</v>
      </c>
      <c r="AZ14" s="71" t="e">
        <f t="shared" si="9"/>
        <v>#NUM!</v>
      </c>
    </row>
    <row r="15" spans="1:52">
      <c r="B15" s="75">
        <f>'Measure Unknown '!C24</f>
        <v>10</v>
      </c>
      <c r="C15" s="75">
        <f>'Measure Unknown '!D24</f>
        <v>81</v>
      </c>
      <c r="D15" s="76">
        <f t="shared" si="0"/>
        <v>178116.80701873807</v>
      </c>
      <c r="E15" s="76">
        <f t="shared" si="1"/>
        <v>3.1725596942550376</v>
      </c>
      <c r="F15" s="76">
        <f t="shared" si="2"/>
        <v>3.1725596942550371</v>
      </c>
      <c r="G15" s="75">
        <f>'Measure Unknown '!M24</f>
        <v>9.0100361535428358E-2</v>
      </c>
      <c r="H15" s="76">
        <f t="shared" si="3"/>
        <v>-2.4068311017740269</v>
      </c>
      <c r="I15" s="60"/>
      <c r="J15" s="60"/>
      <c r="AA15">
        <v>15</v>
      </c>
      <c r="AB15" s="70">
        <f>B15</f>
        <v>10</v>
      </c>
      <c r="AC15" s="70">
        <f t="shared" ref="AC15:AH15" si="10">C15</f>
        <v>81</v>
      </c>
      <c r="AD15" s="70">
        <f t="shared" si="10"/>
        <v>178116.80701873807</v>
      </c>
      <c r="AE15" s="70">
        <f t="shared" si="10"/>
        <v>3.1725596942550376</v>
      </c>
      <c r="AF15" s="70">
        <f t="shared" si="10"/>
        <v>3.1725596942550371</v>
      </c>
      <c r="AG15" s="70">
        <f t="shared" si="10"/>
        <v>9.0100361535428358E-2</v>
      </c>
      <c r="AH15" s="70">
        <f t="shared" si="10"/>
        <v>-2.4068311017740269</v>
      </c>
      <c r="AS15">
        <v>12</v>
      </c>
      <c r="AT15" s="71">
        <f>B12</f>
        <v>7</v>
      </c>
      <c r="AU15" s="71">
        <f t="shared" ref="AU15:AZ15" si="11">C12</f>
        <v>57</v>
      </c>
      <c r="AV15" s="71">
        <f t="shared" si="11"/>
        <v>130864.96300509552</v>
      </c>
      <c r="AW15" s="71">
        <f t="shared" si="11"/>
        <v>1.7125638542325019</v>
      </c>
      <c r="AX15" s="71">
        <f t="shared" si="11"/>
        <v>1.7125638542325015</v>
      </c>
      <c r="AY15" s="71">
        <f t="shared" si="11"/>
        <v>0</v>
      </c>
      <c r="AZ15" s="71" t="e">
        <f t="shared" si="11"/>
        <v>#NUM!</v>
      </c>
    </row>
    <row r="16" spans="1:52">
      <c r="B16" s="71">
        <f>'Measure Unknown '!C25</f>
        <v>11</v>
      </c>
      <c r="C16" s="71">
        <f>'Measure Unknown '!D25</f>
        <v>90</v>
      </c>
      <c r="D16" s="74">
        <f t="shared" si="0"/>
        <v>193930.21876048925</v>
      </c>
      <c r="E16" s="74">
        <f t="shared" si="1"/>
        <v>3.760892974849122</v>
      </c>
      <c r="F16" s="74">
        <f t="shared" si="2"/>
        <v>3.7608929748491216</v>
      </c>
      <c r="G16" s="71">
        <f>'Measure Unknown '!M25</f>
        <v>0</v>
      </c>
      <c r="H16" s="74" t="e">
        <f t="shared" si="3"/>
        <v>#NUM!</v>
      </c>
      <c r="I16" s="60"/>
      <c r="J16" s="60"/>
      <c r="AA16">
        <v>17</v>
      </c>
      <c r="AB16" s="70">
        <f>B17</f>
        <v>12</v>
      </c>
      <c r="AC16" s="70">
        <f t="shared" ref="AC16:AH17" si="12">C17</f>
        <v>99</v>
      </c>
      <c r="AD16" s="70">
        <f t="shared" si="12"/>
        <v>208547.98621524032</v>
      </c>
      <c r="AE16" s="70">
        <f t="shared" si="12"/>
        <v>4.3492262554432068</v>
      </c>
      <c r="AF16" s="70">
        <f t="shared" si="12"/>
        <v>4.349226255443206</v>
      </c>
      <c r="AG16" s="70">
        <f t="shared" si="12"/>
        <v>8.3873758192196265E-2</v>
      </c>
      <c r="AH16" s="70">
        <f t="shared" si="12"/>
        <v>-2.4784424892580597</v>
      </c>
      <c r="AS16">
        <v>14</v>
      </c>
      <c r="AT16" s="71">
        <f>B14</f>
        <v>9</v>
      </c>
      <c r="AU16" s="71">
        <f t="shared" ref="AU16:AZ16" si="13">C14</f>
        <v>72</v>
      </c>
      <c r="AV16" s="71">
        <f t="shared" si="13"/>
        <v>161205.2459318676</v>
      </c>
      <c r="AW16" s="71">
        <f t="shared" si="13"/>
        <v>2.5987131315953915</v>
      </c>
      <c r="AX16" s="71">
        <f t="shared" si="13"/>
        <v>2.5987131315953915</v>
      </c>
      <c r="AY16" s="71">
        <f t="shared" si="13"/>
        <v>0</v>
      </c>
      <c r="AZ16" s="71" t="e">
        <f t="shared" si="13"/>
        <v>#NUM!</v>
      </c>
    </row>
    <row r="17" spans="2:52">
      <c r="B17" s="75">
        <f>'Measure Unknown '!C26</f>
        <v>12</v>
      </c>
      <c r="C17" s="75">
        <f>'Measure Unknown '!D26</f>
        <v>99</v>
      </c>
      <c r="D17" s="76">
        <f t="shared" si="0"/>
        <v>208547.98621524032</v>
      </c>
      <c r="E17" s="76">
        <f t="shared" si="1"/>
        <v>4.3492262554432068</v>
      </c>
      <c r="F17" s="76">
        <f t="shared" si="2"/>
        <v>4.349226255443206</v>
      </c>
      <c r="G17" s="75">
        <f>'Measure Unknown '!M26</f>
        <v>8.3873758192196265E-2</v>
      </c>
      <c r="H17" s="76">
        <f t="shared" si="3"/>
        <v>-2.4784424892580597</v>
      </c>
      <c r="I17" s="60"/>
      <c r="J17" s="60"/>
      <c r="AA17">
        <v>18</v>
      </c>
      <c r="AB17" s="70">
        <f>B18</f>
        <v>14</v>
      </c>
      <c r="AC17" s="70">
        <f t="shared" si="12"/>
        <v>117</v>
      </c>
      <c r="AD17" s="70">
        <f t="shared" si="12"/>
        <v>233844.02186003872</v>
      </c>
      <c r="AE17" s="70">
        <f t="shared" si="12"/>
        <v>5.4683026559678272</v>
      </c>
      <c r="AF17" s="70">
        <f t="shared" si="12"/>
        <v>5.4683026559678263</v>
      </c>
      <c r="AG17" s="70">
        <f t="shared" si="12"/>
        <v>9.4108720965506196E-2</v>
      </c>
      <c r="AH17" s="70">
        <f t="shared" si="12"/>
        <v>-2.3633045590495501</v>
      </c>
      <c r="AS17">
        <v>16</v>
      </c>
      <c r="AT17" s="71">
        <f>B16</f>
        <v>11</v>
      </c>
      <c r="AU17" s="71">
        <f t="shared" ref="AU17:AZ17" si="14">C16</f>
        <v>90</v>
      </c>
      <c r="AV17" s="71">
        <f t="shared" si="14"/>
        <v>193930.21876048925</v>
      </c>
      <c r="AW17" s="71">
        <f t="shared" si="14"/>
        <v>3.760892974849122</v>
      </c>
      <c r="AX17" s="71">
        <f t="shared" si="14"/>
        <v>3.7608929748491216</v>
      </c>
      <c r="AY17" s="71">
        <f t="shared" si="14"/>
        <v>0</v>
      </c>
      <c r="AZ17" s="71" t="e">
        <f t="shared" si="14"/>
        <v>#NUM!</v>
      </c>
    </row>
    <row r="18" spans="2:52">
      <c r="B18" s="75">
        <f>'Measure Unknown '!C28</f>
        <v>14</v>
      </c>
      <c r="C18" s="75">
        <f>'Measure Unknown '!D28</f>
        <v>117</v>
      </c>
      <c r="D18" s="76">
        <f t="shared" si="0"/>
        <v>233844.02186003872</v>
      </c>
      <c r="E18" s="76">
        <f t="shared" si="1"/>
        <v>5.4683026559678272</v>
      </c>
      <c r="F18" s="76">
        <f t="shared" si="2"/>
        <v>5.4683026559678263</v>
      </c>
      <c r="G18" s="75">
        <f>'Measure Unknown '!M28</f>
        <v>9.4108720965506196E-2</v>
      </c>
      <c r="H18" s="76">
        <f t="shared" si="3"/>
        <v>-2.3633045590495501</v>
      </c>
      <c r="I18" s="60"/>
      <c r="J18" s="60"/>
      <c r="AA18">
        <v>20</v>
      </c>
      <c r="AB18" s="70">
        <f>B20</f>
        <v>16</v>
      </c>
      <c r="AC18" s="70">
        <f t="shared" ref="AC18:AH18" si="15">C20</f>
        <v>134</v>
      </c>
      <c r="AD18" s="70">
        <f t="shared" si="15"/>
        <v>252456.50635760027</v>
      </c>
      <c r="AE18" s="70">
        <f t="shared" si="15"/>
        <v>6.3734287602285065</v>
      </c>
      <c r="AF18" s="70">
        <f t="shared" si="15"/>
        <v>6.3734287602285056</v>
      </c>
      <c r="AG18" s="70">
        <f t="shared" si="15"/>
        <v>8.1798680109580801E-2</v>
      </c>
      <c r="AH18" s="70">
        <f t="shared" si="15"/>
        <v>-2.5034941710833123</v>
      </c>
      <c r="AS18">
        <v>19</v>
      </c>
      <c r="AT18" s="71">
        <f>B19</f>
        <v>15</v>
      </c>
      <c r="AU18" s="71">
        <f t="shared" ref="AU18:AZ18" si="16">C19</f>
        <v>126</v>
      </c>
      <c r="AV18" s="71">
        <f t="shared" si="16"/>
        <v>244366.33157855037</v>
      </c>
      <c r="AW18" s="71">
        <f t="shared" si="16"/>
        <v>5.9714904009158021</v>
      </c>
      <c r="AX18" s="71">
        <f t="shared" si="16"/>
        <v>5.971490400915803</v>
      </c>
      <c r="AY18" s="71">
        <f t="shared" si="16"/>
        <v>0</v>
      </c>
      <c r="AZ18" s="71" t="e">
        <f t="shared" si="16"/>
        <v>#NUM!</v>
      </c>
    </row>
    <row r="19" spans="2:52">
      <c r="B19" s="71">
        <f>'Measure Unknown '!C29</f>
        <v>15</v>
      </c>
      <c r="C19" s="71">
        <f>'Measure Unknown '!D29</f>
        <v>126</v>
      </c>
      <c r="D19" s="74">
        <f t="shared" si="0"/>
        <v>244366.33157855037</v>
      </c>
      <c r="E19" s="74">
        <f t="shared" si="1"/>
        <v>5.9714904009158021</v>
      </c>
      <c r="F19" s="74">
        <f t="shared" si="2"/>
        <v>5.971490400915803</v>
      </c>
      <c r="G19" s="71">
        <f>'Measure Unknown '!M29</f>
        <v>0</v>
      </c>
      <c r="H19" s="74" t="e">
        <f t="shared" si="3"/>
        <v>#NUM!</v>
      </c>
      <c r="I19" s="60"/>
      <c r="J19" s="60"/>
      <c r="N19" s="40"/>
      <c r="AA19">
        <v>22</v>
      </c>
      <c r="AB19" s="70">
        <f>B22</f>
        <v>18</v>
      </c>
      <c r="AC19" s="70">
        <f t="shared" ref="AC19:AH19" si="17">C22</f>
        <v>147</v>
      </c>
      <c r="AD19" s="70">
        <f t="shared" si="17"/>
        <v>262964.69766962621</v>
      </c>
      <c r="AE19" s="70">
        <f t="shared" si="17"/>
        <v>6.9150432220477924</v>
      </c>
      <c r="AF19" s="70">
        <f t="shared" si="17"/>
        <v>6.9150432220477915</v>
      </c>
      <c r="AG19" s="70">
        <f t="shared" si="17"/>
        <v>8.8797314118287021E-2</v>
      </c>
      <c r="AH19" s="70">
        <f t="shared" si="17"/>
        <v>-2.4213988758571312</v>
      </c>
      <c r="AS19">
        <v>21</v>
      </c>
      <c r="AT19" s="71">
        <f>B21</f>
        <v>17</v>
      </c>
      <c r="AU19" s="71">
        <f t="shared" ref="AU19:AZ19" si="18">C21</f>
        <v>141</v>
      </c>
      <c r="AV19" s="71">
        <f t="shared" si="18"/>
        <v>258527.67282681772</v>
      </c>
      <c r="AW19" s="71">
        <f t="shared" si="18"/>
        <v>6.683655761725011</v>
      </c>
      <c r="AX19" s="71">
        <f t="shared" si="18"/>
        <v>6.6836557617250101</v>
      </c>
      <c r="AY19" s="71">
        <f t="shared" si="18"/>
        <v>0</v>
      </c>
      <c r="AZ19" s="71" t="e">
        <f t="shared" si="18"/>
        <v>#NUM!</v>
      </c>
    </row>
    <row r="20" spans="2:52">
      <c r="B20" s="75">
        <f>'Measure Unknown '!C30</f>
        <v>16</v>
      </c>
      <c r="C20" s="75">
        <f>'Measure Unknown '!D30</f>
        <v>134</v>
      </c>
      <c r="D20" s="76">
        <f t="shared" si="0"/>
        <v>252456.50635760027</v>
      </c>
      <c r="E20" s="76">
        <f t="shared" si="1"/>
        <v>6.3734287602285065</v>
      </c>
      <c r="F20" s="76">
        <f t="shared" si="2"/>
        <v>6.3734287602285056</v>
      </c>
      <c r="G20" s="75">
        <f>'Measure Unknown '!M30</f>
        <v>8.1798680109580801E-2</v>
      </c>
      <c r="H20" s="76">
        <f t="shared" si="3"/>
        <v>-2.5034941710833123</v>
      </c>
      <c r="I20" s="60"/>
      <c r="J20" s="60"/>
    </row>
    <row r="21" spans="2:52">
      <c r="B21" s="71">
        <f>'Measure Unknown '!C31</f>
        <v>17</v>
      </c>
      <c r="C21" s="71">
        <f>'Measure Unknown '!D31</f>
        <v>141</v>
      </c>
      <c r="D21" s="74">
        <f t="shared" si="0"/>
        <v>258527.67282681772</v>
      </c>
      <c r="E21" s="74">
        <f t="shared" si="1"/>
        <v>6.683655761725011</v>
      </c>
      <c r="F21" s="74">
        <f t="shared" si="2"/>
        <v>6.6836557617250101</v>
      </c>
      <c r="G21" s="71">
        <f>'Measure Unknown '!M31</f>
        <v>0</v>
      </c>
      <c r="H21" s="74" t="e">
        <f t="shared" si="3"/>
        <v>#NUM!</v>
      </c>
      <c r="I21" s="60"/>
      <c r="J21" s="60"/>
    </row>
    <row r="22" spans="2:52">
      <c r="B22" s="75">
        <f>'Measure Unknown '!C32</f>
        <v>18</v>
      </c>
      <c r="C22" s="75">
        <f>'Measure Unknown '!D32</f>
        <v>147</v>
      </c>
      <c r="D22" s="76">
        <f t="shared" si="0"/>
        <v>262964.69766962621</v>
      </c>
      <c r="E22" s="76">
        <f t="shared" si="1"/>
        <v>6.9150432220477924</v>
      </c>
      <c r="F22" s="76">
        <f t="shared" si="2"/>
        <v>6.9150432220477915</v>
      </c>
      <c r="G22" s="75">
        <f>'Measure Unknown '!M32</f>
        <v>8.8797314118287021E-2</v>
      </c>
      <c r="H22" s="76">
        <f t="shared" si="3"/>
        <v>-2.4213988758571312</v>
      </c>
      <c r="I22" s="60"/>
      <c r="J22" s="60"/>
      <c r="K22" s="40"/>
      <c r="L22" s="40"/>
    </row>
    <row r="23" spans="2:52">
      <c r="M23" s="3" t="s">
        <v>93</v>
      </c>
      <c r="N23" s="3"/>
    </row>
    <row r="24" spans="2:52">
      <c r="M24" s="63" t="s">
        <v>123</v>
      </c>
      <c r="N24" s="78">
        <v>6.4099999999999999E-3</v>
      </c>
      <c r="AG24" s="3" t="s">
        <v>93</v>
      </c>
      <c r="AH24" s="3"/>
      <c r="AW24" s="3" t="s">
        <v>93</v>
      </c>
      <c r="AX24" s="3"/>
    </row>
    <row r="25" spans="2:52" ht="16.350000000000001">
      <c r="M25" s="42" t="s">
        <v>94</v>
      </c>
      <c r="N25" s="43">
        <f>SQRT(30000*ABS(Guinslope))</f>
        <v>13.867227552759058</v>
      </c>
      <c r="O25" s="42" t="s">
        <v>22</v>
      </c>
      <c r="AG25" s="63" t="s">
        <v>123</v>
      </c>
      <c r="AH25" s="78">
        <v>2.8700000000000002E-3</v>
      </c>
      <c r="AW25" s="63" t="s">
        <v>123</v>
      </c>
      <c r="AX25" s="78">
        <v>0</v>
      </c>
    </row>
    <row r="26" spans="2:52" ht="16.350000000000001">
      <c r="M26" s="42" t="s">
        <v>95</v>
      </c>
      <c r="N26" s="43">
        <f>N25*SQRT(5/3)</f>
        <v>17.902513789968154</v>
      </c>
      <c r="O26" s="42" t="s">
        <v>22</v>
      </c>
      <c r="AG26" s="42" t="s">
        <v>94</v>
      </c>
      <c r="AH26" s="43">
        <f>SQRT(30000*ABS(AH25))</f>
        <v>9.2790085677296368</v>
      </c>
      <c r="AI26" s="42" t="s">
        <v>22</v>
      </c>
      <c r="AW26" s="42" t="s">
        <v>94</v>
      </c>
      <c r="AX26" s="43">
        <f>SQRT(30000*ABS(AX25))</f>
        <v>0</v>
      </c>
      <c r="AY26" s="42" t="s">
        <v>22</v>
      </c>
    </row>
    <row r="27" spans="2:52" ht="16.350000000000001">
      <c r="M27" s="42" t="s">
        <v>96</v>
      </c>
      <c r="N27" s="42">
        <f>'Measure Unknown '!J7</f>
        <v>117</v>
      </c>
      <c r="O27" s="42" t="s">
        <v>22</v>
      </c>
      <c r="AG27" s="42" t="s">
        <v>95</v>
      </c>
      <c r="AH27" s="43">
        <f>AH26*SQRT(5/3)</f>
        <v>11.97914855071094</v>
      </c>
      <c r="AI27" s="42" t="s">
        <v>22</v>
      </c>
      <c r="AW27" s="42" t="s">
        <v>95</v>
      </c>
      <c r="AX27" s="43">
        <f>AX26*SQRT(5/3)</f>
        <v>0</v>
      </c>
      <c r="AY27" s="42" t="s">
        <v>22</v>
      </c>
    </row>
    <row r="28" spans="2:52" ht="16.350000000000001">
      <c r="G28" s="5" t="s">
        <v>122</v>
      </c>
      <c r="H28" s="5" t="s">
        <v>86</v>
      </c>
      <c r="I28" s="5"/>
      <c r="J28" s="5" t="s">
        <v>121</v>
      </c>
      <c r="K28" s="1"/>
      <c r="AG28" s="42" t="s">
        <v>96</v>
      </c>
      <c r="AH28" s="42">
        <f>'Measure Unknown '!AG8</f>
        <v>0</v>
      </c>
      <c r="AI28" s="42" t="s">
        <v>22</v>
      </c>
      <c r="AW28" s="42" t="s">
        <v>96</v>
      </c>
      <c r="AX28" s="42">
        <f>'Measure Unknown '!AW8</f>
        <v>0</v>
      </c>
      <c r="AY28" s="42" t="s">
        <v>22</v>
      </c>
    </row>
    <row r="29" spans="2:52" ht="16.350000000000001">
      <c r="B29" t="s">
        <v>120</v>
      </c>
      <c r="C29" t="s">
        <v>117</v>
      </c>
      <c r="D29" t="s">
        <v>116</v>
      </c>
      <c r="E29" t="s">
        <v>119</v>
      </c>
      <c r="F29" t="s">
        <v>118</v>
      </c>
      <c r="G29" s="1" t="s">
        <v>117</v>
      </c>
      <c r="H29" s="5" t="s">
        <v>89</v>
      </c>
      <c r="I29" s="5" t="s">
        <v>116</v>
      </c>
      <c r="J29" s="5" t="s">
        <v>115</v>
      </c>
      <c r="K29" s="59" t="s">
        <v>114</v>
      </c>
      <c r="L29" s="58"/>
    </row>
    <row r="30" spans="2:52" ht="16.350000000000001">
      <c r="B30">
        <f t="shared" ref="B30:B61" si="19">10000000*C30</f>
        <v>1</v>
      </c>
      <c r="C30">
        <v>9.9999999999999995E-8</v>
      </c>
      <c r="D30">
        <f t="shared" ref="D30:D61" si="20">C30*Rsphere</f>
        <v>1.1269034418874374E-5</v>
      </c>
      <c r="E30">
        <f t="shared" ref="E30:E61" si="21">((3/D30^3)*(SIN(D30)-D30*COS(D30)))^2</f>
        <v>0.99999729121698844</v>
      </c>
      <c r="F30">
        <f t="shared" ref="F30:F61" si="22">E30*Izero</f>
        <v>1.4456708102296651</v>
      </c>
      <c r="G30" s="1">
        <f t="shared" ref="G30:G45" si="23">D7/10000000</f>
        <v>5.3505226980224332E-3</v>
      </c>
      <c r="H30" s="41">
        <f>'Measure Unknown '!M15</f>
        <v>0</v>
      </c>
      <c r="I30" s="41">
        <f t="shared" ref="I30:I45" si="24">G30*Rsphere</f>
        <v>0.60295224442983375</v>
      </c>
      <c r="J30" s="41">
        <f t="shared" ref="J30:J45" si="25">Izero*(3/I30^3*(SIN(I30)-I30*COS(I30)))^2</f>
        <v>1.3437767504580342</v>
      </c>
      <c r="K30" s="1">
        <f t="shared" ref="K30:K45" si="26">(H30-J30)^2</f>
        <v>1.8057359550715539</v>
      </c>
      <c r="M30" s="57" t="s">
        <v>113</v>
      </c>
      <c r="N30" s="61">
        <v>1.4456747262488039</v>
      </c>
    </row>
    <row r="31" spans="2:52" ht="16.350000000000001">
      <c r="B31">
        <f t="shared" si="19"/>
        <v>10000</v>
      </c>
      <c r="C31" s="54">
        <v>1E-3</v>
      </c>
      <c r="D31">
        <f t="shared" si="20"/>
        <v>0.11269034418874374</v>
      </c>
      <c r="E31">
        <f t="shared" si="21"/>
        <v>0.99746294011781955</v>
      </c>
      <c r="F31">
        <f t="shared" si="22"/>
        <v>1.4420069628981558</v>
      </c>
      <c r="G31" s="1">
        <f t="shared" si="23"/>
        <v>6.6349195602210661E-3</v>
      </c>
      <c r="H31" s="41">
        <f>'Measure Unknown '!M16</f>
        <v>0</v>
      </c>
      <c r="I31" s="41">
        <f t="shared" si="24"/>
        <v>0.74769136890594012</v>
      </c>
      <c r="J31" s="41">
        <f t="shared" si="25"/>
        <v>1.2915714312538566</v>
      </c>
      <c r="K31" s="1">
        <f t="shared" si="26"/>
        <v>1.6681567620311357</v>
      </c>
      <c r="M31" s="57" t="s">
        <v>112</v>
      </c>
      <c r="N31" s="62">
        <v>112.69034418874374</v>
      </c>
    </row>
    <row r="32" spans="2:52">
      <c r="B32">
        <f t="shared" si="19"/>
        <v>15000</v>
      </c>
      <c r="C32" s="54">
        <v>1.5E-3</v>
      </c>
      <c r="D32">
        <f t="shared" si="20"/>
        <v>0.16903551628311561</v>
      </c>
      <c r="E32">
        <f t="shared" si="21"/>
        <v>0.99429937483128761</v>
      </c>
      <c r="F32">
        <f t="shared" si="22"/>
        <v>1.4374334765185786</v>
      </c>
      <c r="G32" s="1">
        <f t="shared" si="23"/>
        <v>7.5595955426216209E-3</v>
      </c>
      <c r="H32" s="41">
        <f>'Measure Unknown '!M17</f>
        <v>0</v>
      </c>
      <c r="I32" s="41">
        <f t="shared" si="24"/>
        <v>0.8518934236257234</v>
      </c>
      <c r="J32" s="41">
        <f t="shared" si="25"/>
        <v>1.2484386141560717</v>
      </c>
      <c r="K32" s="1">
        <f t="shared" si="26"/>
        <v>1.5585989733159329</v>
      </c>
    </row>
    <row r="33" spans="2:11">
      <c r="B33">
        <f t="shared" si="19"/>
        <v>20000</v>
      </c>
      <c r="C33" s="54">
        <v>2E-3</v>
      </c>
      <c r="D33">
        <f t="shared" si="20"/>
        <v>0.22538068837748748</v>
      </c>
      <c r="E33">
        <f t="shared" si="21"/>
        <v>0.98988483165429186</v>
      </c>
      <c r="F33">
        <f t="shared" si="22"/>
        <v>1.4310514830196617</v>
      </c>
      <c r="G33" s="1">
        <f t="shared" si="23"/>
        <v>1.0273913437566617E-2</v>
      </c>
      <c r="H33" s="41">
        <f>'Measure Unknown '!M19</f>
        <v>9.4137184921518E-2</v>
      </c>
      <c r="I33" s="41">
        <f t="shared" si="24"/>
        <v>1.1577708414447414</v>
      </c>
      <c r="J33" s="41">
        <f t="shared" si="25"/>
        <v>1.0998145730876969</v>
      </c>
      <c r="K33" s="1">
        <f t="shared" si="26"/>
        <v>1.0113870090687473</v>
      </c>
    </row>
    <row r="34" spans="2:11">
      <c r="B34">
        <f t="shared" si="19"/>
        <v>25000</v>
      </c>
      <c r="C34" s="54">
        <v>2.5000000000000001E-3</v>
      </c>
      <c r="D34">
        <f t="shared" si="20"/>
        <v>0.28172586047185932</v>
      </c>
      <c r="E34">
        <f t="shared" si="21"/>
        <v>0.98423367734756462</v>
      </c>
      <c r="F34">
        <f t="shared" si="22"/>
        <v>1.422881752064294</v>
      </c>
      <c r="G34" s="1">
        <f t="shared" si="23"/>
        <v>1.1590675430098786E-2</v>
      </c>
      <c r="H34" s="41">
        <f>'Measure Unknown '!M20</f>
        <v>8.4954791989113987E-2</v>
      </c>
      <c r="I34" s="41">
        <f t="shared" si="24"/>
        <v>1.3061572035978475</v>
      </c>
      <c r="J34" s="41">
        <f t="shared" si="25"/>
        <v>1.0187768692440813</v>
      </c>
      <c r="K34" s="1">
        <f t="shared" si="26"/>
        <v>0.87202367196878205</v>
      </c>
    </row>
    <row r="35" spans="2:11">
      <c r="B35">
        <f t="shared" si="19"/>
        <v>30000</v>
      </c>
      <c r="C35" s="54">
        <v>3.0000000000000001E-3</v>
      </c>
      <c r="D35">
        <f t="shared" si="20"/>
        <v>0.33807103256623122</v>
      </c>
      <c r="E35">
        <f t="shared" si="21"/>
        <v>0.97736426761158823</v>
      </c>
      <c r="F35">
        <f t="shared" si="22"/>
        <v>1.4129508200247456</v>
      </c>
      <c r="G35" s="1">
        <f t="shared" si="23"/>
        <v>1.3086496300509551E-2</v>
      </c>
      <c r="H35" s="41">
        <f>'Measure Unknown '!M21</f>
        <v>0</v>
      </c>
      <c r="I35" s="41">
        <f t="shared" si="24"/>
        <v>1.4747217723291428</v>
      </c>
      <c r="J35" s="41">
        <f t="shared" si="25"/>
        <v>0.92233774750037412</v>
      </c>
      <c r="K35" s="1">
        <f t="shared" si="26"/>
        <v>0.85070692046406393</v>
      </c>
    </row>
    <row r="36" spans="2:11">
      <c r="B36">
        <f t="shared" si="19"/>
        <v>35000</v>
      </c>
      <c r="C36" s="54">
        <v>3.5000000000000001E-3</v>
      </c>
      <c r="D36">
        <f t="shared" si="20"/>
        <v>0.39441620466060306</v>
      </c>
      <c r="E36">
        <f t="shared" si="21"/>
        <v>0.96929886111886665</v>
      </c>
      <c r="F36">
        <f t="shared" si="22"/>
        <v>1.401290865701295</v>
      </c>
      <c r="G36" s="1">
        <f t="shared" si="23"/>
        <v>1.4533499263816432E-2</v>
      </c>
      <c r="H36" s="41">
        <f>'Measure Unknown '!M22</f>
        <v>8.3823081739115651E-2</v>
      </c>
      <c r="I36" s="41">
        <f t="shared" si="24"/>
        <v>1.6377850343063274</v>
      </c>
      <c r="J36" s="41">
        <f t="shared" si="25"/>
        <v>0.82674477743470576</v>
      </c>
      <c r="K36" s="1">
        <f t="shared" si="26"/>
        <v>0.55193264593521096</v>
      </c>
    </row>
    <row r="37" spans="2:11">
      <c r="B37">
        <f t="shared" si="19"/>
        <v>40000</v>
      </c>
      <c r="C37" s="54">
        <v>4.0000000000000001E-3</v>
      </c>
      <c r="D37">
        <f t="shared" si="20"/>
        <v>0.45076137675497496</v>
      </c>
      <c r="E37">
        <f t="shared" si="21"/>
        <v>0.96006351545565616</v>
      </c>
      <c r="F37">
        <f t="shared" si="22"/>
        <v>1.3879395598878199</v>
      </c>
      <c r="G37" s="1">
        <f t="shared" si="23"/>
        <v>1.6120524593186761E-2</v>
      </c>
      <c r="H37" s="41">
        <f>'Measure Unknown '!M23</f>
        <v>0</v>
      </c>
      <c r="I37" s="41">
        <f t="shared" si="24"/>
        <v>1.8166274649093241</v>
      </c>
      <c r="J37" s="41">
        <f t="shared" si="25"/>
        <v>0.72178600862293218</v>
      </c>
      <c r="K37" s="1">
        <f t="shared" si="26"/>
        <v>0.52097504224382352</v>
      </c>
    </row>
    <row r="38" spans="2:11">
      <c r="B38">
        <f t="shared" si="19"/>
        <v>45000</v>
      </c>
      <c r="C38" s="54">
        <v>4.4999999999999997E-3</v>
      </c>
      <c r="D38">
        <f t="shared" si="20"/>
        <v>0.50710654884934681</v>
      </c>
      <c r="E38">
        <f t="shared" si="21"/>
        <v>0.94968796557115454</v>
      </c>
      <c r="F38">
        <f t="shared" si="22"/>
        <v>1.3729398896488623</v>
      </c>
      <c r="G38" s="1">
        <f t="shared" si="23"/>
        <v>1.7811680701873805E-2</v>
      </c>
      <c r="H38" s="41">
        <f>'Measure Unknown '!M24</f>
        <v>9.0100361535428358E-2</v>
      </c>
      <c r="I38" s="41">
        <f t="shared" si="24"/>
        <v>2.0072044288741639</v>
      </c>
      <c r="J38" s="41">
        <f t="shared" si="25"/>
        <v>0.61258544174007779</v>
      </c>
      <c r="K38" s="1">
        <f t="shared" si="26"/>
        <v>0.27299065903645897</v>
      </c>
    </row>
    <row r="39" spans="2:11">
      <c r="B39">
        <f t="shared" si="19"/>
        <v>50000</v>
      </c>
      <c r="C39" s="54">
        <v>5.0000000000000001E-3</v>
      </c>
      <c r="D39">
        <f t="shared" si="20"/>
        <v>0.56345172094371865</v>
      </c>
      <c r="E39">
        <f t="shared" si="21"/>
        <v>0.93820548543097093</v>
      </c>
      <c r="F39">
        <f t="shared" si="22"/>
        <v>1.3563399583155451</v>
      </c>
      <c r="G39" s="1">
        <f t="shared" si="23"/>
        <v>1.9393021876048924E-2</v>
      </c>
      <c r="H39" s="41">
        <f>'Measure Unknown '!M25</f>
        <v>0</v>
      </c>
      <c r="I39" s="41">
        <f t="shared" si="24"/>
        <v>2.18540631007179</v>
      </c>
      <c r="J39" s="41">
        <f t="shared" si="25"/>
        <v>0.51531499374922141</v>
      </c>
      <c r="K39" s="1">
        <f t="shared" si="26"/>
        <v>0.26554954278276011</v>
      </c>
    </row>
    <row r="40" spans="2:11">
      <c r="B40">
        <f t="shared" si="19"/>
        <v>55000</v>
      </c>
      <c r="C40" s="54">
        <v>5.4999999999999997E-3</v>
      </c>
      <c r="D40">
        <f t="shared" si="20"/>
        <v>0.61979689303809049</v>
      </c>
      <c r="E40">
        <f t="shared" si="21"/>
        <v>0.92565273366667489</v>
      </c>
      <c r="F40">
        <f t="shared" si="22"/>
        <v>1.3381927623450272</v>
      </c>
      <c r="G40" s="1">
        <f t="shared" si="23"/>
        <v>2.0854798621524031E-2</v>
      </c>
      <c r="H40" s="41">
        <f>'Measure Unknown '!M26</f>
        <v>8.3873758192196265E-2</v>
      </c>
      <c r="I40" s="41">
        <f t="shared" si="24"/>
        <v>2.3501344346464816</v>
      </c>
      <c r="J40" s="41">
        <f t="shared" si="25"/>
        <v>0.43123246512441477</v>
      </c>
      <c r="K40" s="1">
        <f t="shared" si="26"/>
        <v>0.12065807128162286</v>
      </c>
    </row>
    <row r="41" spans="2:11">
      <c r="B41">
        <f t="shared" si="19"/>
        <v>60000</v>
      </c>
      <c r="C41" s="54">
        <v>6.0000000000000001E-3</v>
      </c>
      <c r="D41">
        <f t="shared" si="20"/>
        <v>0.67614206513246244</v>
      </c>
      <c r="E41">
        <f t="shared" si="21"/>
        <v>0.91206958410266603</v>
      </c>
      <c r="F41">
        <f t="shared" si="22"/>
        <v>1.3185559463174821</v>
      </c>
      <c r="G41" s="1">
        <f t="shared" si="23"/>
        <v>2.3384402186003871E-2</v>
      </c>
      <c r="H41" s="5">
        <f>'Measure Unknown '!M28</f>
        <v>9.4108720965506196E-2</v>
      </c>
      <c r="I41" s="41">
        <f t="shared" si="24"/>
        <v>2.6351963309887876</v>
      </c>
      <c r="J41" s="41">
        <f t="shared" si="25"/>
        <v>0.30233535191551547</v>
      </c>
      <c r="K41" s="1">
        <f t="shared" si="26"/>
        <v>4.3358329836791352E-2</v>
      </c>
    </row>
    <row r="42" spans="2:11">
      <c r="B42">
        <f t="shared" si="19"/>
        <v>65000</v>
      </c>
      <c r="C42" s="54">
        <v>6.4999999999999997E-3</v>
      </c>
      <c r="D42">
        <f t="shared" si="20"/>
        <v>0.73248723722683429</v>
      </c>
      <c r="E42">
        <f t="shared" si="21"/>
        <v>0.89749894212544279</v>
      </c>
      <c r="F42">
        <f t="shared" si="22"/>
        <v>1.2974915374657905</v>
      </c>
      <c r="G42" s="1">
        <f t="shared" si="23"/>
        <v>2.4436633157855037E-2</v>
      </c>
      <c r="H42" s="5">
        <f>'Measure Unknown '!M29</f>
        <v>0</v>
      </c>
      <c r="I42" s="41">
        <f t="shared" si="24"/>
        <v>2.7537726013727517</v>
      </c>
      <c r="J42" s="41">
        <f t="shared" si="25"/>
        <v>0.25569349953578013</v>
      </c>
      <c r="K42" s="1">
        <f t="shared" si="26"/>
        <v>6.5379165704853998E-2</v>
      </c>
    </row>
    <row r="43" spans="2:11">
      <c r="B43">
        <f t="shared" si="19"/>
        <v>70000</v>
      </c>
      <c r="C43" s="54">
        <v>7.0000000000000001E-3</v>
      </c>
      <c r="D43">
        <f t="shared" si="20"/>
        <v>0.78883240932120613</v>
      </c>
      <c r="E43">
        <f t="shared" si="21"/>
        <v>0.88198654793779652</v>
      </c>
      <c r="F43">
        <f t="shared" si="22"/>
        <v>1.2750656612451015</v>
      </c>
      <c r="G43" s="1">
        <f t="shared" si="23"/>
        <v>2.5245650635760026E-2</v>
      </c>
      <c r="H43" s="5">
        <f>'Measure Unknown '!M30</f>
        <v>8.1798680109580801E-2</v>
      </c>
      <c r="I43" s="41">
        <f t="shared" si="24"/>
        <v>2.8449410594125744</v>
      </c>
      <c r="J43" s="41">
        <f t="shared" si="25"/>
        <v>0.22277705158596953</v>
      </c>
      <c r="K43" s="1">
        <f t="shared" si="26"/>
        <v>1.9874901224134656E-2</v>
      </c>
    </row>
    <row r="44" spans="2:11">
      <c r="B44">
        <f t="shared" si="19"/>
        <v>75000</v>
      </c>
      <c r="C44" s="54">
        <v>7.4999999999999997E-3</v>
      </c>
      <c r="D44">
        <f t="shared" si="20"/>
        <v>0.84517758141557797</v>
      </c>
      <c r="E44">
        <f t="shared" si="21"/>
        <v>0.86558076781115212</v>
      </c>
      <c r="F44">
        <f t="shared" si="22"/>
        <v>1.2513482395516169</v>
      </c>
      <c r="G44" s="1">
        <f t="shared" si="23"/>
        <v>2.5852767282681773E-2</v>
      </c>
      <c r="H44" s="5">
        <f>'Measure Unknown '!M31</f>
        <v>0</v>
      </c>
      <c r="I44" s="41">
        <f t="shared" si="24"/>
        <v>2.9133572433169022</v>
      </c>
      <c r="J44" s="41">
        <f t="shared" si="25"/>
        <v>0.1997774670016651</v>
      </c>
      <c r="K44" s="1">
        <f t="shared" si="26"/>
        <v>3.9911036321601388E-2</v>
      </c>
    </row>
    <row r="45" spans="2:11">
      <c r="B45">
        <f t="shared" si="19"/>
        <v>80000</v>
      </c>
      <c r="C45" s="54">
        <v>8.0000000000000002E-3</v>
      </c>
      <c r="D45">
        <f t="shared" si="20"/>
        <v>0.90152275350994993</v>
      </c>
      <c r="E45">
        <f t="shared" si="21"/>
        <v>0.84833237451282872</v>
      </c>
      <c r="F45">
        <f t="shared" si="22"/>
        <v>1.2264126732918315</v>
      </c>
      <c r="G45" s="1">
        <f t="shared" si="23"/>
        <v>2.6296469766962621E-2</v>
      </c>
      <c r="H45" s="5">
        <f>'Measure Unknown '!M32</f>
        <v>8.8797314118287021E-2</v>
      </c>
      <c r="I45" s="41">
        <f t="shared" si="24"/>
        <v>2.9633582289879117</v>
      </c>
      <c r="J45" s="41">
        <f t="shared" si="25"/>
        <v>0.1838934081230115</v>
      </c>
      <c r="K45" s="1">
        <f t="shared" si="26"/>
        <v>9.0432670949553949E-3</v>
      </c>
    </row>
    <row r="46" spans="2:11">
      <c r="B46">
        <f t="shared" si="19"/>
        <v>85000</v>
      </c>
      <c r="C46" s="54">
        <v>8.5000000000000006E-3</v>
      </c>
      <c r="D46">
        <f t="shared" si="20"/>
        <v>0.95786792560432188</v>
      </c>
      <c r="E46">
        <f t="shared" si="21"/>
        <v>0.83029431814076393</v>
      </c>
      <c r="F46">
        <f t="shared" si="22"/>
        <v>1.2003355110840861</v>
      </c>
      <c r="I46" s="56"/>
      <c r="J46" s="56" t="s">
        <v>111</v>
      </c>
      <c r="K46" s="55">
        <f>SUM(K32:K45)</f>
        <v>6.2023892362797408</v>
      </c>
    </row>
    <row r="47" spans="2:11">
      <c r="B47">
        <f t="shared" si="19"/>
        <v>90000</v>
      </c>
      <c r="C47" s="54">
        <v>8.9999999999999993E-3</v>
      </c>
      <c r="D47">
        <f t="shared" si="20"/>
        <v>1.0142130976986936</v>
      </c>
      <c r="E47">
        <f t="shared" si="21"/>
        <v>0.81152148864625318</v>
      </c>
      <c r="F47">
        <f t="shared" si="22"/>
        <v>1.1731961059436939</v>
      </c>
    </row>
    <row r="48" spans="2:11">
      <c r="B48">
        <f t="shared" si="19"/>
        <v>95000</v>
      </c>
      <c r="C48" s="54">
        <v>9.4999999999999998E-3</v>
      </c>
      <c r="D48">
        <f t="shared" si="20"/>
        <v>1.0705582697930656</v>
      </c>
      <c r="E48">
        <f t="shared" si="21"/>
        <v>0.79207047136490327</v>
      </c>
      <c r="F48">
        <f t="shared" si="22"/>
        <v>1.1450762618602175</v>
      </c>
    </row>
    <row r="49" spans="2:6">
      <c r="B49">
        <f t="shared" si="19"/>
        <v>100000</v>
      </c>
      <c r="C49" s="54">
        <v>0.01</v>
      </c>
      <c r="D49">
        <f t="shared" si="20"/>
        <v>1.1269034418874373</v>
      </c>
      <c r="E49">
        <f t="shared" si="21"/>
        <v>0.77199929690727498</v>
      </c>
      <c r="F49">
        <f t="shared" si="22"/>
        <v>1.1160598722206938</v>
      </c>
    </row>
    <row r="50" spans="2:6">
      <c r="B50">
        <f t="shared" si="19"/>
        <v>105000</v>
      </c>
      <c r="C50" s="54">
        <v>1.0500000000000001E-2</v>
      </c>
      <c r="D50">
        <f t="shared" si="20"/>
        <v>1.1832486139818092</v>
      </c>
      <c r="E50">
        <f t="shared" si="21"/>
        <v>0.7513671867833458</v>
      </c>
      <c r="F50">
        <f t="shared" si="22"/>
        <v>1.0862325520653473</v>
      </c>
    </row>
    <row r="51" spans="2:6">
      <c r="B51">
        <f t="shared" si="19"/>
        <v>110000</v>
      </c>
      <c r="C51" s="54">
        <v>1.0999999999999999E-2</v>
      </c>
      <c r="D51">
        <f t="shared" si="20"/>
        <v>1.239593786076181</v>
      </c>
      <c r="E51">
        <f t="shared" si="21"/>
        <v>0.73023429614884827</v>
      </c>
      <c r="F51">
        <f t="shared" si="22"/>
        <v>1.0556812661824742</v>
      </c>
    </row>
    <row r="52" spans="2:6">
      <c r="B52">
        <f t="shared" si="19"/>
        <v>115000</v>
      </c>
      <c r="C52" s="54">
        <v>1.15E-2</v>
      </c>
      <c r="D52">
        <f t="shared" si="20"/>
        <v>1.2959389581705529</v>
      </c>
      <c r="E52">
        <f t="shared" si="21"/>
        <v>0.70866145506676259</v>
      </c>
      <c r="F52">
        <f t="shared" si="22"/>
        <v>1.0244939550567211</v>
      </c>
    </row>
    <row r="53" spans="2:6">
      <c r="B53">
        <f t="shared" si="19"/>
        <v>120000</v>
      </c>
      <c r="C53" s="54">
        <v>1.2E-2</v>
      </c>
      <c r="D53">
        <f t="shared" si="20"/>
        <v>1.3522841302649249</v>
      </c>
      <c r="E53">
        <f t="shared" si="21"/>
        <v>0.68670990967372092</v>
      </c>
      <c r="F53">
        <f t="shared" si="22"/>
        <v>0.99275916067989733</v>
      </c>
    </row>
    <row r="54" spans="2:6">
      <c r="B54">
        <f t="shared" si="19"/>
        <v>125000</v>
      </c>
      <c r="C54" s="54">
        <v>1.2500000000000001E-2</v>
      </c>
      <c r="D54">
        <f t="shared" si="20"/>
        <v>1.4086293023592968</v>
      </c>
      <c r="E54">
        <f t="shared" si="21"/>
        <v>0.66444106462892705</v>
      </c>
      <c r="F54">
        <f t="shared" si="22"/>
        <v>0.96056565421588791</v>
      </c>
    </row>
    <row r="55" spans="2:6">
      <c r="B55">
        <f t="shared" si="19"/>
        <v>130000</v>
      </c>
      <c r="C55" s="54">
        <v>1.2999999999999999E-2</v>
      </c>
      <c r="D55">
        <f t="shared" si="20"/>
        <v>1.4649744744536686</v>
      </c>
      <c r="E55">
        <f t="shared" si="21"/>
        <v>0.64191622820254113</v>
      </c>
      <c r="F55">
        <f t="shared" si="22"/>
        <v>0.92800206748137337</v>
      </c>
    </row>
    <row r="56" spans="2:6">
      <c r="B56">
        <f t="shared" si="19"/>
        <v>135000</v>
      </c>
      <c r="C56" s="54">
        <v>1.35E-2</v>
      </c>
      <c r="D56">
        <f t="shared" si="20"/>
        <v>1.5213196465480405</v>
      </c>
      <c r="E56">
        <f t="shared" si="21"/>
        <v>0.61919636133155143</v>
      </c>
      <c r="F56">
        <f t="shared" si="22"/>
        <v>0.89515653016224606</v>
      </c>
    </row>
    <row r="57" spans="2:6">
      <c r="B57">
        <f t="shared" si="19"/>
        <v>140000</v>
      </c>
      <c r="C57" s="54">
        <v>1.4E-2</v>
      </c>
      <c r="D57">
        <f t="shared" si="20"/>
        <v>1.5776648186424123</v>
      </c>
      <c r="E57">
        <f t="shared" si="21"/>
        <v>0.59634183193415946</v>
      </c>
      <c r="F57">
        <f t="shared" si="22"/>
        <v>0.86211631463212623</v>
      </c>
    </row>
    <row r="58" spans="2:6">
      <c r="B58">
        <f t="shared" si="19"/>
        <v>145000</v>
      </c>
      <c r="C58" s="54">
        <v>1.4500000000000001E-2</v>
      </c>
      <c r="D58">
        <f t="shared" si="20"/>
        <v>1.6340099907367842</v>
      </c>
      <c r="E58">
        <f t="shared" si="21"/>
        <v>0.57341217572900915</v>
      </c>
      <c r="F58">
        <f t="shared" si="22"/>
        <v>0.82896749017476634</v>
      </c>
    </row>
    <row r="59" spans="2:6">
      <c r="B59">
        <f t="shared" si="19"/>
        <v>150000</v>
      </c>
      <c r="C59" s="54">
        <v>1.4999999999999999E-2</v>
      </c>
      <c r="D59">
        <f t="shared" si="20"/>
        <v>1.6903551628311559</v>
      </c>
      <c r="E59">
        <f t="shared" si="21"/>
        <v>0.550465864753517</v>
      </c>
      <c r="F59">
        <f t="shared" si="22"/>
        <v>0.79579458833685179</v>
      </c>
    </row>
    <row r="60" spans="2:6">
      <c r="B60">
        <f t="shared" si="19"/>
        <v>155000</v>
      </c>
      <c r="C60" s="54">
        <v>1.55E-2</v>
      </c>
      <c r="D60">
        <f t="shared" si="20"/>
        <v>1.7467003349255279</v>
      </c>
      <c r="E60">
        <f t="shared" si="21"/>
        <v>0.52756008471653271</v>
      </c>
      <c r="F60">
        <f t="shared" si="22"/>
        <v>0.76268028105236918</v>
      </c>
    </row>
    <row r="61" spans="2:6">
      <c r="B61">
        <f t="shared" si="19"/>
        <v>160000</v>
      </c>
      <c r="C61" s="54">
        <v>1.6E-2</v>
      </c>
      <c r="D61">
        <f t="shared" si="20"/>
        <v>1.8030455070198999</v>
      </c>
      <c r="E61">
        <f t="shared" si="21"/>
        <v>0.50475052225505557</v>
      </c>
      <c r="F61">
        <f t="shared" si="22"/>
        <v>0.7297050730850182</v>
      </c>
    </row>
    <row r="62" spans="2:6">
      <c r="B62">
        <f t="shared" ref="B62:B79" si="27">10000000*C62</f>
        <v>165000</v>
      </c>
      <c r="C62" s="54">
        <v>1.6500000000000001E-2</v>
      </c>
      <c r="D62">
        <f t="shared" ref="D62:D79" si="28">C62*Rsphere</f>
        <v>1.8593906791142718</v>
      </c>
      <c r="E62">
        <f t="shared" ref="E62:E79" si="29">((3/D62^3)*(SIN(D62)-D62*COS(D62)))^2</f>
        <v>0.48209116309318945</v>
      </c>
      <c r="F62">
        <f t="shared" ref="F62:F79" si="30">E62*Izero</f>
        <v>0.69694701023171413</v>
      </c>
    </row>
    <row r="63" spans="2:6">
      <c r="B63">
        <f t="shared" si="27"/>
        <v>170000</v>
      </c>
      <c r="C63" s="54">
        <v>1.7000000000000001E-2</v>
      </c>
      <c r="D63">
        <f t="shared" si="28"/>
        <v>1.9157358512086438</v>
      </c>
      <c r="E63">
        <f t="shared" si="29"/>
        <v>0.45963410202456567</v>
      </c>
      <c r="F63">
        <f t="shared" si="30"/>
        <v>0.66448140461897875</v>
      </c>
    </row>
    <row r="64" spans="2:6">
      <c r="B64">
        <f t="shared" si="27"/>
        <v>175000.00000000003</v>
      </c>
      <c r="C64" s="54">
        <v>1.7500000000000002E-2</v>
      </c>
      <c r="D64">
        <f t="shared" si="28"/>
        <v>1.9720810233030155</v>
      </c>
      <c r="E64">
        <f t="shared" si="29"/>
        <v>0.43742936555756284</v>
      </c>
      <c r="F64">
        <f t="shared" si="30"/>
        <v>0.63238057830561767</v>
      </c>
    </row>
    <row r="65" spans="2:6">
      <c r="B65">
        <f t="shared" si="27"/>
        <v>180000</v>
      </c>
      <c r="C65" s="54">
        <v>1.7999999999999999E-2</v>
      </c>
      <c r="D65">
        <f t="shared" si="28"/>
        <v>2.0284261953973872</v>
      </c>
      <c r="E65">
        <f t="shared" si="29"/>
        <v>0.41552474797649835</v>
      </c>
      <c r="F65">
        <f t="shared" si="30"/>
        <v>0.60071362628052749</v>
      </c>
    </row>
    <row r="66" spans="2:6">
      <c r="B66">
        <f t="shared" si="27"/>
        <v>185000</v>
      </c>
      <c r="C66" s="54">
        <v>1.8499999999999999E-2</v>
      </c>
      <c r="D66">
        <f t="shared" si="28"/>
        <v>2.0847713674917592</v>
      </c>
      <c r="E66">
        <f t="shared" si="29"/>
        <v>0.39396566148210405</v>
      </c>
      <c r="F66">
        <f t="shared" si="30"/>
        <v>0.56954619981456966</v>
      </c>
    </row>
    <row r="67" spans="2:6">
      <c r="B67">
        <f t="shared" si="27"/>
        <v>190000</v>
      </c>
      <c r="C67" s="54">
        <v>1.9E-2</v>
      </c>
      <c r="D67">
        <f t="shared" si="28"/>
        <v>2.1411165395861311</v>
      </c>
      <c r="E67">
        <f t="shared" si="29"/>
        <v>0.37279500098173085</v>
      </c>
      <c r="F67">
        <f t="shared" si="30"/>
        <v>0.53894031099118633</v>
      </c>
    </row>
    <row r="68" spans="2:6">
      <c r="B68">
        <f t="shared" si="27"/>
        <v>195000</v>
      </c>
      <c r="C68" s="54">
        <v>1.95E-2</v>
      </c>
      <c r="D68">
        <f t="shared" si="28"/>
        <v>2.1974617116805031</v>
      </c>
      <c r="E68">
        <f t="shared" si="29"/>
        <v>0.35205302400446176</v>
      </c>
      <c r="F68">
        <f t="shared" si="30"/>
        <v>0.5089541591027138</v>
      </c>
    </row>
    <row r="69" spans="2:6">
      <c r="B69">
        <f t="shared" si="27"/>
        <v>200000</v>
      </c>
      <c r="C69" s="54">
        <v>0.02</v>
      </c>
      <c r="D69">
        <f t="shared" si="28"/>
        <v>2.2538068837748746</v>
      </c>
      <c r="E69">
        <f t="shared" si="29"/>
        <v>0.331777246119347</v>
      </c>
      <c r="F69">
        <f t="shared" si="30"/>
        <v>0.47964197945916903</v>
      </c>
    </row>
    <row r="70" spans="2:6">
      <c r="B70">
        <f t="shared" si="27"/>
        <v>205000</v>
      </c>
      <c r="C70" s="54">
        <v>2.0500000000000001E-2</v>
      </c>
      <c r="D70">
        <f t="shared" si="28"/>
        <v>2.3101520558692465</v>
      </c>
      <c r="E70">
        <f t="shared" si="29"/>
        <v>0.31200235213697081</v>
      </c>
      <c r="F70">
        <f t="shared" si="30"/>
        <v>0.45105391501459818</v>
      </c>
    </row>
    <row r="71" spans="2:6">
      <c r="B71">
        <f t="shared" si="27"/>
        <v>210000</v>
      </c>
      <c r="C71" s="54">
        <v>2.1000000000000001E-2</v>
      </c>
      <c r="D71">
        <f t="shared" si="28"/>
        <v>2.3664972279636185</v>
      </c>
      <c r="E71">
        <f t="shared" si="29"/>
        <v>0.29276012327618051</v>
      </c>
      <c r="F71">
        <f t="shared" si="30"/>
        <v>0.42323591107385833</v>
      </c>
    </row>
    <row r="72" spans="2:6">
      <c r="B72">
        <f t="shared" si="27"/>
        <v>214999.99999999997</v>
      </c>
      <c r="C72" s="54">
        <v>2.1499999999999998E-2</v>
      </c>
      <c r="D72">
        <f t="shared" si="28"/>
        <v>2.42284240005799</v>
      </c>
      <c r="E72">
        <f t="shared" si="29"/>
        <v>0.27407938037973484</v>
      </c>
      <c r="F72">
        <f t="shared" si="30"/>
        <v>0.39622963320091498</v>
      </c>
    </row>
    <row r="73" spans="2:6">
      <c r="B73">
        <f t="shared" si="27"/>
        <v>220000</v>
      </c>
      <c r="C73" s="54">
        <v>2.1999999999999999E-2</v>
      </c>
      <c r="D73">
        <f t="shared" si="28"/>
        <v>2.479187572152362</v>
      </c>
      <c r="E73">
        <f t="shared" si="29"/>
        <v>0.25598594316549622</v>
      </c>
      <c r="F73">
        <f t="shared" si="30"/>
        <v>0.37007240830932064</v>
      </c>
    </row>
    <row r="74" spans="2:6">
      <c r="B74">
        <f t="shared" si="27"/>
        <v>225000</v>
      </c>
      <c r="C74" s="54">
        <v>2.2499999999999999E-2</v>
      </c>
      <c r="D74">
        <f t="shared" si="28"/>
        <v>2.5355327442467339</v>
      </c>
      <c r="E74">
        <f t="shared" si="29"/>
        <v>0.23850260540427523</v>
      </c>
      <c r="F74">
        <f t="shared" si="30"/>
        <v>0.34479718877745208</v>
      </c>
    </row>
    <row r="75" spans="2:6">
      <c r="B75">
        <f t="shared" si="27"/>
        <v>230000</v>
      </c>
      <c r="C75" s="54">
        <v>2.3E-2</v>
      </c>
      <c r="D75">
        <f t="shared" si="28"/>
        <v>2.5918779163411059</v>
      </c>
      <c r="E75">
        <f t="shared" si="29"/>
        <v>0.22164912582210441</v>
      </c>
      <c r="F75">
        <f t="shared" si="30"/>
        <v>0.3204325392961575</v>
      </c>
    </row>
    <row r="76" spans="2:6">
      <c r="B76">
        <f t="shared" si="27"/>
        <v>235000</v>
      </c>
      <c r="C76" s="54">
        <v>2.35E-2</v>
      </c>
      <c r="D76">
        <f t="shared" si="28"/>
        <v>2.6482230884354778</v>
      </c>
      <c r="E76">
        <f t="shared" si="29"/>
        <v>0.20544223443423842</v>
      </c>
      <c r="F76">
        <f t="shared" si="30"/>
        <v>0.29700264602566023</v>
      </c>
    </row>
    <row r="77" spans="2:6">
      <c r="B77">
        <f t="shared" si="27"/>
        <v>240000</v>
      </c>
      <c r="C77" s="54">
        <v>2.4E-2</v>
      </c>
      <c r="D77">
        <f t="shared" si="28"/>
        <v>2.7045682605298498</v>
      </c>
      <c r="E77">
        <f t="shared" si="29"/>
        <v>0.18989565393105479</v>
      </c>
      <c r="F77">
        <f t="shared" si="30"/>
        <v>0.27452734751261521</v>
      </c>
    </row>
    <row r="78" spans="2:6">
      <c r="B78">
        <f t="shared" si="27"/>
        <v>245000</v>
      </c>
      <c r="C78" s="54">
        <v>2.4500000000000001E-2</v>
      </c>
      <c r="D78">
        <f t="shared" si="28"/>
        <v>2.7609134326242217</v>
      </c>
      <c r="E78">
        <f t="shared" si="29"/>
        <v>0.17502013565284807</v>
      </c>
      <c r="F78">
        <f t="shared" si="30"/>
        <v>0.25302218669795967</v>
      </c>
    </row>
    <row r="79" spans="2:6">
      <c r="B79">
        <f t="shared" si="27"/>
        <v>250000</v>
      </c>
      <c r="C79" s="54">
        <v>2.5000000000000001E-2</v>
      </c>
      <c r="D79">
        <f t="shared" si="28"/>
        <v>2.8172586047185937</v>
      </c>
      <c r="E79">
        <f t="shared" si="29"/>
        <v>0.16082350961175779</v>
      </c>
      <c r="F79">
        <f t="shared" si="30"/>
        <v>0.23249848323234981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5"/>
  <sheetViews>
    <sheetView workbookViewId="0">
      <selection activeCell="D11" sqref="D11"/>
    </sheetView>
  </sheetViews>
  <sheetFormatPr defaultRowHeight="14.35"/>
  <cols>
    <col min="1" max="1" width="15.29296875" customWidth="1"/>
    <col min="2" max="2" width="9.703125" bestFit="1" customWidth="1"/>
  </cols>
  <sheetData>
    <row r="2" spans="1:2">
      <c r="A2" t="s">
        <v>10</v>
      </c>
      <c r="B2" s="44" t="s">
        <v>12</v>
      </c>
    </row>
    <row r="3" spans="1:2">
      <c r="A3" t="s">
        <v>8</v>
      </c>
      <c r="B3" s="44">
        <v>685</v>
      </c>
    </row>
    <row r="4" spans="1:2">
      <c r="A4" t="s">
        <v>11</v>
      </c>
      <c r="B4" s="45">
        <f>Lamnm/10000000</f>
        <v>6.8499999999999998E-5</v>
      </c>
    </row>
    <row r="5" spans="1:2">
      <c r="A5" t="s">
        <v>9</v>
      </c>
      <c r="B5" s="44">
        <v>1.4950000000000001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Development notes</vt:lpstr>
      <vt:lpstr>Instructions</vt:lpstr>
      <vt:lpstr>Normalize</vt:lpstr>
      <vt:lpstr>Measure Unknown </vt:lpstr>
      <vt:lpstr>Guinier+NonlinSphere</vt:lpstr>
      <vt:lpstr>Parameters</vt:lpstr>
      <vt:lpstr>'Guinier+NonlinSphere'!Guinslope</vt:lpstr>
      <vt:lpstr>'Guinier+NonlinSphere'!Guintercept</vt:lpstr>
      <vt:lpstr>Izero</vt:lpstr>
      <vt:lpstr>'Guinier+NonlinSphere'!Lamcm</vt:lpstr>
      <vt:lpstr>Lamcm</vt:lpstr>
      <vt:lpstr>'Guinier+NonlinSphere'!Lamnm</vt:lpstr>
      <vt:lpstr>Lamnm</vt:lpstr>
      <vt:lpstr>'Guinier+NonlinSphere'!Refin</vt:lpstr>
      <vt:lpstr>Refin</vt:lpstr>
      <vt:lpstr>'Guinier+NonlinSphere'!Rgyration</vt:lpstr>
      <vt:lpstr>Rgyration</vt:lpstr>
      <vt:lpstr>Rhydro</vt:lpstr>
      <vt:lpstr>Rsphere</vt:lpstr>
      <vt:lpstr>Solvent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2023-03-03T13:19:36Z</dcterms:modified>
</cp:coreProperties>
</file>